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charts/chart29.xml" ContentType="application/vnd.openxmlformats-officedocument.drawingml.chart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charts/chart27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/>
  <bookViews>
    <workbookView xWindow="0" yWindow="0" windowWidth="15570" windowHeight="8190" tabRatio="819" firstSheet="22" activeTab="28"/>
  </bookViews>
  <sheets>
    <sheet name="январь 20" sheetId="86" r:id="rId1"/>
    <sheet name="январь 20 (+руда,-агл,-кокс)" sheetId="88" r:id="rId2"/>
    <sheet name="февраль 20" sheetId="87" r:id="rId3"/>
    <sheet name="февраль 20 (-руда,+агл)" sheetId="90" r:id="rId4"/>
    <sheet name="март 20 " sheetId="89" r:id="rId5"/>
    <sheet name="март 20  (-руда,+агл)" sheetId="92" r:id="rId6"/>
    <sheet name="апрель 20 " sheetId="91" r:id="rId7"/>
    <sheet name="апрель 20  (+371т,+ру,кок)" sheetId="95" r:id="rId8"/>
    <sheet name="май 20" sheetId="93" r:id="rId9"/>
    <sheet name="май 20 (+руда,+кокс,-агл)" sheetId="97" r:id="rId10"/>
    <sheet name="июнь 20" sheetId="96" r:id="rId11"/>
    <sheet name="июнь 20 (+руда,кокс)" sheetId="99" r:id="rId12"/>
    <sheet name="июль 20 (факт)" sheetId="100" r:id="rId13"/>
    <sheet name="июль 20" sheetId="98" r:id="rId14"/>
    <sheet name="июль 20 (+руда,кокс,агл)" sheetId="103" r:id="rId15"/>
    <sheet name="август 20  (факт)" sheetId="104" r:id="rId16"/>
    <sheet name="август 20 " sheetId="101" r:id="rId17"/>
    <sheet name="август 20  (-руда,+агл.кокс)" sheetId="106" r:id="rId18"/>
    <sheet name="сентябрь 20 (факт)" sheetId="107" r:id="rId19"/>
    <sheet name="сентябрь 20" sheetId="105" r:id="rId20"/>
    <sheet name="сентябрь 20 (-руда,+кокс)" sheetId="110" r:id="rId21"/>
    <sheet name="октябрь 20 (факт)" sheetId="108" r:id="rId22"/>
    <sheet name="октябрь 20 " sheetId="109" r:id="rId23"/>
    <sheet name="октябрь 20  (+руда,кокс)" sheetId="112" r:id="rId24"/>
    <sheet name="ноябрь 20 (факт)" sheetId="113" r:id="rId25"/>
    <sheet name="ноябрь 20" sheetId="111" r:id="rId26"/>
    <sheet name="ноябрь 20 (+агл,кокс)" sheetId="116" r:id="rId27"/>
    <sheet name="декабрь 20 (факт)" sheetId="115" r:id="rId28"/>
    <sheet name="декабрь 20" sheetId="114" r:id="rId29"/>
  </sheets>
  <externalReferences>
    <externalReference r:id="rId30"/>
    <externalReference r:id="rId31"/>
    <externalReference r:id="rId32"/>
    <externalReference r:id="rId33"/>
  </externalReferences>
  <definedNames>
    <definedName name="Excel_BuiltIn_Print_Area_10_1">"$#ССЫЛ!.$A$1:$IV$65536"</definedName>
    <definedName name="Excel_BuiltIn_Print_Area_11_1">"$#ССЫЛ!.$A$1:$IV$65536"</definedName>
    <definedName name="Excel_BuiltIn_Print_Area_12_1">"$#ССЫЛ!.$A$1:$AR$50"</definedName>
    <definedName name="Excel_BuiltIn_Print_Area_12_1_1">"$#ССЫЛ!.$A$1:$AR$49"</definedName>
    <definedName name="Excel_BuiltIn_Print_Area_12_1_1_1">"$#ССЫЛ!.$A$1:$AR$45"</definedName>
    <definedName name="Excel_BuiltIn_Print_Area_12_1_1_1_1">"$#ССЫЛ!.$A$1:$IV$65536"</definedName>
    <definedName name="Excel_BuiltIn_Print_Area_13_1">"$#ССЫЛ!.$A$1:$IV$65536"</definedName>
    <definedName name="Excel_BuiltIn_Print_Area_14_1">"$#ССЫЛ!.$A$1:$IV$65536"</definedName>
    <definedName name="Excel_BuiltIn_Print_Area_15_1">"$#ССЫЛ!.$A$1:$IV$65536"</definedName>
    <definedName name="Excel_BuiltIn_Print_Area_16">"$#ССЫЛ!.$A$1:$IV$65536"</definedName>
    <definedName name="Excel_BuiltIn_Print_Area_17">"$#ССЫЛ!.$A$1:$IV$65536"</definedName>
    <definedName name="Excel_BuiltIn_Print_Area_25">"$#ССЫЛ!.$A$1:$AQ$65536"</definedName>
    <definedName name="Excel_BuiltIn_Print_Area_26">"$#ССЫЛ!.$A$1:$AQ$65536"</definedName>
    <definedName name="Excel_BuiltIn_Print_Area_27">"$#ССЫЛ!.$A$1:$AQ$65536"</definedName>
    <definedName name="Excel_BuiltIn_Print_Area_28">"$#ССЫЛ!.$A$1:$AQ$65536"</definedName>
    <definedName name="Excel_BuiltIn_Print_Area_29">"$#ССЫЛ!.$A$1:$AQ$65536"</definedName>
    <definedName name="Excel_BuiltIn_Print_Area_30">"$#ССЫЛ!.$A$1:$AQ$65536"</definedName>
    <definedName name="Excel_BuiltIn_Print_Area_31">"$#ССЫЛ!.$A$1:$AQ$65536"</definedName>
    <definedName name="Excel_BuiltIn_Print_Area_32">"$#ССЫЛ!.$A$1:$AQ$65536"</definedName>
    <definedName name="Excel_BuiltIn_Print_Area_33">"$#ССЫЛ!.$A$1:$AQ$65536"</definedName>
    <definedName name="Excel_BuiltIn_Print_Area_34">"$#ССЫЛ!.$A$1:$AQ$65536"</definedName>
    <definedName name="Excel_BuiltIn_Print_Area_35">"$#ССЫЛ!.$A$1:$AQ$65536"</definedName>
    <definedName name="Excel_BuiltIn_Print_Area_6_1" localSheetId="16">#REF!</definedName>
    <definedName name="Excel_BuiltIn_Print_Area_6_1" localSheetId="17">#REF!</definedName>
    <definedName name="Excel_BuiltIn_Print_Area_6_1" localSheetId="15">#REF!</definedName>
    <definedName name="Excel_BuiltIn_Print_Area_6_1" localSheetId="6">#REF!</definedName>
    <definedName name="Excel_BuiltIn_Print_Area_6_1" localSheetId="7">#REF!</definedName>
    <definedName name="Excel_BuiltIn_Print_Area_6_1" localSheetId="28">#REF!</definedName>
    <definedName name="Excel_BuiltIn_Print_Area_6_1" localSheetId="27">#REF!</definedName>
    <definedName name="Excel_BuiltIn_Print_Area_6_1" localSheetId="13">#REF!</definedName>
    <definedName name="Excel_BuiltIn_Print_Area_6_1" localSheetId="14">#REF!</definedName>
    <definedName name="Excel_BuiltIn_Print_Area_6_1" localSheetId="12">#REF!</definedName>
    <definedName name="Excel_BuiltIn_Print_Area_6_1" localSheetId="10">#REF!</definedName>
    <definedName name="Excel_BuiltIn_Print_Area_6_1" localSheetId="11">#REF!</definedName>
    <definedName name="Excel_BuiltIn_Print_Area_6_1" localSheetId="8">#REF!</definedName>
    <definedName name="Excel_BuiltIn_Print_Area_6_1" localSheetId="9">#REF!</definedName>
    <definedName name="Excel_BuiltIn_Print_Area_6_1" localSheetId="4">#REF!</definedName>
    <definedName name="Excel_BuiltIn_Print_Area_6_1" localSheetId="5">#REF!</definedName>
    <definedName name="Excel_BuiltIn_Print_Area_6_1" localSheetId="25">#REF!</definedName>
    <definedName name="Excel_BuiltIn_Print_Area_6_1" localSheetId="26">#REF!</definedName>
    <definedName name="Excel_BuiltIn_Print_Area_6_1" localSheetId="24">#REF!</definedName>
    <definedName name="Excel_BuiltIn_Print_Area_6_1" localSheetId="22">#REF!</definedName>
    <definedName name="Excel_BuiltIn_Print_Area_6_1" localSheetId="23">#REF!</definedName>
    <definedName name="Excel_BuiltIn_Print_Area_6_1" localSheetId="21">#REF!</definedName>
    <definedName name="Excel_BuiltIn_Print_Area_6_1" localSheetId="19">#REF!</definedName>
    <definedName name="Excel_BuiltIn_Print_Area_6_1" localSheetId="20">#REF!</definedName>
    <definedName name="Excel_BuiltIn_Print_Area_6_1" localSheetId="18">#REF!</definedName>
    <definedName name="Excel_BuiltIn_Print_Area_6_1" localSheetId="2">#REF!</definedName>
    <definedName name="Excel_BuiltIn_Print_Area_6_1" localSheetId="3">#REF!</definedName>
    <definedName name="Excel_BuiltIn_Print_Area_6_1" localSheetId="0">#REF!</definedName>
    <definedName name="Excel_BuiltIn_Print_Area_6_1" localSheetId="1">#REF!</definedName>
    <definedName name="Excel_BuiltIn_Print_Area_9_1" localSheetId="16">#REF!</definedName>
    <definedName name="Excel_BuiltIn_Print_Area_9_1" localSheetId="17">#REF!</definedName>
    <definedName name="Excel_BuiltIn_Print_Area_9_1" localSheetId="15">#REF!</definedName>
    <definedName name="Excel_BuiltIn_Print_Area_9_1" localSheetId="6">#REF!</definedName>
    <definedName name="Excel_BuiltIn_Print_Area_9_1" localSheetId="7">#REF!</definedName>
    <definedName name="Excel_BuiltIn_Print_Area_9_1" localSheetId="28">#REF!</definedName>
    <definedName name="Excel_BuiltIn_Print_Area_9_1" localSheetId="27">#REF!</definedName>
    <definedName name="Excel_BuiltIn_Print_Area_9_1" localSheetId="13">#REF!</definedName>
    <definedName name="Excel_BuiltIn_Print_Area_9_1" localSheetId="14">#REF!</definedName>
    <definedName name="Excel_BuiltIn_Print_Area_9_1" localSheetId="12">#REF!</definedName>
    <definedName name="Excel_BuiltIn_Print_Area_9_1" localSheetId="10">#REF!</definedName>
    <definedName name="Excel_BuiltIn_Print_Area_9_1" localSheetId="11">#REF!</definedName>
    <definedName name="Excel_BuiltIn_Print_Area_9_1" localSheetId="8">#REF!</definedName>
    <definedName name="Excel_BuiltIn_Print_Area_9_1" localSheetId="9">#REF!</definedName>
    <definedName name="Excel_BuiltIn_Print_Area_9_1" localSheetId="4">#REF!</definedName>
    <definedName name="Excel_BuiltIn_Print_Area_9_1" localSheetId="5">#REF!</definedName>
    <definedName name="Excel_BuiltIn_Print_Area_9_1" localSheetId="25">#REF!</definedName>
    <definedName name="Excel_BuiltIn_Print_Area_9_1" localSheetId="26">#REF!</definedName>
    <definedName name="Excel_BuiltIn_Print_Area_9_1" localSheetId="24">#REF!</definedName>
    <definedName name="Excel_BuiltIn_Print_Area_9_1" localSheetId="22">#REF!</definedName>
    <definedName name="Excel_BuiltIn_Print_Area_9_1" localSheetId="23">#REF!</definedName>
    <definedName name="Excel_BuiltIn_Print_Area_9_1" localSheetId="21">#REF!</definedName>
    <definedName name="Excel_BuiltIn_Print_Area_9_1" localSheetId="19">#REF!</definedName>
    <definedName name="Excel_BuiltIn_Print_Area_9_1" localSheetId="20">#REF!</definedName>
    <definedName name="Excel_BuiltIn_Print_Area_9_1" localSheetId="18">#REF!</definedName>
    <definedName name="Excel_BuiltIn_Print_Area_9_1" localSheetId="2">#REF!</definedName>
    <definedName name="Excel_BuiltIn_Print_Area_9_1" localSheetId="3">#REF!</definedName>
    <definedName name="Excel_BuiltIn_Print_Area_9_1" localSheetId="0">#REF!</definedName>
    <definedName name="Excel_BuiltIn_Print_Area_9_1" localSheetId="1">#REF!</definedName>
    <definedName name="_xlnm.Print_Area" localSheetId="16">'август 20 '!$A$1:$BG$72</definedName>
    <definedName name="_xlnm.Print_Area" localSheetId="17">'август 20  (-руда,+агл.кокс)'!$A$1:$BG$72</definedName>
    <definedName name="_xlnm.Print_Area" localSheetId="15">'август 20  (факт)'!$A$1:$BG$72</definedName>
    <definedName name="_xlnm.Print_Area" localSheetId="6">'апрель 20 '!$A$1:$BD$72</definedName>
    <definedName name="_xlnm.Print_Area" localSheetId="7">'апрель 20  (+371т,+ру,кок)'!$A$1:$BD$72</definedName>
    <definedName name="_xlnm.Print_Area" localSheetId="28">'декабрь 20'!$A$1:$BG$72</definedName>
    <definedName name="_xlnm.Print_Area" localSheetId="27">'декабрь 20 (факт)'!$A$1:$BG$72</definedName>
    <definedName name="_xlnm.Print_Area" localSheetId="13">'июль 20'!$A$1:$BG$72</definedName>
    <definedName name="_xlnm.Print_Area" localSheetId="14">'июль 20 (+руда,кокс,агл)'!$A$1:$BG$72</definedName>
    <definedName name="_xlnm.Print_Area" localSheetId="12">'июль 20 (факт)'!$A$1:$BG$72</definedName>
    <definedName name="_xlnm.Print_Area" localSheetId="10">'июнь 20'!$A$1:$BD$72</definedName>
    <definedName name="_xlnm.Print_Area" localSheetId="11">'июнь 20 (+руда,кокс)'!$A$1:$BD$72</definedName>
    <definedName name="_xlnm.Print_Area" localSheetId="8">'май 20'!$A$1:$BD$72</definedName>
    <definedName name="_xlnm.Print_Area" localSheetId="9">'май 20 (+руда,+кокс,-агл)'!$A$1:$BD$72</definedName>
    <definedName name="_xlnm.Print_Area" localSheetId="4">'март 20 '!$A$1:$BD$72</definedName>
    <definedName name="_xlnm.Print_Area" localSheetId="5">'март 20  (-руда,+агл)'!$A$1:$BD$72</definedName>
    <definedName name="_xlnm.Print_Area" localSheetId="25">'ноябрь 20'!$A$1:$BG$72</definedName>
    <definedName name="_xlnm.Print_Area" localSheetId="26">'ноябрь 20 (+агл,кокс)'!$A$1:$BG$72</definedName>
    <definedName name="_xlnm.Print_Area" localSheetId="24">'ноябрь 20 (факт)'!$A$1:$BG$72</definedName>
    <definedName name="_xlnm.Print_Area" localSheetId="22">'октябрь 20 '!$A$1:$BG$72</definedName>
    <definedName name="_xlnm.Print_Area" localSheetId="23">'октябрь 20  (+руда,кокс)'!$A$1:$BG$72</definedName>
    <definedName name="_xlnm.Print_Area" localSheetId="21">'октябрь 20 (факт)'!$A$1:$BG$72</definedName>
    <definedName name="_xlnm.Print_Area" localSheetId="19">'сентябрь 20'!$A$1:$BG$72</definedName>
    <definedName name="_xlnm.Print_Area" localSheetId="20">'сентябрь 20 (-руда,+кокс)'!$A$1:$BG$72</definedName>
    <definedName name="_xlnm.Print_Area" localSheetId="18">'сентябрь 20 (факт)'!$A$1:$BG$72</definedName>
    <definedName name="_xlnm.Print_Area" localSheetId="2">'февраль 20'!$A$1:$BD$72</definedName>
    <definedName name="_xlnm.Print_Area" localSheetId="3">'февраль 20 (-руда,+агл)'!$A$1:$BD$72</definedName>
    <definedName name="_xlnm.Print_Area" localSheetId="0">'январь 20'!$A$1:$BD$72</definedName>
    <definedName name="_xlnm.Print_Area" localSheetId="1">'январь 20 (+руда,-агл,-кокс)'!$A$1:$BD$72</definedName>
  </definedNames>
  <calcPr calcId="124519"/>
</workbook>
</file>

<file path=xl/calcChain.xml><?xml version="1.0" encoding="utf-8"?>
<calcChain xmlns="http://schemas.openxmlformats.org/spreadsheetml/2006/main">
  <c r="DD37" i="115"/>
  <c r="DC37"/>
  <c r="DB37"/>
  <c r="DA37"/>
  <c r="CZ37"/>
  <c r="CY37"/>
  <c r="CX37"/>
  <c r="CW37"/>
  <c r="CV37"/>
  <c r="CU37"/>
  <c r="CT37"/>
  <c r="BI37"/>
  <c r="BC37"/>
  <c r="BA37"/>
  <c r="BK37" s="1"/>
  <c r="AP37"/>
  <c r="AI37"/>
  <c r="V37"/>
  <c r="R37"/>
  <c r="O37"/>
  <c r="Q37" s="1"/>
  <c r="N37"/>
  <c r="M37"/>
  <c r="L37"/>
  <c r="J37"/>
  <c r="I37"/>
  <c r="H37"/>
  <c r="B37"/>
  <c r="C37" s="1"/>
  <c r="DD36"/>
  <c r="DC36"/>
  <c r="DB36"/>
  <c r="DA36"/>
  <c r="CZ36"/>
  <c r="CY36"/>
  <c r="CX36"/>
  <c r="CW36"/>
  <c r="CV36"/>
  <c r="CU36"/>
  <c r="CT36"/>
  <c r="BI36"/>
  <c r="BC36"/>
  <c r="BA36"/>
  <c r="V36"/>
  <c r="R36"/>
  <c r="S36" s="1"/>
  <c r="O36"/>
  <c r="Q36" s="1"/>
  <c r="N36"/>
  <c r="L36"/>
  <c r="J36"/>
  <c r="I36"/>
  <c r="DK36" s="1"/>
  <c r="B36"/>
  <c r="E36" s="1"/>
  <c r="DD35"/>
  <c r="DC35"/>
  <c r="DB35"/>
  <c r="DA35"/>
  <c r="CZ35"/>
  <c r="CY35"/>
  <c r="CX35"/>
  <c r="CW35"/>
  <c r="CV35"/>
  <c r="CU35"/>
  <c r="CT35"/>
  <c r="BI35"/>
  <c r="BC35"/>
  <c r="BA35"/>
  <c r="V35"/>
  <c r="R35"/>
  <c r="S35" s="1"/>
  <c r="O35"/>
  <c r="Q35" s="1"/>
  <c r="N35"/>
  <c r="L35"/>
  <c r="J35"/>
  <c r="I35"/>
  <c r="DK35" s="1"/>
  <c r="B35"/>
  <c r="E35" s="1"/>
  <c r="DD34"/>
  <c r="DC34"/>
  <c r="DB34"/>
  <c r="DA34"/>
  <c r="CZ34"/>
  <c r="CY34"/>
  <c r="CX34"/>
  <c r="CW34"/>
  <c r="CV34"/>
  <c r="CU34"/>
  <c r="CT34"/>
  <c r="BI34"/>
  <c r="BC34"/>
  <c r="BA34"/>
  <c r="V34"/>
  <c r="R34"/>
  <c r="O34"/>
  <c r="Q34" s="1"/>
  <c r="N34"/>
  <c r="L34"/>
  <c r="J34"/>
  <c r="I34"/>
  <c r="DK34" s="1"/>
  <c r="B34"/>
  <c r="B32"/>
  <c r="C32" s="1"/>
  <c r="D32" s="1"/>
  <c r="I32"/>
  <c r="DG32" s="1"/>
  <c r="DJ32" s="1"/>
  <c r="J32"/>
  <c r="L32"/>
  <c r="N32"/>
  <c r="O32"/>
  <c r="P32" s="1"/>
  <c r="DE32" s="1"/>
  <c r="R32"/>
  <c r="S32" s="1"/>
  <c r="T32" s="1"/>
  <c r="V32"/>
  <c r="AP32"/>
  <c r="BA32"/>
  <c r="H32" s="1"/>
  <c r="BC32"/>
  <c r="BH32"/>
  <c r="BI32"/>
  <c r="BJ32" s="1"/>
  <c r="BK32"/>
  <c r="CT32"/>
  <c r="CU32"/>
  <c r="CV32"/>
  <c r="CW32"/>
  <c r="CX32"/>
  <c r="CY32"/>
  <c r="CZ32"/>
  <c r="DA32"/>
  <c r="DB32"/>
  <c r="DC32"/>
  <c r="DD32"/>
  <c r="B33"/>
  <c r="C33" s="1"/>
  <c r="D33" s="1"/>
  <c r="I33"/>
  <c r="DG33" s="1"/>
  <c r="DJ33" s="1"/>
  <c r="J33"/>
  <c r="L33"/>
  <c r="N33"/>
  <c r="O33"/>
  <c r="P33" s="1"/>
  <c r="DE33" s="1"/>
  <c r="R33"/>
  <c r="V33"/>
  <c r="AK33"/>
  <c r="AP33"/>
  <c r="AZ33"/>
  <c r="BA33"/>
  <c r="H33" s="1"/>
  <c r="BC33"/>
  <c r="BD33"/>
  <c r="BF33"/>
  <c r="BH33"/>
  <c r="BI33"/>
  <c r="BK33"/>
  <c r="CT33"/>
  <c r="CU33"/>
  <c r="CV33"/>
  <c r="M33" s="1"/>
  <c r="CW33"/>
  <c r="CX33"/>
  <c r="CY33"/>
  <c r="CZ33"/>
  <c r="DA33"/>
  <c r="DB33"/>
  <c r="DC33"/>
  <c r="DD33"/>
  <c r="DK33"/>
  <c r="DD31"/>
  <c r="DC31"/>
  <c r="DB31"/>
  <c r="DA31"/>
  <c r="CZ31"/>
  <c r="CY31"/>
  <c r="CX31"/>
  <c r="CW31"/>
  <c r="CV31"/>
  <c r="CU31"/>
  <c r="CT31"/>
  <c r="BI31"/>
  <c r="BC31"/>
  <c r="BA31"/>
  <c r="V31"/>
  <c r="R31"/>
  <c r="O31"/>
  <c r="Q31" s="1"/>
  <c r="N31"/>
  <c r="L31"/>
  <c r="J31"/>
  <c r="I31"/>
  <c r="DG31" s="1"/>
  <c r="DJ31" s="1"/>
  <c r="B31"/>
  <c r="DD30"/>
  <c r="DC30"/>
  <c r="DB30"/>
  <c r="DA30"/>
  <c r="CZ30"/>
  <c r="CY30"/>
  <c r="CX30"/>
  <c r="CW30"/>
  <c r="CV30"/>
  <c r="CU30"/>
  <c r="CT30"/>
  <c r="BI30"/>
  <c r="BC30"/>
  <c r="BA30"/>
  <c r="V30"/>
  <c r="R30"/>
  <c r="O30"/>
  <c r="Q30" s="1"/>
  <c r="N30"/>
  <c r="L30"/>
  <c r="J30"/>
  <c r="I30"/>
  <c r="DK30" s="1"/>
  <c r="B30"/>
  <c r="DD29"/>
  <c r="DC29"/>
  <c r="DB29"/>
  <c r="DA29"/>
  <c r="CZ29"/>
  <c r="CY29"/>
  <c r="CX29"/>
  <c r="CW29"/>
  <c r="CV29"/>
  <c r="CU29"/>
  <c r="CT29"/>
  <c r="BI29"/>
  <c r="BC29"/>
  <c r="BA29"/>
  <c r="V29"/>
  <c r="R29"/>
  <c r="S29" s="1"/>
  <c r="O29"/>
  <c r="Q29" s="1"/>
  <c r="N29"/>
  <c r="L29"/>
  <c r="J29"/>
  <c r="I29"/>
  <c r="DK29" s="1"/>
  <c r="B29"/>
  <c r="E29" s="1"/>
  <c r="DD28"/>
  <c r="DC28"/>
  <c r="DB28"/>
  <c r="DA28"/>
  <c r="CZ28"/>
  <c r="CY28"/>
  <c r="CX28"/>
  <c r="CW28"/>
  <c r="CV28"/>
  <c r="CU28"/>
  <c r="CT28"/>
  <c r="BI28"/>
  <c r="BC28"/>
  <c r="BA28"/>
  <c r="V28"/>
  <c r="R28"/>
  <c r="O28"/>
  <c r="Q28" s="1"/>
  <c r="N28"/>
  <c r="L28"/>
  <c r="J28"/>
  <c r="I28"/>
  <c r="DK28" s="1"/>
  <c r="B28"/>
  <c r="DD27"/>
  <c r="DC27"/>
  <c r="DB27"/>
  <c r="DA27"/>
  <c r="CZ27"/>
  <c r="CY27"/>
  <c r="CX27"/>
  <c r="CW27"/>
  <c r="CV27"/>
  <c r="CU27"/>
  <c r="CT27"/>
  <c r="BI27"/>
  <c r="BC27"/>
  <c r="BA27"/>
  <c r="V27"/>
  <c r="R27"/>
  <c r="S27" s="1"/>
  <c r="O27"/>
  <c r="Q27" s="1"/>
  <c r="N27"/>
  <c r="L27"/>
  <c r="J27"/>
  <c r="I27"/>
  <c r="DK27" s="1"/>
  <c r="B27"/>
  <c r="E27" s="1"/>
  <c r="B26"/>
  <c r="C26" s="1"/>
  <c r="D26" s="1"/>
  <c r="I26"/>
  <c r="DK26" s="1"/>
  <c r="J26"/>
  <c r="L26"/>
  <c r="N26"/>
  <c r="O26"/>
  <c r="P26" s="1"/>
  <c r="DE26" s="1"/>
  <c r="R26"/>
  <c r="S26" s="1"/>
  <c r="T26" s="1"/>
  <c r="V26"/>
  <c r="AP26"/>
  <c r="BA26"/>
  <c r="H26" s="1"/>
  <c r="BC26"/>
  <c r="BH26"/>
  <c r="BI26"/>
  <c r="BJ26" s="1"/>
  <c r="BK26"/>
  <c r="CT26"/>
  <c r="CU26"/>
  <c r="CV26"/>
  <c r="CW26"/>
  <c r="CX26"/>
  <c r="CY26"/>
  <c r="CZ26"/>
  <c r="DA26"/>
  <c r="DB26"/>
  <c r="DC26"/>
  <c r="DD26"/>
  <c r="DG26"/>
  <c r="DJ26" s="1"/>
  <c r="B25"/>
  <c r="C25" s="1"/>
  <c r="D25" s="1"/>
  <c r="I25"/>
  <c r="DK25" s="1"/>
  <c r="J25"/>
  <c r="L25"/>
  <c r="N25"/>
  <c r="O25"/>
  <c r="P25" s="1"/>
  <c r="DE25" s="1"/>
  <c r="R25"/>
  <c r="S25" s="1"/>
  <c r="T25" s="1"/>
  <c r="V25"/>
  <c r="AP25"/>
  <c r="BA25"/>
  <c r="H25" s="1"/>
  <c r="BC25"/>
  <c r="BH25"/>
  <c r="BI25"/>
  <c r="BJ25" s="1"/>
  <c r="BK25"/>
  <c r="CT25"/>
  <c r="CU25"/>
  <c r="CV25"/>
  <c r="CW25"/>
  <c r="CX25"/>
  <c r="CY25"/>
  <c r="CZ25"/>
  <c r="DA25"/>
  <c r="DB25"/>
  <c r="DC25"/>
  <c r="DD25"/>
  <c r="DD24"/>
  <c r="DC24"/>
  <c r="DB24"/>
  <c r="DA24"/>
  <c r="CZ24"/>
  <c r="CY24"/>
  <c r="CX24"/>
  <c r="CW24"/>
  <c r="CV24"/>
  <c r="CU24"/>
  <c r="CT24"/>
  <c r="BJ24"/>
  <c r="BI24"/>
  <c r="BC24"/>
  <c r="BA24"/>
  <c r="BH24" s="1"/>
  <c r="AP24"/>
  <c r="AK24"/>
  <c r="V24"/>
  <c r="R24"/>
  <c r="S24" s="1"/>
  <c r="O24"/>
  <c r="Q24" s="1"/>
  <c r="N24"/>
  <c r="M24"/>
  <c r="L24"/>
  <c r="J24"/>
  <c r="I24"/>
  <c r="DG24" s="1"/>
  <c r="DJ24" s="1"/>
  <c r="H24"/>
  <c r="B24"/>
  <c r="DD23"/>
  <c r="DC23"/>
  <c r="DB23"/>
  <c r="DA23"/>
  <c r="CZ23"/>
  <c r="CY23"/>
  <c r="CX23"/>
  <c r="CW23"/>
  <c r="CV23"/>
  <c r="CU23"/>
  <c r="CT23"/>
  <c r="BI23"/>
  <c r="BC23"/>
  <c r="BA23"/>
  <c r="V23"/>
  <c r="R23"/>
  <c r="O23"/>
  <c r="Q23" s="1"/>
  <c r="N23"/>
  <c r="L23"/>
  <c r="J23"/>
  <c r="I23"/>
  <c r="DK23" s="1"/>
  <c r="B23"/>
  <c r="DD22"/>
  <c r="DC22"/>
  <c r="DB22"/>
  <c r="DA22"/>
  <c r="CZ22"/>
  <c r="CY22"/>
  <c r="CX22"/>
  <c r="CW22"/>
  <c r="CV22"/>
  <c r="CU22"/>
  <c r="CT22"/>
  <c r="BI22"/>
  <c r="BC22"/>
  <c r="BA22"/>
  <c r="V22"/>
  <c r="R22"/>
  <c r="S22" s="1"/>
  <c r="O22"/>
  <c r="Q22" s="1"/>
  <c r="N22"/>
  <c r="L22"/>
  <c r="J22"/>
  <c r="I22"/>
  <c r="DK22" s="1"/>
  <c r="B22"/>
  <c r="E22" s="1"/>
  <c r="AP21"/>
  <c r="BA21"/>
  <c r="AK21" s="1"/>
  <c r="BC21"/>
  <c r="BH21"/>
  <c r="BI21"/>
  <c r="BJ21" s="1"/>
  <c r="BK21"/>
  <c r="CT21"/>
  <c r="CU21"/>
  <c r="CV21"/>
  <c r="M21" s="1"/>
  <c r="CW21"/>
  <c r="CX21"/>
  <c r="CY21"/>
  <c r="CZ21"/>
  <c r="H21" s="1"/>
  <c r="DA21"/>
  <c r="DB21"/>
  <c r="DC21"/>
  <c r="DD21"/>
  <c r="V21"/>
  <c r="R21"/>
  <c r="S21" s="1"/>
  <c r="O21"/>
  <c r="P21" s="1"/>
  <c r="DE21" s="1"/>
  <c r="N21"/>
  <c r="L21"/>
  <c r="J21"/>
  <c r="I21"/>
  <c r="DK21" s="1"/>
  <c r="B21"/>
  <c r="DD20"/>
  <c r="DC20"/>
  <c r="DB20"/>
  <c r="DA20"/>
  <c r="CZ20"/>
  <c r="CY20"/>
  <c r="CX20"/>
  <c r="CW20"/>
  <c r="CV20"/>
  <c r="CU20"/>
  <c r="CT20"/>
  <c r="BI20"/>
  <c r="BC20"/>
  <c r="BA20"/>
  <c r="V20"/>
  <c r="R20"/>
  <c r="O20"/>
  <c r="Q20" s="1"/>
  <c r="N20"/>
  <c r="L20"/>
  <c r="J20"/>
  <c r="I20"/>
  <c r="DG20" s="1"/>
  <c r="DJ20" s="1"/>
  <c r="B20"/>
  <c r="B19"/>
  <c r="C19" s="1"/>
  <c r="D19" s="1"/>
  <c r="I19"/>
  <c r="DK19" s="1"/>
  <c r="J19"/>
  <c r="L19"/>
  <c r="N19"/>
  <c r="O19"/>
  <c r="P19" s="1"/>
  <c r="DE19" s="1"/>
  <c r="R19"/>
  <c r="S19" s="1"/>
  <c r="T19" s="1"/>
  <c r="V19"/>
  <c r="AP19"/>
  <c r="BA19"/>
  <c r="H19" s="1"/>
  <c r="BC19"/>
  <c r="BH19"/>
  <c r="BI19"/>
  <c r="BJ19" s="1"/>
  <c r="BK19"/>
  <c r="CT19"/>
  <c r="CU19"/>
  <c r="CV19"/>
  <c r="CW19"/>
  <c r="CX19"/>
  <c r="CY19"/>
  <c r="CZ19"/>
  <c r="DA19"/>
  <c r="DB19"/>
  <c r="DC19"/>
  <c r="DD19"/>
  <c r="B18"/>
  <c r="C18" s="1"/>
  <c r="D18" s="1"/>
  <c r="I18"/>
  <c r="DG18" s="1"/>
  <c r="DJ18" s="1"/>
  <c r="J18"/>
  <c r="L18"/>
  <c r="N18"/>
  <c r="O18"/>
  <c r="P18" s="1"/>
  <c r="DE18" s="1"/>
  <c r="R18"/>
  <c r="S18" s="1"/>
  <c r="T18" s="1"/>
  <c r="V18"/>
  <c r="AP18"/>
  <c r="BA18"/>
  <c r="H18" s="1"/>
  <c r="BC18"/>
  <c r="BH18"/>
  <c r="BI18"/>
  <c r="BJ18" s="1"/>
  <c r="BK18"/>
  <c r="CT18"/>
  <c r="CU18"/>
  <c r="CV18"/>
  <c r="CW18"/>
  <c r="CX18"/>
  <c r="CY18"/>
  <c r="CZ18"/>
  <c r="DA18"/>
  <c r="DB18"/>
  <c r="DC18"/>
  <c r="DD18"/>
  <c r="DK18"/>
  <c r="DD17"/>
  <c r="DC17"/>
  <c r="DB17"/>
  <c r="DA17"/>
  <c r="CZ17"/>
  <c r="CY17"/>
  <c r="CX17"/>
  <c r="CW17"/>
  <c r="CV17"/>
  <c r="CU17"/>
  <c r="CT17"/>
  <c r="BI17"/>
  <c r="BC17"/>
  <c r="AP17"/>
  <c r="BA17"/>
  <c r="V17"/>
  <c r="R17"/>
  <c r="S17" s="1"/>
  <c r="O17"/>
  <c r="Q17" s="1"/>
  <c r="N17"/>
  <c r="L17"/>
  <c r="J17"/>
  <c r="I17"/>
  <c r="DK17" s="1"/>
  <c r="B17"/>
  <c r="C17" s="1"/>
  <c r="B16"/>
  <c r="C16" s="1"/>
  <c r="D16" s="1"/>
  <c r="I16"/>
  <c r="DK16" s="1"/>
  <c r="J16"/>
  <c r="L16"/>
  <c r="N16"/>
  <c r="O16"/>
  <c r="P16" s="1"/>
  <c r="DE16" s="1"/>
  <c r="R16"/>
  <c r="S16" s="1"/>
  <c r="T16" s="1"/>
  <c r="V16"/>
  <c r="AP16"/>
  <c r="BA16"/>
  <c r="H16" s="1"/>
  <c r="BC16"/>
  <c r="BD16"/>
  <c r="BF16"/>
  <c r="BH16"/>
  <c r="BI16"/>
  <c r="BJ16" s="1"/>
  <c r="BK16"/>
  <c r="CT16"/>
  <c r="CU16"/>
  <c r="CV16"/>
  <c r="CW16"/>
  <c r="CX16"/>
  <c r="CY16"/>
  <c r="CZ16"/>
  <c r="DA16"/>
  <c r="DB16"/>
  <c r="DC16"/>
  <c r="DD16"/>
  <c r="DG16"/>
  <c r="DJ16" s="1"/>
  <c r="DD15"/>
  <c r="DC15"/>
  <c r="DB15"/>
  <c r="DA15"/>
  <c r="CZ15"/>
  <c r="CY15"/>
  <c r="CX15"/>
  <c r="CW15"/>
  <c r="CV15"/>
  <c r="CU15"/>
  <c r="CT15"/>
  <c r="BJ15"/>
  <c r="BI15"/>
  <c r="BC15"/>
  <c r="AP15"/>
  <c r="V15"/>
  <c r="R15"/>
  <c r="S15" s="1"/>
  <c r="O15"/>
  <c r="Q15" s="1"/>
  <c r="N15"/>
  <c r="L15"/>
  <c r="J15"/>
  <c r="I15"/>
  <c r="DK15" s="1"/>
  <c r="B15"/>
  <c r="E15" s="1"/>
  <c r="DD14"/>
  <c r="DC14"/>
  <c r="DB14"/>
  <c r="DA14"/>
  <c r="CZ14"/>
  <c r="CY14"/>
  <c r="CX14"/>
  <c r="CW14"/>
  <c r="CV14"/>
  <c r="CU14"/>
  <c r="CT14"/>
  <c r="BI14"/>
  <c r="BC14"/>
  <c r="AP14"/>
  <c r="BA14"/>
  <c r="V14"/>
  <c r="R14"/>
  <c r="S14" s="1"/>
  <c r="O14"/>
  <c r="P14" s="1"/>
  <c r="DE14" s="1"/>
  <c r="N14"/>
  <c r="L14"/>
  <c r="J14"/>
  <c r="I14"/>
  <c r="DK14" s="1"/>
  <c r="B14"/>
  <c r="C14" s="1"/>
  <c r="B13"/>
  <c r="C13" s="1"/>
  <c r="D13" s="1"/>
  <c r="I13"/>
  <c r="DK13" s="1"/>
  <c r="J13"/>
  <c r="L13"/>
  <c r="N13"/>
  <c r="O13"/>
  <c r="P13" s="1"/>
  <c r="DE13" s="1"/>
  <c r="R13"/>
  <c r="S13" s="1"/>
  <c r="T13" s="1"/>
  <c r="V13"/>
  <c r="AP13"/>
  <c r="BA13"/>
  <c r="H13" s="1"/>
  <c r="BC13"/>
  <c r="BD13"/>
  <c r="BF13"/>
  <c r="BH13"/>
  <c r="BI13"/>
  <c r="BJ13" s="1"/>
  <c r="BK13"/>
  <c r="CT13"/>
  <c r="CU13"/>
  <c r="CV13"/>
  <c r="CW13"/>
  <c r="CX13"/>
  <c r="CY13"/>
  <c r="CZ13"/>
  <c r="DA13"/>
  <c r="DB13"/>
  <c r="DC13"/>
  <c r="DD13"/>
  <c r="DG13"/>
  <c r="DJ13" s="1"/>
  <c r="B12"/>
  <c r="C12" s="1"/>
  <c r="D12" s="1"/>
  <c r="I12"/>
  <c r="DG12" s="1"/>
  <c r="DJ12" s="1"/>
  <c r="J12"/>
  <c r="L12"/>
  <c r="N12"/>
  <c r="O12"/>
  <c r="P12" s="1"/>
  <c r="DE12" s="1"/>
  <c r="R12"/>
  <c r="S12" s="1"/>
  <c r="T12" s="1"/>
  <c r="V12"/>
  <c r="AP12"/>
  <c r="BA12"/>
  <c r="H12" s="1"/>
  <c r="BC12"/>
  <c r="BD12"/>
  <c r="BF12"/>
  <c r="BH12"/>
  <c r="BI12"/>
  <c r="BJ12" s="1"/>
  <c r="BK12"/>
  <c r="CT12"/>
  <c r="CU12"/>
  <c r="CV12"/>
  <c r="CW12"/>
  <c r="CX12"/>
  <c r="CY12"/>
  <c r="CZ12"/>
  <c r="DA12"/>
  <c r="DB12"/>
  <c r="DC12"/>
  <c r="DD12"/>
  <c r="DK12"/>
  <c r="B11"/>
  <c r="C11" s="1"/>
  <c r="D11" s="1"/>
  <c r="I11"/>
  <c r="DG11" s="1"/>
  <c r="DJ11" s="1"/>
  <c r="J11"/>
  <c r="L11"/>
  <c r="N11"/>
  <c r="O11"/>
  <c r="P11" s="1"/>
  <c r="DE11" s="1"/>
  <c r="R11"/>
  <c r="S11" s="1"/>
  <c r="T11" s="1"/>
  <c r="V11"/>
  <c r="AP11"/>
  <c r="BA11"/>
  <c r="H11" s="1"/>
  <c r="BC11"/>
  <c r="BD11"/>
  <c r="BF11"/>
  <c r="BH11"/>
  <c r="BI11"/>
  <c r="BJ11" s="1"/>
  <c r="BK11"/>
  <c r="CT11"/>
  <c r="CU11"/>
  <c r="CV11"/>
  <c r="CW11"/>
  <c r="CX11"/>
  <c r="CY11"/>
  <c r="CZ11"/>
  <c r="DA11"/>
  <c r="DB11"/>
  <c r="DC11"/>
  <c r="DD11"/>
  <c r="DG28"/>
  <c r="DJ28" s="1"/>
  <c r="DK37"/>
  <c r="DG37"/>
  <c r="DJ37" s="1"/>
  <c r="DD10"/>
  <c r="DC10"/>
  <c r="DB10"/>
  <c r="DA10"/>
  <c r="CZ10"/>
  <c r="CY10"/>
  <c r="CX10"/>
  <c r="CW10"/>
  <c r="CV10"/>
  <c r="CU10"/>
  <c r="CT10"/>
  <c r="BI10"/>
  <c r="BC10"/>
  <c r="AP10"/>
  <c r="BA10"/>
  <c r="V10"/>
  <c r="R10"/>
  <c r="O10"/>
  <c r="Q10" s="1"/>
  <c r="N10"/>
  <c r="L10"/>
  <c r="J10"/>
  <c r="I10"/>
  <c r="B10"/>
  <c r="B9"/>
  <c r="C9" s="1"/>
  <c r="D9" s="1"/>
  <c r="I9"/>
  <c r="DG9" s="1"/>
  <c r="DJ9" s="1"/>
  <c r="J9"/>
  <c r="L9"/>
  <c r="N9"/>
  <c r="O9"/>
  <c r="P9" s="1"/>
  <c r="DE9" s="1"/>
  <c r="R9"/>
  <c r="S9" s="1"/>
  <c r="T9" s="1"/>
  <c r="V9"/>
  <c r="AP9"/>
  <c r="BA9"/>
  <c r="H9" s="1"/>
  <c r="BC9"/>
  <c r="BD9"/>
  <c r="BF9"/>
  <c r="BH9"/>
  <c r="BI9"/>
  <c r="BJ9" s="1"/>
  <c r="BK9"/>
  <c r="CT9"/>
  <c r="CU9"/>
  <c r="CV9"/>
  <c r="CW9"/>
  <c r="CX9"/>
  <c r="CY9"/>
  <c r="CZ9"/>
  <c r="DA9"/>
  <c r="DB9"/>
  <c r="DC9"/>
  <c r="DD9"/>
  <c r="DD8"/>
  <c r="DC8"/>
  <c r="DB8"/>
  <c r="DA8"/>
  <c r="CZ8"/>
  <c r="CY8"/>
  <c r="CX8"/>
  <c r="CW8"/>
  <c r="CV8"/>
  <c r="CU8"/>
  <c r="CT8"/>
  <c r="BI8"/>
  <c r="BC8"/>
  <c r="AP8"/>
  <c r="BA8"/>
  <c r="V8"/>
  <c r="R8"/>
  <c r="S8" s="1"/>
  <c r="O8"/>
  <c r="P8" s="1"/>
  <c r="DE8" s="1"/>
  <c r="N8"/>
  <c r="L8"/>
  <c r="J8"/>
  <c r="I8"/>
  <c r="DG8" s="1"/>
  <c r="DJ8" s="1"/>
  <c r="B8"/>
  <c r="C8" s="1"/>
  <c r="I36" i="116"/>
  <c r="DK36" s="1"/>
  <c r="J36"/>
  <c r="N36"/>
  <c r="O36"/>
  <c r="P36" s="1"/>
  <c r="DE36" s="1"/>
  <c r="AP36"/>
  <c r="AZ36"/>
  <c r="BA36"/>
  <c r="H36" s="1"/>
  <c r="BC36"/>
  <c r="BD36"/>
  <c r="BF36"/>
  <c r="BH36"/>
  <c r="BI36"/>
  <c r="BJ36" s="1"/>
  <c r="BK36"/>
  <c r="CT36"/>
  <c r="CU36"/>
  <c r="CW36"/>
  <c r="CX36"/>
  <c r="CY36"/>
  <c r="CZ36"/>
  <c r="DA36"/>
  <c r="DB36"/>
  <c r="DD36"/>
  <c r="DG36"/>
  <c r="DJ36" s="1"/>
  <c r="DN36"/>
  <c r="BO36" s="1"/>
  <c r="DP36"/>
  <c r="CL36" s="1"/>
  <c r="I35"/>
  <c r="DG35" s="1"/>
  <c r="DJ35" s="1"/>
  <c r="J35"/>
  <c r="N35"/>
  <c r="O35"/>
  <c r="P35" s="1"/>
  <c r="DE35" s="1"/>
  <c r="AO35"/>
  <c r="AP35"/>
  <c r="BA35"/>
  <c r="H35" s="1"/>
  <c r="BC35"/>
  <c r="BH35"/>
  <c r="BI35"/>
  <c r="BJ35" s="1"/>
  <c r="BK35"/>
  <c r="CT35"/>
  <c r="CU35"/>
  <c r="CW35"/>
  <c r="CX35"/>
  <c r="CY35"/>
  <c r="CZ35"/>
  <c r="DA35"/>
  <c r="DB35"/>
  <c r="DD35"/>
  <c r="DN35"/>
  <c r="BO35" s="1"/>
  <c r="DP35"/>
  <c r="CL35" s="1"/>
  <c r="I33"/>
  <c r="DG33" s="1"/>
  <c r="DJ33" s="1"/>
  <c r="J33"/>
  <c r="N33"/>
  <c r="O33"/>
  <c r="P33" s="1"/>
  <c r="DE33" s="1"/>
  <c r="AO33"/>
  <c r="AP33" s="1"/>
  <c r="BA33"/>
  <c r="H33" s="1"/>
  <c r="BC33"/>
  <c r="BH33"/>
  <c r="BI33"/>
  <c r="BJ33" s="1"/>
  <c r="BK33"/>
  <c r="CT33"/>
  <c r="CU33"/>
  <c r="CW33"/>
  <c r="CX33"/>
  <c r="CY33"/>
  <c r="CZ33"/>
  <c r="DA33"/>
  <c r="DB33"/>
  <c r="DD33"/>
  <c r="DN33"/>
  <c r="BO33" s="1"/>
  <c r="DP33"/>
  <c r="CL33" s="1"/>
  <c r="I34"/>
  <c r="DG34" s="1"/>
  <c r="DJ34" s="1"/>
  <c r="J34"/>
  <c r="N34"/>
  <c r="O34"/>
  <c r="P34" s="1"/>
  <c r="DE34" s="1"/>
  <c r="AO34"/>
  <c r="AP34" s="1"/>
  <c r="BC34"/>
  <c r="BI34"/>
  <c r="BJ34" s="1"/>
  <c r="CT34"/>
  <c r="CU34"/>
  <c r="CW34"/>
  <c r="CX34"/>
  <c r="CY34"/>
  <c r="CZ34"/>
  <c r="DA34"/>
  <c r="DB34"/>
  <c r="DD34"/>
  <c r="DN34"/>
  <c r="BO34" s="1"/>
  <c r="DP34"/>
  <c r="CL34" s="1"/>
  <c r="I32"/>
  <c r="DG32" s="1"/>
  <c r="DJ32" s="1"/>
  <c r="J32"/>
  <c r="N32"/>
  <c r="O32"/>
  <c r="P32" s="1"/>
  <c r="DE32" s="1"/>
  <c r="AO32"/>
  <c r="AP32"/>
  <c r="BA32"/>
  <c r="H32" s="1"/>
  <c r="BC32"/>
  <c r="BH32"/>
  <c r="BI32"/>
  <c r="BJ32" s="1"/>
  <c r="BK32"/>
  <c r="CT32"/>
  <c r="CU32"/>
  <c r="CW32"/>
  <c r="CX32"/>
  <c r="CY32"/>
  <c r="CZ32"/>
  <c r="DA32"/>
  <c r="DB32"/>
  <c r="DD32"/>
  <c r="DK32"/>
  <c r="DN32"/>
  <c r="BO32" s="1"/>
  <c r="DP32"/>
  <c r="CL32" s="1"/>
  <c r="I31"/>
  <c r="DK31" s="1"/>
  <c r="J31"/>
  <c r="N31"/>
  <c r="O31"/>
  <c r="P31" s="1"/>
  <c r="DE31" s="1"/>
  <c r="AO31"/>
  <c r="AP31"/>
  <c r="BA31"/>
  <c r="H31" s="1"/>
  <c r="BC31"/>
  <c r="BH31"/>
  <c r="BI31"/>
  <c r="BJ31" s="1"/>
  <c r="BK31"/>
  <c r="CT31"/>
  <c r="CU31"/>
  <c r="CW31"/>
  <c r="CX31"/>
  <c r="CY31"/>
  <c r="CZ31"/>
  <c r="DA31"/>
  <c r="DB31"/>
  <c r="DD31"/>
  <c r="DG31"/>
  <c r="DJ31" s="1"/>
  <c r="DN31"/>
  <c r="BO31" s="1"/>
  <c r="DP31"/>
  <c r="CL31" s="1"/>
  <c r="I30"/>
  <c r="DG30" s="1"/>
  <c r="DJ30" s="1"/>
  <c r="J30"/>
  <c r="N30"/>
  <c r="O30"/>
  <c r="P30" s="1"/>
  <c r="DE30" s="1"/>
  <c r="AO30"/>
  <c r="AP30"/>
  <c r="BA30"/>
  <c r="H30" s="1"/>
  <c r="BC30"/>
  <c r="BH30"/>
  <c r="BI30"/>
  <c r="BJ30" s="1"/>
  <c r="BK30"/>
  <c r="CT30"/>
  <c r="CU30"/>
  <c r="CW30"/>
  <c r="CX30"/>
  <c r="CY30"/>
  <c r="CZ30"/>
  <c r="DA30"/>
  <c r="DB30"/>
  <c r="DD30"/>
  <c r="DK30"/>
  <c r="DN30"/>
  <c r="BO30" s="1"/>
  <c r="DP30"/>
  <c r="CL30" s="1"/>
  <c r="I29"/>
  <c r="DK29" s="1"/>
  <c r="J29"/>
  <c r="N29"/>
  <c r="O29"/>
  <c r="P29" s="1"/>
  <c r="DE29" s="1"/>
  <c r="AO29"/>
  <c r="AP29"/>
  <c r="BA29"/>
  <c r="H29" s="1"/>
  <c r="BC29"/>
  <c r="BH29"/>
  <c r="BI29"/>
  <c r="BJ29" s="1"/>
  <c r="BK29"/>
  <c r="CT29"/>
  <c r="CU29"/>
  <c r="CW29"/>
  <c r="CX29"/>
  <c r="CY29"/>
  <c r="CZ29"/>
  <c r="DA29"/>
  <c r="DB29"/>
  <c r="DD29"/>
  <c r="DG29"/>
  <c r="DJ29" s="1"/>
  <c r="DN29"/>
  <c r="BO29" s="1"/>
  <c r="DP29"/>
  <c r="CL29" s="1"/>
  <c r="I28"/>
  <c r="DG28" s="1"/>
  <c r="DJ28" s="1"/>
  <c r="J28"/>
  <c r="N28"/>
  <c r="O28"/>
  <c r="P28" s="1"/>
  <c r="DE28" s="1"/>
  <c r="AO28"/>
  <c r="AP28"/>
  <c r="BA28"/>
  <c r="H28" s="1"/>
  <c r="BC28"/>
  <c r="BH28"/>
  <c r="BI28"/>
  <c r="BJ28" s="1"/>
  <c r="BK28"/>
  <c r="CT28"/>
  <c r="CU28"/>
  <c r="CW28"/>
  <c r="CX28"/>
  <c r="CY28"/>
  <c r="CZ28"/>
  <c r="DA28"/>
  <c r="DB28"/>
  <c r="DD28"/>
  <c r="DN28"/>
  <c r="BO28" s="1"/>
  <c r="DP28"/>
  <c r="CL28" s="1"/>
  <c r="I27"/>
  <c r="DG27" s="1"/>
  <c r="DJ27" s="1"/>
  <c r="J27"/>
  <c r="N27"/>
  <c r="O27"/>
  <c r="P27" s="1"/>
  <c r="DE27" s="1"/>
  <c r="AO27"/>
  <c r="AP27"/>
  <c r="BA27"/>
  <c r="H27" s="1"/>
  <c r="BC27"/>
  <c r="BH27"/>
  <c r="BI27"/>
  <c r="BJ27" s="1"/>
  <c r="BK27"/>
  <c r="CT27"/>
  <c r="CU27"/>
  <c r="CW27"/>
  <c r="CX27"/>
  <c r="CY27"/>
  <c r="CZ27"/>
  <c r="DA27"/>
  <c r="DB27"/>
  <c r="DD27"/>
  <c r="DN27"/>
  <c r="BO27" s="1"/>
  <c r="DP27"/>
  <c r="CL27" s="1"/>
  <c r="I25"/>
  <c r="DG25" s="1"/>
  <c r="DJ25" s="1"/>
  <c r="J25"/>
  <c r="N25"/>
  <c r="O25"/>
  <c r="P25" s="1"/>
  <c r="DE25" s="1"/>
  <c r="AO25"/>
  <c r="AP25"/>
  <c r="BA25"/>
  <c r="H25" s="1"/>
  <c r="BC25"/>
  <c r="BH25"/>
  <c r="BI25"/>
  <c r="BJ25" s="1"/>
  <c r="BK25"/>
  <c r="CT25"/>
  <c r="CU25"/>
  <c r="CW25"/>
  <c r="CX25"/>
  <c r="CY25"/>
  <c r="CZ25"/>
  <c r="DA25"/>
  <c r="DB25"/>
  <c r="DD25"/>
  <c r="DN25"/>
  <c r="BO25" s="1"/>
  <c r="DP25"/>
  <c r="CL25" s="1"/>
  <c r="I26"/>
  <c r="DG26" s="1"/>
  <c r="DJ26" s="1"/>
  <c r="J26"/>
  <c r="N26"/>
  <c r="O26"/>
  <c r="P26" s="1"/>
  <c r="DE26" s="1"/>
  <c r="AP26"/>
  <c r="BA26"/>
  <c r="H26" s="1"/>
  <c r="BC26"/>
  <c r="BD26"/>
  <c r="BF26"/>
  <c r="BH26"/>
  <c r="BI26"/>
  <c r="BJ26" s="1"/>
  <c r="BK26"/>
  <c r="CT26"/>
  <c r="CU26"/>
  <c r="CW26"/>
  <c r="CX26"/>
  <c r="CY26"/>
  <c r="CZ26"/>
  <c r="DA26"/>
  <c r="DB26"/>
  <c r="DD26"/>
  <c r="DN26"/>
  <c r="BO26" s="1"/>
  <c r="DP26"/>
  <c r="CL26" s="1"/>
  <c r="I24"/>
  <c r="DK24" s="1"/>
  <c r="J24"/>
  <c r="N24"/>
  <c r="O24"/>
  <c r="P24" s="1"/>
  <c r="DE24" s="1"/>
  <c r="AO24"/>
  <c r="AP24"/>
  <c r="BA24"/>
  <c r="H24" s="1"/>
  <c r="BC24"/>
  <c r="BH24"/>
  <c r="BI24"/>
  <c r="BJ24" s="1"/>
  <c r="BK24"/>
  <c r="CT24"/>
  <c r="CU24"/>
  <c r="CW24"/>
  <c r="CX24"/>
  <c r="CY24"/>
  <c r="CZ24"/>
  <c r="DA24"/>
  <c r="DB24"/>
  <c r="DD24"/>
  <c r="DG24"/>
  <c r="DJ24" s="1"/>
  <c r="DN24"/>
  <c r="BO24" s="1"/>
  <c r="DP24"/>
  <c r="CL24" s="1"/>
  <c r="I23"/>
  <c r="DG23" s="1"/>
  <c r="DJ23" s="1"/>
  <c r="J23"/>
  <c r="N23"/>
  <c r="O23"/>
  <c r="P23" s="1"/>
  <c r="DE23" s="1"/>
  <c r="AO23"/>
  <c r="AP23"/>
  <c r="BA23"/>
  <c r="H23" s="1"/>
  <c r="BC23"/>
  <c r="BH23"/>
  <c r="BI23"/>
  <c r="BJ23" s="1"/>
  <c r="BK23"/>
  <c r="CT23"/>
  <c r="CU23"/>
  <c r="CW23"/>
  <c r="CX23"/>
  <c r="CY23"/>
  <c r="CZ23"/>
  <c r="DA23"/>
  <c r="DB23"/>
  <c r="DD23"/>
  <c r="DK23"/>
  <c r="DN23"/>
  <c r="BO23" s="1"/>
  <c r="DP23"/>
  <c r="CL23" s="1"/>
  <c r="I22"/>
  <c r="DK22" s="1"/>
  <c r="J22"/>
  <c r="N22"/>
  <c r="O22"/>
  <c r="P22" s="1"/>
  <c r="DE22" s="1"/>
  <c r="AO22"/>
  <c r="AP22"/>
  <c r="BA22"/>
  <c r="H22" s="1"/>
  <c r="BC22"/>
  <c r="BH22"/>
  <c r="BI22"/>
  <c r="BJ22" s="1"/>
  <c r="BK22"/>
  <c r="CT22"/>
  <c r="CU22"/>
  <c r="CW22"/>
  <c r="CX22"/>
  <c r="CY22"/>
  <c r="CZ22"/>
  <c r="DA22"/>
  <c r="DB22"/>
  <c r="DD22"/>
  <c r="DG22"/>
  <c r="DJ22" s="1"/>
  <c r="DN22"/>
  <c r="BO22" s="1"/>
  <c r="DP22"/>
  <c r="CL22" s="1"/>
  <c r="I21"/>
  <c r="DG21" s="1"/>
  <c r="DJ21" s="1"/>
  <c r="J21"/>
  <c r="N21"/>
  <c r="O21"/>
  <c r="P21" s="1"/>
  <c r="DE21" s="1"/>
  <c r="AO21"/>
  <c r="AP21"/>
  <c r="BA21"/>
  <c r="H21" s="1"/>
  <c r="BC21"/>
  <c r="BH21"/>
  <c r="BI21"/>
  <c r="BJ21" s="1"/>
  <c r="BK21"/>
  <c r="CT21"/>
  <c r="CU21"/>
  <c r="CW21"/>
  <c r="CX21"/>
  <c r="CY21"/>
  <c r="CZ21"/>
  <c r="DA21"/>
  <c r="DB21"/>
  <c r="DD21"/>
  <c r="DK21"/>
  <c r="DN21"/>
  <c r="BO21" s="1"/>
  <c r="DP21"/>
  <c r="CL21" s="1"/>
  <c r="I20"/>
  <c r="DG20" s="1"/>
  <c r="DJ20" s="1"/>
  <c r="J20"/>
  <c r="N20"/>
  <c r="O20"/>
  <c r="P20" s="1"/>
  <c r="DE20" s="1"/>
  <c r="AO20"/>
  <c r="AP20" s="1"/>
  <c r="BA20"/>
  <c r="H20" s="1"/>
  <c r="BC20"/>
  <c r="BD20"/>
  <c r="BF20"/>
  <c r="BH20"/>
  <c r="BI20"/>
  <c r="BJ20" s="1"/>
  <c r="BK20"/>
  <c r="CT20"/>
  <c r="CU20"/>
  <c r="CW20"/>
  <c r="CX20"/>
  <c r="CY20"/>
  <c r="CZ20"/>
  <c r="DA20"/>
  <c r="DB20"/>
  <c r="DD20"/>
  <c r="DN20"/>
  <c r="BO20" s="1"/>
  <c r="DP20"/>
  <c r="CL20" s="1"/>
  <c r="I19"/>
  <c r="DK19" s="1"/>
  <c r="J19"/>
  <c r="N19"/>
  <c r="O19"/>
  <c r="P19" s="1"/>
  <c r="DE19" s="1"/>
  <c r="AO19"/>
  <c r="AP19"/>
  <c r="BA19"/>
  <c r="H19" s="1"/>
  <c r="BC19"/>
  <c r="BH19"/>
  <c r="BI19"/>
  <c r="BJ19" s="1"/>
  <c r="BK19"/>
  <c r="CT19"/>
  <c r="CU19"/>
  <c r="CW19"/>
  <c r="CX19"/>
  <c r="CY19"/>
  <c r="CZ19"/>
  <c r="DA19"/>
  <c r="DB19"/>
  <c r="DD19"/>
  <c r="DG19"/>
  <c r="DJ19" s="1"/>
  <c r="DN19"/>
  <c r="BO19" s="1"/>
  <c r="DP19"/>
  <c r="CL19" s="1"/>
  <c r="I18"/>
  <c r="DG18" s="1"/>
  <c r="DJ18" s="1"/>
  <c r="J18"/>
  <c r="N18"/>
  <c r="O18"/>
  <c r="P18" s="1"/>
  <c r="DE18" s="1"/>
  <c r="AO18"/>
  <c r="AP18"/>
  <c r="BA18"/>
  <c r="H18" s="1"/>
  <c r="BC18"/>
  <c r="BH18"/>
  <c r="BI18"/>
  <c r="BJ18" s="1"/>
  <c r="BK18"/>
  <c r="CT18"/>
  <c r="CU18"/>
  <c r="CW18"/>
  <c r="CX18"/>
  <c r="CY18"/>
  <c r="CZ18"/>
  <c r="DA18"/>
  <c r="DB18"/>
  <c r="DD18"/>
  <c r="DN18"/>
  <c r="BO18" s="1"/>
  <c r="DP18"/>
  <c r="CL18" s="1"/>
  <c r="I17"/>
  <c r="DK17" s="1"/>
  <c r="J17"/>
  <c r="N17"/>
  <c r="O17"/>
  <c r="P17" s="1"/>
  <c r="DE17" s="1"/>
  <c r="AO17"/>
  <c r="AP17" s="1"/>
  <c r="BA17"/>
  <c r="H17" s="1"/>
  <c r="BC17"/>
  <c r="BH17"/>
  <c r="BI17"/>
  <c r="BJ17" s="1"/>
  <c r="BK17"/>
  <c r="CT17"/>
  <c r="CU17"/>
  <c r="CW17"/>
  <c r="CX17"/>
  <c r="CY17"/>
  <c r="CZ17"/>
  <c r="DA17"/>
  <c r="DB17"/>
  <c r="DD17"/>
  <c r="DN17"/>
  <c r="BO17" s="1"/>
  <c r="DP17"/>
  <c r="CL17" s="1"/>
  <c r="I16"/>
  <c r="DK16" s="1"/>
  <c r="J16"/>
  <c r="N16"/>
  <c r="O16"/>
  <c r="P16" s="1"/>
  <c r="DE16" s="1"/>
  <c r="AP16"/>
  <c r="BA16"/>
  <c r="H16" s="1"/>
  <c r="BC16"/>
  <c r="BD16"/>
  <c r="BF16"/>
  <c r="BH16"/>
  <c r="BI16"/>
  <c r="BJ16" s="1"/>
  <c r="BK16"/>
  <c r="CT16"/>
  <c r="CU16"/>
  <c r="CW16"/>
  <c r="CX16"/>
  <c r="CY16"/>
  <c r="CZ16"/>
  <c r="DA16"/>
  <c r="DB16"/>
  <c r="DD16"/>
  <c r="DN16"/>
  <c r="BO16" s="1"/>
  <c r="DP16"/>
  <c r="CL16" s="1"/>
  <c r="I15"/>
  <c r="DG15" s="1"/>
  <c r="DJ15" s="1"/>
  <c r="J15"/>
  <c r="N15"/>
  <c r="O15"/>
  <c r="P15" s="1"/>
  <c r="DE15" s="1"/>
  <c r="AO15"/>
  <c r="AP15"/>
  <c r="BA15"/>
  <c r="H15" s="1"/>
  <c r="BC15"/>
  <c r="BD15"/>
  <c r="BF15"/>
  <c r="BH15"/>
  <c r="BI15"/>
  <c r="BJ15" s="1"/>
  <c r="BK15"/>
  <c r="CT15"/>
  <c r="CU15"/>
  <c r="CW15"/>
  <c r="CX15"/>
  <c r="CY15"/>
  <c r="CZ15"/>
  <c r="DA15"/>
  <c r="DB15"/>
  <c r="DD15"/>
  <c r="DN15"/>
  <c r="BO15" s="1"/>
  <c r="DP15"/>
  <c r="CL15" s="1"/>
  <c r="I14"/>
  <c r="DK14" s="1"/>
  <c r="J14"/>
  <c r="N14"/>
  <c r="O14"/>
  <c r="P14" s="1"/>
  <c r="DE14" s="1"/>
  <c r="AO14"/>
  <c r="AP14"/>
  <c r="BA14"/>
  <c r="H14" s="1"/>
  <c r="BC14"/>
  <c r="BD14"/>
  <c r="BF14"/>
  <c r="BH14"/>
  <c r="BI14"/>
  <c r="BJ14" s="1"/>
  <c r="BK14"/>
  <c r="CT14"/>
  <c r="CU14"/>
  <c r="CW14"/>
  <c r="CX14"/>
  <c r="CY14"/>
  <c r="CZ14"/>
  <c r="DA14"/>
  <c r="DB14"/>
  <c r="DD14"/>
  <c r="DG14"/>
  <c r="DJ14" s="1"/>
  <c r="DN14"/>
  <c r="BO14" s="1"/>
  <c r="DP14"/>
  <c r="CL14" s="1"/>
  <c r="I13"/>
  <c r="DG13" s="1"/>
  <c r="DJ13" s="1"/>
  <c r="J13"/>
  <c r="N13"/>
  <c r="O13"/>
  <c r="P13" s="1"/>
  <c r="DE13" s="1"/>
  <c r="AO13"/>
  <c r="AP13"/>
  <c r="BA13"/>
  <c r="H13" s="1"/>
  <c r="BC13"/>
  <c r="BD13"/>
  <c r="BF13"/>
  <c r="BH13"/>
  <c r="BI13"/>
  <c r="BJ13" s="1"/>
  <c r="BK13"/>
  <c r="CT13"/>
  <c r="CU13"/>
  <c r="CW13"/>
  <c r="CX13"/>
  <c r="CY13"/>
  <c r="CZ13"/>
  <c r="DA13"/>
  <c r="DB13"/>
  <c r="DD13"/>
  <c r="DN13"/>
  <c r="BO13" s="1"/>
  <c r="DP13"/>
  <c r="CL13" s="1"/>
  <c r="I12"/>
  <c r="DG12" s="1"/>
  <c r="DJ12" s="1"/>
  <c r="J12"/>
  <c r="N12"/>
  <c r="O12"/>
  <c r="P12" s="1"/>
  <c r="DE12" s="1"/>
  <c r="AO12"/>
  <c r="AP12" s="1"/>
  <c r="BA12"/>
  <c r="H12" s="1"/>
  <c r="BC12"/>
  <c r="BH12"/>
  <c r="BI12"/>
  <c r="BJ12" s="1"/>
  <c r="BK12"/>
  <c r="CT12"/>
  <c r="CU12"/>
  <c r="CW12"/>
  <c r="CX12"/>
  <c r="CY12"/>
  <c r="CZ12"/>
  <c r="DA12"/>
  <c r="DB12"/>
  <c r="DD12"/>
  <c r="DN12"/>
  <c r="BO12" s="1"/>
  <c r="DP12"/>
  <c r="CL12" s="1"/>
  <c r="I11"/>
  <c r="DG11" s="1"/>
  <c r="DJ11" s="1"/>
  <c r="J11"/>
  <c r="N11"/>
  <c r="O11"/>
  <c r="P11" s="1"/>
  <c r="DE11" s="1"/>
  <c r="AO11"/>
  <c r="AP11"/>
  <c r="BA11"/>
  <c r="H11" s="1"/>
  <c r="BC11"/>
  <c r="BD11"/>
  <c r="BF11"/>
  <c r="BH11"/>
  <c r="BI11"/>
  <c r="BJ11" s="1"/>
  <c r="BK11"/>
  <c r="CT11"/>
  <c r="CU11"/>
  <c r="CW11"/>
  <c r="CX11"/>
  <c r="CY11"/>
  <c r="CZ11"/>
  <c r="DA11"/>
  <c r="DB11"/>
  <c r="DD11"/>
  <c r="DK11"/>
  <c r="DN11"/>
  <c r="BO11" s="1"/>
  <c r="DP11"/>
  <c r="CL11" s="1"/>
  <c r="I10"/>
  <c r="DG10" s="1"/>
  <c r="DJ10" s="1"/>
  <c r="J10"/>
  <c r="N10"/>
  <c r="O10"/>
  <c r="P10" s="1"/>
  <c r="DE10" s="1"/>
  <c r="AO10"/>
  <c r="AP10" s="1"/>
  <c r="BA10"/>
  <c r="H10" s="1"/>
  <c r="BC10"/>
  <c r="BH10"/>
  <c r="BI10"/>
  <c r="BJ10" s="1"/>
  <c r="BK10"/>
  <c r="CT10"/>
  <c r="CU10"/>
  <c r="CW10"/>
  <c r="CX10"/>
  <c r="CY10"/>
  <c r="CZ10"/>
  <c r="DA10"/>
  <c r="DB10"/>
  <c r="DD10"/>
  <c r="DN10"/>
  <c r="BO10" s="1"/>
  <c r="DP10"/>
  <c r="CL10" s="1"/>
  <c r="I9"/>
  <c r="DG9" s="1"/>
  <c r="DJ9" s="1"/>
  <c r="J9"/>
  <c r="N9"/>
  <c r="O9"/>
  <c r="P9" s="1"/>
  <c r="DE9" s="1"/>
  <c r="AO9"/>
  <c r="AP9"/>
  <c r="BA9"/>
  <c r="H9" s="1"/>
  <c r="BC9"/>
  <c r="BD9"/>
  <c r="BF9"/>
  <c r="BH9"/>
  <c r="BI9"/>
  <c r="BJ9" s="1"/>
  <c r="BK9"/>
  <c r="CT9"/>
  <c r="CU9"/>
  <c r="CW9"/>
  <c r="CX9"/>
  <c r="CY9"/>
  <c r="CZ9"/>
  <c r="DA9"/>
  <c r="DB9"/>
  <c r="DD9"/>
  <c r="DN9"/>
  <c r="BO9" s="1"/>
  <c r="DP9"/>
  <c r="CL9" s="1"/>
  <c r="D37" i="115" l="1"/>
  <c r="E37"/>
  <c r="S37"/>
  <c r="T37" s="1"/>
  <c r="W37" s="1"/>
  <c r="X37" s="1"/>
  <c r="BD37"/>
  <c r="BF37" s="1"/>
  <c r="AK37"/>
  <c r="AZ37"/>
  <c r="BB37"/>
  <c r="BL37"/>
  <c r="P37"/>
  <c r="DE37" s="1"/>
  <c r="BH37"/>
  <c r="BJ37"/>
  <c r="P36"/>
  <c r="DE36" s="1"/>
  <c r="BH36"/>
  <c r="AK36"/>
  <c r="M36"/>
  <c r="H36"/>
  <c r="BK36"/>
  <c r="BD36"/>
  <c r="BF36" s="1"/>
  <c r="AZ36"/>
  <c r="AI36"/>
  <c r="BL36"/>
  <c r="T36"/>
  <c r="W36" s="1"/>
  <c r="X36" s="1"/>
  <c r="DG36"/>
  <c r="DJ36" s="1"/>
  <c r="C36"/>
  <c r="D36" s="1"/>
  <c r="AP36"/>
  <c r="BJ36"/>
  <c r="P35"/>
  <c r="DE35" s="1"/>
  <c r="BH35"/>
  <c r="AK35"/>
  <c r="M35"/>
  <c r="H35"/>
  <c r="BK35"/>
  <c r="BD35"/>
  <c r="BF35" s="1"/>
  <c r="AZ35"/>
  <c r="AI35"/>
  <c r="BL35"/>
  <c r="T35"/>
  <c r="W35" s="1"/>
  <c r="X35" s="1"/>
  <c r="DG35"/>
  <c r="DJ35" s="1"/>
  <c r="C35"/>
  <c r="D35" s="1"/>
  <c r="AP35"/>
  <c r="BJ35"/>
  <c r="E33"/>
  <c r="BE33" s="1"/>
  <c r="DG30"/>
  <c r="DJ30" s="1"/>
  <c r="DK31"/>
  <c r="P34"/>
  <c r="DE34" s="1"/>
  <c r="BK34"/>
  <c r="BD34"/>
  <c r="BF34" s="1"/>
  <c r="AZ34"/>
  <c r="AI34"/>
  <c r="BH34"/>
  <c r="AK34"/>
  <c r="M34"/>
  <c r="H34"/>
  <c r="BL34"/>
  <c r="C34"/>
  <c r="D34" s="1"/>
  <c r="E34"/>
  <c r="S34"/>
  <c r="T34" s="1"/>
  <c r="W34" s="1"/>
  <c r="X34" s="1"/>
  <c r="AP34"/>
  <c r="BJ34"/>
  <c r="DK32"/>
  <c r="Q32"/>
  <c r="P30"/>
  <c r="DE30" s="1"/>
  <c r="P31"/>
  <c r="DE31" s="1"/>
  <c r="S33"/>
  <c r="T33" s="1"/>
  <c r="W33" s="1"/>
  <c r="Q33"/>
  <c r="BB33"/>
  <c r="BJ33"/>
  <c r="AI33"/>
  <c r="F33"/>
  <c r="BL32"/>
  <c r="BL33" s="1"/>
  <c r="AI32"/>
  <c r="W32"/>
  <c r="F32"/>
  <c r="BD32"/>
  <c r="BF32" s="1"/>
  <c r="AZ32"/>
  <c r="AK32"/>
  <c r="M32"/>
  <c r="E32"/>
  <c r="BE32" s="1"/>
  <c r="BK30"/>
  <c r="BD30"/>
  <c r="BF30" s="1"/>
  <c r="AZ30"/>
  <c r="AI30"/>
  <c r="BH30"/>
  <c r="BH31" s="1"/>
  <c r="AK30"/>
  <c r="M30"/>
  <c r="H30"/>
  <c r="BL30"/>
  <c r="BK31"/>
  <c r="BD31"/>
  <c r="BF31" s="1"/>
  <c r="AZ31"/>
  <c r="AI31"/>
  <c r="AK31"/>
  <c r="M31"/>
  <c r="H31"/>
  <c r="C30"/>
  <c r="D30" s="1"/>
  <c r="E30"/>
  <c r="S30"/>
  <c r="T30" s="1"/>
  <c r="W30" s="1"/>
  <c r="X30" s="1"/>
  <c r="AP30"/>
  <c r="BJ30"/>
  <c r="BJ31" s="1"/>
  <c r="C31"/>
  <c r="D31" s="1"/>
  <c r="E31"/>
  <c r="S31"/>
  <c r="T31" s="1"/>
  <c r="W31" s="1"/>
  <c r="X31" s="1"/>
  <c r="AP31"/>
  <c r="P29"/>
  <c r="DE29" s="1"/>
  <c r="BH29"/>
  <c r="AK29"/>
  <c r="M29"/>
  <c r="H29"/>
  <c r="BK29"/>
  <c r="BD29"/>
  <c r="BF29" s="1"/>
  <c r="AZ29"/>
  <c r="AI29"/>
  <c r="BL29"/>
  <c r="T29"/>
  <c r="W29" s="1"/>
  <c r="X29" s="1"/>
  <c r="DG29"/>
  <c r="DJ29" s="1"/>
  <c r="C29"/>
  <c r="D29" s="1"/>
  <c r="AP29"/>
  <c r="BJ29"/>
  <c r="DK24"/>
  <c r="DK20"/>
  <c r="P28"/>
  <c r="DE28" s="1"/>
  <c r="BK28"/>
  <c r="BD28"/>
  <c r="BF28" s="1"/>
  <c r="AZ28"/>
  <c r="AI28"/>
  <c r="BH28"/>
  <c r="AK28"/>
  <c r="M28"/>
  <c r="H28"/>
  <c r="BL28"/>
  <c r="C28"/>
  <c r="D28" s="1"/>
  <c r="E28"/>
  <c r="S28"/>
  <c r="T28" s="1"/>
  <c r="W28" s="1"/>
  <c r="X28" s="1"/>
  <c r="AP28"/>
  <c r="BJ28"/>
  <c r="DK9"/>
  <c r="P27"/>
  <c r="DE27" s="1"/>
  <c r="BH27"/>
  <c r="AK27"/>
  <c r="M27"/>
  <c r="H27"/>
  <c r="BK27"/>
  <c r="BD27"/>
  <c r="BF27" s="1"/>
  <c r="AZ27"/>
  <c r="AI27"/>
  <c r="BL27"/>
  <c r="T27"/>
  <c r="W27" s="1"/>
  <c r="X27" s="1"/>
  <c r="DG27"/>
  <c r="DJ27" s="1"/>
  <c r="C27"/>
  <c r="D27" s="1"/>
  <c r="AP27"/>
  <c r="BJ27"/>
  <c r="DG25"/>
  <c r="DJ25" s="1"/>
  <c r="Q25"/>
  <c r="Q26"/>
  <c r="E24"/>
  <c r="C24"/>
  <c r="D24" s="1"/>
  <c r="T24"/>
  <c r="BL26"/>
  <c r="AI26"/>
  <c r="W26"/>
  <c r="X26" s="1"/>
  <c r="F26"/>
  <c r="BD26"/>
  <c r="BF26" s="1"/>
  <c r="AZ26"/>
  <c r="AK26"/>
  <c r="M26"/>
  <c r="E26"/>
  <c r="BE26" s="1"/>
  <c r="BL25"/>
  <c r="AI25"/>
  <c r="W25"/>
  <c r="X25" s="1"/>
  <c r="F25"/>
  <c r="BD25"/>
  <c r="BF25" s="1"/>
  <c r="AZ25"/>
  <c r="AK25"/>
  <c r="M25"/>
  <c r="E25"/>
  <c r="BE25" s="1"/>
  <c r="P24"/>
  <c r="DE24" s="1"/>
  <c r="W24"/>
  <c r="X24" s="1"/>
  <c r="AI24"/>
  <c r="AZ24"/>
  <c r="BD24"/>
  <c r="BF24" s="1"/>
  <c r="BK24"/>
  <c r="BL24" s="1"/>
  <c r="DG23"/>
  <c r="DJ23" s="1"/>
  <c r="Q12"/>
  <c r="DG19"/>
  <c r="DJ19" s="1"/>
  <c r="Q19"/>
  <c r="P23"/>
  <c r="DE23" s="1"/>
  <c r="BK23"/>
  <c r="BD23"/>
  <c r="BF23" s="1"/>
  <c r="AZ23"/>
  <c r="AI23"/>
  <c r="BH23"/>
  <c r="AK23"/>
  <c r="M23"/>
  <c r="H23"/>
  <c r="BL23"/>
  <c r="C23"/>
  <c r="D23" s="1"/>
  <c r="E23"/>
  <c r="S23"/>
  <c r="T23" s="1"/>
  <c r="W23" s="1"/>
  <c r="X23" s="1"/>
  <c r="AP23"/>
  <c r="BJ23"/>
  <c r="DG21"/>
  <c r="DJ21" s="1"/>
  <c r="P22"/>
  <c r="DE22" s="1"/>
  <c r="BH22"/>
  <c r="AK22"/>
  <c r="M22"/>
  <c r="H22"/>
  <c r="BK22"/>
  <c r="BD22"/>
  <c r="BF22" s="1"/>
  <c r="AZ22"/>
  <c r="AI22"/>
  <c r="BL22"/>
  <c r="T22"/>
  <c r="W22" s="1"/>
  <c r="X22" s="1"/>
  <c r="DG22"/>
  <c r="DJ22" s="1"/>
  <c r="C22"/>
  <c r="D22" s="1"/>
  <c r="AP22"/>
  <c r="BJ22"/>
  <c r="BL21"/>
  <c r="AI21"/>
  <c r="BD21"/>
  <c r="BF21" s="1"/>
  <c r="AZ21"/>
  <c r="AU39"/>
  <c r="Q16"/>
  <c r="T21"/>
  <c r="W21" s="1"/>
  <c r="Q21"/>
  <c r="P20"/>
  <c r="DE20" s="1"/>
  <c r="BK20"/>
  <c r="BD20"/>
  <c r="BF20" s="1"/>
  <c r="AZ20"/>
  <c r="AI20"/>
  <c r="BH20"/>
  <c r="AK20"/>
  <c r="M20"/>
  <c r="H20"/>
  <c r="BL20"/>
  <c r="C20"/>
  <c r="D20" s="1"/>
  <c r="E20"/>
  <c r="S20"/>
  <c r="T20" s="1"/>
  <c r="W20" s="1"/>
  <c r="X20" s="1"/>
  <c r="AP20"/>
  <c r="BJ20"/>
  <c r="Q18"/>
  <c r="D17"/>
  <c r="F17" s="1"/>
  <c r="E17"/>
  <c r="T17"/>
  <c r="BL19"/>
  <c r="AI19"/>
  <c r="W19"/>
  <c r="F19"/>
  <c r="BD19"/>
  <c r="BF19" s="1"/>
  <c r="AZ19"/>
  <c r="AK19"/>
  <c r="M19"/>
  <c r="E19"/>
  <c r="BE19" s="1"/>
  <c r="BL18"/>
  <c r="AI18"/>
  <c r="W18"/>
  <c r="F18"/>
  <c r="BD18"/>
  <c r="BF18" s="1"/>
  <c r="AZ18"/>
  <c r="AK18"/>
  <c r="M18"/>
  <c r="E18"/>
  <c r="BE18" s="1"/>
  <c r="BK17"/>
  <c r="BD17"/>
  <c r="BF17" s="1"/>
  <c r="AK17"/>
  <c r="M17"/>
  <c r="H17"/>
  <c r="BH17"/>
  <c r="AI17"/>
  <c r="W17"/>
  <c r="X17" s="1"/>
  <c r="BL17"/>
  <c r="P17"/>
  <c r="DE17" s="1"/>
  <c r="BJ17"/>
  <c r="DK15" i="116"/>
  <c r="DK12"/>
  <c r="Q13"/>
  <c r="P15" i="115"/>
  <c r="DE15" s="1"/>
  <c r="AI16"/>
  <c r="W16"/>
  <c r="F16"/>
  <c r="BL16"/>
  <c r="AK16"/>
  <c r="M16"/>
  <c r="E16"/>
  <c r="BB16" s="1"/>
  <c r="T15"/>
  <c r="BA15"/>
  <c r="C15"/>
  <c r="D15" s="1"/>
  <c r="DG15"/>
  <c r="DJ15" s="1"/>
  <c r="Q13"/>
  <c r="DG17"/>
  <c r="DJ17" s="1"/>
  <c r="D14"/>
  <c r="E14"/>
  <c r="T14"/>
  <c r="W14" s="1"/>
  <c r="BH14"/>
  <c r="AI14"/>
  <c r="BK14"/>
  <c r="BL14" s="1"/>
  <c r="BD14"/>
  <c r="BF14" s="1"/>
  <c r="AK14"/>
  <c r="M14"/>
  <c r="H14"/>
  <c r="Q14"/>
  <c r="DG14"/>
  <c r="DJ14" s="1"/>
  <c r="BJ14"/>
  <c r="DK20" i="116"/>
  <c r="DG34" i="115"/>
  <c r="DJ34" s="1"/>
  <c r="DK10" i="116"/>
  <c r="DG16"/>
  <c r="DJ16" s="1"/>
  <c r="DG17"/>
  <c r="DJ17" s="1"/>
  <c r="DK33"/>
  <c r="DK11" i="115"/>
  <c r="Q11"/>
  <c r="Q9"/>
  <c r="AI13"/>
  <c r="W13"/>
  <c r="F13"/>
  <c r="BL13"/>
  <c r="AK13"/>
  <c r="M13"/>
  <c r="E13"/>
  <c r="BB13" s="1"/>
  <c r="AI12"/>
  <c r="W12"/>
  <c r="F12"/>
  <c r="BL12"/>
  <c r="AK12"/>
  <c r="M12"/>
  <c r="E12"/>
  <c r="BB12" s="1"/>
  <c r="AI11"/>
  <c r="W11"/>
  <c r="F11"/>
  <c r="BL11"/>
  <c r="AK11"/>
  <c r="M11"/>
  <c r="E11"/>
  <c r="BB11" s="1"/>
  <c r="Q17" i="116"/>
  <c r="E10" i="115"/>
  <c r="C10"/>
  <c r="D10" s="1"/>
  <c r="S10"/>
  <c r="T10" s="1"/>
  <c r="W10" s="1"/>
  <c r="X10" s="1"/>
  <c r="BK10"/>
  <c r="BL10" s="1"/>
  <c r="BD10"/>
  <c r="BF10" s="1"/>
  <c r="AK10"/>
  <c r="M10"/>
  <c r="H10"/>
  <c r="BH10"/>
  <c r="AI10"/>
  <c r="P10"/>
  <c r="DE10" s="1"/>
  <c r="BJ10"/>
  <c r="Q9" i="116"/>
  <c r="Q18"/>
  <c r="DK26"/>
  <c r="Q25"/>
  <c r="DK9"/>
  <c r="Q11"/>
  <c r="DK13"/>
  <c r="Q14"/>
  <c r="Q15"/>
  <c r="Q28"/>
  <c r="Q16"/>
  <c r="Q35"/>
  <c r="Q34"/>
  <c r="DK35"/>
  <c r="Q36"/>
  <c r="Q12"/>
  <c r="DK18"/>
  <c r="Q21"/>
  <c r="Q23"/>
  <c r="Q27"/>
  <c r="DK8" i="115"/>
  <c r="D8"/>
  <c r="F8" s="1"/>
  <c r="E8"/>
  <c r="T8"/>
  <c r="AI9"/>
  <c r="W9"/>
  <c r="F9"/>
  <c r="BL9"/>
  <c r="AK9"/>
  <c r="M9"/>
  <c r="E9"/>
  <c r="BB9" s="1"/>
  <c r="BH8"/>
  <c r="AI8"/>
  <c r="W8"/>
  <c r="BK8"/>
  <c r="BD8"/>
  <c r="BF8" s="1"/>
  <c r="AK8"/>
  <c r="M8"/>
  <c r="H8"/>
  <c r="BL8"/>
  <c r="Q8"/>
  <c r="BJ8"/>
  <c r="Q10" i="116"/>
  <c r="Q32"/>
  <c r="Q19"/>
  <c r="Q20"/>
  <c r="DK25"/>
  <c r="DK27"/>
  <c r="Q31"/>
  <c r="Q22"/>
  <c r="Q24"/>
  <c r="Q26"/>
  <c r="DK28"/>
  <c r="Q29"/>
  <c r="Q30"/>
  <c r="Q33"/>
  <c r="DK34"/>
  <c r="DC36"/>
  <c r="V36"/>
  <c r="S36" s="1"/>
  <c r="T36" s="1"/>
  <c r="B36"/>
  <c r="L36"/>
  <c r="CV36"/>
  <c r="AK36"/>
  <c r="BL36"/>
  <c r="AI36"/>
  <c r="W36"/>
  <c r="M36"/>
  <c r="V35"/>
  <c r="S35" s="1"/>
  <c r="T35" s="1"/>
  <c r="DC35"/>
  <c r="CV35"/>
  <c r="B35"/>
  <c r="L35"/>
  <c r="BL35"/>
  <c r="AK35"/>
  <c r="BD35"/>
  <c r="BF35" s="1"/>
  <c r="AZ35"/>
  <c r="AI35"/>
  <c r="W35"/>
  <c r="X35" s="1"/>
  <c r="M35"/>
  <c r="V34"/>
  <c r="S34" s="1"/>
  <c r="T34" s="1"/>
  <c r="DC34"/>
  <c r="CV33"/>
  <c r="B33"/>
  <c r="L33"/>
  <c r="CV34"/>
  <c r="B34"/>
  <c r="L34"/>
  <c r="V33"/>
  <c r="S33" s="1"/>
  <c r="T33" s="1"/>
  <c r="DC33"/>
  <c r="BA34"/>
  <c r="BL33"/>
  <c r="AK33"/>
  <c r="BD33"/>
  <c r="BF33" s="1"/>
  <c r="AZ33"/>
  <c r="AI33"/>
  <c r="W33"/>
  <c r="X33" s="1"/>
  <c r="M33"/>
  <c r="V32"/>
  <c r="S32" s="1"/>
  <c r="T32" s="1"/>
  <c r="DC32"/>
  <c r="CV32"/>
  <c r="B32"/>
  <c r="L32"/>
  <c r="BL32"/>
  <c r="AK32"/>
  <c r="BD32"/>
  <c r="BF32" s="1"/>
  <c r="AZ32"/>
  <c r="AI32"/>
  <c r="W32"/>
  <c r="X32" s="1"/>
  <c r="M32"/>
  <c r="V31"/>
  <c r="S31" s="1"/>
  <c r="T31" s="1"/>
  <c r="DC31"/>
  <c r="CV31"/>
  <c r="B31"/>
  <c r="L31"/>
  <c r="BL31"/>
  <c r="AK31"/>
  <c r="BD31"/>
  <c r="BF31" s="1"/>
  <c r="AZ31"/>
  <c r="AI31"/>
  <c r="W31"/>
  <c r="M31"/>
  <c r="V30"/>
  <c r="S30" s="1"/>
  <c r="T30" s="1"/>
  <c r="DC30"/>
  <c r="CV30"/>
  <c r="B30"/>
  <c r="L30"/>
  <c r="BL30"/>
  <c r="AK30"/>
  <c r="BD30"/>
  <c r="BF30" s="1"/>
  <c r="AZ30"/>
  <c r="AI30"/>
  <c r="W30"/>
  <c r="M30"/>
  <c r="V29"/>
  <c r="S29" s="1"/>
  <c r="T29" s="1"/>
  <c r="DC29"/>
  <c r="CV29"/>
  <c r="B29"/>
  <c r="L29"/>
  <c r="BL29"/>
  <c r="AK29"/>
  <c r="BD29"/>
  <c r="BF29" s="1"/>
  <c r="AZ29"/>
  <c r="AI29"/>
  <c r="W29"/>
  <c r="X29" s="1"/>
  <c r="M29"/>
  <c r="V28"/>
  <c r="S28" s="1"/>
  <c r="T28" s="1"/>
  <c r="DC28"/>
  <c r="CV28"/>
  <c r="B28"/>
  <c r="L28"/>
  <c r="BL28"/>
  <c r="AK28"/>
  <c r="BD28"/>
  <c r="BF28" s="1"/>
  <c r="AZ28"/>
  <c r="AI28"/>
  <c r="W28"/>
  <c r="X28" s="1"/>
  <c r="M28"/>
  <c r="V27"/>
  <c r="S27" s="1"/>
  <c r="T27" s="1"/>
  <c r="DC27"/>
  <c r="CV27"/>
  <c r="B27"/>
  <c r="L27"/>
  <c r="BL27"/>
  <c r="AK27"/>
  <c r="BD27"/>
  <c r="BF27" s="1"/>
  <c r="AZ27"/>
  <c r="AI27"/>
  <c r="W27"/>
  <c r="X27" s="1"/>
  <c r="M27"/>
  <c r="DC26"/>
  <c r="V26"/>
  <c r="S26" s="1"/>
  <c r="T26" s="1"/>
  <c r="V25"/>
  <c r="S25" s="1"/>
  <c r="T25" s="1"/>
  <c r="DC25"/>
  <c r="B26"/>
  <c r="L26"/>
  <c r="CV26"/>
  <c r="CV25"/>
  <c r="B25"/>
  <c r="L25"/>
  <c r="AZ26"/>
  <c r="AK26"/>
  <c r="BL25"/>
  <c r="BL26" s="1"/>
  <c r="AK25"/>
  <c r="AI26"/>
  <c r="W26"/>
  <c r="M26"/>
  <c r="BD25"/>
  <c r="BF25" s="1"/>
  <c r="AZ25"/>
  <c r="AI25"/>
  <c r="W25"/>
  <c r="X25" s="1"/>
  <c r="M25"/>
  <c r="V24"/>
  <c r="S24" s="1"/>
  <c r="T24" s="1"/>
  <c r="DC24"/>
  <c r="CV24"/>
  <c r="B24"/>
  <c r="L24"/>
  <c r="BL24"/>
  <c r="AK24"/>
  <c r="BD24"/>
  <c r="BF24" s="1"/>
  <c r="AZ24"/>
  <c r="AI24"/>
  <c r="W24"/>
  <c r="M24"/>
  <c r="V23"/>
  <c r="S23" s="1"/>
  <c r="T23" s="1"/>
  <c r="DC23"/>
  <c r="CV23"/>
  <c r="B23"/>
  <c r="L23"/>
  <c r="BL23"/>
  <c r="AK23"/>
  <c r="BD23"/>
  <c r="BF23" s="1"/>
  <c r="AZ23"/>
  <c r="AI23"/>
  <c r="W23"/>
  <c r="M23"/>
  <c r="V22"/>
  <c r="S22" s="1"/>
  <c r="T22" s="1"/>
  <c r="DC22"/>
  <c r="CV22"/>
  <c r="B22"/>
  <c r="L22"/>
  <c r="BL22"/>
  <c r="AK22"/>
  <c r="BD22"/>
  <c r="BF22" s="1"/>
  <c r="AZ22"/>
  <c r="AI22"/>
  <c r="W22"/>
  <c r="X22" s="1"/>
  <c r="M22"/>
  <c r="V21"/>
  <c r="S21" s="1"/>
  <c r="T21" s="1"/>
  <c r="DC21"/>
  <c r="CV21"/>
  <c r="B21"/>
  <c r="L21"/>
  <c r="BL21"/>
  <c r="AK21"/>
  <c r="BD21"/>
  <c r="BF21" s="1"/>
  <c r="AZ21"/>
  <c r="AI21"/>
  <c r="W21"/>
  <c r="X21" s="1"/>
  <c r="M21"/>
  <c r="CV20"/>
  <c r="B20"/>
  <c r="L20"/>
  <c r="V20"/>
  <c r="S20" s="1"/>
  <c r="T20" s="1"/>
  <c r="DC20"/>
  <c r="BL20"/>
  <c r="AK20"/>
  <c r="AZ20"/>
  <c r="AI20"/>
  <c r="W20"/>
  <c r="M20"/>
  <c r="V19"/>
  <c r="S19" s="1"/>
  <c r="T19" s="1"/>
  <c r="DC19"/>
  <c r="CV19"/>
  <c r="B19"/>
  <c r="L19"/>
  <c r="BL19"/>
  <c r="AK19"/>
  <c r="BD19"/>
  <c r="BF19" s="1"/>
  <c r="AZ19"/>
  <c r="AI19"/>
  <c r="W19"/>
  <c r="X19" s="1"/>
  <c r="M19"/>
  <c r="V18"/>
  <c r="S18" s="1"/>
  <c r="T18" s="1"/>
  <c r="DC18"/>
  <c r="CV18"/>
  <c r="B18"/>
  <c r="L18"/>
  <c r="BL18"/>
  <c r="AK18"/>
  <c r="BD18"/>
  <c r="BF18" s="1"/>
  <c r="AZ18"/>
  <c r="AI18"/>
  <c r="W18"/>
  <c r="M18"/>
  <c r="B17"/>
  <c r="L17"/>
  <c r="CV17"/>
  <c r="DC17"/>
  <c r="V17"/>
  <c r="S17" s="1"/>
  <c r="T17" s="1"/>
  <c r="BD17"/>
  <c r="BF17" s="1"/>
  <c r="AK17"/>
  <c r="BL17"/>
  <c r="AI17"/>
  <c r="W17"/>
  <c r="M17"/>
  <c r="CV16"/>
  <c r="B16"/>
  <c r="L16"/>
  <c r="V16"/>
  <c r="S16" s="1"/>
  <c r="T16" s="1"/>
  <c r="DC16"/>
  <c r="BL16"/>
  <c r="AK16"/>
  <c r="AI16"/>
  <c r="W16"/>
  <c r="M16"/>
  <c r="DC15"/>
  <c r="V15"/>
  <c r="S15" s="1"/>
  <c r="T15" s="1"/>
  <c r="B15"/>
  <c r="L15"/>
  <c r="CV15"/>
  <c r="AK15"/>
  <c r="BL15"/>
  <c r="AI15"/>
  <c r="W15"/>
  <c r="M15"/>
  <c r="DC14"/>
  <c r="V14"/>
  <c r="S14" s="1"/>
  <c r="T14" s="1"/>
  <c r="B14"/>
  <c r="L14"/>
  <c r="CV14"/>
  <c r="AK14"/>
  <c r="BL14"/>
  <c r="AI14"/>
  <c r="W14"/>
  <c r="X14" s="1"/>
  <c r="M14"/>
  <c r="DC13"/>
  <c r="V13"/>
  <c r="S13" s="1"/>
  <c r="T13" s="1"/>
  <c r="B13"/>
  <c r="L13"/>
  <c r="CV13"/>
  <c r="AK13"/>
  <c r="BL13"/>
  <c r="AI13"/>
  <c r="W13"/>
  <c r="M13"/>
  <c r="B12"/>
  <c r="L12"/>
  <c r="CV12"/>
  <c r="DC12"/>
  <c r="V12"/>
  <c r="S12" s="1"/>
  <c r="T12" s="1"/>
  <c r="BD12"/>
  <c r="BF12" s="1"/>
  <c r="AK12"/>
  <c r="BL12"/>
  <c r="AI12"/>
  <c r="W12"/>
  <c r="M12"/>
  <c r="DC11"/>
  <c r="V11"/>
  <c r="S11" s="1"/>
  <c r="T11" s="1"/>
  <c r="B11"/>
  <c r="L11"/>
  <c r="CV11"/>
  <c r="AK11"/>
  <c r="BL11"/>
  <c r="AI11"/>
  <c r="W11"/>
  <c r="M11"/>
  <c r="B10"/>
  <c r="L10"/>
  <c r="CV10"/>
  <c r="DC10"/>
  <c r="V10"/>
  <c r="S10" s="1"/>
  <c r="T10" s="1"/>
  <c r="BD10"/>
  <c r="BF10" s="1"/>
  <c r="AK10"/>
  <c r="BL10"/>
  <c r="AI10"/>
  <c r="W10"/>
  <c r="M10"/>
  <c r="DC9"/>
  <c r="V9"/>
  <c r="S9" s="1"/>
  <c r="T9" s="1"/>
  <c r="B9"/>
  <c r="L9"/>
  <c r="CV9"/>
  <c r="AK9"/>
  <c r="BL9"/>
  <c r="AI9"/>
  <c r="W9"/>
  <c r="M9"/>
  <c r="DN8"/>
  <c r="DN7"/>
  <c r="BO7"/>
  <c r="CV7" s="1"/>
  <c r="CL8"/>
  <c r="CL7"/>
  <c r="V7" s="1"/>
  <c r="DP8"/>
  <c r="DP7"/>
  <c r="BO8"/>
  <c r="L8" s="1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B37"/>
  <c r="AO37"/>
  <c r="BA37" s="1"/>
  <c r="V37"/>
  <c r="R37"/>
  <c r="O37"/>
  <c r="Q37" s="1"/>
  <c r="N37"/>
  <c r="L37"/>
  <c r="J37"/>
  <c r="I37"/>
  <c r="DK37" s="1"/>
  <c r="B37"/>
  <c r="DD8"/>
  <c r="DC8"/>
  <c r="DB8"/>
  <c r="DA8"/>
  <c r="CZ8"/>
  <c r="CY8"/>
  <c r="CX8"/>
  <c r="CW8"/>
  <c r="CV8"/>
  <c r="CU8"/>
  <c r="CT8"/>
  <c r="BI8"/>
  <c r="BC8"/>
  <c r="AP8"/>
  <c r="AO8"/>
  <c r="BA8" s="1"/>
  <c r="V8"/>
  <c r="S8"/>
  <c r="T8" s="1"/>
  <c r="O8"/>
  <c r="P8" s="1"/>
  <c r="DE8" s="1"/>
  <c r="N8"/>
  <c r="J8"/>
  <c r="I8"/>
  <c r="DK8" s="1"/>
  <c r="DD7"/>
  <c r="DD38" s="1"/>
  <c r="DC7"/>
  <c r="DB7"/>
  <c r="DB38" s="1"/>
  <c r="DA7"/>
  <c r="CZ7"/>
  <c r="CZ38" s="1"/>
  <c r="CY7"/>
  <c r="CX7"/>
  <c r="CX38" s="1"/>
  <c r="CW7"/>
  <c r="CU7"/>
  <c r="CU38" s="1"/>
  <c r="CT7"/>
  <c r="CT38" s="1"/>
  <c r="BI7"/>
  <c r="BC7"/>
  <c r="BC38" s="1"/>
  <c r="BC39" s="1"/>
  <c r="AP7"/>
  <c r="AO7"/>
  <c r="AO38" s="1"/>
  <c r="O7"/>
  <c r="N7"/>
  <c r="J7"/>
  <c r="I7"/>
  <c r="I38" s="1"/>
  <c r="I39" s="1"/>
  <c r="I41" s="1"/>
  <c r="BF59" i="115"/>
  <c r="AV46"/>
  <c r="AV43"/>
  <c r="AD41"/>
  <c r="BG39"/>
  <c r="AS39"/>
  <c r="AR39"/>
  <c r="AQ39"/>
  <c r="AG39"/>
  <c r="AF39"/>
  <c r="AB39"/>
  <c r="CM38"/>
  <c r="CQ39" s="1"/>
  <c r="CL38"/>
  <c r="CP39" s="1"/>
  <c r="CK38"/>
  <c r="CO39" s="1"/>
  <c r="CJ38"/>
  <c r="CN39" s="1"/>
  <c r="BT38"/>
  <c r="BS38"/>
  <c r="CH39" s="1"/>
  <c r="BR38"/>
  <c r="BZ39" s="1"/>
  <c r="BQ38"/>
  <c r="BP38"/>
  <c r="BX39" s="1"/>
  <c r="BO38"/>
  <c r="CD39" s="1"/>
  <c r="BN38"/>
  <c r="BV39" s="1"/>
  <c r="BM38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K10"/>
  <c r="DD7"/>
  <c r="DD38" s="1"/>
  <c r="DC7"/>
  <c r="DC38" s="1"/>
  <c r="DB7"/>
  <c r="DB38" s="1"/>
  <c r="DA7"/>
  <c r="DA38" s="1"/>
  <c r="CZ7"/>
  <c r="CZ38" s="1"/>
  <c r="CY7"/>
  <c r="CY38" s="1"/>
  <c r="CX7"/>
  <c r="CX38" s="1"/>
  <c r="CW7"/>
  <c r="CW38" s="1"/>
  <c r="CV7"/>
  <c r="CV38" s="1"/>
  <c r="CU7"/>
  <c r="CU38" s="1"/>
  <c r="CT7"/>
  <c r="CT38" s="1"/>
  <c r="BI7"/>
  <c r="BC7"/>
  <c r="BC38" s="1"/>
  <c r="BC39" s="1"/>
  <c r="AO38"/>
  <c r="V7"/>
  <c r="V38" s="1"/>
  <c r="V39" s="1"/>
  <c r="R7"/>
  <c r="S7" s="1"/>
  <c r="O7"/>
  <c r="N7"/>
  <c r="L7"/>
  <c r="J7"/>
  <c r="I7"/>
  <c r="B7"/>
  <c r="DD36" i="113"/>
  <c r="DC36"/>
  <c r="DB36"/>
  <c r="DA36"/>
  <c r="CZ36"/>
  <c r="CY36"/>
  <c r="CX36"/>
  <c r="CW36"/>
  <c r="CV36"/>
  <c r="CU36"/>
  <c r="CT36"/>
  <c r="BI36"/>
  <c r="BC36"/>
  <c r="BA36"/>
  <c r="BK36" s="1"/>
  <c r="AP36"/>
  <c r="AI36"/>
  <c r="V36"/>
  <c r="R36"/>
  <c r="O36"/>
  <c r="Q36" s="1"/>
  <c r="N36"/>
  <c r="M36"/>
  <c r="L36"/>
  <c r="J36"/>
  <c r="I36"/>
  <c r="DK36" s="1"/>
  <c r="H36"/>
  <c r="B36"/>
  <c r="C36" s="1"/>
  <c r="B35"/>
  <c r="C35" s="1"/>
  <c r="D35" s="1"/>
  <c r="I35"/>
  <c r="DG35" s="1"/>
  <c r="DJ35" s="1"/>
  <c r="J35"/>
  <c r="L35"/>
  <c r="N35"/>
  <c r="O35"/>
  <c r="P35" s="1"/>
  <c r="DE35" s="1"/>
  <c r="R35"/>
  <c r="S35" s="1"/>
  <c r="T35" s="1"/>
  <c r="V35"/>
  <c r="AP35"/>
  <c r="BA35"/>
  <c r="H35" s="1"/>
  <c r="BC35"/>
  <c r="BH35"/>
  <c r="BI35"/>
  <c r="BJ35" s="1"/>
  <c r="BK35"/>
  <c r="CT35"/>
  <c r="CU35"/>
  <c r="CV35"/>
  <c r="CW35"/>
  <c r="CX35"/>
  <c r="CY35"/>
  <c r="CZ35"/>
  <c r="DA35"/>
  <c r="DB35"/>
  <c r="DC35"/>
  <c r="DD35"/>
  <c r="DK35"/>
  <c r="B34"/>
  <c r="C34" s="1"/>
  <c r="D34" s="1"/>
  <c r="I34"/>
  <c r="DK34" s="1"/>
  <c r="J34"/>
  <c r="L34"/>
  <c r="N34"/>
  <c r="O34"/>
  <c r="P34" s="1"/>
  <c r="DE34" s="1"/>
  <c r="R34"/>
  <c r="S34" s="1"/>
  <c r="T34" s="1"/>
  <c r="V34"/>
  <c r="AP34"/>
  <c r="BA34"/>
  <c r="H34" s="1"/>
  <c r="BC34"/>
  <c r="BH34"/>
  <c r="BI34"/>
  <c r="BJ34" s="1"/>
  <c r="BK34"/>
  <c r="CT34"/>
  <c r="CU34"/>
  <c r="CV34"/>
  <c r="CW34"/>
  <c r="CX34"/>
  <c r="CY34"/>
  <c r="CZ34"/>
  <c r="DA34"/>
  <c r="DB34"/>
  <c r="DC34"/>
  <c r="DD34"/>
  <c r="DD33"/>
  <c r="DC33"/>
  <c r="DB33"/>
  <c r="DA33"/>
  <c r="CZ33"/>
  <c r="CY33"/>
  <c r="CX33"/>
  <c r="CW33"/>
  <c r="CV33"/>
  <c r="CU33"/>
  <c r="CT33"/>
  <c r="BI33"/>
  <c r="BC33"/>
  <c r="BA33"/>
  <c r="V33"/>
  <c r="R33"/>
  <c r="O33"/>
  <c r="Q33" s="1"/>
  <c r="N33"/>
  <c r="L33"/>
  <c r="J33"/>
  <c r="I33"/>
  <c r="DK33" s="1"/>
  <c r="B33"/>
  <c r="DD32"/>
  <c r="DC32"/>
  <c r="DB32"/>
  <c r="DA32"/>
  <c r="CZ32"/>
  <c r="CY32"/>
  <c r="CX32"/>
  <c r="CW32"/>
  <c r="CV32"/>
  <c r="CU32"/>
  <c r="CT32"/>
  <c r="BI32"/>
  <c r="BC32"/>
  <c r="BA32"/>
  <c r="V32"/>
  <c r="R32"/>
  <c r="O32"/>
  <c r="P32" s="1"/>
  <c r="DE32" s="1"/>
  <c r="N32"/>
  <c r="L32"/>
  <c r="J32"/>
  <c r="I32"/>
  <c r="DK32" s="1"/>
  <c r="B32"/>
  <c r="DG32"/>
  <c r="DJ32" s="1"/>
  <c r="DD31"/>
  <c r="DC31"/>
  <c r="DB31"/>
  <c r="DA31"/>
  <c r="CZ31"/>
  <c r="CY31"/>
  <c r="CX31"/>
  <c r="CW31"/>
  <c r="CV31"/>
  <c r="CU31"/>
  <c r="CT31"/>
  <c r="BI31"/>
  <c r="BC31"/>
  <c r="BA31"/>
  <c r="V31"/>
  <c r="R31"/>
  <c r="O31"/>
  <c r="Q31" s="1"/>
  <c r="N31"/>
  <c r="L31"/>
  <c r="J31"/>
  <c r="I31"/>
  <c r="DK31" s="1"/>
  <c r="B31"/>
  <c r="DD30"/>
  <c r="DC30"/>
  <c r="DB30"/>
  <c r="DA30"/>
  <c r="CZ30"/>
  <c r="CY30"/>
  <c r="CX30"/>
  <c r="CW30"/>
  <c r="CV30"/>
  <c r="CU30"/>
  <c r="CT30"/>
  <c r="BI30"/>
  <c r="BC30"/>
  <c r="BA30"/>
  <c r="V30"/>
  <c r="R30"/>
  <c r="O30"/>
  <c r="Q30" s="1"/>
  <c r="N30"/>
  <c r="L30"/>
  <c r="J30"/>
  <c r="I30"/>
  <c r="DK30" s="1"/>
  <c r="B30"/>
  <c r="BF59" i="114"/>
  <c r="BD24" i="111"/>
  <c r="AO17" i="114"/>
  <c r="AO18"/>
  <c r="BA18" s="1"/>
  <c r="AO19"/>
  <c r="AP19" s="1"/>
  <c r="AO20"/>
  <c r="AO21"/>
  <c r="AP21" s="1"/>
  <c r="AO22"/>
  <c r="AO23"/>
  <c r="AO24"/>
  <c r="AO25"/>
  <c r="AO27"/>
  <c r="BA27" s="1"/>
  <c r="BK27" s="1"/>
  <c r="AO28"/>
  <c r="BA28" s="1"/>
  <c r="R8"/>
  <c r="R9"/>
  <c r="R10"/>
  <c r="S10" s="1"/>
  <c r="T10" s="1"/>
  <c r="R11"/>
  <c r="R12"/>
  <c r="R13"/>
  <c r="S13" s="1"/>
  <c r="T13" s="1"/>
  <c r="R14"/>
  <c r="S14" s="1"/>
  <c r="T14" s="1"/>
  <c r="R15"/>
  <c r="R16"/>
  <c r="R17"/>
  <c r="R18"/>
  <c r="R19"/>
  <c r="R20"/>
  <c r="R21"/>
  <c r="R22"/>
  <c r="S22" s="1"/>
  <c r="R23"/>
  <c r="S23" s="1"/>
  <c r="T23" s="1"/>
  <c r="R24"/>
  <c r="R25"/>
  <c r="R26"/>
  <c r="S26" s="1"/>
  <c r="T26" s="1"/>
  <c r="R27"/>
  <c r="S27" s="1"/>
  <c r="T27" s="1"/>
  <c r="R28"/>
  <c r="R29"/>
  <c r="S29" s="1"/>
  <c r="T29" s="1"/>
  <c r="R30"/>
  <c r="R31"/>
  <c r="S31" s="1"/>
  <c r="T31" s="1"/>
  <c r="R32"/>
  <c r="R33"/>
  <c r="R34"/>
  <c r="R35"/>
  <c r="S35" s="1"/>
  <c r="T35" s="1"/>
  <c r="R36"/>
  <c r="R37"/>
  <c r="R7"/>
  <c r="S7" s="1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C8" s="1"/>
  <c r="D8" s="1"/>
  <c r="B9"/>
  <c r="C9" s="1"/>
  <c r="D9" s="1"/>
  <c r="B10"/>
  <c r="C10" s="1"/>
  <c r="D10" s="1"/>
  <c r="B11"/>
  <c r="E11" s="1"/>
  <c r="B12"/>
  <c r="C12" s="1"/>
  <c r="D12" s="1"/>
  <c r="B13"/>
  <c r="C13" s="1"/>
  <c r="D13" s="1"/>
  <c r="B14"/>
  <c r="C14" s="1"/>
  <c r="D14" s="1"/>
  <c r="B15"/>
  <c r="E15" s="1"/>
  <c r="B16"/>
  <c r="E16" s="1"/>
  <c r="B17"/>
  <c r="E17" s="1"/>
  <c r="B18"/>
  <c r="E18" s="1"/>
  <c r="B19"/>
  <c r="E19" s="1"/>
  <c r="B20"/>
  <c r="E20" s="1"/>
  <c r="B21"/>
  <c r="E21" s="1"/>
  <c r="B22"/>
  <c r="E22" s="1"/>
  <c r="B23"/>
  <c r="C23" s="1"/>
  <c r="D23" s="1"/>
  <c r="B24"/>
  <c r="B25"/>
  <c r="B26"/>
  <c r="E26" s="1"/>
  <c r="B27"/>
  <c r="C27" s="1"/>
  <c r="D27" s="1"/>
  <c r="B28"/>
  <c r="E28" s="1"/>
  <c r="B29"/>
  <c r="C29" s="1"/>
  <c r="D29" s="1"/>
  <c r="B30"/>
  <c r="E30" s="1"/>
  <c r="B31"/>
  <c r="E31" s="1"/>
  <c r="B32"/>
  <c r="E32" s="1"/>
  <c r="B33"/>
  <c r="E33" s="1"/>
  <c r="B34"/>
  <c r="E34" s="1"/>
  <c r="B35"/>
  <c r="E35" s="1"/>
  <c r="B36"/>
  <c r="E36" s="1"/>
  <c r="B37"/>
  <c r="B7"/>
  <c r="C7" s="1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A37"/>
  <c r="V37"/>
  <c r="O37"/>
  <c r="Q37" s="1"/>
  <c r="N37"/>
  <c r="I37"/>
  <c r="DK37" s="1"/>
  <c r="DD36"/>
  <c r="DC36"/>
  <c r="DB36"/>
  <c r="DA36"/>
  <c r="CZ36"/>
  <c r="CY36"/>
  <c r="CX36"/>
  <c r="CW36"/>
  <c r="CV36"/>
  <c r="CU36"/>
  <c r="CT36"/>
  <c r="BI36"/>
  <c r="BC36"/>
  <c r="AO36"/>
  <c r="BA36" s="1"/>
  <c r="V36"/>
  <c r="O36"/>
  <c r="Q36" s="1"/>
  <c r="N36"/>
  <c r="I36"/>
  <c r="DK36" s="1"/>
  <c r="DD35"/>
  <c r="DC35"/>
  <c r="DB35"/>
  <c r="DA35"/>
  <c r="CZ35"/>
  <c r="CY35"/>
  <c r="CX35"/>
  <c r="CW35"/>
  <c r="CV35"/>
  <c r="CU35"/>
  <c r="CT35"/>
  <c r="BI35"/>
  <c r="BC35"/>
  <c r="AP35"/>
  <c r="AO35"/>
  <c r="BA35" s="1"/>
  <c r="V35"/>
  <c r="O35"/>
  <c r="P35" s="1"/>
  <c r="DE35" s="1"/>
  <c r="N35"/>
  <c r="I35"/>
  <c r="DK35" s="1"/>
  <c r="DD34"/>
  <c r="DC34"/>
  <c r="DB34"/>
  <c r="DA34"/>
  <c r="CZ34"/>
  <c r="CY34"/>
  <c r="CX34"/>
  <c r="CW34"/>
  <c r="CV34"/>
  <c r="CU34"/>
  <c r="CT34"/>
  <c r="BI34"/>
  <c r="BC34"/>
  <c r="AO34"/>
  <c r="BA34" s="1"/>
  <c r="V34"/>
  <c r="O34"/>
  <c r="Q34" s="1"/>
  <c r="N34"/>
  <c r="I34"/>
  <c r="DK34" s="1"/>
  <c r="DD33"/>
  <c r="DC33"/>
  <c r="DB33"/>
  <c r="DA33"/>
  <c r="CZ33"/>
  <c r="CY33"/>
  <c r="CX33"/>
  <c r="CW33"/>
  <c r="CV33"/>
  <c r="CU33"/>
  <c r="CT33"/>
  <c r="BI33"/>
  <c r="BC33"/>
  <c r="AO33"/>
  <c r="AP33" s="1"/>
  <c r="V33"/>
  <c r="O33"/>
  <c r="P33" s="1"/>
  <c r="DE33" s="1"/>
  <c r="N33"/>
  <c r="I33"/>
  <c r="DK33" s="1"/>
  <c r="DD32"/>
  <c r="DC32"/>
  <c r="DB32"/>
  <c r="DA32"/>
  <c r="CZ32"/>
  <c r="CY32"/>
  <c r="CX32"/>
  <c r="CW32"/>
  <c r="CV32"/>
  <c r="CU32"/>
  <c r="CT32"/>
  <c r="BI32"/>
  <c r="BC32"/>
  <c r="AO32"/>
  <c r="BA32" s="1"/>
  <c r="V32"/>
  <c r="O32"/>
  <c r="Q32" s="1"/>
  <c r="N32"/>
  <c r="I32"/>
  <c r="DK32" s="1"/>
  <c r="DD31"/>
  <c r="DC31"/>
  <c r="DB31"/>
  <c r="DA31"/>
  <c r="CZ31"/>
  <c r="CY31"/>
  <c r="CX31"/>
  <c r="CW31"/>
  <c r="CV31"/>
  <c r="CU31"/>
  <c r="CT31"/>
  <c r="BI31"/>
  <c r="BC31"/>
  <c r="AP31"/>
  <c r="AO31"/>
  <c r="BA31" s="1"/>
  <c r="V31"/>
  <c r="O31"/>
  <c r="P31" s="1"/>
  <c r="DE31" s="1"/>
  <c r="N31"/>
  <c r="I31"/>
  <c r="DK31" s="1"/>
  <c r="DD30"/>
  <c r="DC30"/>
  <c r="DB30"/>
  <c r="DA30"/>
  <c r="CZ30"/>
  <c r="CY30"/>
  <c r="CX30"/>
  <c r="CW30"/>
  <c r="CV30"/>
  <c r="CU30"/>
  <c r="CT30"/>
  <c r="BI30"/>
  <c r="BC30"/>
  <c r="AO30"/>
  <c r="BA30" s="1"/>
  <c r="V30"/>
  <c r="O30"/>
  <c r="Q30" s="1"/>
  <c r="N30"/>
  <c r="I30"/>
  <c r="DK30" s="1"/>
  <c r="DD29"/>
  <c r="DC29"/>
  <c r="DB29"/>
  <c r="DA29"/>
  <c r="CZ29"/>
  <c r="CY29"/>
  <c r="CX29"/>
  <c r="CW29"/>
  <c r="CV29"/>
  <c r="CU29"/>
  <c r="CT29"/>
  <c r="BI29"/>
  <c r="BC29"/>
  <c r="AO29"/>
  <c r="BA29" s="1"/>
  <c r="V29"/>
  <c r="O29"/>
  <c r="P29" s="1"/>
  <c r="DE29" s="1"/>
  <c r="N29"/>
  <c r="I29"/>
  <c r="DK29" s="1"/>
  <c r="DD28"/>
  <c r="DC28"/>
  <c r="DB28"/>
  <c r="DA28"/>
  <c r="CZ28"/>
  <c r="CY28"/>
  <c r="CX28"/>
  <c r="CW28"/>
  <c r="CV28"/>
  <c r="CU28"/>
  <c r="CT28"/>
  <c r="BI28"/>
  <c r="BC28"/>
  <c r="V28"/>
  <c r="O28"/>
  <c r="Q28" s="1"/>
  <c r="N28"/>
  <c r="I28"/>
  <c r="DK28" s="1"/>
  <c r="DD27"/>
  <c r="DC27"/>
  <c r="DB27"/>
  <c r="DA27"/>
  <c r="CZ27"/>
  <c r="CY27"/>
  <c r="CX27"/>
  <c r="CW27"/>
  <c r="CV27"/>
  <c r="CU27"/>
  <c r="CT27"/>
  <c r="BI27"/>
  <c r="BC27"/>
  <c r="V27"/>
  <c r="O27"/>
  <c r="P27" s="1"/>
  <c r="DE27" s="1"/>
  <c r="N27"/>
  <c r="I27"/>
  <c r="DK27" s="1"/>
  <c r="DD26"/>
  <c r="DC26"/>
  <c r="DB26"/>
  <c r="DA26"/>
  <c r="CZ26"/>
  <c r="CY26"/>
  <c r="CX26"/>
  <c r="CW26"/>
  <c r="CV26"/>
  <c r="CU26"/>
  <c r="CT26"/>
  <c r="BI26"/>
  <c r="BC26"/>
  <c r="BA26"/>
  <c r="BK26" s="1"/>
  <c r="AP26"/>
  <c r="AI26"/>
  <c r="V26"/>
  <c r="O26"/>
  <c r="P26" s="1"/>
  <c r="DE26" s="1"/>
  <c r="N26"/>
  <c r="I26"/>
  <c r="DK26" s="1"/>
  <c r="DD25"/>
  <c r="DC25"/>
  <c r="DB25"/>
  <c r="DA25"/>
  <c r="CZ25"/>
  <c r="CY25"/>
  <c r="CX25"/>
  <c r="CW25"/>
  <c r="CV25"/>
  <c r="CU25"/>
  <c r="CT25"/>
  <c r="BI25"/>
  <c r="BC25"/>
  <c r="V25"/>
  <c r="O25"/>
  <c r="Q25" s="1"/>
  <c r="N25"/>
  <c r="I25"/>
  <c r="DK25" s="1"/>
  <c r="DD24"/>
  <c r="DC24"/>
  <c r="DB24"/>
  <c r="DA24"/>
  <c r="CZ24"/>
  <c r="CY24"/>
  <c r="CX24"/>
  <c r="CW24"/>
  <c r="CV24"/>
  <c r="CU24"/>
  <c r="CT24"/>
  <c r="BI24"/>
  <c r="BC24"/>
  <c r="V24"/>
  <c r="O24"/>
  <c r="Q24" s="1"/>
  <c r="N24"/>
  <c r="I24"/>
  <c r="DD23"/>
  <c r="DC23"/>
  <c r="DB23"/>
  <c r="DA23"/>
  <c r="CZ23"/>
  <c r="CY23"/>
  <c r="CX23"/>
  <c r="CW23"/>
  <c r="CV23"/>
  <c r="CU23"/>
  <c r="CT23"/>
  <c r="BI23"/>
  <c r="BC23"/>
  <c r="AP23"/>
  <c r="V23"/>
  <c r="O23"/>
  <c r="P23" s="1"/>
  <c r="DE23" s="1"/>
  <c r="N23"/>
  <c r="I23"/>
  <c r="DD22"/>
  <c r="DC22"/>
  <c r="DB22"/>
  <c r="DA22"/>
  <c r="CZ22"/>
  <c r="CY22"/>
  <c r="CX22"/>
  <c r="CW22"/>
  <c r="CV22"/>
  <c r="CU22"/>
  <c r="CT22"/>
  <c r="BI22"/>
  <c r="BC22"/>
  <c r="BA22"/>
  <c r="V22"/>
  <c r="O22"/>
  <c r="Q22" s="1"/>
  <c r="N22"/>
  <c r="I22"/>
  <c r="DK22" s="1"/>
  <c r="DD21"/>
  <c r="DC21"/>
  <c r="DB21"/>
  <c r="DA21"/>
  <c r="CZ21"/>
  <c r="CY21"/>
  <c r="CX21"/>
  <c r="CW21"/>
  <c r="CV21"/>
  <c r="CU21"/>
  <c r="CT21"/>
  <c r="BI21"/>
  <c r="BC21"/>
  <c r="V21"/>
  <c r="O21"/>
  <c r="P21" s="1"/>
  <c r="DE21" s="1"/>
  <c r="N21"/>
  <c r="I21"/>
  <c r="DK21" s="1"/>
  <c r="DD20"/>
  <c r="DC20"/>
  <c r="DB20"/>
  <c r="DA20"/>
  <c r="CZ20"/>
  <c r="CY20"/>
  <c r="CX20"/>
  <c r="CW20"/>
  <c r="CV20"/>
  <c r="CU20"/>
  <c r="CT20"/>
  <c r="BI20"/>
  <c r="BC20"/>
  <c r="BA20"/>
  <c r="V20"/>
  <c r="O20"/>
  <c r="Q20" s="1"/>
  <c r="N20"/>
  <c r="I20"/>
  <c r="DK20" s="1"/>
  <c r="DD19"/>
  <c r="DC19"/>
  <c r="DB19"/>
  <c r="DA19"/>
  <c r="CZ19"/>
  <c r="CY19"/>
  <c r="CX19"/>
  <c r="CW19"/>
  <c r="CV19"/>
  <c r="CU19"/>
  <c r="CT19"/>
  <c r="BI19"/>
  <c r="BC19"/>
  <c r="V19"/>
  <c r="O19"/>
  <c r="P19" s="1"/>
  <c r="DE19" s="1"/>
  <c r="N19"/>
  <c r="I19"/>
  <c r="DK19" s="1"/>
  <c r="DD18"/>
  <c r="DC18"/>
  <c r="DB18"/>
  <c r="DA18"/>
  <c r="CZ18"/>
  <c r="CY18"/>
  <c r="CX18"/>
  <c r="CW18"/>
  <c r="CV18"/>
  <c r="CU18"/>
  <c r="CT18"/>
  <c r="BI18"/>
  <c r="BC18"/>
  <c r="V18"/>
  <c r="O18"/>
  <c r="Q18" s="1"/>
  <c r="N18"/>
  <c r="I18"/>
  <c r="DK18" s="1"/>
  <c r="DD17"/>
  <c r="DC17"/>
  <c r="DB17"/>
  <c r="DA17"/>
  <c r="CZ17"/>
  <c r="CY17"/>
  <c r="CX17"/>
  <c r="CW17"/>
  <c r="CV17"/>
  <c r="CU17"/>
  <c r="CT17"/>
  <c r="BI17"/>
  <c r="BC17"/>
  <c r="AP17"/>
  <c r="V17"/>
  <c r="O17"/>
  <c r="Q17" s="1"/>
  <c r="N17"/>
  <c r="I17"/>
  <c r="DK17" s="1"/>
  <c r="DD16"/>
  <c r="DC16"/>
  <c r="DB16"/>
  <c r="DA16"/>
  <c r="CZ16"/>
  <c r="CY16"/>
  <c r="CX16"/>
  <c r="CW16"/>
  <c r="CV16"/>
  <c r="CU16"/>
  <c r="CT16"/>
  <c r="BI16"/>
  <c r="BC16"/>
  <c r="BA16"/>
  <c r="BK16" s="1"/>
  <c r="AP16"/>
  <c r="AK16"/>
  <c r="V16"/>
  <c r="O16"/>
  <c r="P16" s="1"/>
  <c r="DE16" s="1"/>
  <c r="N16"/>
  <c r="M16"/>
  <c r="I16"/>
  <c r="DK16" s="1"/>
  <c r="H16"/>
  <c r="DD15"/>
  <c r="DC15"/>
  <c r="DB15"/>
  <c r="DA15"/>
  <c r="CZ15"/>
  <c r="CY15"/>
  <c r="CX15"/>
  <c r="CW15"/>
  <c r="CV15"/>
  <c r="CU15"/>
  <c r="CT15"/>
  <c r="BI15"/>
  <c r="BC15"/>
  <c r="AO15"/>
  <c r="BA15" s="1"/>
  <c r="V15"/>
  <c r="O15"/>
  <c r="P15" s="1"/>
  <c r="DE15" s="1"/>
  <c r="N15"/>
  <c r="I15"/>
  <c r="DK15" s="1"/>
  <c r="DD14"/>
  <c r="DC14"/>
  <c r="DB14"/>
  <c r="DA14"/>
  <c r="CZ14"/>
  <c r="CY14"/>
  <c r="CX14"/>
  <c r="CW14"/>
  <c r="CV14"/>
  <c r="CU14"/>
  <c r="CT14"/>
  <c r="BI14"/>
  <c r="BC14"/>
  <c r="AP14"/>
  <c r="AO14"/>
  <c r="BA14" s="1"/>
  <c r="V14"/>
  <c r="O14"/>
  <c r="P14" s="1"/>
  <c r="DE14" s="1"/>
  <c r="N14"/>
  <c r="I14"/>
  <c r="DG14" s="1"/>
  <c r="DJ14" s="1"/>
  <c r="DD13"/>
  <c r="DC13"/>
  <c r="DB13"/>
  <c r="DA13"/>
  <c r="CZ13"/>
  <c r="CY13"/>
  <c r="CX13"/>
  <c r="CW13"/>
  <c r="CV13"/>
  <c r="CU13"/>
  <c r="CT13"/>
  <c r="BI13"/>
  <c r="BC13"/>
  <c r="AO13"/>
  <c r="BA13" s="1"/>
  <c r="V13"/>
  <c r="O13"/>
  <c r="P13" s="1"/>
  <c r="DE13" s="1"/>
  <c r="N13"/>
  <c r="I13"/>
  <c r="DK13" s="1"/>
  <c r="DD12"/>
  <c r="DC12"/>
  <c r="DB12"/>
  <c r="DA12"/>
  <c r="CZ12"/>
  <c r="CY12"/>
  <c r="CX12"/>
  <c r="CW12"/>
  <c r="CV12"/>
  <c r="CU12"/>
  <c r="CT12"/>
  <c r="BI12"/>
  <c r="BC12"/>
  <c r="AO12"/>
  <c r="BA12" s="1"/>
  <c r="V12"/>
  <c r="O12"/>
  <c r="P12" s="1"/>
  <c r="DE12" s="1"/>
  <c r="N12"/>
  <c r="I12"/>
  <c r="DG12" s="1"/>
  <c r="DJ12" s="1"/>
  <c r="DD11"/>
  <c r="DC11"/>
  <c r="DB11"/>
  <c r="DA11"/>
  <c r="CZ11"/>
  <c r="CY11"/>
  <c r="CX11"/>
  <c r="CW11"/>
  <c r="CV11"/>
  <c r="CU11"/>
  <c r="CT11"/>
  <c r="BI11"/>
  <c r="BC11"/>
  <c r="AO11"/>
  <c r="BA11" s="1"/>
  <c r="V11"/>
  <c r="O11"/>
  <c r="P11" s="1"/>
  <c r="DE11" s="1"/>
  <c r="N11"/>
  <c r="I11"/>
  <c r="DK11" s="1"/>
  <c r="DD10"/>
  <c r="DC10"/>
  <c r="DB10"/>
  <c r="DA10"/>
  <c r="CZ10"/>
  <c r="CY10"/>
  <c r="CX10"/>
  <c r="CW10"/>
  <c r="CV10"/>
  <c r="CU10"/>
  <c r="CT10"/>
  <c r="BI10"/>
  <c r="BC10"/>
  <c r="AO10"/>
  <c r="BA10" s="1"/>
  <c r="V10"/>
  <c r="O10"/>
  <c r="P10" s="1"/>
  <c r="DE10" s="1"/>
  <c r="N10"/>
  <c r="I10"/>
  <c r="DG10" s="1"/>
  <c r="DJ10" s="1"/>
  <c r="DD9"/>
  <c r="DC9"/>
  <c r="DB9"/>
  <c r="DA9"/>
  <c r="CZ9"/>
  <c r="CY9"/>
  <c r="CX9"/>
  <c r="CW9"/>
  <c r="CV9"/>
  <c r="CU9"/>
  <c r="CT9"/>
  <c r="BI9"/>
  <c r="BC9"/>
  <c r="AO9"/>
  <c r="BA9" s="1"/>
  <c r="V9"/>
  <c r="O9"/>
  <c r="P9" s="1"/>
  <c r="DE9" s="1"/>
  <c r="N9"/>
  <c r="I9"/>
  <c r="DK9" s="1"/>
  <c r="DD8"/>
  <c r="DC8"/>
  <c r="DB8"/>
  <c r="DA8"/>
  <c r="CZ8"/>
  <c r="CY8"/>
  <c r="CX8"/>
  <c r="CW8"/>
  <c r="CV8"/>
  <c r="CU8"/>
  <c r="CT8"/>
  <c r="BI8"/>
  <c r="BC8"/>
  <c r="AO8"/>
  <c r="BA8" s="1"/>
  <c r="V8"/>
  <c r="O8"/>
  <c r="P8" s="1"/>
  <c r="DE8" s="1"/>
  <c r="N8"/>
  <c r="I8"/>
  <c r="DG8" s="1"/>
  <c r="DJ8" s="1"/>
  <c r="DD7"/>
  <c r="DC7"/>
  <c r="DB7"/>
  <c r="DA7"/>
  <c r="DA38" s="1"/>
  <c r="CZ7"/>
  <c r="CY7"/>
  <c r="CY38" s="1"/>
  <c r="CX7"/>
  <c r="CW7"/>
  <c r="CW38" s="1"/>
  <c r="CV7"/>
  <c r="CU7"/>
  <c r="CT7"/>
  <c r="BI7"/>
  <c r="BC7"/>
  <c r="AO7"/>
  <c r="V7"/>
  <c r="O7"/>
  <c r="N7"/>
  <c r="I7"/>
  <c r="DD29" i="113"/>
  <c r="DC29"/>
  <c r="DB29"/>
  <c r="DA29"/>
  <c r="CZ29"/>
  <c r="CY29"/>
  <c r="CX29"/>
  <c r="CW29"/>
  <c r="CV29"/>
  <c r="CU29"/>
  <c r="CT29"/>
  <c r="BI29"/>
  <c r="BC29"/>
  <c r="BA29"/>
  <c r="V29"/>
  <c r="R29"/>
  <c r="O29"/>
  <c r="Q29" s="1"/>
  <c r="N29"/>
  <c r="L29"/>
  <c r="J29"/>
  <c r="I29"/>
  <c r="B29"/>
  <c r="B28"/>
  <c r="C28" s="1"/>
  <c r="D28" s="1"/>
  <c r="I28"/>
  <c r="DK28" s="1"/>
  <c r="J28"/>
  <c r="L28"/>
  <c r="N28"/>
  <c r="O28"/>
  <c r="P28" s="1"/>
  <c r="DE28" s="1"/>
  <c r="R28"/>
  <c r="S28" s="1"/>
  <c r="T28" s="1"/>
  <c r="V28"/>
  <c r="AP28"/>
  <c r="BA28"/>
  <c r="H28" s="1"/>
  <c r="BC28"/>
  <c r="BH28"/>
  <c r="BI28"/>
  <c r="BJ28" s="1"/>
  <c r="BK28"/>
  <c r="BL28" s="1"/>
  <c r="CT28"/>
  <c r="CU28"/>
  <c r="CV28"/>
  <c r="CW28"/>
  <c r="CX28"/>
  <c r="CY28"/>
  <c r="CZ28"/>
  <c r="DA28"/>
  <c r="DB28"/>
  <c r="DC28"/>
  <c r="DD28"/>
  <c r="DG28"/>
  <c r="DJ28" s="1"/>
  <c r="B27"/>
  <c r="C27" s="1"/>
  <c r="D27" s="1"/>
  <c r="I27"/>
  <c r="DK27" s="1"/>
  <c r="J27"/>
  <c r="L27"/>
  <c r="N27"/>
  <c r="O27"/>
  <c r="P27" s="1"/>
  <c r="DE27" s="1"/>
  <c r="R27"/>
  <c r="S27" s="1"/>
  <c r="T27" s="1"/>
  <c r="V27"/>
  <c r="AP27"/>
  <c r="BA27"/>
  <c r="H27" s="1"/>
  <c r="BC27"/>
  <c r="BH27"/>
  <c r="BI27"/>
  <c r="BJ27" s="1"/>
  <c r="BK27"/>
  <c r="CT27"/>
  <c r="CU27"/>
  <c r="CV27"/>
  <c r="CW27"/>
  <c r="CX27"/>
  <c r="CY27"/>
  <c r="CZ27"/>
  <c r="DA27"/>
  <c r="DB27"/>
  <c r="DC27"/>
  <c r="DD27"/>
  <c r="DG27"/>
  <c r="DJ27" s="1"/>
  <c r="AI23"/>
  <c r="DD26"/>
  <c r="DC26"/>
  <c r="DB26"/>
  <c r="DA26"/>
  <c r="CZ26"/>
  <c r="CY26"/>
  <c r="CX26"/>
  <c r="CW26"/>
  <c r="CV26"/>
  <c r="CU26"/>
  <c r="CT26"/>
  <c r="BI26"/>
  <c r="BC26"/>
  <c r="BA26"/>
  <c r="BH26" s="1"/>
  <c r="AP26"/>
  <c r="AI26"/>
  <c r="V26"/>
  <c r="R26"/>
  <c r="O26"/>
  <c r="Q26" s="1"/>
  <c r="N26"/>
  <c r="M26"/>
  <c r="L26"/>
  <c r="J26"/>
  <c r="I26"/>
  <c r="DK26" s="1"/>
  <c r="H26"/>
  <c r="B26"/>
  <c r="DD25"/>
  <c r="DC25"/>
  <c r="DB25"/>
  <c r="DA25"/>
  <c r="CZ25"/>
  <c r="CY25"/>
  <c r="CX25"/>
  <c r="CW25"/>
  <c r="CV25"/>
  <c r="CU25"/>
  <c r="CT25"/>
  <c r="BI25"/>
  <c r="BC25"/>
  <c r="BA25"/>
  <c r="V25"/>
  <c r="R25"/>
  <c r="O25"/>
  <c r="P25" s="1"/>
  <c r="DE25" s="1"/>
  <c r="N25"/>
  <c r="L25"/>
  <c r="J25"/>
  <c r="I25"/>
  <c r="DK25" s="1"/>
  <c r="B25"/>
  <c r="DD24"/>
  <c r="DC24"/>
  <c r="DB24"/>
  <c r="DA24"/>
  <c r="CZ24"/>
  <c r="CY24"/>
  <c r="CX24"/>
  <c r="CW24"/>
  <c r="CV24"/>
  <c r="CU24"/>
  <c r="CT24"/>
  <c r="BI24"/>
  <c r="BC24"/>
  <c r="BF24" s="1"/>
  <c r="BA24"/>
  <c r="BK24" s="1"/>
  <c r="AP24"/>
  <c r="AK24"/>
  <c r="V24"/>
  <c r="R24"/>
  <c r="O24"/>
  <c r="Q24" s="1"/>
  <c r="N24"/>
  <c r="M24"/>
  <c r="L24"/>
  <c r="J24"/>
  <c r="I24"/>
  <c r="DG24" s="1"/>
  <c r="DJ24" s="1"/>
  <c r="H24"/>
  <c r="B24"/>
  <c r="DD23"/>
  <c r="DC23"/>
  <c r="DB23"/>
  <c r="DA23"/>
  <c r="CZ23"/>
  <c r="CY23"/>
  <c r="CX23"/>
  <c r="CW23"/>
  <c r="CV23"/>
  <c r="CU23"/>
  <c r="CT23"/>
  <c r="BI23"/>
  <c r="BC23"/>
  <c r="BA23"/>
  <c r="V23"/>
  <c r="R23"/>
  <c r="O23"/>
  <c r="Q23" s="1"/>
  <c r="N23"/>
  <c r="L23"/>
  <c r="J23"/>
  <c r="I23"/>
  <c r="DK23" s="1"/>
  <c r="B23"/>
  <c r="DD22"/>
  <c r="DC22"/>
  <c r="DB22"/>
  <c r="DA22"/>
  <c r="CZ22"/>
  <c r="CY22"/>
  <c r="CX22"/>
  <c r="CW22"/>
  <c r="CV22"/>
  <c r="CU22"/>
  <c r="CT22"/>
  <c r="BI22"/>
  <c r="BC22"/>
  <c r="BA22"/>
  <c r="V22"/>
  <c r="R22"/>
  <c r="S22" s="1"/>
  <c r="O22"/>
  <c r="Q22" s="1"/>
  <c r="N22"/>
  <c r="L22"/>
  <c r="J22"/>
  <c r="I22"/>
  <c r="DK22" s="1"/>
  <c r="B22"/>
  <c r="E22" s="1"/>
  <c r="B21"/>
  <c r="C21" s="1"/>
  <c r="D21" s="1"/>
  <c r="I21"/>
  <c r="DK21" s="1"/>
  <c r="J21"/>
  <c r="L21"/>
  <c r="N21"/>
  <c r="O21"/>
  <c r="P21" s="1"/>
  <c r="DE21" s="1"/>
  <c r="R21"/>
  <c r="S21" s="1"/>
  <c r="T21" s="1"/>
  <c r="V21"/>
  <c r="AP21"/>
  <c r="BA21"/>
  <c r="H21" s="1"/>
  <c r="BC21"/>
  <c r="BH21"/>
  <c r="BI21"/>
  <c r="BJ21" s="1"/>
  <c r="BK21"/>
  <c r="CT21"/>
  <c r="CU21"/>
  <c r="CV21"/>
  <c r="CW21"/>
  <c r="CX21"/>
  <c r="CY21"/>
  <c r="CZ21"/>
  <c r="DA21"/>
  <c r="DB21"/>
  <c r="DC21"/>
  <c r="DD21"/>
  <c r="B20"/>
  <c r="C20" s="1"/>
  <c r="D20" s="1"/>
  <c r="I20"/>
  <c r="DG20" s="1"/>
  <c r="DJ20" s="1"/>
  <c r="J20"/>
  <c r="L20"/>
  <c r="N20"/>
  <c r="O20"/>
  <c r="P20" s="1"/>
  <c r="DE20" s="1"/>
  <c r="R20"/>
  <c r="S20" s="1"/>
  <c r="T20" s="1"/>
  <c r="V20"/>
  <c r="AP20"/>
  <c r="BA20"/>
  <c r="H20" s="1"/>
  <c r="BC20"/>
  <c r="BH20"/>
  <c r="BI20"/>
  <c r="BJ20" s="1"/>
  <c r="BK20"/>
  <c r="CT20"/>
  <c r="CU20"/>
  <c r="CV20"/>
  <c r="CW20"/>
  <c r="CX20"/>
  <c r="CY20"/>
  <c r="CZ20"/>
  <c r="DA20"/>
  <c r="DB20"/>
  <c r="DC20"/>
  <c r="DD20"/>
  <c r="DK20"/>
  <c r="DD19"/>
  <c r="DC19"/>
  <c r="DB19"/>
  <c r="DA19"/>
  <c r="CZ19"/>
  <c r="CY19"/>
  <c r="CX19"/>
  <c r="CW19"/>
  <c r="CV19"/>
  <c r="CU19"/>
  <c r="CT19"/>
  <c r="BI19"/>
  <c r="BC19"/>
  <c r="BA19"/>
  <c r="V19"/>
  <c r="R19"/>
  <c r="O19"/>
  <c r="Q19" s="1"/>
  <c r="N19"/>
  <c r="L19"/>
  <c r="J19"/>
  <c r="I19"/>
  <c r="DK19" s="1"/>
  <c r="B19"/>
  <c r="DD18"/>
  <c r="DC18"/>
  <c r="DB18"/>
  <c r="DA18"/>
  <c r="CZ18"/>
  <c r="CY18"/>
  <c r="CX18"/>
  <c r="CW18"/>
  <c r="CV18"/>
  <c r="CU18"/>
  <c r="CT18"/>
  <c r="BI18"/>
  <c r="BC18"/>
  <c r="BA18"/>
  <c r="V18"/>
  <c r="R18"/>
  <c r="O18"/>
  <c r="Q18" s="1"/>
  <c r="N18"/>
  <c r="L18"/>
  <c r="J18"/>
  <c r="I18"/>
  <c r="DK18" s="1"/>
  <c r="B18"/>
  <c r="DD17"/>
  <c r="DC17"/>
  <c r="DB17"/>
  <c r="DA17"/>
  <c r="CZ17"/>
  <c r="CY17"/>
  <c r="CX17"/>
  <c r="CW17"/>
  <c r="CV17"/>
  <c r="CU17"/>
  <c r="CT17"/>
  <c r="BI17"/>
  <c r="BC17"/>
  <c r="AP17"/>
  <c r="BA17"/>
  <c r="V17"/>
  <c r="R17"/>
  <c r="S17" s="1"/>
  <c r="O17"/>
  <c r="Q17" s="1"/>
  <c r="N17"/>
  <c r="L17"/>
  <c r="J17"/>
  <c r="I17"/>
  <c r="DK17" s="1"/>
  <c r="B17"/>
  <c r="C17" s="1"/>
  <c r="DD16"/>
  <c r="DC16"/>
  <c r="DB16"/>
  <c r="DA16"/>
  <c r="CZ16"/>
  <c r="CY16"/>
  <c r="CX16"/>
  <c r="CW16"/>
  <c r="CV16"/>
  <c r="M16" s="1"/>
  <c r="CU16"/>
  <c r="CT16"/>
  <c r="BI16"/>
  <c r="BC16"/>
  <c r="BA16"/>
  <c r="BH16" s="1"/>
  <c r="AP16"/>
  <c r="AK16"/>
  <c r="AI16"/>
  <c r="V16"/>
  <c r="R16"/>
  <c r="S16" s="1"/>
  <c r="O16"/>
  <c r="Q16" s="1"/>
  <c r="N16"/>
  <c r="L16"/>
  <c r="J16"/>
  <c r="I16"/>
  <c r="DK16" s="1"/>
  <c r="H16"/>
  <c r="B16"/>
  <c r="E16" s="1"/>
  <c r="DD15"/>
  <c r="DC15"/>
  <c r="DB15"/>
  <c r="DA15"/>
  <c r="CZ15"/>
  <c r="CY15"/>
  <c r="CX15"/>
  <c r="CW15"/>
  <c r="CV15"/>
  <c r="CU15"/>
  <c r="CT15"/>
  <c r="BI15"/>
  <c r="BC15"/>
  <c r="AP15"/>
  <c r="BA15"/>
  <c r="V15"/>
  <c r="R15"/>
  <c r="S15" s="1"/>
  <c r="O15"/>
  <c r="Q15" s="1"/>
  <c r="N15"/>
  <c r="L15"/>
  <c r="J15"/>
  <c r="I15"/>
  <c r="DK15" s="1"/>
  <c r="B15"/>
  <c r="C15" s="1"/>
  <c r="B14"/>
  <c r="C14" s="1"/>
  <c r="D14" s="1"/>
  <c r="I14"/>
  <c r="DG14" s="1"/>
  <c r="DJ14" s="1"/>
  <c r="J14"/>
  <c r="L14"/>
  <c r="N14"/>
  <c r="O14"/>
  <c r="P14" s="1"/>
  <c r="DE14" s="1"/>
  <c r="R14"/>
  <c r="S14" s="1"/>
  <c r="T14" s="1"/>
  <c r="V14"/>
  <c r="AP14"/>
  <c r="BA14"/>
  <c r="BC14"/>
  <c r="BD14"/>
  <c r="BF14"/>
  <c r="BH14"/>
  <c r="BI14"/>
  <c r="BJ14" s="1"/>
  <c r="BK14"/>
  <c r="CT14"/>
  <c r="CU14"/>
  <c r="CV14"/>
  <c r="CW14"/>
  <c r="CX14"/>
  <c r="CY14"/>
  <c r="CZ14"/>
  <c r="DA14"/>
  <c r="DB14"/>
  <c r="DC14"/>
  <c r="DD14"/>
  <c r="DK14"/>
  <c r="B13"/>
  <c r="C13" s="1"/>
  <c r="D13" s="1"/>
  <c r="I13"/>
  <c r="DK13" s="1"/>
  <c r="J13"/>
  <c r="L13"/>
  <c r="N13"/>
  <c r="O13"/>
  <c r="P13" s="1"/>
  <c r="DE13" s="1"/>
  <c r="R13"/>
  <c r="S13" s="1"/>
  <c r="T13" s="1"/>
  <c r="V13"/>
  <c r="AP13"/>
  <c r="BA13"/>
  <c r="BC13"/>
  <c r="BD13"/>
  <c r="BF13"/>
  <c r="BH13"/>
  <c r="BI13"/>
  <c r="BJ13" s="1"/>
  <c r="BK13"/>
  <c r="CT13"/>
  <c r="CU13"/>
  <c r="CV13"/>
  <c r="CW13"/>
  <c r="CX13"/>
  <c r="CY13"/>
  <c r="CZ13"/>
  <c r="DA13"/>
  <c r="DB13"/>
  <c r="DC13"/>
  <c r="DD13"/>
  <c r="DG13"/>
  <c r="DJ13" s="1"/>
  <c r="AO12" i="111"/>
  <c r="DD12" i="113"/>
  <c r="DC12"/>
  <c r="DB12"/>
  <c r="DA12"/>
  <c r="CZ12"/>
  <c r="CY12"/>
  <c r="CX12"/>
  <c r="CW12"/>
  <c r="CV12"/>
  <c r="CU12"/>
  <c r="CT12"/>
  <c r="BI12"/>
  <c r="BC12"/>
  <c r="AP12"/>
  <c r="BA12"/>
  <c r="V12"/>
  <c r="R12"/>
  <c r="O12"/>
  <c r="Q12" s="1"/>
  <c r="N12"/>
  <c r="L12"/>
  <c r="J12"/>
  <c r="I12"/>
  <c r="DK12" s="1"/>
  <c r="B12"/>
  <c r="DD11"/>
  <c r="DC11"/>
  <c r="DB11"/>
  <c r="DA11"/>
  <c r="CZ11"/>
  <c r="CY11"/>
  <c r="CX11"/>
  <c r="CW11"/>
  <c r="CV11"/>
  <c r="CU11"/>
  <c r="CT11"/>
  <c r="BI11"/>
  <c r="BC11"/>
  <c r="AP11"/>
  <c r="BA11"/>
  <c r="V11"/>
  <c r="R11"/>
  <c r="S11" s="1"/>
  <c r="O11"/>
  <c r="Q11" s="1"/>
  <c r="N11"/>
  <c r="L11"/>
  <c r="J11"/>
  <c r="I11"/>
  <c r="DK11" s="1"/>
  <c r="B11"/>
  <c r="C11" s="1"/>
  <c r="B9"/>
  <c r="C9" s="1"/>
  <c r="D9" s="1"/>
  <c r="I9"/>
  <c r="DK9" s="1"/>
  <c r="J9"/>
  <c r="L9"/>
  <c r="N9"/>
  <c r="O9"/>
  <c r="P9" s="1"/>
  <c r="DE9" s="1"/>
  <c r="R9"/>
  <c r="S9" s="1"/>
  <c r="T9" s="1"/>
  <c r="V9"/>
  <c r="AP9"/>
  <c r="BA9"/>
  <c r="H9" s="1"/>
  <c r="BC9"/>
  <c r="BD9"/>
  <c r="BF9"/>
  <c r="BH9"/>
  <c r="BI9"/>
  <c r="BJ9" s="1"/>
  <c r="BJ10" s="1"/>
  <c r="BK9"/>
  <c r="CT9"/>
  <c r="CU9"/>
  <c r="CV9"/>
  <c r="CW9"/>
  <c r="CX9"/>
  <c r="CY9"/>
  <c r="CZ9"/>
  <c r="DA9"/>
  <c r="DB9"/>
  <c r="DC9"/>
  <c r="DD9"/>
  <c r="DG9"/>
  <c r="DJ9" s="1"/>
  <c r="B10"/>
  <c r="C10" s="1"/>
  <c r="D10" s="1"/>
  <c r="I10"/>
  <c r="DG10" s="1"/>
  <c r="DJ10" s="1"/>
  <c r="J10"/>
  <c r="L10"/>
  <c r="N10"/>
  <c r="O10"/>
  <c r="P10" s="1"/>
  <c r="DE10" s="1"/>
  <c r="R10"/>
  <c r="V10"/>
  <c r="AP10"/>
  <c r="BA10"/>
  <c r="BC10"/>
  <c r="BH10"/>
  <c r="BI10"/>
  <c r="BK10"/>
  <c r="CT10"/>
  <c r="CU10"/>
  <c r="CV10"/>
  <c r="CW10"/>
  <c r="CX10"/>
  <c r="CY10"/>
  <c r="CZ10"/>
  <c r="DA10"/>
  <c r="DB10"/>
  <c r="DC10"/>
  <c r="DD10"/>
  <c r="BF59"/>
  <c r="AV46"/>
  <c r="AV43"/>
  <c r="AD41"/>
  <c r="BG39"/>
  <c r="AU39"/>
  <c r="AS39"/>
  <c r="AR39"/>
  <c r="AQ39"/>
  <c r="AF39"/>
  <c r="AB39"/>
  <c r="CM38"/>
  <c r="CQ39" s="1"/>
  <c r="CL38"/>
  <c r="CP39" s="1"/>
  <c r="CK38"/>
  <c r="CO39" s="1"/>
  <c r="CJ38"/>
  <c r="CN39" s="1"/>
  <c r="BS38"/>
  <c r="CH39" s="1"/>
  <c r="BO38"/>
  <c r="CD39" s="1"/>
  <c r="BN38"/>
  <c r="BM38"/>
  <c r="BI38"/>
  <c r="AX38"/>
  <c r="AX39" s="1"/>
  <c r="AW38"/>
  <c r="AW39" s="1"/>
  <c r="AV38"/>
  <c r="AV41" s="1"/>
  <c r="AL38"/>
  <c r="AL39" s="1"/>
  <c r="AH38"/>
  <c r="AH39" s="1"/>
  <c r="Z38"/>
  <c r="Z39" s="1"/>
  <c r="Y38"/>
  <c r="Y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B37"/>
  <c r="AO37"/>
  <c r="BA37" s="1"/>
  <c r="V37"/>
  <c r="R37"/>
  <c r="O37"/>
  <c r="Q37" s="1"/>
  <c r="N37"/>
  <c r="L37"/>
  <c r="J37"/>
  <c r="I37"/>
  <c r="DK37" s="1"/>
  <c r="B37"/>
  <c r="DK29"/>
  <c r="DD8"/>
  <c r="DC8"/>
  <c r="DB8"/>
  <c r="DA8"/>
  <c r="CZ8"/>
  <c r="CY8"/>
  <c r="CX8"/>
  <c r="CW8"/>
  <c r="CV8"/>
  <c r="CU8"/>
  <c r="CT8"/>
  <c r="BI8"/>
  <c r="BC8"/>
  <c r="AP8"/>
  <c r="V8"/>
  <c r="R8"/>
  <c r="S8" s="1"/>
  <c r="O8"/>
  <c r="Q8" s="1"/>
  <c r="N8"/>
  <c r="L8"/>
  <c r="J8"/>
  <c r="I8"/>
  <c r="DK8" s="1"/>
  <c r="B8"/>
  <c r="E8" s="1"/>
  <c r="DD7"/>
  <c r="DD38" s="1"/>
  <c r="DC7"/>
  <c r="DC38" s="1"/>
  <c r="DB7"/>
  <c r="DB38" s="1"/>
  <c r="DA7"/>
  <c r="DA38" s="1"/>
  <c r="CZ7"/>
  <c r="CZ38" s="1"/>
  <c r="CY7"/>
  <c r="CY38" s="1"/>
  <c r="CX7"/>
  <c r="CX38" s="1"/>
  <c r="CW7"/>
  <c r="CW38" s="1"/>
  <c r="CV7"/>
  <c r="CV38" s="1"/>
  <c r="CU7"/>
  <c r="CU38" s="1"/>
  <c r="CT7"/>
  <c r="CT38" s="1"/>
  <c r="BI7"/>
  <c r="BC7"/>
  <c r="BC38" s="1"/>
  <c r="BC39" s="1"/>
  <c r="AO38"/>
  <c r="V7"/>
  <c r="R7"/>
  <c r="S7" s="1"/>
  <c r="O7"/>
  <c r="P7" s="1"/>
  <c r="N7"/>
  <c r="L7"/>
  <c r="J7"/>
  <c r="I7"/>
  <c r="B7"/>
  <c r="T7" i="112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DQ37"/>
  <c r="CL8"/>
  <c r="CL9"/>
  <c r="CL10"/>
  <c r="CL11"/>
  <c r="CL12"/>
  <c r="CL13"/>
  <c r="CL14"/>
  <c r="CL15"/>
  <c r="CL16"/>
  <c r="CL17"/>
  <c r="CL18"/>
  <c r="CL19"/>
  <c r="CL20"/>
  <c r="CL21"/>
  <c r="CL22"/>
  <c r="CL23"/>
  <c r="CL24"/>
  <c r="CL25"/>
  <c r="CL26"/>
  <c r="CL27"/>
  <c r="CL28"/>
  <c r="CL29"/>
  <c r="CL30"/>
  <c r="CL31"/>
  <c r="CL32"/>
  <c r="CL33"/>
  <c r="CL34"/>
  <c r="CL35"/>
  <c r="CL36"/>
  <c r="CL37"/>
  <c r="CL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7"/>
  <c r="BE37" i="115" l="1"/>
  <c r="F37"/>
  <c r="BE36"/>
  <c r="BB36"/>
  <c r="F36"/>
  <c r="S36" i="114"/>
  <c r="T36" s="1"/>
  <c r="W36" s="1"/>
  <c r="X36" s="1"/>
  <c r="BE35" i="115"/>
  <c r="BB35"/>
  <c r="F35"/>
  <c r="BK35" i="114"/>
  <c r="AK35"/>
  <c r="M35"/>
  <c r="H35"/>
  <c r="X32" i="115"/>
  <c r="X33"/>
  <c r="BB34"/>
  <c r="BE34"/>
  <c r="F34"/>
  <c r="S34" i="114"/>
  <c r="T34" s="1"/>
  <c r="W34" s="1"/>
  <c r="X34" s="1"/>
  <c r="BB32" i="115"/>
  <c r="BB30"/>
  <c r="BE30"/>
  <c r="F30"/>
  <c r="BB31"/>
  <c r="BE31"/>
  <c r="F31"/>
  <c r="BL31"/>
  <c r="BA33" i="114"/>
  <c r="BK33" s="1"/>
  <c r="M33"/>
  <c r="S33"/>
  <c r="T33" s="1"/>
  <c r="W33" s="1"/>
  <c r="S32"/>
  <c r="T32" s="1"/>
  <c r="W32" s="1"/>
  <c r="X32" s="1"/>
  <c r="BK31"/>
  <c r="AK31"/>
  <c r="M31"/>
  <c r="H31"/>
  <c r="S30"/>
  <c r="T30" s="1"/>
  <c r="W30" s="1"/>
  <c r="X30" s="1"/>
  <c r="BE29" i="115"/>
  <c r="BB29"/>
  <c r="F29"/>
  <c r="AP29" i="114"/>
  <c r="BB28" i="115"/>
  <c r="BE28"/>
  <c r="F28"/>
  <c r="S28" i="114"/>
  <c r="T28" s="1"/>
  <c r="BE27" i="115"/>
  <c r="BB27"/>
  <c r="F27"/>
  <c r="BB24"/>
  <c r="BE24"/>
  <c r="F24"/>
  <c r="BB26"/>
  <c r="BB25"/>
  <c r="S25" i="114"/>
  <c r="T25" s="1"/>
  <c r="X12" i="115"/>
  <c r="X19"/>
  <c r="S24" i="114"/>
  <c r="T24" s="1"/>
  <c r="BB23" i="115"/>
  <c r="BE23"/>
  <c r="F23"/>
  <c r="BE22"/>
  <c r="BB22"/>
  <c r="F22"/>
  <c r="C21"/>
  <c r="D21" s="1"/>
  <c r="AC39"/>
  <c r="AC41" s="1"/>
  <c r="CB39"/>
  <c r="X16"/>
  <c r="X21"/>
  <c r="BA21" i="114"/>
  <c r="M21" s="1"/>
  <c r="S21"/>
  <c r="T21" s="1"/>
  <c r="BB20" i="115"/>
  <c r="BE20"/>
  <c r="F20"/>
  <c r="S20" i="114"/>
  <c r="T20" s="1"/>
  <c r="X18" i="115"/>
  <c r="BB17"/>
  <c r="BE17"/>
  <c r="BB19"/>
  <c r="BB18"/>
  <c r="X13" i="116"/>
  <c r="S19" i="114"/>
  <c r="T19" s="1"/>
  <c r="S18"/>
  <c r="T18" s="1"/>
  <c r="S17"/>
  <c r="T17" s="1"/>
  <c r="X13" i="115"/>
  <c r="BE16"/>
  <c r="BB15"/>
  <c r="BE15"/>
  <c r="BK15"/>
  <c r="BL15" s="1"/>
  <c r="BD15"/>
  <c r="BF15" s="1"/>
  <c r="AK15"/>
  <c r="M15"/>
  <c r="H15"/>
  <c r="BH15"/>
  <c r="AI15"/>
  <c r="W15"/>
  <c r="X15" s="1"/>
  <c r="F15"/>
  <c r="CT39"/>
  <c r="CV39"/>
  <c r="BB14"/>
  <c r="S16" i="114"/>
  <c r="T16" s="1"/>
  <c r="W16" s="1"/>
  <c r="S15"/>
  <c r="T15" s="1"/>
  <c r="W15" s="1"/>
  <c r="BE14" i="115"/>
  <c r="F14"/>
  <c r="X14"/>
  <c r="X9"/>
  <c r="X11"/>
  <c r="DC38" i="114"/>
  <c r="CU38"/>
  <c r="BE13" i="115"/>
  <c r="BE12"/>
  <c r="BE11"/>
  <c r="DA39"/>
  <c r="X17" i="116"/>
  <c r="X11"/>
  <c r="X18"/>
  <c r="BE10" i="115"/>
  <c r="BB10"/>
  <c r="F10"/>
  <c r="S12" i="114"/>
  <c r="T12" s="1"/>
  <c r="W12" s="1"/>
  <c r="AP12"/>
  <c r="X9" i="116"/>
  <c r="S11" i="114"/>
  <c r="T11" s="1"/>
  <c r="W11" s="1"/>
  <c r="X15" i="116"/>
  <c r="X16"/>
  <c r="AP10" i="114"/>
  <c r="X12" i="116"/>
  <c r="X8" i="115"/>
  <c r="BE8"/>
  <c r="BB8"/>
  <c r="E8" i="114"/>
  <c r="BE8" s="1"/>
  <c r="X23" i="116"/>
  <c r="X36"/>
  <c r="C15" i="114"/>
  <c r="D15" s="1"/>
  <c r="BE15" s="1"/>
  <c r="C19"/>
  <c r="D19" s="1"/>
  <c r="BE19" s="1"/>
  <c r="BE9" i="115"/>
  <c r="X10" i="116"/>
  <c r="X20"/>
  <c r="X26"/>
  <c r="BC38" i="114"/>
  <c r="BC39" s="1"/>
  <c r="S9"/>
  <c r="T9" s="1"/>
  <c r="W9" s="1"/>
  <c r="E10"/>
  <c r="BE10" s="1"/>
  <c r="E12"/>
  <c r="BE12" s="1"/>
  <c r="E14"/>
  <c r="BE14" s="1"/>
  <c r="C16"/>
  <c r="D16" s="1"/>
  <c r="BE16" s="1"/>
  <c r="C26"/>
  <c r="D26" s="1"/>
  <c r="BE26" s="1"/>
  <c r="B38" i="115"/>
  <c r="B39" s="1"/>
  <c r="J38"/>
  <c r="J39" s="1"/>
  <c r="N38"/>
  <c r="N39" s="1"/>
  <c r="N38" i="116"/>
  <c r="N39" s="1"/>
  <c r="X24"/>
  <c r="X30"/>
  <c r="X31"/>
  <c r="C36"/>
  <c r="E36"/>
  <c r="D36"/>
  <c r="C35"/>
  <c r="E35"/>
  <c r="D35"/>
  <c r="H34"/>
  <c r="M34"/>
  <c r="W34"/>
  <c r="X34" s="1"/>
  <c r="AI34"/>
  <c r="AZ34"/>
  <c r="BD34"/>
  <c r="BF34" s="1"/>
  <c r="BK34"/>
  <c r="AK34"/>
  <c r="BH34"/>
  <c r="C34"/>
  <c r="E34"/>
  <c r="D34"/>
  <c r="C33"/>
  <c r="E33"/>
  <c r="D33"/>
  <c r="BL34"/>
  <c r="C32"/>
  <c r="E32"/>
  <c r="D32"/>
  <c r="C31"/>
  <c r="E31"/>
  <c r="D31"/>
  <c r="C30"/>
  <c r="E30"/>
  <c r="D30"/>
  <c r="C29"/>
  <c r="E29"/>
  <c r="D29"/>
  <c r="C28"/>
  <c r="E28"/>
  <c r="D28"/>
  <c r="C27"/>
  <c r="E27"/>
  <c r="D27"/>
  <c r="C25"/>
  <c r="E25"/>
  <c r="D25"/>
  <c r="C26"/>
  <c r="E26"/>
  <c r="D26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9"/>
  <c r="E9"/>
  <c r="D9"/>
  <c r="B8"/>
  <c r="L7"/>
  <c r="B7"/>
  <c r="E7" s="1"/>
  <c r="S8" i="114"/>
  <c r="T8" s="1"/>
  <c r="W8" s="1"/>
  <c r="P37" i="116"/>
  <c r="DE37" s="1"/>
  <c r="AO38" i="114"/>
  <c r="AO39" s="1"/>
  <c r="AP8"/>
  <c r="DG34" i="113"/>
  <c r="DJ34" s="1"/>
  <c r="Q34"/>
  <c r="DG8" i="116"/>
  <c r="DJ8" s="1"/>
  <c r="DG7"/>
  <c r="DJ7" s="1"/>
  <c r="B38" i="114"/>
  <c r="B39" s="1"/>
  <c r="Q35" i="113"/>
  <c r="I38" i="115"/>
  <c r="I39" s="1"/>
  <c r="I41" s="1"/>
  <c r="L38"/>
  <c r="L39" s="1"/>
  <c r="J38" i="116"/>
  <c r="J39" s="1"/>
  <c r="DK7"/>
  <c r="DK38" s="1"/>
  <c r="V38"/>
  <c r="V39" s="1"/>
  <c r="S7"/>
  <c r="CW38"/>
  <c r="CY38"/>
  <c r="DA38"/>
  <c r="DC38"/>
  <c r="CT39"/>
  <c r="BO38"/>
  <c r="CD39" s="1"/>
  <c r="AI8"/>
  <c r="W8"/>
  <c r="BK8"/>
  <c r="BD8"/>
  <c r="BF8" s="1"/>
  <c r="AK8"/>
  <c r="M8"/>
  <c r="H8"/>
  <c r="O38"/>
  <c r="O39" s="1"/>
  <c r="Q39" s="1"/>
  <c r="BK37"/>
  <c r="BD37"/>
  <c r="BF37" s="1"/>
  <c r="AZ37"/>
  <c r="AI37"/>
  <c r="W37"/>
  <c r="X37" s="1"/>
  <c r="F37"/>
  <c r="AK37"/>
  <c r="M37"/>
  <c r="H37"/>
  <c r="Q7"/>
  <c r="Q8"/>
  <c r="R38"/>
  <c r="R39" s="1"/>
  <c r="AO44"/>
  <c r="AO39"/>
  <c r="P7"/>
  <c r="T7"/>
  <c r="BA7"/>
  <c r="BJ7"/>
  <c r="BJ8" s="1"/>
  <c r="C37"/>
  <c r="D37" s="1"/>
  <c r="E37"/>
  <c r="S37"/>
  <c r="AP37"/>
  <c r="AV39"/>
  <c r="BU39"/>
  <c r="BY39"/>
  <c r="CA39"/>
  <c r="CC39"/>
  <c r="CE39"/>
  <c r="CG39"/>
  <c r="J45"/>
  <c r="DG37"/>
  <c r="DJ37" s="1"/>
  <c r="W26" i="114"/>
  <c r="O38" i="115"/>
  <c r="O39" s="1"/>
  <c r="Q39" s="1"/>
  <c r="C7"/>
  <c r="D7" s="1"/>
  <c r="E7"/>
  <c r="Q7"/>
  <c r="AP7"/>
  <c r="DG7"/>
  <c r="DK7"/>
  <c r="DK38" s="1"/>
  <c r="DG10"/>
  <c r="DJ10" s="1"/>
  <c r="R38"/>
  <c r="R39" s="1"/>
  <c r="AO44"/>
  <c r="AO39"/>
  <c r="P7"/>
  <c r="T7"/>
  <c r="BA7"/>
  <c r="BJ7"/>
  <c r="AV39"/>
  <c r="BU39"/>
  <c r="BW39"/>
  <c r="BY39"/>
  <c r="CA39"/>
  <c r="CC39"/>
  <c r="CE39"/>
  <c r="J45"/>
  <c r="D36" i="113"/>
  <c r="E36"/>
  <c r="S36"/>
  <c r="T36" s="1"/>
  <c r="W36" s="1"/>
  <c r="X36" s="1"/>
  <c r="BD36"/>
  <c r="BF36" s="1"/>
  <c r="AK36"/>
  <c r="AZ36"/>
  <c r="BL36"/>
  <c r="P36"/>
  <c r="DE36" s="1"/>
  <c r="BH36"/>
  <c r="BJ36"/>
  <c r="P33"/>
  <c r="DE33" s="1"/>
  <c r="BL35"/>
  <c r="AI35"/>
  <c r="W35"/>
  <c r="F35"/>
  <c r="BD35"/>
  <c r="BF35" s="1"/>
  <c r="AZ35"/>
  <c r="AK35"/>
  <c r="M35"/>
  <c r="E35"/>
  <c r="BE35" s="1"/>
  <c r="BL34"/>
  <c r="AI34"/>
  <c r="W34"/>
  <c r="F34"/>
  <c r="BD34"/>
  <c r="BF34" s="1"/>
  <c r="AZ34"/>
  <c r="AK34"/>
  <c r="M34"/>
  <c r="E34"/>
  <c r="BE34" s="1"/>
  <c r="BK33"/>
  <c r="BL33" s="1"/>
  <c r="BD33"/>
  <c r="BF33" s="1"/>
  <c r="AZ33"/>
  <c r="AI33"/>
  <c r="BH33"/>
  <c r="AK33"/>
  <c r="M33"/>
  <c r="H33"/>
  <c r="C33"/>
  <c r="D33" s="1"/>
  <c r="E33"/>
  <c r="S33"/>
  <c r="T33" s="1"/>
  <c r="W33" s="1"/>
  <c r="X33" s="1"/>
  <c r="AP33"/>
  <c r="BJ33"/>
  <c r="E9" i="114"/>
  <c r="BE9" s="1"/>
  <c r="C11"/>
  <c r="D11" s="1"/>
  <c r="F11" s="1"/>
  <c r="E13"/>
  <c r="BE13" s="1"/>
  <c r="C21"/>
  <c r="D21" s="1"/>
  <c r="BB21" s="1"/>
  <c r="E23"/>
  <c r="BE23" s="1"/>
  <c r="E27"/>
  <c r="BE27" s="1"/>
  <c r="E29"/>
  <c r="BE29" s="1"/>
  <c r="C31"/>
  <c r="D31" s="1"/>
  <c r="BB31" s="1"/>
  <c r="C33"/>
  <c r="D33" s="1"/>
  <c r="BB33" s="1"/>
  <c r="C35"/>
  <c r="D35" s="1"/>
  <c r="BK32" i="113"/>
  <c r="BD32"/>
  <c r="BF32" s="1"/>
  <c r="AZ32"/>
  <c r="AI32"/>
  <c r="BH32"/>
  <c r="AK32"/>
  <c r="M32"/>
  <c r="H32"/>
  <c r="BL32"/>
  <c r="C32"/>
  <c r="D32" s="1"/>
  <c r="E32"/>
  <c r="Q32"/>
  <c r="S32"/>
  <c r="T32" s="1"/>
  <c r="W32" s="1"/>
  <c r="AP32"/>
  <c r="BJ32"/>
  <c r="AG39"/>
  <c r="AG38"/>
  <c r="BP38"/>
  <c r="AY38"/>
  <c r="AY39" s="1"/>
  <c r="AC39"/>
  <c r="AC41" s="1"/>
  <c r="BQ38"/>
  <c r="CF39" s="1"/>
  <c r="U38"/>
  <c r="U39" s="1"/>
  <c r="P31"/>
  <c r="DE31" s="1"/>
  <c r="BK31"/>
  <c r="BD31"/>
  <c r="BF31" s="1"/>
  <c r="AZ31"/>
  <c r="AI31"/>
  <c r="BH31"/>
  <c r="AK31"/>
  <c r="M31"/>
  <c r="H31"/>
  <c r="BL31"/>
  <c r="C31"/>
  <c r="D31" s="1"/>
  <c r="E31"/>
  <c r="S31"/>
  <c r="T31" s="1"/>
  <c r="W31" s="1"/>
  <c r="X31" s="1"/>
  <c r="AP31"/>
  <c r="BJ31"/>
  <c r="P30"/>
  <c r="DE30" s="1"/>
  <c r="E7" i="114"/>
  <c r="BK30" i="113"/>
  <c r="BD30"/>
  <c r="BF30" s="1"/>
  <c r="AZ30"/>
  <c r="AI30"/>
  <c r="BH30"/>
  <c r="AK30"/>
  <c r="M30"/>
  <c r="H30"/>
  <c r="BL30"/>
  <c r="C30"/>
  <c r="D30" s="1"/>
  <c r="E30"/>
  <c r="S30"/>
  <c r="T30" s="1"/>
  <c r="W30" s="1"/>
  <c r="X30" s="1"/>
  <c r="AP30"/>
  <c r="BJ30"/>
  <c r="I38" i="114"/>
  <c r="I39" s="1"/>
  <c r="I41" s="1"/>
  <c r="P36"/>
  <c r="DE36" s="1"/>
  <c r="L38"/>
  <c r="L39" s="1"/>
  <c r="P30"/>
  <c r="DE30" s="1"/>
  <c r="BE31"/>
  <c r="Q28" i="113"/>
  <c r="P22" i="114"/>
  <c r="DE22" s="1"/>
  <c r="P34"/>
  <c r="DE34" s="1"/>
  <c r="P17"/>
  <c r="DE17" s="1"/>
  <c r="DK10"/>
  <c r="DK14"/>
  <c r="P24"/>
  <c r="DE24" s="1"/>
  <c r="P32"/>
  <c r="DE32" s="1"/>
  <c r="N38"/>
  <c r="N39" s="1"/>
  <c r="DG7"/>
  <c r="DJ7" s="1"/>
  <c r="DK8"/>
  <c r="DG9"/>
  <c r="DJ9" s="1"/>
  <c r="DG11"/>
  <c r="DJ11" s="1"/>
  <c r="DK12"/>
  <c r="DG13"/>
  <c r="DJ13" s="1"/>
  <c r="DG15"/>
  <c r="DJ15" s="1"/>
  <c r="P18"/>
  <c r="DE18" s="1"/>
  <c r="P20"/>
  <c r="DE20" s="1"/>
  <c r="P25"/>
  <c r="DE25" s="1"/>
  <c r="DG26"/>
  <c r="DJ26" s="1"/>
  <c r="P28"/>
  <c r="DE28" s="1"/>
  <c r="P37"/>
  <c r="DE37" s="1"/>
  <c r="J38"/>
  <c r="J39" s="1"/>
  <c r="DK7"/>
  <c r="V38"/>
  <c r="V39" s="1"/>
  <c r="CT38"/>
  <c r="CV38"/>
  <c r="CX38"/>
  <c r="CZ38"/>
  <c r="DB38"/>
  <c r="DD38"/>
  <c r="BK21"/>
  <c r="BK29"/>
  <c r="M29"/>
  <c r="H29"/>
  <c r="BA19"/>
  <c r="BA23"/>
  <c r="AP27"/>
  <c r="AP7"/>
  <c r="AP9"/>
  <c r="AP11"/>
  <c r="AP13"/>
  <c r="AP15"/>
  <c r="AK19"/>
  <c r="AK23"/>
  <c r="H26"/>
  <c r="M26"/>
  <c r="AK26"/>
  <c r="AZ26"/>
  <c r="H27"/>
  <c r="M27"/>
  <c r="AK27"/>
  <c r="AK29"/>
  <c r="BD26"/>
  <c r="BF26" s="1"/>
  <c r="AI8"/>
  <c r="F8"/>
  <c r="BK8"/>
  <c r="BD8"/>
  <c r="BF8" s="1"/>
  <c r="AK8"/>
  <c r="M8"/>
  <c r="H8"/>
  <c r="AI9"/>
  <c r="F9"/>
  <c r="BK9"/>
  <c r="BD9"/>
  <c r="BF9" s="1"/>
  <c r="AK9"/>
  <c r="M9"/>
  <c r="H9"/>
  <c r="AI10"/>
  <c r="W10"/>
  <c r="F10"/>
  <c r="BK10"/>
  <c r="BD10"/>
  <c r="BF10" s="1"/>
  <c r="AK10"/>
  <c r="M10"/>
  <c r="H10"/>
  <c r="AI11"/>
  <c r="BK11"/>
  <c r="BD11"/>
  <c r="BF11" s="1"/>
  <c r="AK11"/>
  <c r="M11"/>
  <c r="H11"/>
  <c r="AI12"/>
  <c r="F12"/>
  <c r="BK12"/>
  <c r="BD12"/>
  <c r="BF12" s="1"/>
  <c r="AK12"/>
  <c r="M12"/>
  <c r="H12"/>
  <c r="AI13"/>
  <c r="W13"/>
  <c r="F13"/>
  <c r="BK13"/>
  <c r="BD13"/>
  <c r="BF13" s="1"/>
  <c r="AK13"/>
  <c r="M13"/>
  <c r="H13"/>
  <c r="AI14"/>
  <c r="W14"/>
  <c r="F14"/>
  <c r="BK14"/>
  <c r="BD14"/>
  <c r="BF14" s="1"/>
  <c r="AK14"/>
  <c r="M14"/>
  <c r="H14"/>
  <c r="AI15"/>
  <c r="BK15"/>
  <c r="BD15"/>
  <c r="BF15" s="1"/>
  <c r="AK15"/>
  <c r="M15"/>
  <c r="H15"/>
  <c r="AK18"/>
  <c r="M18"/>
  <c r="H18"/>
  <c r="BK18"/>
  <c r="BD18"/>
  <c r="BF18" s="1"/>
  <c r="AZ18"/>
  <c r="AI18"/>
  <c r="AK22"/>
  <c r="M22"/>
  <c r="H22"/>
  <c r="BK22"/>
  <c r="BD22"/>
  <c r="BF22" s="1"/>
  <c r="AZ22"/>
  <c r="AI22"/>
  <c r="AK20"/>
  <c r="M20"/>
  <c r="H20"/>
  <c r="BK20"/>
  <c r="BD20"/>
  <c r="BF20" s="1"/>
  <c r="AZ20"/>
  <c r="AI20"/>
  <c r="O38"/>
  <c r="O39" s="1"/>
  <c r="Q39" s="1"/>
  <c r="E24"/>
  <c r="C24"/>
  <c r="D24" s="1"/>
  <c r="BA24"/>
  <c r="BD24" s="1"/>
  <c r="BF24" s="1"/>
  <c r="AP24"/>
  <c r="E25"/>
  <c r="C25"/>
  <c r="D25" s="1"/>
  <c r="BA25"/>
  <c r="AP25"/>
  <c r="AK28"/>
  <c r="M28"/>
  <c r="H28"/>
  <c r="BK28"/>
  <c r="BD28"/>
  <c r="BF28" s="1"/>
  <c r="AZ28"/>
  <c r="AI28"/>
  <c r="BB29"/>
  <c r="AK32"/>
  <c r="M32"/>
  <c r="H32"/>
  <c r="BK32"/>
  <c r="BD32"/>
  <c r="BF32" s="1"/>
  <c r="AZ32"/>
  <c r="AI32"/>
  <c r="AK36"/>
  <c r="M36"/>
  <c r="H36"/>
  <c r="BK36"/>
  <c r="BD36"/>
  <c r="BF36" s="1"/>
  <c r="AZ36"/>
  <c r="AI36"/>
  <c r="BK37"/>
  <c r="BD37"/>
  <c r="BF37" s="1"/>
  <c r="AZ37"/>
  <c r="AI37"/>
  <c r="AK37"/>
  <c r="M37"/>
  <c r="H37"/>
  <c r="Q7"/>
  <c r="Q8"/>
  <c r="Q9"/>
  <c r="Q10"/>
  <c r="Q11"/>
  <c r="Q12"/>
  <c r="Q13"/>
  <c r="Q14"/>
  <c r="Q15"/>
  <c r="Q16"/>
  <c r="BA17"/>
  <c r="DG18"/>
  <c r="DJ18" s="1"/>
  <c r="Q19"/>
  <c r="DG20"/>
  <c r="DJ20" s="1"/>
  <c r="Q21"/>
  <c r="T22"/>
  <c r="DG22"/>
  <c r="DJ22" s="1"/>
  <c r="Q23"/>
  <c r="R38"/>
  <c r="R39" s="1"/>
  <c r="DK23"/>
  <c r="DG23"/>
  <c r="DJ23" s="1"/>
  <c r="DK24"/>
  <c r="DG24"/>
  <c r="DJ24" s="1"/>
  <c r="BB27"/>
  <c r="AK30"/>
  <c r="M30"/>
  <c r="H30"/>
  <c r="BK30"/>
  <c r="BD30"/>
  <c r="BF30" s="1"/>
  <c r="AZ30"/>
  <c r="AI30"/>
  <c r="AK34"/>
  <c r="M34"/>
  <c r="H34"/>
  <c r="BK34"/>
  <c r="BD34"/>
  <c r="BF34" s="1"/>
  <c r="AZ34"/>
  <c r="AI34"/>
  <c r="D7"/>
  <c r="P7"/>
  <c r="T7"/>
  <c r="BA7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AI16"/>
  <c r="BD16"/>
  <c r="BF16" s="1"/>
  <c r="DG16"/>
  <c r="DJ16" s="1"/>
  <c r="C17"/>
  <c r="D17" s="1"/>
  <c r="DG17"/>
  <c r="DJ17" s="1"/>
  <c r="C18"/>
  <c r="D18" s="1"/>
  <c r="AP18"/>
  <c r="DG19"/>
  <c r="DJ19" s="1"/>
  <c r="C20"/>
  <c r="D20" s="1"/>
  <c r="AP20"/>
  <c r="AZ21"/>
  <c r="DG21"/>
  <c r="DJ21" s="1"/>
  <c r="C22"/>
  <c r="D22" s="1"/>
  <c r="AP22"/>
  <c r="F23"/>
  <c r="W23"/>
  <c r="AI23"/>
  <c r="AZ23"/>
  <c r="BD23"/>
  <c r="BF23" s="1"/>
  <c r="DG25"/>
  <c r="DJ25" s="1"/>
  <c r="Q26"/>
  <c r="Q27"/>
  <c r="DG28"/>
  <c r="DJ28" s="1"/>
  <c r="Q29"/>
  <c r="DG30"/>
  <c r="DJ30" s="1"/>
  <c r="Q31"/>
  <c r="DG32"/>
  <c r="DJ32" s="1"/>
  <c r="Q33"/>
  <c r="DG34"/>
  <c r="DJ34" s="1"/>
  <c r="Q35"/>
  <c r="DG36"/>
  <c r="DJ36" s="1"/>
  <c r="C37"/>
  <c r="D37" s="1"/>
  <c r="E37"/>
  <c r="S37"/>
  <c r="AP37"/>
  <c r="AV39"/>
  <c r="BU39"/>
  <c r="BW39"/>
  <c r="BY39"/>
  <c r="CA39"/>
  <c r="CC39"/>
  <c r="CE39"/>
  <c r="CG39"/>
  <c r="J45"/>
  <c r="F27"/>
  <c r="W27"/>
  <c r="AI27"/>
  <c r="AZ27"/>
  <c r="BD27"/>
  <c r="BF27" s="1"/>
  <c r="DG27"/>
  <c r="DJ27" s="1"/>
  <c r="C28"/>
  <c r="D28" s="1"/>
  <c r="AP28"/>
  <c r="F29"/>
  <c r="W29"/>
  <c r="AI29"/>
  <c r="AZ29"/>
  <c r="BD29"/>
  <c r="BF29" s="1"/>
  <c r="DG29"/>
  <c r="DJ29" s="1"/>
  <c r="C30"/>
  <c r="D30" s="1"/>
  <c r="AP30"/>
  <c r="W31"/>
  <c r="AI31"/>
  <c r="AZ31"/>
  <c r="BD31"/>
  <c r="BF31" s="1"/>
  <c r="DG31"/>
  <c r="DJ31" s="1"/>
  <c r="C32"/>
  <c r="D32" s="1"/>
  <c r="AP32"/>
  <c r="AZ33"/>
  <c r="DG33"/>
  <c r="DJ33" s="1"/>
  <c r="C34"/>
  <c r="D34" s="1"/>
  <c r="AP34"/>
  <c r="W35"/>
  <c r="AI35"/>
  <c r="AZ35"/>
  <c r="BD35"/>
  <c r="BF35" s="1"/>
  <c r="DG35"/>
  <c r="DJ35" s="1"/>
  <c r="C36"/>
  <c r="D36" s="1"/>
  <c r="AP36"/>
  <c r="DG37"/>
  <c r="DJ37" s="1"/>
  <c r="P29" i="113"/>
  <c r="DE29" s="1"/>
  <c r="BK29"/>
  <c r="BD29"/>
  <c r="BF29" s="1"/>
  <c r="AZ29"/>
  <c r="AI29"/>
  <c r="BH29"/>
  <c r="AK29"/>
  <c r="M29"/>
  <c r="H29"/>
  <c r="BL29"/>
  <c r="C29"/>
  <c r="D29" s="1"/>
  <c r="E29"/>
  <c r="S29"/>
  <c r="T29" s="1"/>
  <c r="W29" s="1"/>
  <c r="X29" s="1"/>
  <c r="AP29"/>
  <c r="BJ29"/>
  <c r="Q27"/>
  <c r="E26"/>
  <c r="C26"/>
  <c r="D26" s="1"/>
  <c r="S26"/>
  <c r="T26" s="1"/>
  <c r="W26" s="1"/>
  <c r="X26" s="1"/>
  <c r="AI28"/>
  <c r="W28"/>
  <c r="F28"/>
  <c r="BD28"/>
  <c r="BF28" s="1"/>
  <c r="AZ28"/>
  <c r="AK28"/>
  <c r="M28"/>
  <c r="E28"/>
  <c r="BE28" s="1"/>
  <c r="BL27"/>
  <c r="AI27"/>
  <c r="W27"/>
  <c r="F27"/>
  <c r="BD27"/>
  <c r="BF27" s="1"/>
  <c r="AZ27"/>
  <c r="AK27"/>
  <c r="M27"/>
  <c r="E27"/>
  <c r="BE27" s="1"/>
  <c r="DA39"/>
  <c r="AK26"/>
  <c r="AZ26"/>
  <c r="BD26"/>
  <c r="BF26" s="1"/>
  <c r="BK26"/>
  <c r="BL26" s="1"/>
  <c r="P26"/>
  <c r="DE26" s="1"/>
  <c r="BJ26"/>
  <c r="DG21"/>
  <c r="DJ21" s="1"/>
  <c r="Q21"/>
  <c r="BK25"/>
  <c r="BD25"/>
  <c r="BF25" s="1"/>
  <c r="AZ25"/>
  <c r="AI25"/>
  <c r="BH25"/>
  <c r="AK25"/>
  <c r="M25"/>
  <c r="H25"/>
  <c r="BL25"/>
  <c r="C25"/>
  <c r="D25" s="1"/>
  <c r="E25"/>
  <c r="Q25"/>
  <c r="S25"/>
  <c r="T25" s="1"/>
  <c r="W25" s="1"/>
  <c r="AP25"/>
  <c r="BJ25"/>
  <c r="E24"/>
  <c r="C24"/>
  <c r="D24" s="1"/>
  <c r="S24"/>
  <c r="T24" s="1"/>
  <c r="W24" s="1"/>
  <c r="X24" s="1"/>
  <c r="BL24"/>
  <c r="P24"/>
  <c r="DE24" s="1"/>
  <c r="AI24"/>
  <c r="AZ24"/>
  <c r="BH24"/>
  <c r="BJ24"/>
  <c r="P23"/>
  <c r="DE23" s="1"/>
  <c r="BK23"/>
  <c r="BD23"/>
  <c r="BF23" s="1"/>
  <c r="AZ23"/>
  <c r="BH23"/>
  <c r="AK23"/>
  <c r="M23"/>
  <c r="H23"/>
  <c r="BL23"/>
  <c r="C23"/>
  <c r="D23" s="1"/>
  <c r="E23"/>
  <c r="S23"/>
  <c r="T23" s="1"/>
  <c r="W23" s="1"/>
  <c r="X23" s="1"/>
  <c r="AP23"/>
  <c r="BJ23"/>
  <c r="Q14"/>
  <c r="P22"/>
  <c r="DE22" s="1"/>
  <c r="BH22"/>
  <c r="AK22"/>
  <c r="M22"/>
  <c r="H22"/>
  <c r="BK22"/>
  <c r="BD22"/>
  <c r="BF22" s="1"/>
  <c r="AZ22"/>
  <c r="AI22"/>
  <c r="BL22"/>
  <c r="T22"/>
  <c r="W22" s="1"/>
  <c r="X22" s="1"/>
  <c r="DG22"/>
  <c r="DJ22" s="1"/>
  <c r="C22"/>
  <c r="D22" s="1"/>
  <c r="AP22"/>
  <c r="BJ22"/>
  <c r="Q20"/>
  <c r="P19"/>
  <c r="DE19" s="1"/>
  <c r="BL21"/>
  <c r="AI21"/>
  <c r="W21"/>
  <c r="F21"/>
  <c r="BD21"/>
  <c r="BF21" s="1"/>
  <c r="AZ21"/>
  <c r="AK21"/>
  <c r="M21"/>
  <c r="E21"/>
  <c r="BE21" s="1"/>
  <c r="BL20"/>
  <c r="AI20"/>
  <c r="W20"/>
  <c r="F20"/>
  <c r="BD20"/>
  <c r="BF20" s="1"/>
  <c r="AZ20"/>
  <c r="AK20"/>
  <c r="M20"/>
  <c r="E20"/>
  <c r="BE20" s="1"/>
  <c r="BK19"/>
  <c r="BL19" s="1"/>
  <c r="BD19"/>
  <c r="BF19" s="1"/>
  <c r="AZ19"/>
  <c r="AI19"/>
  <c r="BH19"/>
  <c r="AK19"/>
  <c r="M19"/>
  <c r="H19"/>
  <c r="C19"/>
  <c r="D19" s="1"/>
  <c r="E19"/>
  <c r="S19"/>
  <c r="T19" s="1"/>
  <c r="W19" s="1"/>
  <c r="X19" s="1"/>
  <c r="AP19"/>
  <c r="BJ19"/>
  <c r="P18"/>
  <c r="DE18" s="1"/>
  <c r="BK18"/>
  <c r="BD18"/>
  <c r="BF18" s="1"/>
  <c r="AZ18"/>
  <c r="AI18"/>
  <c r="BH18"/>
  <c r="AK18"/>
  <c r="M18"/>
  <c r="H18"/>
  <c r="BL18"/>
  <c r="C18"/>
  <c r="D18" s="1"/>
  <c r="E18"/>
  <c r="S18"/>
  <c r="T18" s="1"/>
  <c r="W18" s="1"/>
  <c r="X18" s="1"/>
  <c r="AP18"/>
  <c r="BJ18"/>
  <c r="D17"/>
  <c r="F17" s="1"/>
  <c r="E17"/>
  <c r="T17"/>
  <c r="W17" s="1"/>
  <c r="X17" s="1"/>
  <c r="BK17"/>
  <c r="BD17"/>
  <c r="BF17" s="1"/>
  <c r="AK17"/>
  <c r="M17"/>
  <c r="H17"/>
  <c r="BH17"/>
  <c r="AI17"/>
  <c r="BL17"/>
  <c r="P17"/>
  <c r="DE17" s="1"/>
  <c r="BJ17"/>
  <c r="H13"/>
  <c r="H14"/>
  <c r="P16"/>
  <c r="DE16" s="1"/>
  <c r="BD16"/>
  <c r="BF16" s="1"/>
  <c r="T16"/>
  <c r="W16" s="1"/>
  <c r="X16" s="1"/>
  <c r="BK16"/>
  <c r="BL16" s="1"/>
  <c r="C16"/>
  <c r="D16" s="1"/>
  <c r="BJ16"/>
  <c r="D15"/>
  <c r="F15" s="1"/>
  <c r="E15"/>
  <c r="T15"/>
  <c r="BK15"/>
  <c r="BD15"/>
  <c r="BF15" s="1"/>
  <c r="AK15"/>
  <c r="M15"/>
  <c r="H15"/>
  <c r="BH15"/>
  <c r="AI15"/>
  <c r="W15"/>
  <c r="X15" s="1"/>
  <c r="BL15"/>
  <c r="P15"/>
  <c r="DE15" s="1"/>
  <c r="BJ15"/>
  <c r="Q13"/>
  <c r="E12"/>
  <c r="C12"/>
  <c r="D12" s="1"/>
  <c r="S12"/>
  <c r="T12" s="1"/>
  <c r="W12" s="1"/>
  <c r="X12" s="1"/>
  <c r="AI14"/>
  <c r="W14"/>
  <c r="X14" s="1"/>
  <c r="F14"/>
  <c r="BL14"/>
  <c r="AK14"/>
  <c r="M14"/>
  <c r="E14"/>
  <c r="BB14" s="1"/>
  <c r="CT39"/>
  <c r="CV39"/>
  <c r="AI13"/>
  <c r="W13"/>
  <c r="X13" s="1"/>
  <c r="F13"/>
  <c r="BL13"/>
  <c r="AK13"/>
  <c r="M13"/>
  <c r="E13"/>
  <c r="BB13" s="1"/>
  <c r="BK12"/>
  <c r="BL12" s="1"/>
  <c r="BD12"/>
  <c r="BF12" s="1"/>
  <c r="AK12"/>
  <c r="M12"/>
  <c r="H12"/>
  <c r="BH12"/>
  <c r="AI12"/>
  <c r="P12"/>
  <c r="DE12" s="1"/>
  <c r="BJ12"/>
  <c r="Q9"/>
  <c r="E10"/>
  <c r="BB10" s="1"/>
  <c r="D11"/>
  <c r="F11" s="1"/>
  <c r="E11"/>
  <c r="T11"/>
  <c r="BK11"/>
  <c r="BD11"/>
  <c r="BF11" s="1"/>
  <c r="AK11"/>
  <c r="M11"/>
  <c r="H11"/>
  <c r="BH11"/>
  <c r="AI11"/>
  <c r="W11"/>
  <c r="X11" s="1"/>
  <c r="BL11"/>
  <c r="P11"/>
  <c r="DE11" s="1"/>
  <c r="BJ11"/>
  <c r="DK10"/>
  <c r="F10"/>
  <c r="S10"/>
  <c r="T10" s="1"/>
  <c r="W10" s="1"/>
  <c r="Q10"/>
  <c r="AK10"/>
  <c r="M10"/>
  <c r="H10"/>
  <c r="AI9"/>
  <c r="W9"/>
  <c r="F9"/>
  <c r="BD10"/>
  <c r="BF10" s="1"/>
  <c r="AI10"/>
  <c r="BL9"/>
  <c r="BL10" s="1"/>
  <c r="AK9"/>
  <c r="M9"/>
  <c r="E9"/>
  <c r="BB9" s="1"/>
  <c r="B38"/>
  <c r="B39" s="1"/>
  <c r="I38"/>
  <c r="I39" s="1"/>
  <c r="I41" s="1"/>
  <c r="L38"/>
  <c r="L39" s="1"/>
  <c r="J38"/>
  <c r="J39" s="1"/>
  <c r="N38"/>
  <c r="N39" s="1"/>
  <c r="DK24"/>
  <c r="P37"/>
  <c r="DE37" s="1"/>
  <c r="DE7"/>
  <c r="R38"/>
  <c r="R39" s="1"/>
  <c r="AO44"/>
  <c r="AO39"/>
  <c r="BK37"/>
  <c r="BD37"/>
  <c r="BF37" s="1"/>
  <c r="AZ37"/>
  <c r="AI37"/>
  <c r="W37"/>
  <c r="X37" s="1"/>
  <c r="F37"/>
  <c r="AK37"/>
  <c r="M37"/>
  <c r="H37"/>
  <c r="T7"/>
  <c r="BA7"/>
  <c r="BJ7"/>
  <c r="BJ8" s="1"/>
  <c r="P8"/>
  <c r="DE8" s="1"/>
  <c r="T8"/>
  <c r="BA8"/>
  <c r="DG18"/>
  <c r="DJ18" s="1"/>
  <c r="DG23"/>
  <c r="DJ23" s="1"/>
  <c r="O38"/>
  <c r="O39" s="1"/>
  <c r="Q39" s="1"/>
  <c r="C7"/>
  <c r="D7" s="1"/>
  <c r="E7"/>
  <c r="Q7"/>
  <c r="AP7"/>
  <c r="DG7"/>
  <c r="DK7"/>
  <c r="C8"/>
  <c r="D8" s="1"/>
  <c r="DG8"/>
  <c r="DJ8" s="1"/>
  <c r="DG11"/>
  <c r="DJ11" s="1"/>
  <c r="DG12"/>
  <c r="DJ12" s="1"/>
  <c r="DG15"/>
  <c r="DJ15" s="1"/>
  <c r="DG16"/>
  <c r="DJ16" s="1"/>
  <c r="DG17"/>
  <c r="DJ17" s="1"/>
  <c r="DG19"/>
  <c r="DJ19" s="1"/>
  <c r="DG26"/>
  <c r="DJ26" s="1"/>
  <c r="DG30"/>
  <c r="DJ30" s="1"/>
  <c r="DG36"/>
  <c r="DJ36" s="1"/>
  <c r="C37"/>
  <c r="D37" s="1"/>
  <c r="E37"/>
  <c r="S37"/>
  <c r="T37" s="1"/>
  <c r="AP37"/>
  <c r="AV39"/>
  <c r="BW39"/>
  <c r="BY39"/>
  <c r="CA39"/>
  <c r="CC39"/>
  <c r="CE39"/>
  <c r="J45"/>
  <c r="DG25"/>
  <c r="DJ25" s="1"/>
  <c r="DG29"/>
  <c r="DJ29" s="1"/>
  <c r="DG31"/>
  <c r="DJ31" s="1"/>
  <c r="DG33"/>
  <c r="DJ33" s="1"/>
  <c r="DG37"/>
  <c r="DJ37" s="1"/>
  <c r="I37" i="112"/>
  <c r="DG37" s="1"/>
  <c r="DJ37" s="1"/>
  <c r="J37"/>
  <c r="L37"/>
  <c r="N37"/>
  <c r="O37"/>
  <c r="P37" s="1"/>
  <c r="DE37" s="1"/>
  <c r="V37"/>
  <c r="AP37"/>
  <c r="BA37"/>
  <c r="BC37"/>
  <c r="BD37"/>
  <c r="BF37"/>
  <c r="BH37"/>
  <c r="BI37"/>
  <c r="BJ37" s="1"/>
  <c r="BK37"/>
  <c r="CT37"/>
  <c r="CU37"/>
  <c r="CV37"/>
  <c r="CX37"/>
  <c r="CY37"/>
  <c r="CZ37"/>
  <c r="DA37"/>
  <c r="DB37"/>
  <c r="DC37"/>
  <c r="DD37"/>
  <c r="DK37"/>
  <c r="DN37"/>
  <c r="BP37" s="1"/>
  <c r="I36"/>
  <c r="DG36" s="1"/>
  <c r="DJ36" s="1"/>
  <c r="J36"/>
  <c r="L36"/>
  <c r="N36"/>
  <c r="O36"/>
  <c r="P36" s="1"/>
  <c r="DE36" s="1"/>
  <c r="V36"/>
  <c r="AO36"/>
  <c r="AP36"/>
  <c r="BA36"/>
  <c r="BC36"/>
  <c r="BH36"/>
  <c r="BI36"/>
  <c r="BJ36" s="1"/>
  <c r="BK36"/>
  <c r="CT36"/>
  <c r="CU36"/>
  <c r="CV36"/>
  <c r="CX36"/>
  <c r="CY36"/>
  <c r="CZ36"/>
  <c r="DA36"/>
  <c r="DB36"/>
  <c r="DC36"/>
  <c r="DD36"/>
  <c r="DN36"/>
  <c r="BP36" s="1"/>
  <c r="I35"/>
  <c r="DG35" s="1"/>
  <c r="DJ35" s="1"/>
  <c r="J35"/>
  <c r="L35"/>
  <c r="N35"/>
  <c r="O35"/>
  <c r="P35" s="1"/>
  <c r="DE35" s="1"/>
  <c r="V35"/>
  <c r="AO35"/>
  <c r="AP35"/>
  <c r="BA35"/>
  <c r="BC35"/>
  <c r="BH35"/>
  <c r="BI35"/>
  <c r="BJ35" s="1"/>
  <c r="BK35"/>
  <c r="CT35"/>
  <c r="CU35"/>
  <c r="CV35"/>
  <c r="CX35"/>
  <c r="CY35"/>
  <c r="CZ35"/>
  <c r="DA35"/>
  <c r="DB35"/>
  <c r="DC35"/>
  <c r="DD35"/>
  <c r="DN35"/>
  <c r="BP35" s="1"/>
  <c r="I34"/>
  <c r="DK34" s="1"/>
  <c r="J34"/>
  <c r="L34"/>
  <c r="N34"/>
  <c r="O34"/>
  <c r="P34" s="1"/>
  <c r="DE34" s="1"/>
  <c r="V34"/>
  <c r="AO34"/>
  <c r="AP34" s="1"/>
  <c r="BA34"/>
  <c r="BC34"/>
  <c r="BD34"/>
  <c r="BF34"/>
  <c r="BH34"/>
  <c r="BI34"/>
  <c r="BJ34" s="1"/>
  <c r="BK34"/>
  <c r="CT34"/>
  <c r="CU34"/>
  <c r="CV34"/>
  <c r="CX34"/>
  <c r="CY34"/>
  <c r="CZ34"/>
  <c r="DA34"/>
  <c r="DB34"/>
  <c r="DC34"/>
  <c r="DD34"/>
  <c r="DG34"/>
  <c r="DJ34" s="1"/>
  <c r="DN34"/>
  <c r="BP34" s="1"/>
  <c r="I33"/>
  <c r="DK33" s="1"/>
  <c r="J33"/>
  <c r="L33"/>
  <c r="N33"/>
  <c r="O33"/>
  <c r="P33" s="1"/>
  <c r="DE33" s="1"/>
  <c r="V33"/>
  <c r="S33" s="1"/>
  <c r="AO33"/>
  <c r="AP33"/>
  <c r="BA33"/>
  <c r="BC33"/>
  <c r="BH33"/>
  <c r="BI33"/>
  <c r="BJ33" s="1"/>
  <c r="BK33"/>
  <c r="CT33"/>
  <c r="CU33"/>
  <c r="CV33"/>
  <c r="CX33"/>
  <c r="CY33"/>
  <c r="CZ33"/>
  <c r="DA33"/>
  <c r="DB33"/>
  <c r="DC33"/>
  <c r="DD33"/>
  <c r="DN33"/>
  <c r="BP33" s="1"/>
  <c r="I32"/>
  <c r="DG32" s="1"/>
  <c r="DJ32" s="1"/>
  <c r="J32"/>
  <c r="L32"/>
  <c r="N32"/>
  <c r="O32"/>
  <c r="P32" s="1"/>
  <c r="DE32" s="1"/>
  <c r="V32"/>
  <c r="AO32"/>
  <c r="AP32"/>
  <c r="BA32"/>
  <c r="BC32"/>
  <c r="BH32"/>
  <c r="BI32"/>
  <c r="BJ32" s="1"/>
  <c r="BK32"/>
  <c r="CT32"/>
  <c r="CU32"/>
  <c r="CV32"/>
  <c r="CX32"/>
  <c r="CY32"/>
  <c r="CZ32"/>
  <c r="DA32"/>
  <c r="DB32"/>
  <c r="DC32"/>
  <c r="DD32"/>
  <c r="DN32"/>
  <c r="BP32" s="1"/>
  <c r="I31"/>
  <c r="DG31" s="1"/>
  <c r="DJ31" s="1"/>
  <c r="J31"/>
  <c r="L31"/>
  <c r="N31"/>
  <c r="O31"/>
  <c r="P31" s="1"/>
  <c r="DE31" s="1"/>
  <c r="V31"/>
  <c r="AO31"/>
  <c r="AP31"/>
  <c r="BA31"/>
  <c r="BC31"/>
  <c r="BH31"/>
  <c r="BI31"/>
  <c r="BJ31" s="1"/>
  <c r="BK31"/>
  <c r="CT31"/>
  <c r="CU31"/>
  <c r="CV31"/>
  <c r="CX31"/>
  <c r="CY31"/>
  <c r="CZ31"/>
  <c r="DA31"/>
  <c r="DB31"/>
  <c r="DC31"/>
  <c r="DD31"/>
  <c r="DN31"/>
  <c r="BP31" s="1"/>
  <c r="I30"/>
  <c r="DG30" s="1"/>
  <c r="DJ30" s="1"/>
  <c r="J30"/>
  <c r="L30"/>
  <c r="N30"/>
  <c r="O30"/>
  <c r="P30" s="1"/>
  <c r="DE30" s="1"/>
  <c r="V30"/>
  <c r="AO30"/>
  <c r="AP30"/>
  <c r="BA30"/>
  <c r="BC30"/>
  <c r="BH30"/>
  <c r="BI30"/>
  <c r="BJ30" s="1"/>
  <c r="BK30"/>
  <c r="CT30"/>
  <c r="CU30"/>
  <c r="CV30"/>
  <c r="CX30"/>
  <c r="CY30"/>
  <c r="CZ30"/>
  <c r="DA30"/>
  <c r="DB30"/>
  <c r="DC30"/>
  <c r="DD30"/>
  <c r="DN30"/>
  <c r="BP30" s="1"/>
  <c r="I29"/>
  <c r="DG29" s="1"/>
  <c r="DJ29" s="1"/>
  <c r="J29"/>
  <c r="L29"/>
  <c r="N29"/>
  <c r="O29"/>
  <c r="P29" s="1"/>
  <c r="DE29" s="1"/>
  <c r="V29"/>
  <c r="AO29"/>
  <c r="AP29"/>
  <c r="BA29"/>
  <c r="BC29"/>
  <c r="BH29"/>
  <c r="BI29"/>
  <c r="BJ29" s="1"/>
  <c r="BK29"/>
  <c r="CT29"/>
  <c r="CU29"/>
  <c r="CV29"/>
  <c r="CX29"/>
  <c r="CY29"/>
  <c r="CZ29"/>
  <c r="DA29"/>
  <c r="DB29"/>
  <c r="DC29"/>
  <c r="DD29"/>
  <c r="DN29"/>
  <c r="BP29" s="1"/>
  <c r="I28"/>
  <c r="DG28" s="1"/>
  <c r="DJ28" s="1"/>
  <c r="J28"/>
  <c r="L28"/>
  <c r="N28"/>
  <c r="O28"/>
  <c r="P28" s="1"/>
  <c r="DE28" s="1"/>
  <c r="V28"/>
  <c r="AO28"/>
  <c r="AP28"/>
  <c r="BA28"/>
  <c r="BC28"/>
  <c r="BH28"/>
  <c r="BI28"/>
  <c r="BJ28" s="1"/>
  <c r="BK28"/>
  <c r="CT28"/>
  <c r="CU28"/>
  <c r="CV28"/>
  <c r="CX28"/>
  <c r="CY28"/>
  <c r="CZ28"/>
  <c r="DA28"/>
  <c r="DB28"/>
  <c r="DC28"/>
  <c r="DD28"/>
  <c r="DN28"/>
  <c r="BP28" s="1"/>
  <c r="I27"/>
  <c r="DG27" s="1"/>
  <c r="DJ27" s="1"/>
  <c r="J27"/>
  <c r="L27"/>
  <c r="N27"/>
  <c r="O27"/>
  <c r="P27" s="1"/>
  <c r="DE27" s="1"/>
  <c r="V27"/>
  <c r="AO27"/>
  <c r="AP27"/>
  <c r="BA27"/>
  <c r="BC27"/>
  <c r="BH27"/>
  <c r="BI27"/>
  <c r="BJ27" s="1"/>
  <c r="BK27"/>
  <c r="CT27"/>
  <c r="CU27"/>
  <c r="CV27"/>
  <c r="CX27"/>
  <c r="CY27"/>
  <c r="CZ27"/>
  <c r="DA27"/>
  <c r="DB27"/>
  <c r="DC27"/>
  <c r="DD27"/>
  <c r="DN27"/>
  <c r="BP27" s="1"/>
  <c r="I26"/>
  <c r="DG26" s="1"/>
  <c r="DJ26" s="1"/>
  <c r="J26"/>
  <c r="L26"/>
  <c r="N26"/>
  <c r="O26"/>
  <c r="P26" s="1"/>
  <c r="DE26" s="1"/>
  <c r="V26"/>
  <c r="AP26"/>
  <c r="BA26"/>
  <c r="BC26"/>
  <c r="BD26"/>
  <c r="BF26"/>
  <c r="BH26"/>
  <c r="BI26"/>
  <c r="BJ26" s="1"/>
  <c r="BK26"/>
  <c r="CT26"/>
  <c r="CU26"/>
  <c r="CV26"/>
  <c r="CX26"/>
  <c r="CY26"/>
  <c r="CZ26"/>
  <c r="DA26"/>
  <c r="DB26"/>
  <c r="DC26"/>
  <c r="DD26"/>
  <c r="DK26"/>
  <c r="DN26"/>
  <c r="BP26" s="1"/>
  <c r="I25"/>
  <c r="DK25" s="1"/>
  <c r="J25"/>
  <c r="L25"/>
  <c r="N25"/>
  <c r="O25"/>
  <c r="P25" s="1"/>
  <c r="DE25" s="1"/>
  <c r="V25"/>
  <c r="AO25"/>
  <c r="AP25"/>
  <c r="BA25"/>
  <c r="BC25"/>
  <c r="BH25"/>
  <c r="BI25"/>
  <c r="BJ25" s="1"/>
  <c r="BK25"/>
  <c r="CT25"/>
  <c r="CU25"/>
  <c r="CV25"/>
  <c r="CX25"/>
  <c r="CY25"/>
  <c r="CZ25"/>
  <c r="DA25"/>
  <c r="DB25"/>
  <c r="DC25"/>
  <c r="DD25"/>
  <c r="DN25"/>
  <c r="BP25" s="1"/>
  <c r="I24"/>
  <c r="DG24" s="1"/>
  <c r="DJ24" s="1"/>
  <c r="J24"/>
  <c r="L24"/>
  <c r="N24"/>
  <c r="O24"/>
  <c r="P24" s="1"/>
  <c r="DE24" s="1"/>
  <c r="V24"/>
  <c r="S24" s="1"/>
  <c r="AO24"/>
  <c r="AP24"/>
  <c r="BA24"/>
  <c r="BC24"/>
  <c r="BF24"/>
  <c r="BI24"/>
  <c r="BJ24" s="1"/>
  <c r="BK24"/>
  <c r="CT24"/>
  <c r="CU24"/>
  <c r="CV24"/>
  <c r="CX24"/>
  <c r="CY24"/>
  <c r="CZ24"/>
  <c r="DA24"/>
  <c r="DB24"/>
  <c r="DC24"/>
  <c r="DD24"/>
  <c r="DN24"/>
  <c r="BP24" s="1"/>
  <c r="I23"/>
  <c r="DK23" s="1"/>
  <c r="J23"/>
  <c r="L23"/>
  <c r="N23"/>
  <c r="O23"/>
  <c r="P23" s="1"/>
  <c r="DE23" s="1"/>
  <c r="V23"/>
  <c r="AO23"/>
  <c r="AP23" s="1"/>
  <c r="BA23"/>
  <c r="BC23"/>
  <c r="BD23"/>
  <c r="BF23"/>
  <c r="BH23"/>
  <c r="BI23"/>
  <c r="BJ23" s="1"/>
  <c r="BK23"/>
  <c r="CT23"/>
  <c r="CU23"/>
  <c r="CV23"/>
  <c r="CX23"/>
  <c r="CY23"/>
  <c r="CZ23"/>
  <c r="DA23"/>
  <c r="DB23"/>
  <c r="DC23"/>
  <c r="DD23"/>
  <c r="DN23"/>
  <c r="BP23" s="1"/>
  <c r="I22"/>
  <c r="DG22" s="1"/>
  <c r="DJ22" s="1"/>
  <c r="J22"/>
  <c r="L22"/>
  <c r="N22"/>
  <c r="O22"/>
  <c r="P22" s="1"/>
  <c r="DE22" s="1"/>
  <c r="V22"/>
  <c r="AO22"/>
  <c r="AP22"/>
  <c r="BA22"/>
  <c r="BC22"/>
  <c r="BH22"/>
  <c r="BI22"/>
  <c r="BJ22" s="1"/>
  <c r="BK22"/>
  <c r="CT22"/>
  <c r="CU22"/>
  <c r="CV22"/>
  <c r="CX22"/>
  <c r="CY22"/>
  <c r="CZ22"/>
  <c r="DA22"/>
  <c r="DB22"/>
  <c r="DC22"/>
  <c r="DD22"/>
  <c r="DN22"/>
  <c r="BP22" s="1"/>
  <c r="I21"/>
  <c r="DG21" s="1"/>
  <c r="DJ21" s="1"/>
  <c r="J21"/>
  <c r="L21"/>
  <c r="N21"/>
  <c r="O21"/>
  <c r="P21" s="1"/>
  <c r="DE21" s="1"/>
  <c r="V21"/>
  <c r="AO21"/>
  <c r="AP21"/>
  <c r="BA21"/>
  <c r="BC21"/>
  <c r="BH21"/>
  <c r="BI21"/>
  <c r="BJ21" s="1"/>
  <c r="BK21"/>
  <c r="CT21"/>
  <c r="CU21"/>
  <c r="CV21"/>
  <c r="CX21"/>
  <c r="CY21"/>
  <c r="CZ21"/>
  <c r="DA21"/>
  <c r="DB21"/>
  <c r="DC21"/>
  <c r="DD21"/>
  <c r="DN21"/>
  <c r="BP21" s="1"/>
  <c r="I20"/>
  <c r="DK20" s="1"/>
  <c r="J20"/>
  <c r="L20"/>
  <c r="N20"/>
  <c r="O20"/>
  <c r="P20" s="1"/>
  <c r="DE20" s="1"/>
  <c r="V20"/>
  <c r="AO20"/>
  <c r="AP20"/>
  <c r="BA20"/>
  <c r="BC20"/>
  <c r="BH20"/>
  <c r="BI20"/>
  <c r="BJ20" s="1"/>
  <c r="BK20"/>
  <c r="CT20"/>
  <c r="CU20"/>
  <c r="CV20"/>
  <c r="CX20"/>
  <c r="CY20"/>
  <c r="CZ20"/>
  <c r="DA20"/>
  <c r="DB20"/>
  <c r="DC20"/>
  <c r="DD20"/>
  <c r="DN20"/>
  <c r="BP20" s="1"/>
  <c r="I19"/>
  <c r="DG19" s="1"/>
  <c r="DJ19" s="1"/>
  <c r="J19"/>
  <c r="L19"/>
  <c r="N19"/>
  <c r="O19"/>
  <c r="P19" s="1"/>
  <c r="DE19" s="1"/>
  <c r="V19"/>
  <c r="S19" s="1"/>
  <c r="AO19"/>
  <c r="AP19"/>
  <c r="BA19"/>
  <c r="BC19"/>
  <c r="BH19"/>
  <c r="BI19"/>
  <c r="BJ19" s="1"/>
  <c r="BK19"/>
  <c r="CT19"/>
  <c r="CU19"/>
  <c r="CV19"/>
  <c r="CX19"/>
  <c r="CY19"/>
  <c r="CZ19"/>
  <c r="DA19"/>
  <c r="DB19"/>
  <c r="DC19"/>
  <c r="DD19"/>
  <c r="DN19"/>
  <c r="BP19" s="1"/>
  <c r="I18"/>
  <c r="DG18" s="1"/>
  <c r="DJ18" s="1"/>
  <c r="J18"/>
  <c r="L18"/>
  <c r="N18"/>
  <c r="O18"/>
  <c r="P18" s="1"/>
  <c r="DE18" s="1"/>
  <c r="V18"/>
  <c r="AO18"/>
  <c r="AP18"/>
  <c r="BA18"/>
  <c r="BC18"/>
  <c r="BH18"/>
  <c r="BI18"/>
  <c r="BJ18" s="1"/>
  <c r="BK18"/>
  <c r="CT18"/>
  <c r="CU18"/>
  <c r="CV18"/>
  <c r="CX18"/>
  <c r="CY18"/>
  <c r="CZ18"/>
  <c r="DA18"/>
  <c r="DB18"/>
  <c r="DC18"/>
  <c r="DD18"/>
  <c r="DN18"/>
  <c r="BP18" s="1"/>
  <c r="I17"/>
  <c r="DG17" s="1"/>
  <c r="DJ17" s="1"/>
  <c r="J17"/>
  <c r="L17"/>
  <c r="N17"/>
  <c r="O17"/>
  <c r="P17" s="1"/>
  <c r="DE17" s="1"/>
  <c r="V17"/>
  <c r="AO17"/>
  <c r="AP17"/>
  <c r="BA17"/>
  <c r="BC17"/>
  <c r="BD17"/>
  <c r="BF17"/>
  <c r="BH17"/>
  <c r="BI17"/>
  <c r="BJ17" s="1"/>
  <c r="BK17"/>
  <c r="CT17"/>
  <c r="CU17"/>
  <c r="CV17"/>
  <c r="CX17"/>
  <c r="CY17"/>
  <c r="CZ17"/>
  <c r="DA17"/>
  <c r="DB17"/>
  <c r="DC17"/>
  <c r="DD17"/>
  <c r="DN17"/>
  <c r="BP17" s="1"/>
  <c r="I16"/>
  <c r="DG16" s="1"/>
  <c r="DJ16" s="1"/>
  <c r="J16"/>
  <c r="L16"/>
  <c r="N16"/>
  <c r="O16"/>
  <c r="P16" s="1"/>
  <c r="DE16" s="1"/>
  <c r="V16"/>
  <c r="AP16"/>
  <c r="BA16"/>
  <c r="BC16"/>
  <c r="BH16"/>
  <c r="BI16"/>
  <c r="BJ16" s="1"/>
  <c r="BK16"/>
  <c r="CT16"/>
  <c r="CU16"/>
  <c r="CV16"/>
  <c r="CX16"/>
  <c r="CY16"/>
  <c r="CZ16"/>
  <c r="DA16"/>
  <c r="DB16"/>
  <c r="DC16"/>
  <c r="DD16"/>
  <c r="DK16"/>
  <c r="DN16"/>
  <c r="BP16" s="1"/>
  <c r="I15"/>
  <c r="DG15" s="1"/>
  <c r="DJ15" s="1"/>
  <c r="J15"/>
  <c r="L15"/>
  <c r="N15"/>
  <c r="O15"/>
  <c r="P15" s="1"/>
  <c r="DE15" s="1"/>
  <c r="V15"/>
  <c r="AK15"/>
  <c r="AO15"/>
  <c r="AP15"/>
  <c r="BA15"/>
  <c r="BC15"/>
  <c r="BD15"/>
  <c r="BF15"/>
  <c r="BH15"/>
  <c r="BI15"/>
  <c r="BJ15" s="1"/>
  <c r="BK15"/>
  <c r="CT15"/>
  <c r="CU15"/>
  <c r="CV15"/>
  <c r="CX15"/>
  <c r="CY15"/>
  <c r="CZ15"/>
  <c r="DA15"/>
  <c r="DB15"/>
  <c r="DC15"/>
  <c r="DD15"/>
  <c r="DK15"/>
  <c r="DN15"/>
  <c r="BP15" s="1"/>
  <c r="I14"/>
  <c r="DK14" s="1"/>
  <c r="J14"/>
  <c r="L14"/>
  <c r="N14"/>
  <c r="O14"/>
  <c r="P14" s="1"/>
  <c r="DE14" s="1"/>
  <c r="V14"/>
  <c r="AO14"/>
  <c r="AP14"/>
  <c r="BA14"/>
  <c r="BC14"/>
  <c r="BD14"/>
  <c r="BF14"/>
  <c r="BH14"/>
  <c r="BI14"/>
  <c r="BJ14" s="1"/>
  <c r="BK14"/>
  <c r="CT14"/>
  <c r="CU14"/>
  <c r="CV14"/>
  <c r="CX14"/>
  <c r="CY14"/>
  <c r="CZ14"/>
  <c r="DA14"/>
  <c r="DB14"/>
  <c r="DC14"/>
  <c r="DD14"/>
  <c r="DN14"/>
  <c r="BP14" s="1"/>
  <c r="I13"/>
  <c r="DK13" s="1"/>
  <c r="J13"/>
  <c r="L13"/>
  <c r="N13"/>
  <c r="O13"/>
  <c r="P13" s="1"/>
  <c r="DE13" s="1"/>
  <c r="V13"/>
  <c r="S13" s="1"/>
  <c r="AO13"/>
  <c r="AP13"/>
  <c r="BA13"/>
  <c r="BC13"/>
  <c r="BD13"/>
  <c r="BF13"/>
  <c r="BH13"/>
  <c r="BI13"/>
  <c r="BJ13" s="1"/>
  <c r="BK13"/>
  <c r="CT13"/>
  <c r="CU13"/>
  <c r="CV13"/>
  <c r="CX13"/>
  <c r="CY13"/>
  <c r="CZ13"/>
  <c r="DA13"/>
  <c r="DB13"/>
  <c r="DC13"/>
  <c r="DD13"/>
  <c r="DN13"/>
  <c r="BP13" s="1"/>
  <c r="I12"/>
  <c r="DG12" s="1"/>
  <c r="DJ12" s="1"/>
  <c r="J12"/>
  <c r="L12"/>
  <c r="N12"/>
  <c r="O12"/>
  <c r="P12" s="1"/>
  <c r="DE12" s="1"/>
  <c r="V12"/>
  <c r="AO12"/>
  <c r="AP12" s="1"/>
  <c r="BA12"/>
  <c r="BC12"/>
  <c r="BD12"/>
  <c r="BF12"/>
  <c r="BH12"/>
  <c r="BI12"/>
  <c r="BJ12" s="1"/>
  <c r="BK12"/>
  <c r="CT12"/>
  <c r="CU12"/>
  <c r="CV12"/>
  <c r="CX12"/>
  <c r="CY12"/>
  <c r="CZ12"/>
  <c r="DA12"/>
  <c r="DB12"/>
  <c r="DC12"/>
  <c r="DD12"/>
  <c r="DK12"/>
  <c r="DN12"/>
  <c r="BP12" s="1"/>
  <c r="I11"/>
  <c r="DK11" s="1"/>
  <c r="J11"/>
  <c r="L11"/>
  <c r="N11"/>
  <c r="O11"/>
  <c r="P11" s="1"/>
  <c r="DE11" s="1"/>
  <c r="V11"/>
  <c r="AO11"/>
  <c r="AP11"/>
  <c r="BA11"/>
  <c r="BC11"/>
  <c r="BD11"/>
  <c r="BF11"/>
  <c r="BH11"/>
  <c r="BI11"/>
  <c r="BJ11" s="1"/>
  <c r="BK11"/>
  <c r="CT11"/>
  <c r="CU11"/>
  <c r="CV11"/>
  <c r="CX11"/>
  <c r="CY11"/>
  <c r="CZ11"/>
  <c r="DA11"/>
  <c r="DB11"/>
  <c r="DC11"/>
  <c r="DD11"/>
  <c r="DN11"/>
  <c r="BP11" s="1"/>
  <c r="I10"/>
  <c r="DG10" s="1"/>
  <c r="DJ10" s="1"/>
  <c r="J10"/>
  <c r="L10"/>
  <c r="N10"/>
  <c r="O10"/>
  <c r="P10" s="1"/>
  <c r="DE10" s="1"/>
  <c r="V10"/>
  <c r="S10" s="1"/>
  <c r="AO10"/>
  <c r="AP10"/>
  <c r="BA10"/>
  <c r="BC10"/>
  <c r="BD10"/>
  <c r="BF10"/>
  <c r="BH10"/>
  <c r="BI10"/>
  <c r="BJ10" s="1"/>
  <c r="BK10"/>
  <c r="CT10"/>
  <c r="CU10"/>
  <c r="CV10"/>
  <c r="CX10"/>
  <c r="CY10"/>
  <c r="CZ10"/>
  <c r="DA10"/>
  <c r="DB10"/>
  <c r="DC10"/>
  <c r="DD10"/>
  <c r="DN10"/>
  <c r="BP10" s="1"/>
  <c r="I9"/>
  <c r="DK9" s="1"/>
  <c r="J9"/>
  <c r="L9"/>
  <c r="N9"/>
  <c r="O9"/>
  <c r="P9" s="1"/>
  <c r="DE9" s="1"/>
  <c r="S9"/>
  <c r="V9"/>
  <c r="AO9"/>
  <c r="AP9" s="1"/>
  <c r="BA9"/>
  <c r="BC9"/>
  <c r="BH9"/>
  <c r="BI9"/>
  <c r="BJ9" s="1"/>
  <c r="BK9"/>
  <c r="CT9"/>
  <c r="CU9"/>
  <c r="CV9"/>
  <c r="CX9"/>
  <c r="CY9"/>
  <c r="CZ9"/>
  <c r="DA9"/>
  <c r="DB9"/>
  <c r="DC9"/>
  <c r="DD9"/>
  <c r="DN9"/>
  <c r="BP9" s="1"/>
  <c r="B8"/>
  <c r="B7"/>
  <c r="BP8"/>
  <c r="BP7"/>
  <c r="DN8"/>
  <c r="DN7"/>
  <c r="F37" i="114" l="1"/>
  <c r="BB37"/>
  <c r="F36"/>
  <c r="BB36"/>
  <c r="BE35"/>
  <c r="BB35"/>
  <c r="F35"/>
  <c r="F34"/>
  <c r="BB34"/>
  <c r="BD33"/>
  <c r="BF33" s="1"/>
  <c r="AI33"/>
  <c r="F33"/>
  <c r="AK33"/>
  <c r="H33"/>
  <c r="F32"/>
  <c r="BB32"/>
  <c r="F31"/>
  <c r="F30"/>
  <c r="BB30"/>
  <c r="CT39"/>
  <c r="BB26"/>
  <c r="F26"/>
  <c r="BB23"/>
  <c r="DA39"/>
  <c r="F21" i="115"/>
  <c r="CI39"/>
  <c r="CG39"/>
  <c r="CF39"/>
  <c r="E39" s="1"/>
  <c r="W21" i="114"/>
  <c r="X21" s="1"/>
  <c r="H21"/>
  <c r="BD21"/>
  <c r="BF21" s="1"/>
  <c r="AI21"/>
  <c r="F21"/>
  <c r="AK21"/>
  <c r="BB19"/>
  <c r="CT40" i="115"/>
  <c r="F19" i="114"/>
  <c r="F16"/>
  <c r="W19"/>
  <c r="X19" s="1"/>
  <c r="BD19"/>
  <c r="BF19" s="1"/>
  <c r="AI19"/>
  <c r="AZ19"/>
  <c r="BB16"/>
  <c r="BB12"/>
  <c r="BB15"/>
  <c r="BB14"/>
  <c r="F15"/>
  <c r="BB13"/>
  <c r="AO44"/>
  <c r="BB11"/>
  <c r="BB10"/>
  <c r="BB8"/>
  <c r="X34" i="113"/>
  <c r="BB9" i="114"/>
  <c r="C39" i="115"/>
  <c r="BE36" i="116"/>
  <c r="BB36"/>
  <c r="F36"/>
  <c r="BB35"/>
  <c r="BE35"/>
  <c r="F35"/>
  <c r="BB33"/>
  <c r="BE33"/>
  <c r="F33"/>
  <c r="BB34"/>
  <c r="BE34"/>
  <c r="F34"/>
  <c r="BB32"/>
  <c r="BE32"/>
  <c r="F32"/>
  <c r="BB31"/>
  <c r="BE31"/>
  <c r="F31"/>
  <c r="BB30"/>
  <c r="BE30"/>
  <c r="F30"/>
  <c r="BB29"/>
  <c r="BE29"/>
  <c r="F29"/>
  <c r="BB28"/>
  <c r="BE28"/>
  <c r="F28"/>
  <c r="BB27"/>
  <c r="BE27"/>
  <c r="F27"/>
  <c r="BE26"/>
  <c r="BB26"/>
  <c r="F26"/>
  <c r="BB25"/>
  <c r="BE25"/>
  <c r="F25"/>
  <c r="BB24"/>
  <c r="BE24"/>
  <c r="F24"/>
  <c r="BB23"/>
  <c r="BE23"/>
  <c r="F23"/>
  <c r="BB22"/>
  <c r="BE22"/>
  <c r="F22"/>
  <c r="BB21"/>
  <c r="BE21"/>
  <c r="F21"/>
  <c r="BB20"/>
  <c r="BE20"/>
  <c r="F20"/>
  <c r="BB19"/>
  <c r="BE19"/>
  <c r="F19"/>
  <c r="BB18"/>
  <c r="BE18"/>
  <c r="F18"/>
  <c r="BE17"/>
  <c r="BB17"/>
  <c r="F17"/>
  <c r="BB16"/>
  <c r="BE16"/>
  <c r="F16"/>
  <c r="DA39"/>
  <c r="BE15"/>
  <c r="BB15"/>
  <c r="F15"/>
  <c r="BE14"/>
  <c r="BB14"/>
  <c r="F14"/>
  <c r="BE13"/>
  <c r="BB13"/>
  <c r="F13"/>
  <c r="BE12"/>
  <c r="BB12"/>
  <c r="F12"/>
  <c r="BE11"/>
  <c r="BB11"/>
  <c r="F11"/>
  <c r="BE10"/>
  <c r="BB10"/>
  <c r="F10"/>
  <c r="BE9"/>
  <c r="BB9"/>
  <c r="F9"/>
  <c r="CV38"/>
  <c r="CV39" s="1"/>
  <c r="CT40" s="1"/>
  <c r="BW39"/>
  <c r="C7"/>
  <c r="D7" s="1"/>
  <c r="E8"/>
  <c r="C8"/>
  <c r="D8" s="1"/>
  <c r="X26" i="114"/>
  <c r="BE37" i="116"/>
  <c r="X35" i="113"/>
  <c r="CR39" i="116"/>
  <c r="X8"/>
  <c r="S39"/>
  <c r="S41" s="1"/>
  <c r="L38"/>
  <c r="L39" s="1"/>
  <c r="BJ37"/>
  <c r="B38"/>
  <c r="B39" s="1"/>
  <c r="DJ38"/>
  <c r="AP39"/>
  <c r="T37"/>
  <c r="T38" s="1"/>
  <c r="DG38"/>
  <c r="DH38" s="1"/>
  <c r="BA38"/>
  <c r="AE39" s="1"/>
  <c r="BH7"/>
  <c r="BH8" s="1"/>
  <c r="BH37" s="1"/>
  <c r="AI7"/>
  <c r="W7"/>
  <c r="X7" s="1"/>
  <c r="BK7"/>
  <c r="BD7"/>
  <c r="AK7"/>
  <c r="M7"/>
  <c r="H7"/>
  <c r="P38"/>
  <c r="P39" s="1"/>
  <c r="DE7"/>
  <c r="DE38" s="1"/>
  <c r="CR39" i="115"/>
  <c r="BE36" i="114"/>
  <c r="BE34"/>
  <c r="BE32"/>
  <c r="BE30"/>
  <c r="W20"/>
  <c r="X20" s="1"/>
  <c r="BE33"/>
  <c r="W28"/>
  <c r="X28" s="1"/>
  <c r="W22"/>
  <c r="X22" s="1"/>
  <c r="W18"/>
  <c r="X18" s="1"/>
  <c r="BE21"/>
  <c r="BE11"/>
  <c r="BE36" i="113"/>
  <c r="BA38" i="115"/>
  <c r="AE39" s="1"/>
  <c r="BH7"/>
  <c r="AI7"/>
  <c r="W7"/>
  <c r="X7" s="1"/>
  <c r="F7"/>
  <c r="BK7"/>
  <c r="BD7"/>
  <c r="AK7"/>
  <c r="M7"/>
  <c r="H7"/>
  <c r="P38"/>
  <c r="P39" s="1"/>
  <c r="DE7"/>
  <c r="DE38" s="1"/>
  <c r="S39"/>
  <c r="S41" s="1"/>
  <c r="D38"/>
  <c r="BE7"/>
  <c r="BB7"/>
  <c r="DG38"/>
  <c r="DI38" s="1"/>
  <c r="DJ7"/>
  <c r="DJ38" s="1"/>
  <c r="T38"/>
  <c r="AP39"/>
  <c r="F36" i="113"/>
  <c r="BB36"/>
  <c r="BB35"/>
  <c r="BB34"/>
  <c r="BB33"/>
  <c r="BE33"/>
  <c r="F33"/>
  <c r="S39" i="114"/>
  <c r="S41" s="1"/>
  <c r="BB32" i="113"/>
  <c r="BE32"/>
  <c r="F32"/>
  <c r="X32"/>
  <c r="AJ38"/>
  <c r="AJ39" s="1"/>
  <c r="BR38"/>
  <c r="V38"/>
  <c r="V39" s="1"/>
  <c r="CB39"/>
  <c r="BV39"/>
  <c r="BT38"/>
  <c r="CI39" s="1"/>
  <c r="BX39"/>
  <c r="BB31"/>
  <c r="BE31"/>
  <c r="F31"/>
  <c r="X14" i="114"/>
  <c r="X12"/>
  <c r="X10"/>
  <c r="X8"/>
  <c r="BB30" i="113"/>
  <c r="BE30"/>
  <c r="F30"/>
  <c r="CR39" i="114"/>
  <c r="X28" i="113"/>
  <c r="X15" i="114"/>
  <c r="X13"/>
  <c r="X11"/>
  <c r="X9"/>
  <c r="CV39"/>
  <c r="CT40" s="1"/>
  <c r="E39"/>
  <c r="C39"/>
  <c r="BK19"/>
  <c r="M19"/>
  <c r="H19"/>
  <c r="BK23"/>
  <c r="M23"/>
  <c r="H23"/>
  <c r="DK38"/>
  <c r="BE28"/>
  <c r="BB28"/>
  <c r="F28"/>
  <c r="BE22"/>
  <c r="BB22"/>
  <c r="F22"/>
  <c r="BE20"/>
  <c r="BB20"/>
  <c r="F20"/>
  <c r="BE18"/>
  <c r="BB18"/>
  <c r="F18"/>
  <c r="BB17"/>
  <c r="BE17"/>
  <c r="BE25"/>
  <c r="BB25"/>
  <c r="BE24"/>
  <c r="BB24"/>
  <c r="BA38"/>
  <c r="AE39" s="1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AI7"/>
  <c r="W7"/>
  <c r="X7" s="1"/>
  <c r="F7"/>
  <c r="BK7"/>
  <c r="BD7"/>
  <c r="AK7"/>
  <c r="M7"/>
  <c r="H7"/>
  <c r="P38"/>
  <c r="P39" s="1"/>
  <c r="DE7"/>
  <c r="DE38" s="1"/>
  <c r="BK17"/>
  <c r="BD17"/>
  <c r="BF17" s="1"/>
  <c r="AK17"/>
  <c r="M17"/>
  <c r="H17"/>
  <c r="AI17"/>
  <c r="W17"/>
  <c r="X17" s="1"/>
  <c r="F17"/>
  <c r="AK25"/>
  <c r="M25"/>
  <c r="H25"/>
  <c r="BK25"/>
  <c r="AZ25"/>
  <c r="AI25"/>
  <c r="BD25"/>
  <c r="BF25" s="1"/>
  <c r="W25"/>
  <c r="X25" s="1"/>
  <c r="F25"/>
  <c r="BK24"/>
  <c r="AK24"/>
  <c r="M24"/>
  <c r="H24"/>
  <c r="AZ24"/>
  <c r="AI24"/>
  <c r="W24"/>
  <c r="X24" s="1"/>
  <c r="F24"/>
  <c r="X35"/>
  <c r="X33"/>
  <c r="X31"/>
  <c r="X29"/>
  <c r="X27"/>
  <c r="AP39"/>
  <c r="T37"/>
  <c r="W37" s="1"/>
  <c r="X37" s="1"/>
  <c r="X23"/>
  <c r="D38"/>
  <c r="BE7"/>
  <c r="BB7"/>
  <c r="BE37"/>
  <c r="DJ38"/>
  <c r="X16"/>
  <c r="DG38"/>
  <c r="DI38" s="1"/>
  <c r="X21" i="113"/>
  <c r="BB29"/>
  <c r="BE29"/>
  <c r="F29"/>
  <c r="BB26"/>
  <c r="BE26"/>
  <c r="X27"/>
  <c r="F26"/>
  <c r="BB28"/>
  <c r="BB27"/>
  <c r="BB25"/>
  <c r="BE25"/>
  <c r="F25"/>
  <c r="X25"/>
  <c r="BE24"/>
  <c r="BB24"/>
  <c r="F24"/>
  <c r="BB23"/>
  <c r="BE23"/>
  <c r="F23"/>
  <c r="BE22"/>
  <c r="BB22"/>
  <c r="F22"/>
  <c r="X20"/>
  <c r="BB21"/>
  <c r="BB20"/>
  <c r="BB19"/>
  <c r="BE19"/>
  <c r="F19"/>
  <c r="BB18"/>
  <c r="BE18"/>
  <c r="F18"/>
  <c r="BB17"/>
  <c r="BE17"/>
  <c r="BE16"/>
  <c r="BB16"/>
  <c r="F16"/>
  <c r="BE15"/>
  <c r="BB15"/>
  <c r="BB12"/>
  <c r="BE12"/>
  <c r="BE10"/>
  <c r="F12"/>
  <c r="BE14"/>
  <c r="CT40"/>
  <c r="BE13"/>
  <c r="BJ37"/>
  <c r="X9"/>
  <c r="BE11"/>
  <c r="X10"/>
  <c r="BB11"/>
  <c r="DK38"/>
  <c r="BE9"/>
  <c r="DK18" i="112"/>
  <c r="DG14"/>
  <c r="DJ14" s="1"/>
  <c r="Q18"/>
  <c r="DK30"/>
  <c r="DK35"/>
  <c r="DG9"/>
  <c r="DJ9" s="1"/>
  <c r="DG23"/>
  <c r="DJ23" s="1"/>
  <c r="Q23"/>
  <c r="DG33"/>
  <c r="DJ33" s="1"/>
  <c r="Q35"/>
  <c r="DG11"/>
  <c r="DJ11" s="1"/>
  <c r="DK22"/>
  <c r="DK28"/>
  <c r="Q33"/>
  <c r="Q9"/>
  <c r="DG13"/>
  <c r="DJ13" s="1"/>
  <c r="DG20"/>
  <c r="DJ20" s="1"/>
  <c r="Q22"/>
  <c r="DG25"/>
  <c r="DJ25" s="1"/>
  <c r="Q28"/>
  <c r="Q30"/>
  <c r="CR39" i="113"/>
  <c r="Q13" i="112"/>
  <c r="Q14"/>
  <c r="Q15"/>
  <c r="Q16"/>
  <c r="DK32"/>
  <c r="BE37" i="113"/>
  <c r="BB8"/>
  <c r="BE8"/>
  <c r="BB7"/>
  <c r="BE7"/>
  <c r="BA38"/>
  <c r="BK7"/>
  <c r="BD7"/>
  <c r="AK7"/>
  <c r="M7"/>
  <c r="H7"/>
  <c r="BH7"/>
  <c r="BH8" s="1"/>
  <c r="BH37" s="1"/>
  <c r="AI7"/>
  <c r="W7"/>
  <c r="X7" s="1"/>
  <c r="F7"/>
  <c r="S39"/>
  <c r="S41" s="1"/>
  <c r="P38"/>
  <c r="P39" s="1"/>
  <c r="DG38"/>
  <c r="DH38" s="1"/>
  <c r="DJ7"/>
  <c r="DJ38" s="1"/>
  <c r="BK8"/>
  <c r="BD8"/>
  <c r="BF8" s="1"/>
  <c r="AK8"/>
  <c r="M8"/>
  <c r="H8"/>
  <c r="AI8"/>
  <c r="W8"/>
  <c r="X8" s="1"/>
  <c r="F8"/>
  <c r="T38"/>
  <c r="AP39"/>
  <c r="DE38"/>
  <c r="Q10" i="112"/>
  <c r="Q11"/>
  <c r="Q12"/>
  <c r="Q19"/>
  <c r="Q20"/>
  <c r="Q24"/>
  <c r="Q25"/>
  <c r="Q26"/>
  <c r="Q32"/>
  <c r="Q36"/>
  <c r="Q37"/>
  <c r="S17"/>
  <c r="Q17"/>
  <c r="S21"/>
  <c r="W21" s="1"/>
  <c r="Q21"/>
  <c r="S27"/>
  <c r="W27" s="1"/>
  <c r="Q27"/>
  <c r="DK29"/>
  <c r="S29"/>
  <c r="Q29"/>
  <c r="DK31"/>
  <c r="S31"/>
  <c r="Q31"/>
  <c r="Q34"/>
  <c r="DK36"/>
  <c r="S28"/>
  <c r="W28" s="1"/>
  <c r="S34"/>
  <c r="S12"/>
  <c r="S32"/>
  <c r="S37"/>
  <c r="W37" s="1"/>
  <c r="S36"/>
  <c r="DK10"/>
  <c r="S11"/>
  <c r="S14"/>
  <c r="W14" s="1"/>
  <c r="S15"/>
  <c r="S16"/>
  <c r="W16" s="1"/>
  <c r="DK17"/>
  <c r="S18"/>
  <c r="W18" s="1"/>
  <c r="DK19"/>
  <c r="S20"/>
  <c r="W20" s="1"/>
  <c r="DK21"/>
  <c r="S22"/>
  <c r="W22" s="1"/>
  <c r="S23"/>
  <c r="DK24"/>
  <c r="S25"/>
  <c r="S26"/>
  <c r="W26" s="1"/>
  <c r="X26" s="1"/>
  <c r="DK27"/>
  <c r="S30"/>
  <c r="W30" s="1"/>
  <c r="S35"/>
  <c r="H37"/>
  <c r="CW37"/>
  <c r="B37"/>
  <c r="BL37"/>
  <c r="AI37"/>
  <c r="AZ37"/>
  <c r="AK37"/>
  <c r="M37"/>
  <c r="B36"/>
  <c r="CW36"/>
  <c r="H36"/>
  <c r="BD36"/>
  <c r="BF36" s="1"/>
  <c r="AZ36"/>
  <c r="AI36"/>
  <c r="W36"/>
  <c r="X36" s="1"/>
  <c r="BL36"/>
  <c r="AK36"/>
  <c r="M36"/>
  <c r="B35"/>
  <c r="CW35"/>
  <c r="H35"/>
  <c r="BD35"/>
  <c r="BF35" s="1"/>
  <c r="AZ35"/>
  <c r="AI35"/>
  <c r="W35"/>
  <c r="BL35"/>
  <c r="AK35"/>
  <c r="M35"/>
  <c r="B34"/>
  <c r="CW34"/>
  <c r="H34" s="1"/>
  <c r="AZ34"/>
  <c r="AI34"/>
  <c r="W34"/>
  <c r="X34" s="1"/>
  <c r="BL34"/>
  <c r="AK34"/>
  <c r="M34"/>
  <c r="B33"/>
  <c r="CW33"/>
  <c r="H33"/>
  <c r="BD33"/>
  <c r="BF33" s="1"/>
  <c r="AZ33"/>
  <c r="AI33"/>
  <c r="W33"/>
  <c r="BL33"/>
  <c r="AK33"/>
  <c r="M33"/>
  <c r="B32"/>
  <c r="CW32"/>
  <c r="H32"/>
  <c r="BD32"/>
  <c r="BF32" s="1"/>
  <c r="AZ32"/>
  <c r="AI32"/>
  <c r="W32"/>
  <c r="BL32"/>
  <c r="AK32"/>
  <c r="M32"/>
  <c r="B31"/>
  <c r="CW31"/>
  <c r="H31"/>
  <c r="BD31"/>
  <c r="BF31" s="1"/>
  <c r="AZ31"/>
  <c r="AI31"/>
  <c r="W31"/>
  <c r="BL31"/>
  <c r="AK31"/>
  <c r="M31"/>
  <c r="B30"/>
  <c r="CW30"/>
  <c r="H30"/>
  <c r="BD30"/>
  <c r="BF30" s="1"/>
  <c r="AZ30"/>
  <c r="AI30"/>
  <c r="BL30"/>
  <c r="AK30"/>
  <c r="M30"/>
  <c r="B29"/>
  <c r="CW29"/>
  <c r="H29"/>
  <c r="BD29"/>
  <c r="BF29" s="1"/>
  <c r="AZ29"/>
  <c r="AI29"/>
  <c r="W29"/>
  <c r="BL29"/>
  <c r="AK29"/>
  <c r="M29"/>
  <c r="B28"/>
  <c r="CW28"/>
  <c r="H28"/>
  <c r="BD28"/>
  <c r="BF28" s="1"/>
  <c r="AZ28"/>
  <c r="AI28"/>
  <c r="BL28"/>
  <c r="AK28"/>
  <c r="M28"/>
  <c r="B27"/>
  <c r="CW27"/>
  <c r="H27"/>
  <c r="BD27"/>
  <c r="BF27" s="1"/>
  <c r="AZ27"/>
  <c r="AI27"/>
  <c r="BL27"/>
  <c r="AK27"/>
  <c r="M27"/>
  <c r="CW26"/>
  <c r="H26" s="1"/>
  <c r="B26"/>
  <c r="BL26"/>
  <c r="AI26"/>
  <c r="AZ26"/>
  <c r="AK26"/>
  <c r="M26"/>
  <c r="B25"/>
  <c r="CW25"/>
  <c r="H25"/>
  <c r="BD25"/>
  <c r="BF25" s="1"/>
  <c r="AZ25"/>
  <c r="AI25"/>
  <c r="W25"/>
  <c r="BL25"/>
  <c r="AK25"/>
  <c r="M25"/>
  <c r="CW24"/>
  <c r="B24"/>
  <c r="H24"/>
  <c r="BL24"/>
  <c r="BH24"/>
  <c r="AZ24"/>
  <c r="AI24"/>
  <c r="W24"/>
  <c r="AK24"/>
  <c r="M24"/>
  <c r="B23"/>
  <c r="CW23"/>
  <c r="H23"/>
  <c r="AZ23"/>
  <c r="AI23"/>
  <c r="W23"/>
  <c r="BL23"/>
  <c r="AK23"/>
  <c r="M23"/>
  <c r="B22"/>
  <c r="CW22"/>
  <c r="H22"/>
  <c r="BD22"/>
  <c r="BF22" s="1"/>
  <c r="AZ22"/>
  <c r="AI22"/>
  <c r="BL22"/>
  <c r="AK22"/>
  <c r="M22"/>
  <c r="B21"/>
  <c r="CW21"/>
  <c r="H21"/>
  <c r="BD21"/>
  <c r="BF21" s="1"/>
  <c r="AZ21"/>
  <c r="AI21"/>
  <c r="BL21"/>
  <c r="AK21"/>
  <c r="M21"/>
  <c r="B20"/>
  <c r="CW20"/>
  <c r="H20"/>
  <c r="BD20"/>
  <c r="BF20" s="1"/>
  <c r="AZ20"/>
  <c r="AI20"/>
  <c r="BL20"/>
  <c r="AK20"/>
  <c r="M20"/>
  <c r="B19"/>
  <c r="CW19"/>
  <c r="H19"/>
  <c r="BD19"/>
  <c r="BF19" s="1"/>
  <c r="AZ19"/>
  <c r="AI19"/>
  <c r="W19"/>
  <c r="X19" s="1"/>
  <c r="BL19"/>
  <c r="AK19"/>
  <c r="M19"/>
  <c r="B18"/>
  <c r="CW18"/>
  <c r="H18"/>
  <c r="BD18"/>
  <c r="BF18" s="1"/>
  <c r="AZ18"/>
  <c r="AI18"/>
  <c r="BL18"/>
  <c r="AK18"/>
  <c r="M18"/>
  <c r="CW17"/>
  <c r="B17"/>
  <c r="H17"/>
  <c r="BL17"/>
  <c r="AI17"/>
  <c r="W17"/>
  <c r="AK17"/>
  <c r="M17"/>
  <c r="B16"/>
  <c r="CW16"/>
  <c r="H16" s="1"/>
  <c r="BD16"/>
  <c r="BF16" s="1"/>
  <c r="AI16"/>
  <c r="BL16"/>
  <c r="AK16"/>
  <c r="M16"/>
  <c r="CW15"/>
  <c r="H15" s="1"/>
  <c r="B15"/>
  <c r="BL15"/>
  <c r="AI15"/>
  <c r="W15"/>
  <c r="M15"/>
  <c r="CW14"/>
  <c r="B14"/>
  <c r="H14"/>
  <c r="BL14"/>
  <c r="AI14"/>
  <c r="AK14"/>
  <c r="M14"/>
  <c r="CW13"/>
  <c r="B13"/>
  <c r="H13"/>
  <c r="BL13"/>
  <c r="AI13"/>
  <c r="W13"/>
  <c r="AK13"/>
  <c r="M13"/>
  <c r="CW12"/>
  <c r="H12" s="1"/>
  <c r="B12"/>
  <c r="BL12"/>
  <c r="AI12"/>
  <c r="W12"/>
  <c r="X12" s="1"/>
  <c r="AK12"/>
  <c r="M12"/>
  <c r="CW11"/>
  <c r="B11"/>
  <c r="H11"/>
  <c r="BL11"/>
  <c r="AI11"/>
  <c r="W11"/>
  <c r="AK11"/>
  <c r="M11"/>
  <c r="CW10"/>
  <c r="B10"/>
  <c r="H10"/>
  <c r="BL10"/>
  <c r="AI10"/>
  <c r="W10"/>
  <c r="X10" s="1"/>
  <c r="AK10"/>
  <c r="M10"/>
  <c r="CW9"/>
  <c r="H9" s="1"/>
  <c r="B9"/>
  <c r="BL9"/>
  <c r="AI9"/>
  <c r="W9"/>
  <c r="BD9"/>
  <c r="BF9" s="1"/>
  <c r="AK9"/>
  <c r="M9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8"/>
  <c r="DC8"/>
  <c r="DB8"/>
  <c r="DA8"/>
  <c r="CZ8"/>
  <c r="CY8"/>
  <c r="CX8"/>
  <c r="CW8"/>
  <c r="CV8"/>
  <c r="CU8"/>
  <c r="CT8"/>
  <c r="BK8"/>
  <c r="BI8"/>
  <c r="BC8"/>
  <c r="AP8"/>
  <c r="AO8"/>
  <c r="BA8" s="1"/>
  <c r="AK8"/>
  <c r="V8"/>
  <c r="O8"/>
  <c r="P8" s="1"/>
  <c r="DE8" s="1"/>
  <c r="N8"/>
  <c r="M8"/>
  <c r="L8"/>
  <c r="J8"/>
  <c r="I8"/>
  <c r="DK8" s="1"/>
  <c r="H8"/>
  <c r="C8"/>
  <c r="E8"/>
  <c r="DD7"/>
  <c r="DD38" s="1"/>
  <c r="DC7"/>
  <c r="DC38" s="1"/>
  <c r="DB7"/>
  <c r="DB38" s="1"/>
  <c r="DA7"/>
  <c r="DA38" s="1"/>
  <c r="CZ7"/>
  <c r="CZ38" s="1"/>
  <c r="CY7"/>
  <c r="CY38" s="1"/>
  <c r="CX7"/>
  <c r="CX38" s="1"/>
  <c r="CW7"/>
  <c r="CV7"/>
  <c r="CV38" s="1"/>
  <c r="CU7"/>
  <c r="CU38" s="1"/>
  <c r="CT7"/>
  <c r="CT38" s="1"/>
  <c r="CT39" s="1"/>
  <c r="BJ7"/>
  <c r="BI7"/>
  <c r="BC7"/>
  <c r="BC38" s="1"/>
  <c r="BC39" s="1"/>
  <c r="AO7"/>
  <c r="AO38" s="1"/>
  <c r="V7"/>
  <c r="O7"/>
  <c r="P7" s="1"/>
  <c r="N7"/>
  <c r="L7"/>
  <c r="J7"/>
  <c r="I7"/>
  <c r="B37" i="108"/>
  <c r="C37" s="1"/>
  <c r="D37" s="1"/>
  <c r="I37"/>
  <c r="DK37" s="1"/>
  <c r="J37"/>
  <c r="L37"/>
  <c r="N37"/>
  <c r="O37"/>
  <c r="P37" s="1"/>
  <c r="DE37" s="1"/>
  <c r="R37"/>
  <c r="S37" s="1"/>
  <c r="T37" s="1"/>
  <c r="V37"/>
  <c r="AP37"/>
  <c r="BA37"/>
  <c r="H37" s="1"/>
  <c r="BC37"/>
  <c r="BH37"/>
  <c r="BI37"/>
  <c r="BJ37" s="1"/>
  <c r="BK37"/>
  <c r="CT37"/>
  <c r="CU37"/>
  <c r="CV37"/>
  <c r="CW37"/>
  <c r="CX37"/>
  <c r="CY37"/>
  <c r="CZ37"/>
  <c r="DA37"/>
  <c r="DB37"/>
  <c r="DC37"/>
  <c r="DD37"/>
  <c r="DD36"/>
  <c r="DC36"/>
  <c r="DB36"/>
  <c r="DA36"/>
  <c r="CZ36"/>
  <c r="CY36"/>
  <c r="CX36"/>
  <c r="CW36"/>
  <c r="CV36"/>
  <c r="CU36"/>
  <c r="CT36"/>
  <c r="BJ36"/>
  <c r="BI36"/>
  <c r="BC36"/>
  <c r="BA36"/>
  <c r="BH36" s="1"/>
  <c r="AP36"/>
  <c r="AK36"/>
  <c r="V36"/>
  <c r="R36"/>
  <c r="S36" s="1"/>
  <c r="O36"/>
  <c r="Q36" s="1"/>
  <c r="N36"/>
  <c r="M36"/>
  <c r="L36"/>
  <c r="J36"/>
  <c r="I36"/>
  <c r="H36"/>
  <c r="B36"/>
  <c r="C36" s="1"/>
  <c r="DD35"/>
  <c r="DC35"/>
  <c r="DB35"/>
  <c r="DA35"/>
  <c r="CZ35"/>
  <c r="CY35"/>
  <c r="CX35"/>
  <c r="CW35"/>
  <c r="CV35"/>
  <c r="CU35"/>
  <c r="CT35"/>
  <c r="BI35"/>
  <c r="BC35"/>
  <c r="BA35"/>
  <c r="V35"/>
  <c r="R35"/>
  <c r="O35"/>
  <c r="Q35" s="1"/>
  <c r="N35"/>
  <c r="L35"/>
  <c r="J35"/>
  <c r="I35"/>
  <c r="B35"/>
  <c r="B34"/>
  <c r="C34" s="1"/>
  <c r="D34" s="1"/>
  <c r="I34"/>
  <c r="DK34" s="1"/>
  <c r="J34"/>
  <c r="L34"/>
  <c r="N34"/>
  <c r="O34"/>
  <c r="P34" s="1"/>
  <c r="DE34" s="1"/>
  <c r="R34"/>
  <c r="S34" s="1"/>
  <c r="T34" s="1"/>
  <c r="V34"/>
  <c r="AP34"/>
  <c r="BA34"/>
  <c r="H34" s="1"/>
  <c r="BC34"/>
  <c r="BH34"/>
  <c r="BI34"/>
  <c r="BJ34" s="1"/>
  <c r="BK34"/>
  <c r="CT34"/>
  <c r="CU34"/>
  <c r="CV34"/>
  <c r="CW34"/>
  <c r="CX34"/>
  <c r="CY34"/>
  <c r="CZ34"/>
  <c r="DA34"/>
  <c r="DB34"/>
  <c r="DC34"/>
  <c r="DD34"/>
  <c r="DG34"/>
  <c r="DJ34" s="1"/>
  <c r="BI33"/>
  <c r="BC33"/>
  <c r="BA33"/>
  <c r="V33"/>
  <c r="R33"/>
  <c r="O33"/>
  <c r="P33" s="1"/>
  <c r="N33"/>
  <c r="L33"/>
  <c r="J33"/>
  <c r="I33"/>
  <c r="B33"/>
  <c r="BF59" i="111"/>
  <c r="R8"/>
  <c r="R9"/>
  <c r="R10"/>
  <c r="R11"/>
  <c r="S11" s="1"/>
  <c r="R12"/>
  <c r="R13"/>
  <c r="R14"/>
  <c r="R15"/>
  <c r="R16"/>
  <c r="R17"/>
  <c r="R18"/>
  <c r="R19"/>
  <c r="S19" s="1"/>
  <c r="R20"/>
  <c r="R21"/>
  <c r="R22"/>
  <c r="R23"/>
  <c r="R24"/>
  <c r="R25"/>
  <c r="R26"/>
  <c r="S26" s="1"/>
  <c r="T26" s="1"/>
  <c r="R27"/>
  <c r="R28"/>
  <c r="S28" s="1"/>
  <c r="T28" s="1"/>
  <c r="R29"/>
  <c r="R30"/>
  <c r="R31"/>
  <c r="R32"/>
  <c r="S32" s="1"/>
  <c r="T32" s="1"/>
  <c r="R33"/>
  <c r="R34"/>
  <c r="R35"/>
  <c r="R36"/>
  <c r="R37"/>
  <c r="R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C8" s="1"/>
  <c r="B9"/>
  <c r="C9" s="1"/>
  <c r="D9" s="1"/>
  <c r="B10"/>
  <c r="E10" s="1"/>
  <c r="B11"/>
  <c r="C11" s="1"/>
  <c r="D11" s="1"/>
  <c r="B12"/>
  <c r="C12" s="1"/>
  <c r="B13"/>
  <c r="C13" s="1"/>
  <c r="D13" s="1"/>
  <c r="B14"/>
  <c r="C14" s="1"/>
  <c r="B15"/>
  <c r="E15" s="1"/>
  <c r="B16"/>
  <c r="E16" s="1"/>
  <c r="B17"/>
  <c r="B18"/>
  <c r="B19"/>
  <c r="E19" s="1"/>
  <c r="B20"/>
  <c r="B21"/>
  <c r="C21" s="1"/>
  <c r="B22"/>
  <c r="B23"/>
  <c r="C23" s="1"/>
  <c r="D23" s="1"/>
  <c r="B24"/>
  <c r="B25"/>
  <c r="E25" s="1"/>
  <c r="B26"/>
  <c r="B27"/>
  <c r="B28"/>
  <c r="E28" s="1"/>
  <c r="B29"/>
  <c r="B30"/>
  <c r="C30" s="1"/>
  <c r="D30" s="1"/>
  <c r="B31"/>
  <c r="B32"/>
  <c r="C32" s="1"/>
  <c r="D32" s="1"/>
  <c r="B33"/>
  <c r="B34"/>
  <c r="E34" s="1"/>
  <c r="B35"/>
  <c r="B36"/>
  <c r="E36" s="1"/>
  <c r="B37"/>
  <c r="B7"/>
  <c r="E7" s="1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B37"/>
  <c r="AO37"/>
  <c r="BA37" s="1"/>
  <c r="V37"/>
  <c r="O37"/>
  <c r="Q37" s="1"/>
  <c r="N37"/>
  <c r="I37"/>
  <c r="DK37" s="1"/>
  <c r="DD36"/>
  <c r="DC36"/>
  <c r="DB36"/>
  <c r="DA36"/>
  <c r="CZ36"/>
  <c r="CY36"/>
  <c r="CX36"/>
  <c r="CW36"/>
  <c r="CV36"/>
  <c r="CU36"/>
  <c r="CT36"/>
  <c r="BI36"/>
  <c r="BC36"/>
  <c r="BA36"/>
  <c r="BK36" s="1"/>
  <c r="AP36"/>
  <c r="AK36"/>
  <c r="V36"/>
  <c r="S36"/>
  <c r="T36" s="1"/>
  <c r="O36"/>
  <c r="Q36" s="1"/>
  <c r="N36"/>
  <c r="I36"/>
  <c r="DK36" s="1"/>
  <c r="H36"/>
  <c r="DD35"/>
  <c r="DC35"/>
  <c r="DB35"/>
  <c r="DA35"/>
  <c r="CZ35"/>
  <c r="CY35"/>
  <c r="CX35"/>
  <c r="CW35"/>
  <c r="CV35"/>
  <c r="CU35"/>
  <c r="CT35"/>
  <c r="BI35"/>
  <c r="BC35"/>
  <c r="AO35"/>
  <c r="V35"/>
  <c r="O35"/>
  <c r="Q35" s="1"/>
  <c r="N35"/>
  <c r="I35"/>
  <c r="DK35" s="1"/>
  <c r="DD34"/>
  <c r="DC34"/>
  <c r="DB34"/>
  <c r="DA34"/>
  <c r="CZ34"/>
  <c r="CY34"/>
  <c r="CX34"/>
  <c r="CW34"/>
  <c r="CV34"/>
  <c r="CU34"/>
  <c r="CT34"/>
  <c r="BI34"/>
  <c r="BC34"/>
  <c r="AO34"/>
  <c r="AP34" s="1"/>
  <c r="V34"/>
  <c r="O34"/>
  <c r="Q34" s="1"/>
  <c r="N34"/>
  <c r="I34"/>
  <c r="DK34" s="1"/>
  <c r="DD33"/>
  <c r="DC33"/>
  <c r="DB33"/>
  <c r="DA33"/>
  <c r="CZ33"/>
  <c r="CY33"/>
  <c r="CX33"/>
  <c r="CW33"/>
  <c r="CV33"/>
  <c r="CU33"/>
  <c r="CT33"/>
  <c r="BI33"/>
  <c r="BC33"/>
  <c r="AO33"/>
  <c r="BA33" s="1"/>
  <c r="V33"/>
  <c r="O33"/>
  <c r="Q33" s="1"/>
  <c r="N33"/>
  <c r="I33"/>
  <c r="DK33" s="1"/>
  <c r="DD32"/>
  <c r="DC32"/>
  <c r="DB32"/>
  <c r="DA32"/>
  <c r="CZ32"/>
  <c r="CY32"/>
  <c r="CX32"/>
  <c r="CW32"/>
  <c r="CV32"/>
  <c r="CU32"/>
  <c r="CT32"/>
  <c r="BI32"/>
  <c r="BC32"/>
  <c r="AO32"/>
  <c r="AP32" s="1"/>
  <c r="V32"/>
  <c r="O32"/>
  <c r="Q32" s="1"/>
  <c r="N32"/>
  <c r="I32"/>
  <c r="DK32" s="1"/>
  <c r="DD31"/>
  <c r="DC31"/>
  <c r="DB31"/>
  <c r="DA31"/>
  <c r="CZ31"/>
  <c r="CY31"/>
  <c r="CX31"/>
  <c r="CW31"/>
  <c r="CV31"/>
  <c r="CU31"/>
  <c r="CT31"/>
  <c r="BI31"/>
  <c r="BC31"/>
  <c r="AO31"/>
  <c r="BA31" s="1"/>
  <c r="V31"/>
  <c r="O31"/>
  <c r="Q31" s="1"/>
  <c r="N31"/>
  <c r="I31"/>
  <c r="DK31" s="1"/>
  <c r="DD30"/>
  <c r="DC30"/>
  <c r="DB30"/>
  <c r="DA30"/>
  <c r="CZ30"/>
  <c r="CY30"/>
  <c r="CX30"/>
  <c r="CW30"/>
  <c r="CV30"/>
  <c r="CU30"/>
  <c r="CT30"/>
  <c r="BI30"/>
  <c r="BC30"/>
  <c r="AO30"/>
  <c r="AP30" s="1"/>
  <c r="V30"/>
  <c r="O30"/>
  <c r="Q30" s="1"/>
  <c r="N30"/>
  <c r="I30"/>
  <c r="DK30" s="1"/>
  <c r="DD29"/>
  <c r="DC29"/>
  <c r="DB29"/>
  <c r="DA29"/>
  <c r="CZ29"/>
  <c r="CY29"/>
  <c r="CX29"/>
  <c r="CW29"/>
  <c r="CV29"/>
  <c r="CU29"/>
  <c r="CT29"/>
  <c r="BI29"/>
  <c r="BC29"/>
  <c r="AO29"/>
  <c r="BA29" s="1"/>
  <c r="V29"/>
  <c r="O29"/>
  <c r="Q29" s="1"/>
  <c r="N29"/>
  <c r="I29"/>
  <c r="DK29" s="1"/>
  <c r="DD28"/>
  <c r="DC28"/>
  <c r="DB28"/>
  <c r="DA28"/>
  <c r="CZ28"/>
  <c r="CY28"/>
  <c r="CX28"/>
  <c r="CW28"/>
  <c r="CV28"/>
  <c r="CU28"/>
  <c r="CT28"/>
  <c r="BI28"/>
  <c r="BC28"/>
  <c r="AO28"/>
  <c r="BA28" s="1"/>
  <c r="V28"/>
  <c r="O28"/>
  <c r="Q28" s="1"/>
  <c r="N28"/>
  <c r="I28"/>
  <c r="DK28" s="1"/>
  <c r="DD27"/>
  <c r="DC27"/>
  <c r="DB27"/>
  <c r="DA27"/>
  <c r="CZ27"/>
  <c r="CY27"/>
  <c r="CX27"/>
  <c r="CW27"/>
  <c r="CV27"/>
  <c r="CU27"/>
  <c r="CT27"/>
  <c r="BI27"/>
  <c r="BC27"/>
  <c r="AO27"/>
  <c r="BA27" s="1"/>
  <c r="V27"/>
  <c r="O27"/>
  <c r="Q27" s="1"/>
  <c r="N27"/>
  <c r="I27"/>
  <c r="DK27" s="1"/>
  <c r="DD26"/>
  <c r="DC26"/>
  <c r="DB26"/>
  <c r="DA26"/>
  <c r="CZ26"/>
  <c r="CY26"/>
  <c r="CX26"/>
  <c r="CW26"/>
  <c r="CV26"/>
  <c r="CU26"/>
  <c r="CT26"/>
  <c r="BI26"/>
  <c r="BC26"/>
  <c r="BA26"/>
  <c r="AP26"/>
  <c r="AI26"/>
  <c r="V26"/>
  <c r="O26"/>
  <c r="Q26" s="1"/>
  <c r="N26"/>
  <c r="I26"/>
  <c r="DD25"/>
  <c r="DC25"/>
  <c r="DB25"/>
  <c r="DA25"/>
  <c r="CZ25"/>
  <c r="CY25"/>
  <c r="CX25"/>
  <c r="CW25"/>
  <c r="CV25"/>
  <c r="CU25"/>
  <c r="CT25"/>
  <c r="BI25"/>
  <c r="BC25"/>
  <c r="AO25"/>
  <c r="BA25" s="1"/>
  <c r="V25"/>
  <c r="O25"/>
  <c r="P25" s="1"/>
  <c r="DE25" s="1"/>
  <c r="N25"/>
  <c r="I25"/>
  <c r="DK25" s="1"/>
  <c r="DD24"/>
  <c r="DC24"/>
  <c r="DB24"/>
  <c r="DA24"/>
  <c r="CZ24"/>
  <c r="CY24"/>
  <c r="CX24"/>
  <c r="CW24"/>
  <c r="CV24"/>
  <c r="CU24"/>
  <c r="CT24"/>
  <c r="BI24"/>
  <c r="BC24"/>
  <c r="BF24" s="1"/>
  <c r="AO24"/>
  <c r="AP24" s="1"/>
  <c r="V24"/>
  <c r="O24"/>
  <c r="P24" s="1"/>
  <c r="DE24" s="1"/>
  <c r="N24"/>
  <c r="I24"/>
  <c r="DK24" s="1"/>
  <c r="DD23"/>
  <c r="DC23"/>
  <c r="DB23"/>
  <c r="DA23"/>
  <c r="CZ23"/>
  <c r="CY23"/>
  <c r="CX23"/>
  <c r="CW23"/>
  <c r="CV23"/>
  <c r="CU23"/>
  <c r="CT23"/>
  <c r="BI23"/>
  <c r="BC23"/>
  <c r="AP23"/>
  <c r="AO23"/>
  <c r="BA23" s="1"/>
  <c r="V23"/>
  <c r="O23"/>
  <c r="P23" s="1"/>
  <c r="DE23" s="1"/>
  <c r="N23"/>
  <c r="I23"/>
  <c r="DK23" s="1"/>
  <c r="DD22"/>
  <c r="DC22"/>
  <c r="DB22"/>
  <c r="DA22"/>
  <c r="CZ22"/>
  <c r="CY22"/>
  <c r="CX22"/>
  <c r="CW22"/>
  <c r="CV22"/>
  <c r="CU22"/>
  <c r="CT22"/>
  <c r="BI22"/>
  <c r="BC22"/>
  <c r="AO22"/>
  <c r="V22"/>
  <c r="O22"/>
  <c r="Q22" s="1"/>
  <c r="N22"/>
  <c r="I22"/>
  <c r="DK22" s="1"/>
  <c r="DD21"/>
  <c r="DC21"/>
  <c r="DB21"/>
  <c r="DA21"/>
  <c r="CZ21"/>
  <c r="CY21"/>
  <c r="CX21"/>
  <c r="CW21"/>
  <c r="CV21"/>
  <c r="CU21"/>
  <c r="CT21"/>
  <c r="BI21"/>
  <c r="BC21"/>
  <c r="AP21"/>
  <c r="AO21"/>
  <c r="BA21" s="1"/>
  <c r="V21"/>
  <c r="O21"/>
  <c r="P21" s="1"/>
  <c r="DE21" s="1"/>
  <c r="N21"/>
  <c r="I21"/>
  <c r="DK21" s="1"/>
  <c r="DD20"/>
  <c r="DC20"/>
  <c r="DB20"/>
  <c r="DA20"/>
  <c r="CZ20"/>
  <c r="CY20"/>
  <c r="CX20"/>
  <c r="CW20"/>
  <c r="CV20"/>
  <c r="CU20"/>
  <c r="CT20"/>
  <c r="BI20"/>
  <c r="BC20"/>
  <c r="AO20"/>
  <c r="V20"/>
  <c r="O20"/>
  <c r="Q20" s="1"/>
  <c r="N20"/>
  <c r="I20"/>
  <c r="DG20" s="1"/>
  <c r="DJ20" s="1"/>
  <c r="DD19"/>
  <c r="DC19"/>
  <c r="DB19"/>
  <c r="DA19"/>
  <c r="CZ19"/>
  <c r="CY19"/>
  <c r="CX19"/>
  <c r="CW19"/>
  <c r="CV19"/>
  <c r="CU19"/>
  <c r="CT19"/>
  <c r="BI19"/>
  <c r="BC19"/>
  <c r="AO19"/>
  <c r="BA19" s="1"/>
  <c r="V19"/>
  <c r="O19"/>
  <c r="P19" s="1"/>
  <c r="DE19" s="1"/>
  <c r="N19"/>
  <c r="I19"/>
  <c r="DK19" s="1"/>
  <c r="DD18"/>
  <c r="DC18"/>
  <c r="DB18"/>
  <c r="DA18"/>
  <c r="CZ18"/>
  <c r="CY18"/>
  <c r="CX18"/>
  <c r="CW18"/>
  <c r="CV18"/>
  <c r="CU18"/>
  <c r="CT18"/>
  <c r="BI18"/>
  <c r="BC18"/>
  <c r="AO18"/>
  <c r="V18"/>
  <c r="O18"/>
  <c r="Q18" s="1"/>
  <c r="N18"/>
  <c r="I18"/>
  <c r="DK18" s="1"/>
  <c r="DD17"/>
  <c r="DC17"/>
  <c r="DB17"/>
  <c r="DA17"/>
  <c r="CZ17"/>
  <c r="CY17"/>
  <c r="CX17"/>
  <c r="CW17"/>
  <c r="CV17"/>
  <c r="CU17"/>
  <c r="CT17"/>
  <c r="BI17"/>
  <c r="BC17"/>
  <c r="AO17"/>
  <c r="AP17" s="1"/>
  <c r="V17"/>
  <c r="O17"/>
  <c r="Q17" s="1"/>
  <c r="N17"/>
  <c r="I17"/>
  <c r="DD16"/>
  <c r="DC16"/>
  <c r="DB16"/>
  <c r="DA16"/>
  <c r="CZ16"/>
  <c r="CY16"/>
  <c r="CX16"/>
  <c r="CW16"/>
  <c r="CV16"/>
  <c r="CU16"/>
  <c r="CT16"/>
  <c r="BI16"/>
  <c r="BC16"/>
  <c r="BA16"/>
  <c r="AP16"/>
  <c r="AK16"/>
  <c r="V16"/>
  <c r="O16"/>
  <c r="P16" s="1"/>
  <c r="DE16" s="1"/>
  <c r="N16"/>
  <c r="M16"/>
  <c r="I16"/>
  <c r="DK16" s="1"/>
  <c r="H16"/>
  <c r="DD15"/>
  <c r="DC15"/>
  <c r="DB15"/>
  <c r="DA15"/>
  <c r="CZ15"/>
  <c r="CY15"/>
  <c r="CX15"/>
  <c r="CW15"/>
  <c r="CV15"/>
  <c r="CU15"/>
  <c r="CT15"/>
  <c r="BI15"/>
  <c r="BC15"/>
  <c r="AP15"/>
  <c r="AO15"/>
  <c r="BA15" s="1"/>
  <c r="V15"/>
  <c r="O15"/>
  <c r="P15" s="1"/>
  <c r="DE15" s="1"/>
  <c r="N15"/>
  <c r="I15"/>
  <c r="DK15" s="1"/>
  <c r="DD14"/>
  <c r="DC14"/>
  <c r="DB14"/>
  <c r="DA14"/>
  <c r="CZ14"/>
  <c r="CY14"/>
  <c r="CX14"/>
  <c r="CW14"/>
  <c r="CV14"/>
  <c r="CU14"/>
  <c r="CT14"/>
  <c r="BI14"/>
  <c r="BC14"/>
  <c r="AO14"/>
  <c r="BA14" s="1"/>
  <c r="BK14" s="1"/>
  <c r="V14"/>
  <c r="O14"/>
  <c r="P14" s="1"/>
  <c r="DE14" s="1"/>
  <c r="N14"/>
  <c r="I14"/>
  <c r="DG14" s="1"/>
  <c r="DJ14" s="1"/>
  <c r="DD13"/>
  <c r="DC13"/>
  <c r="DB13"/>
  <c r="DA13"/>
  <c r="CZ13"/>
  <c r="CY13"/>
  <c r="CX13"/>
  <c r="CW13"/>
  <c r="CV13"/>
  <c r="CU13"/>
  <c r="CT13"/>
  <c r="BI13"/>
  <c r="BC13"/>
  <c r="AO13"/>
  <c r="BA13" s="1"/>
  <c r="V13"/>
  <c r="O13"/>
  <c r="P13" s="1"/>
  <c r="DE13" s="1"/>
  <c r="N13"/>
  <c r="I13"/>
  <c r="DG13" s="1"/>
  <c r="DJ13" s="1"/>
  <c r="DD12"/>
  <c r="DC12"/>
  <c r="DB12"/>
  <c r="DA12"/>
  <c r="CZ12"/>
  <c r="CY12"/>
  <c r="CX12"/>
  <c r="CW12"/>
  <c r="CV12"/>
  <c r="CU12"/>
  <c r="CT12"/>
  <c r="BI12"/>
  <c r="BC12"/>
  <c r="BA12"/>
  <c r="AK12" s="1"/>
  <c r="V12"/>
  <c r="O12"/>
  <c r="P12" s="1"/>
  <c r="DE12" s="1"/>
  <c r="N12"/>
  <c r="I12"/>
  <c r="DG12" s="1"/>
  <c r="DJ12" s="1"/>
  <c r="DD11"/>
  <c r="DC11"/>
  <c r="DB11"/>
  <c r="DA11"/>
  <c r="CZ11"/>
  <c r="CY11"/>
  <c r="CX11"/>
  <c r="CW11"/>
  <c r="CV11"/>
  <c r="CU11"/>
  <c r="CT11"/>
  <c r="BI11"/>
  <c r="BC11"/>
  <c r="AO11"/>
  <c r="BA11" s="1"/>
  <c r="V11"/>
  <c r="O11"/>
  <c r="P11" s="1"/>
  <c r="DE11" s="1"/>
  <c r="N11"/>
  <c r="I11"/>
  <c r="DG11" s="1"/>
  <c r="DJ11" s="1"/>
  <c r="DD10"/>
  <c r="DC10"/>
  <c r="DB10"/>
  <c r="DA10"/>
  <c r="CZ10"/>
  <c r="CY10"/>
  <c r="CX10"/>
  <c r="CW10"/>
  <c r="CV10"/>
  <c r="CU10"/>
  <c r="CT10"/>
  <c r="BI10"/>
  <c r="BC10"/>
  <c r="AO10"/>
  <c r="BA10" s="1"/>
  <c r="AK10" s="1"/>
  <c r="V10"/>
  <c r="O10"/>
  <c r="P10" s="1"/>
  <c r="DE10" s="1"/>
  <c r="N10"/>
  <c r="I10"/>
  <c r="DK10" s="1"/>
  <c r="DD9"/>
  <c r="DC9"/>
  <c r="DB9"/>
  <c r="DA9"/>
  <c r="CZ9"/>
  <c r="CY9"/>
  <c r="CX9"/>
  <c r="CW9"/>
  <c r="CV9"/>
  <c r="CU9"/>
  <c r="CT9"/>
  <c r="BI9"/>
  <c r="BC9"/>
  <c r="AP9"/>
  <c r="AO9"/>
  <c r="BA9" s="1"/>
  <c r="V9"/>
  <c r="O9"/>
  <c r="P9" s="1"/>
  <c r="DE9" s="1"/>
  <c r="N9"/>
  <c r="I9"/>
  <c r="DK9" s="1"/>
  <c r="DD8"/>
  <c r="DC8"/>
  <c r="DB8"/>
  <c r="DA8"/>
  <c r="CZ8"/>
  <c r="CY8"/>
  <c r="CX8"/>
  <c r="CW8"/>
  <c r="CV8"/>
  <c r="CU8"/>
  <c r="CT8"/>
  <c r="BI8"/>
  <c r="BC8"/>
  <c r="AP8"/>
  <c r="AO8"/>
  <c r="BA8" s="1"/>
  <c r="BK8" s="1"/>
  <c r="AK8"/>
  <c r="V8"/>
  <c r="O8"/>
  <c r="P8" s="1"/>
  <c r="DE8" s="1"/>
  <c r="N8"/>
  <c r="M8"/>
  <c r="I8"/>
  <c r="DK8" s="1"/>
  <c r="H8"/>
  <c r="DD7"/>
  <c r="DC7"/>
  <c r="DB7"/>
  <c r="DA7"/>
  <c r="CZ7"/>
  <c r="CZ38" s="1"/>
  <c r="CY7"/>
  <c r="CX7"/>
  <c r="CX38" s="1"/>
  <c r="CW7"/>
  <c r="CV7"/>
  <c r="CU7"/>
  <c r="CT7"/>
  <c r="BI7"/>
  <c r="BC7"/>
  <c r="AO7"/>
  <c r="AP7" s="1"/>
  <c r="V7"/>
  <c r="O7"/>
  <c r="N7"/>
  <c r="I7"/>
  <c r="DG7" s="1"/>
  <c r="DD32" i="108"/>
  <c r="DC32"/>
  <c r="DB32"/>
  <c r="DA32"/>
  <c r="CZ32"/>
  <c r="CY32"/>
  <c r="CX32"/>
  <c r="CW32"/>
  <c r="CV32"/>
  <c r="CU32"/>
  <c r="CT32"/>
  <c r="BC32"/>
  <c r="BA32"/>
  <c r="V32"/>
  <c r="R32"/>
  <c r="O32"/>
  <c r="Q32" s="1"/>
  <c r="N32"/>
  <c r="L32"/>
  <c r="J32"/>
  <c r="I32"/>
  <c r="B32"/>
  <c r="E32" s="1"/>
  <c r="DD31"/>
  <c r="DC31"/>
  <c r="DB31"/>
  <c r="DA31"/>
  <c r="CZ31"/>
  <c r="CY31"/>
  <c r="CX31"/>
  <c r="CW31"/>
  <c r="CV31"/>
  <c r="CU31"/>
  <c r="CT31"/>
  <c r="BC31"/>
  <c r="BA31"/>
  <c r="V31"/>
  <c r="R31"/>
  <c r="O31"/>
  <c r="Q31" s="1"/>
  <c r="N31"/>
  <c r="L31"/>
  <c r="J31"/>
  <c r="I31"/>
  <c r="B31"/>
  <c r="DD30"/>
  <c r="DC30"/>
  <c r="DB30"/>
  <c r="DA30"/>
  <c r="CZ30"/>
  <c r="CY30"/>
  <c r="CX30"/>
  <c r="CW30"/>
  <c r="CV30"/>
  <c r="CU30"/>
  <c r="CT30"/>
  <c r="BC30"/>
  <c r="BA30"/>
  <c r="V30"/>
  <c r="R30"/>
  <c r="O30"/>
  <c r="Q30" s="1"/>
  <c r="N30"/>
  <c r="L30"/>
  <c r="J30"/>
  <c r="I30"/>
  <c r="B30"/>
  <c r="DD29"/>
  <c r="DC29"/>
  <c r="DB29"/>
  <c r="DA29"/>
  <c r="CZ29"/>
  <c r="CY29"/>
  <c r="CX29"/>
  <c r="CW29"/>
  <c r="CV29"/>
  <c r="CU29"/>
  <c r="CT29"/>
  <c r="BC29"/>
  <c r="BA29"/>
  <c r="V29"/>
  <c r="R29"/>
  <c r="O29"/>
  <c r="Q29" s="1"/>
  <c r="N29"/>
  <c r="L29"/>
  <c r="J29"/>
  <c r="I29"/>
  <c r="B29"/>
  <c r="DD28"/>
  <c r="DC28"/>
  <c r="DB28"/>
  <c r="DA28"/>
  <c r="CZ28"/>
  <c r="CY28"/>
  <c r="CX28"/>
  <c r="CW28"/>
  <c r="CV28"/>
  <c r="CU28"/>
  <c r="CT28"/>
  <c r="BC28"/>
  <c r="BA28"/>
  <c r="V28"/>
  <c r="R28"/>
  <c r="O28"/>
  <c r="Q28" s="1"/>
  <c r="N28"/>
  <c r="L28"/>
  <c r="J28"/>
  <c r="I28"/>
  <c r="B28"/>
  <c r="DD27"/>
  <c r="DC27"/>
  <c r="DB27"/>
  <c r="DA27"/>
  <c r="CZ27"/>
  <c r="CY27"/>
  <c r="CX27"/>
  <c r="CW27"/>
  <c r="CV27"/>
  <c r="CU27"/>
  <c r="CT27"/>
  <c r="BC27"/>
  <c r="BA27"/>
  <c r="V27"/>
  <c r="R27"/>
  <c r="O27"/>
  <c r="Q27" s="1"/>
  <c r="N27"/>
  <c r="L27"/>
  <c r="J27"/>
  <c r="I27"/>
  <c r="B27"/>
  <c r="E27" s="1"/>
  <c r="DD26"/>
  <c r="DC26"/>
  <c r="DB26"/>
  <c r="DA26"/>
  <c r="CZ26"/>
  <c r="CY26"/>
  <c r="CX26"/>
  <c r="CW26"/>
  <c r="CV26"/>
  <c r="CU26"/>
  <c r="CT26"/>
  <c r="BC26"/>
  <c r="BA26"/>
  <c r="BK26" s="1"/>
  <c r="AP26"/>
  <c r="AI26"/>
  <c r="V26"/>
  <c r="R26"/>
  <c r="O26"/>
  <c r="P26" s="1"/>
  <c r="DE26" s="1"/>
  <c r="N26"/>
  <c r="L26"/>
  <c r="J26"/>
  <c r="I26"/>
  <c r="B26"/>
  <c r="C26" s="1"/>
  <c r="BA26" i="109"/>
  <c r="E21" i="115" l="1"/>
  <c r="AA39"/>
  <c r="BE7" i="116"/>
  <c r="F7"/>
  <c r="BB7"/>
  <c r="BB8"/>
  <c r="F8"/>
  <c r="BE8"/>
  <c r="DI38"/>
  <c r="C39"/>
  <c r="AA39"/>
  <c r="D38"/>
  <c r="F39" s="1"/>
  <c r="F41" s="1"/>
  <c r="E39"/>
  <c r="BK38"/>
  <c r="BL7"/>
  <c r="BL8" s="1"/>
  <c r="BL37" s="1"/>
  <c r="BB48" s="1"/>
  <c r="BB51" s="1"/>
  <c r="BA39"/>
  <c r="AZ39" s="1"/>
  <c r="AK39"/>
  <c r="AI39"/>
  <c r="M39"/>
  <c r="W39"/>
  <c r="H39"/>
  <c r="BD38"/>
  <c r="BD39" s="1"/>
  <c r="BF7"/>
  <c r="BF38" s="1"/>
  <c r="BF39" s="1"/>
  <c r="T38" i="114"/>
  <c r="BD38" i="115"/>
  <c r="BD39" s="1"/>
  <c r="BF7"/>
  <c r="BF38" s="1"/>
  <c r="BF39" s="1"/>
  <c r="DH38"/>
  <c r="BK38"/>
  <c r="BL7"/>
  <c r="BB48" s="1"/>
  <c r="BB51" s="1"/>
  <c r="BE39"/>
  <c r="BA39"/>
  <c r="AZ39" s="1"/>
  <c r="AK39"/>
  <c r="AI39"/>
  <c r="M39"/>
  <c r="W39"/>
  <c r="H39"/>
  <c r="F39"/>
  <c r="F41" s="1"/>
  <c r="AA39" i="114"/>
  <c r="M36" i="111"/>
  <c r="CT38"/>
  <c r="BA35"/>
  <c r="BK35" s="1"/>
  <c r="S34"/>
  <c r="T34" s="1"/>
  <c r="BZ39" i="113"/>
  <c r="CG39"/>
  <c r="E39" s="1"/>
  <c r="BU39"/>
  <c r="C39" s="1"/>
  <c r="AM38"/>
  <c r="AN38"/>
  <c r="AN39" s="1"/>
  <c r="S30" i="111"/>
  <c r="T30" s="1"/>
  <c r="DH38" i="114"/>
  <c r="BB38"/>
  <c r="BB39" s="1"/>
  <c r="BD38"/>
  <c r="BD39" s="1"/>
  <c r="BF7"/>
  <c r="BF38" s="1"/>
  <c r="BF39" s="1"/>
  <c r="BK38"/>
  <c r="BL7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L24" s="1"/>
  <c r="BL25" s="1"/>
  <c r="BL26" s="1"/>
  <c r="BL27" s="1"/>
  <c r="BL28" s="1"/>
  <c r="BL29" s="1"/>
  <c r="BL30" s="1"/>
  <c r="BL31" s="1"/>
  <c r="BL32" s="1"/>
  <c r="BL33" s="1"/>
  <c r="BL34" s="1"/>
  <c r="BL35" s="1"/>
  <c r="BL36" s="1"/>
  <c r="BL37" s="1"/>
  <c r="BB48" s="1"/>
  <c r="BB51" s="1"/>
  <c r="BE39"/>
  <c r="BA39"/>
  <c r="AZ39" s="1"/>
  <c r="AK39"/>
  <c r="AI39"/>
  <c r="M39"/>
  <c r="W39"/>
  <c r="H39"/>
  <c r="F39"/>
  <c r="F41" s="1"/>
  <c r="AE39" i="113"/>
  <c r="AI39"/>
  <c r="W26" i="111"/>
  <c r="X26" s="1"/>
  <c r="AP25"/>
  <c r="S25"/>
  <c r="T25" s="1"/>
  <c r="S24"/>
  <c r="T24" s="1"/>
  <c r="S23"/>
  <c r="T23" s="1"/>
  <c r="S22"/>
  <c r="T22" s="1"/>
  <c r="X9" i="112"/>
  <c r="X13"/>
  <c r="X15"/>
  <c r="X30"/>
  <c r="X18"/>
  <c r="X23"/>
  <c r="S20" i="111"/>
  <c r="T20" s="1"/>
  <c r="AP19"/>
  <c r="DB38"/>
  <c r="S18"/>
  <c r="T18" s="1"/>
  <c r="S17"/>
  <c r="T17" s="1"/>
  <c r="S15"/>
  <c r="T15" s="1"/>
  <c r="S13"/>
  <c r="T13" s="1"/>
  <c r="AP11"/>
  <c r="V38"/>
  <c r="V39" s="1"/>
  <c r="DD38"/>
  <c r="S9"/>
  <c r="T9" s="1"/>
  <c r="CV38"/>
  <c r="C10"/>
  <c r="D10" s="1"/>
  <c r="DG37" i="108"/>
  <c r="DJ37" s="1"/>
  <c r="Q37"/>
  <c r="X17" i="112"/>
  <c r="X25"/>
  <c r="X31"/>
  <c r="X32"/>
  <c r="X33"/>
  <c r="X35"/>
  <c r="X22"/>
  <c r="X20"/>
  <c r="X16"/>
  <c r="X14"/>
  <c r="X37"/>
  <c r="X28"/>
  <c r="X27"/>
  <c r="X21"/>
  <c r="E11" i="111"/>
  <c r="BE11" s="1"/>
  <c r="E13"/>
  <c r="BB13" s="1"/>
  <c r="AA39" i="113"/>
  <c r="BK38"/>
  <c r="BL7"/>
  <c r="BL8" s="1"/>
  <c r="BL37" s="1"/>
  <c r="BB48" s="1"/>
  <c r="BB51" s="1"/>
  <c r="BA39"/>
  <c r="AZ39" s="1"/>
  <c r="AK39"/>
  <c r="M39"/>
  <c r="W39"/>
  <c r="H39"/>
  <c r="DI38"/>
  <c r="BD38"/>
  <c r="BD39" s="1"/>
  <c r="BF7"/>
  <c r="BF38" s="1"/>
  <c r="BF39" s="1"/>
  <c r="BB38"/>
  <c r="BB39" s="1"/>
  <c r="S8" i="111"/>
  <c r="T8" s="1"/>
  <c r="C19"/>
  <c r="D19" s="1"/>
  <c r="E21"/>
  <c r="E23"/>
  <c r="BE23" s="1"/>
  <c r="X11" i="112"/>
  <c r="X24"/>
  <c r="E9" i="111"/>
  <c r="BE9" s="1"/>
  <c r="S10"/>
  <c r="T10" s="1"/>
  <c r="S12"/>
  <c r="T12" s="1"/>
  <c r="C15"/>
  <c r="D15" s="1"/>
  <c r="C25"/>
  <c r="D25" s="1"/>
  <c r="X29" i="112"/>
  <c r="E12" i="111"/>
  <c r="E14"/>
  <c r="E32"/>
  <c r="BE32" s="1"/>
  <c r="C34"/>
  <c r="D34" s="1"/>
  <c r="I38" i="112"/>
  <c r="I39" s="1"/>
  <c r="I41" s="1"/>
  <c r="L38"/>
  <c r="L39" s="1"/>
  <c r="S8"/>
  <c r="W8" s="1"/>
  <c r="DG8"/>
  <c r="DJ8" s="1"/>
  <c r="C37"/>
  <c r="E37"/>
  <c r="D37"/>
  <c r="C36"/>
  <c r="E36"/>
  <c r="D36"/>
  <c r="C35"/>
  <c r="E35"/>
  <c r="D35"/>
  <c r="C34"/>
  <c r="E34"/>
  <c r="D34"/>
  <c r="C33"/>
  <c r="E33"/>
  <c r="D33"/>
  <c r="C32"/>
  <c r="E32"/>
  <c r="D32"/>
  <c r="C31"/>
  <c r="E31"/>
  <c r="D31"/>
  <c r="C30"/>
  <c r="E30"/>
  <c r="D30"/>
  <c r="C29"/>
  <c r="E29"/>
  <c r="D29"/>
  <c r="C28"/>
  <c r="E28"/>
  <c r="D28"/>
  <c r="C27"/>
  <c r="E27"/>
  <c r="D27"/>
  <c r="C26"/>
  <c r="E26"/>
  <c r="D26"/>
  <c r="C25"/>
  <c r="E25"/>
  <c r="D25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9"/>
  <c r="E9"/>
  <c r="D9"/>
  <c r="C16" i="111"/>
  <c r="D16" s="1"/>
  <c r="C28"/>
  <c r="D28" s="1"/>
  <c r="E30"/>
  <c r="BB30" s="1"/>
  <c r="C36"/>
  <c r="D36" s="1"/>
  <c r="B38" i="112"/>
  <c r="B39" s="1"/>
  <c r="N38"/>
  <c r="N39" s="1"/>
  <c r="CW38"/>
  <c r="CV39" s="1"/>
  <c r="CT40" s="1"/>
  <c r="DE7"/>
  <c r="R38"/>
  <c r="R39" s="1"/>
  <c r="AO44"/>
  <c r="AO39"/>
  <c r="O38"/>
  <c r="O39" s="1"/>
  <c r="Q39" s="1"/>
  <c r="AI8"/>
  <c r="BA7"/>
  <c r="DK7"/>
  <c r="C7"/>
  <c r="D7" s="1"/>
  <c r="E7"/>
  <c r="J38"/>
  <c r="J39" s="1"/>
  <c r="Q7"/>
  <c r="S7"/>
  <c r="V38"/>
  <c r="V39" s="1"/>
  <c r="AP7"/>
  <c r="DG7"/>
  <c r="D8"/>
  <c r="Q8"/>
  <c r="BD8"/>
  <c r="BF8" s="1"/>
  <c r="BJ8"/>
  <c r="DA39"/>
  <c r="AV39"/>
  <c r="BU39"/>
  <c r="BW39"/>
  <c r="BY39"/>
  <c r="CA39"/>
  <c r="CC39"/>
  <c r="CE39"/>
  <c r="CG39"/>
  <c r="J45"/>
  <c r="C7" i="111"/>
  <c r="D7" s="1"/>
  <c r="S21"/>
  <c r="T21" s="1"/>
  <c r="J38"/>
  <c r="J39" s="1"/>
  <c r="Q34" i="108"/>
  <c r="D36"/>
  <c r="E36"/>
  <c r="T36"/>
  <c r="BL37"/>
  <c r="AI37"/>
  <c r="W37"/>
  <c r="F37"/>
  <c r="BD37"/>
  <c r="BF37" s="1"/>
  <c r="AZ37"/>
  <c r="AK37"/>
  <c r="M37"/>
  <c r="E37"/>
  <c r="BE37" s="1"/>
  <c r="F36"/>
  <c r="P36"/>
  <c r="DE36" s="1"/>
  <c r="W36"/>
  <c r="X36" s="1"/>
  <c r="AI36"/>
  <c r="AZ36"/>
  <c r="BD36"/>
  <c r="BF36" s="1"/>
  <c r="BK36"/>
  <c r="BL36" s="1"/>
  <c r="S7" i="111"/>
  <c r="T7" s="1"/>
  <c r="P35" i="108"/>
  <c r="DE35" s="1"/>
  <c r="BK35"/>
  <c r="BD35"/>
  <c r="BF35" s="1"/>
  <c r="AZ35"/>
  <c r="AI35"/>
  <c r="BH35"/>
  <c r="AK35"/>
  <c r="M35"/>
  <c r="H35"/>
  <c r="BL35"/>
  <c r="C35"/>
  <c r="D35" s="1"/>
  <c r="E35"/>
  <c r="S35"/>
  <c r="T35" s="1"/>
  <c r="W35" s="1"/>
  <c r="X35" s="1"/>
  <c r="AP35"/>
  <c r="BJ35"/>
  <c r="S14" i="111"/>
  <c r="T14" s="1"/>
  <c r="S16"/>
  <c r="T16" s="1"/>
  <c r="BL34" i="108"/>
  <c r="AI34"/>
  <c r="W34"/>
  <c r="F34"/>
  <c r="BD34"/>
  <c r="BF34" s="1"/>
  <c r="AZ34"/>
  <c r="AK34"/>
  <c r="M34"/>
  <c r="E34"/>
  <c r="BE34" s="1"/>
  <c r="BK33"/>
  <c r="BD33"/>
  <c r="BF33" s="1"/>
  <c r="AZ33"/>
  <c r="AI33"/>
  <c r="BH33"/>
  <c r="AK33"/>
  <c r="BL33"/>
  <c r="C33"/>
  <c r="D33" s="1"/>
  <c r="E33"/>
  <c r="Q33"/>
  <c r="S33"/>
  <c r="T33" s="1"/>
  <c r="W33" s="1"/>
  <c r="AP33"/>
  <c r="BJ33"/>
  <c r="P27" i="111"/>
  <c r="DE27" s="1"/>
  <c r="P29"/>
  <c r="DE29" s="1"/>
  <c r="P26"/>
  <c r="DE26" s="1"/>
  <c r="DG8"/>
  <c r="DJ8" s="1"/>
  <c r="DK13"/>
  <c r="Q9"/>
  <c r="DG9"/>
  <c r="DJ9" s="1"/>
  <c r="Q13"/>
  <c r="DK14"/>
  <c r="Q15"/>
  <c r="DG15"/>
  <c r="DJ15" s="1"/>
  <c r="Q25"/>
  <c r="DK7"/>
  <c r="DG10"/>
  <c r="DJ10" s="1"/>
  <c r="DK11"/>
  <c r="DK12"/>
  <c r="DK20"/>
  <c r="P31"/>
  <c r="DE31" s="1"/>
  <c r="P33"/>
  <c r="DE33" s="1"/>
  <c r="P35"/>
  <c r="DE35" s="1"/>
  <c r="P37"/>
  <c r="DE37" s="1"/>
  <c r="Q11"/>
  <c r="P17"/>
  <c r="DE17" s="1"/>
  <c r="P18"/>
  <c r="DE18" s="1"/>
  <c r="Q19"/>
  <c r="P20"/>
  <c r="DE20" s="1"/>
  <c r="P22"/>
  <c r="DE22" s="1"/>
  <c r="Q23"/>
  <c r="Q24"/>
  <c r="AK21"/>
  <c r="M21"/>
  <c r="H21"/>
  <c r="BK28"/>
  <c r="M28"/>
  <c r="H28"/>
  <c r="BA24"/>
  <c r="AZ24" s="1"/>
  <c r="AP28"/>
  <c r="BA30"/>
  <c r="AK30" s="1"/>
  <c r="BA32"/>
  <c r="F32" s="1"/>
  <c r="BA34"/>
  <c r="AP10"/>
  <c r="AP12"/>
  <c r="AP13"/>
  <c r="H14"/>
  <c r="M14"/>
  <c r="AK14"/>
  <c r="AP14"/>
  <c r="BK10"/>
  <c r="BK12"/>
  <c r="H10"/>
  <c r="M10"/>
  <c r="H12"/>
  <c r="M12"/>
  <c r="AK28"/>
  <c r="O38"/>
  <c r="O39" s="1"/>
  <c r="Q39" s="1"/>
  <c r="AI9"/>
  <c r="F9"/>
  <c r="AI11"/>
  <c r="F11"/>
  <c r="AI13"/>
  <c r="F13"/>
  <c r="AI15"/>
  <c r="BK16"/>
  <c r="BD16"/>
  <c r="BF16" s="1"/>
  <c r="AI16"/>
  <c r="E17"/>
  <c r="C17"/>
  <c r="D17" s="1"/>
  <c r="BK19"/>
  <c r="BD19"/>
  <c r="BF19" s="1"/>
  <c r="AZ19"/>
  <c r="AI19"/>
  <c r="E20"/>
  <c r="C20"/>
  <c r="D20" s="1"/>
  <c r="BA20"/>
  <c r="AP20"/>
  <c r="BK23"/>
  <c r="BD23"/>
  <c r="AZ23"/>
  <c r="AI23"/>
  <c r="F23"/>
  <c r="E24"/>
  <c r="C24"/>
  <c r="D24" s="1"/>
  <c r="E26"/>
  <c r="C26"/>
  <c r="D26" s="1"/>
  <c r="R38"/>
  <c r="R39" s="1"/>
  <c r="AI8"/>
  <c r="AI10"/>
  <c r="AI12"/>
  <c r="AI14"/>
  <c r="DK17"/>
  <c r="DG17"/>
  <c r="DJ17" s="1"/>
  <c r="E18"/>
  <c r="C18"/>
  <c r="D18" s="1"/>
  <c r="BA18"/>
  <c r="AP18"/>
  <c r="BK21"/>
  <c r="BD21"/>
  <c r="AZ21"/>
  <c r="AI21"/>
  <c r="E22"/>
  <c r="C22"/>
  <c r="D22" s="1"/>
  <c r="BA22"/>
  <c r="AP22"/>
  <c r="M24"/>
  <c r="BK25"/>
  <c r="BD25"/>
  <c r="AZ25"/>
  <c r="AI25"/>
  <c r="AK25"/>
  <c r="M25"/>
  <c r="H25"/>
  <c r="BK27"/>
  <c r="BD27"/>
  <c r="BF27" s="1"/>
  <c r="AZ27"/>
  <c r="AI27"/>
  <c r="AK27"/>
  <c r="M27"/>
  <c r="H27"/>
  <c r="BK31"/>
  <c r="BD31"/>
  <c r="BF31" s="1"/>
  <c r="AZ31"/>
  <c r="AI31"/>
  <c r="AK31"/>
  <c r="M31"/>
  <c r="H31"/>
  <c r="BB32"/>
  <c r="BK37"/>
  <c r="BD37"/>
  <c r="BF37" s="1"/>
  <c r="AZ37"/>
  <c r="AI37"/>
  <c r="W37"/>
  <c r="X37" s="1"/>
  <c r="F37"/>
  <c r="AK37"/>
  <c r="M37"/>
  <c r="H37"/>
  <c r="Q7"/>
  <c r="BD9"/>
  <c r="BF9" s="1"/>
  <c r="BD11"/>
  <c r="BF11" s="1"/>
  <c r="BD13"/>
  <c r="BF13" s="1"/>
  <c r="BD15"/>
  <c r="BF15" s="1"/>
  <c r="DG18"/>
  <c r="DJ18" s="1"/>
  <c r="BF21"/>
  <c r="DG22"/>
  <c r="DJ22" s="1"/>
  <c r="B38"/>
  <c r="B39" s="1"/>
  <c r="I38"/>
  <c r="I39" s="1"/>
  <c r="I41" s="1"/>
  <c r="L38"/>
  <c r="L39" s="1"/>
  <c r="N38"/>
  <c r="N39" s="1"/>
  <c r="P7"/>
  <c r="AO38"/>
  <c r="BA7"/>
  <c r="BC38"/>
  <c r="BC39" s="1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CU38"/>
  <c r="CT39" s="1"/>
  <c r="CW38"/>
  <c r="CY38"/>
  <c r="DA38"/>
  <c r="DC38"/>
  <c r="DJ7"/>
  <c r="D8"/>
  <c r="E8"/>
  <c r="Q8"/>
  <c r="BD8"/>
  <c r="BF8" s="1"/>
  <c r="H9"/>
  <c r="M9"/>
  <c r="AK9"/>
  <c r="BK9"/>
  <c r="Q10"/>
  <c r="BD10"/>
  <c r="BF10" s="1"/>
  <c r="H11"/>
  <c r="M11"/>
  <c r="T11"/>
  <c r="AK11"/>
  <c r="BK11"/>
  <c r="D12"/>
  <c r="Q12"/>
  <c r="BD12"/>
  <c r="BF12" s="1"/>
  <c r="H13"/>
  <c r="M13"/>
  <c r="AK13"/>
  <c r="BK13"/>
  <c r="D14"/>
  <c r="Q14"/>
  <c r="BD14"/>
  <c r="BF14" s="1"/>
  <c r="H15"/>
  <c r="M15"/>
  <c r="AK15"/>
  <c r="BK15"/>
  <c r="Q16"/>
  <c r="BA17"/>
  <c r="H19"/>
  <c r="M19"/>
  <c r="T19"/>
  <c r="AK19"/>
  <c r="D21"/>
  <c r="Q21"/>
  <c r="H23"/>
  <c r="M23"/>
  <c r="AK23"/>
  <c r="BF23"/>
  <c r="DG24"/>
  <c r="DJ24" s="1"/>
  <c r="DK26"/>
  <c r="DG26"/>
  <c r="DJ26" s="1"/>
  <c r="BK26"/>
  <c r="BD26"/>
  <c r="BF26" s="1"/>
  <c r="AZ26"/>
  <c r="AK26"/>
  <c r="M26"/>
  <c r="H26"/>
  <c r="BK29"/>
  <c r="BD29"/>
  <c r="BF29" s="1"/>
  <c r="AZ29"/>
  <c r="AI29"/>
  <c r="AK29"/>
  <c r="M29"/>
  <c r="H29"/>
  <c r="BK33"/>
  <c r="BD33"/>
  <c r="BF33" s="1"/>
  <c r="AZ33"/>
  <c r="AI33"/>
  <c r="AK33"/>
  <c r="M33"/>
  <c r="H33"/>
  <c r="BD35"/>
  <c r="BF35" s="1"/>
  <c r="AI35"/>
  <c r="M35"/>
  <c r="DG16"/>
  <c r="DJ16" s="1"/>
  <c r="DG19"/>
  <c r="DJ19" s="1"/>
  <c r="DG21"/>
  <c r="DJ21" s="1"/>
  <c r="DG23"/>
  <c r="DJ23" s="1"/>
  <c r="BF25"/>
  <c r="DG25"/>
  <c r="DJ25" s="1"/>
  <c r="C27"/>
  <c r="D27" s="1"/>
  <c r="E27"/>
  <c r="S27"/>
  <c r="T27" s="1"/>
  <c r="AP27"/>
  <c r="P28"/>
  <c r="DE28" s="1"/>
  <c r="W28"/>
  <c r="X28" s="1"/>
  <c r="AI28"/>
  <c r="AZ28"/>
  <c r="BD28"/>
  <c r="BF28" s="1"/>
  <c r="DG28"/>
  <c r="DJ28" s="1"/>
  <c r="C29"/>
  <c r="D29" s="1"/>
  <c r="E29"/>
  <c r="S29"/>
  <c r="T29" s="1"/>
  <c r="AP29"/>
  <c r="F30"/>
  <c r="P30"/>
  <c r="DE30" s="1"/>
  <c r="AZ30"/>
  <c r="DG30"/>
  <c r="DJ30" s="1"/>
  <c r="C31"/>
  <c r="D31" s="1"/>
  <c r="E31"/>
  <c r="S31"/>
  <c r="T31" s="1"/>
  <c r="AP31"/>
  <c r="P32"/>
  <c r="DE32" s="1"/>
  <c r="AI32"/>
  <c r="DG32"/>
  <c r="DJ32" s="1"/>
  <c r="C33"/>
  <c r="D33" s="1"/>
  <c r="E33"/>
  <c r="S33"/>
  <c r="T33" s="1"/>
  <c r="AP33"/>
  <c r="P34"/>
  <c r="DE34" s="1"/>
  <c r="AI34"/>
  <c r="BD34"/>
  <c r="BF34" s="1"/>
  <c r="DG34"/>
  <c r="DJ34" s="1"/>
  <c r="C35"/>
  <c r="D35" s="1"/>
  <c r="E35"/>
  <c r="S35"/>
  <c r="T35" s="1"/>
  <c r="AP35"/>
  <c r="P36"/>
  <c r="DE36" s="1"/>
  <c r="W36"/>
  <c r="X36" s="1"/>
  <c r="AI36"/>
  <c r="AZ36"/>
  <c r="BD36"/>
  <c r="BF36" s="1"/>
  <c r="DG36"/>
  <c r="DJ36" s="1"/>
  <c r="C37"/>
  <c r="D37" s="1"/>
  <c r="E37"/>
  <c r="S37"/>
  <c r="T37" s="1"/>
  <c r="AP37"/>
  <c r="AV39"/>
  <c r="BU39"/>
  <c r="BW39"/>
  <c r="BY39"/>
  <c r="CA39"/>
  <c r="CC39"/>
  <c r="CE39"/>
  <c r="CG39"/>
  <c r="J45"/>
  <c r="DG27"/>
  <c r="DJ27" s="1"/>
  <c r="DG29"/>
  <c r="DJ29" s="1"/>
  <c r="DG31"/>
  <c r="DJ31" s="1"/>
  <c r="DG33"/>
  <c r="DJ33" s="1"/>
  <c r="DG35"/>
  <c r="DJ35" s="1"/>
  <c r="DG37"/>
  <c r="DJ37" s="1"/>
  <c r="P30" i="108"/>
  <c r="DE30" s="1"/>
  <c r="P32"/>
  <c r="DE32" s="1"/>
  <c r="BK32"/>
  <c r="AI32"/>
  <c r="BH32"/>
  <c r="AK32"/>
  <c r="M32"/>
  <c r="H32"/>
  <c r="BD32"/>
  <c r="BF32" s="1"/>
  <c r="AZ32"/>
  <c r="C32"/>
  <c r="D32" s="1"/>
  <c r="S32"/>
  <c r="T32" s="1"/>
  <c r="W32" s="1"/>
  <c r="X32" s="1"/>
  <c r="AP32"/>
  <c r="P29"/>
  <c r="DE29" s="1"/>
  <c r="P31"/>
  <c r="DE31" s="1"/>
  <c r="BK30"/>
  <c r="BD30"/>
  <c r="BF30" s="1"/>
  <c r="AZ30"/>
  <c r="AI30"/>
  <c r="AK30"/>
  <c r="M30"/>
  <c r="H30"/>
  <c r="AZ29"/>
  <c r="AI29"/>
  <c r="BH29"/>
  <c r="BH30" s="1"/>
  <c r="BH31" s="1"/>
  <c r="AK29"/>
  <c r="M29"/>
  <c r="H29"/>
  <c r="BK29"/>
  <c r="BD29"/>
  <c r="BF29" s="1"/>
  <c r="BK31"/>
  <c r="BD31"/>
  <c r="BF31" s="1"/>
  <c r="AZ31"/>
  <c r="AI31"/>
  <c r="AK31"/>
  <c r="M31"/>
  <c r="H31"/>
  <c r="C29"/>
  <c r="D29" s="1"/>
  <c r="E29"/>
  <c r="S29"/>
  <c r="T29" s="1"/>
  <c r="W29" s="1"/>
  <c r="X29" s="1"/>
  <c r="AP29"/>
  <c r="C30"/>
  <c r="D30" s="1"/>
  <c r="E30"/>
  <c r="S30"/>
  <c r="T30" s="1"/>
  <c r="W30" s="1"/>
  <c r="X30" s="1"/>
  <c r="AP30"/>
  <c r="C31"/>
  <c r="D31" s="1"/>
  <c r="E31"/>
  <c r="S31"/>
  <c r="T31" s="1"/>
  <c r="W31" s="1"/>
  <c r="X31" s="1"/>
  <c r="AP31"/>
  <c r="P28"/>
  <c r="DE28" s="1"/>
  <c r="BK28"/>
  <c r="BD28"/>
  <c r="BF28" s="1"/>
  <c r="AZ28"/>
  <c r="AI28"/>
  <c r="BH28"/>
  <c r="AK28"/>
  <c r="M28"/>
  <c r="H28"/>
  <c r="C28"/>
  <c r="D28" s="1"/>
  <c r="E28"/>
  <c r="S28"/>
  <c r="T28" s="1"/>
  <c r="W28" s="1"/>
  <c r="X28" s="1"/>
  <c r="AP28"/>
  <c r="P27"/>
  <c r="DE27" s="1"/>
  <c r="BK27"/>
  <c r="BD27"/>
  <c r="BF27" s="1"/>
  <c r="AZ27"/>
  <c r="AI27"/>
  <c r="BH27"/>
  <c r="AK27"/>
  <c r="M27"/>
  <c r="H27"/>
  <c r="C27"/>
  <c r="D27" s="1"/>
  <c r="S27"/>
  <c r="T27" s="1"/>
  <c r="W27" s="1"/>
  <c r="X27" s="1"/>
  <c r="AP27"/>
  <c r="D26"/>
  <c r="F26" s="1"/>
  <c r="E26"/>
  <c r="Q26"/>
  <c r="S26"/>
  <c r="T26" s="1"/>
  <c r="W26" s="1"/>
  <c r="BD26"/>
  <c r="BF26" s="1"/>
  <c r="H26"/>
  <c r="M26"/>
  <c r="AK26"/>
  <c r="AZ26"/>
  <c r="BH26"/>
  <c r="AO25" i="109"/>
  <c r="DD25" i="108"/>
  <c r="DC25"/>
  <c r="DB25"/>
  <c r="DA25"/>
  <c r="CZ25"/>
  <c r="CY25"/>
  <c r="CX25"/>
  <c r="CW25"/>
  <c r="CV25"/>
  <c r="CU25"/>
  <c r="CT25"/>
  <c r="BC25"/>
  <c r="BA25"/>
  <c r="V25"/>
  <c r="R25"/>
  <c r="O25"/>
  <c r="Q25" s="1"/>
  <c r="N25"/>
  <c r="L25"/>
  <c r="J25"/>
  <c r="I25"/>
  <c r="B25"/>
  <c r="E25" s="1"/>
  <c r="B24"/>
  <c r="C24" s="1"/>
  <c r="D24" s="1"/>
  <c r="I24"/>
  <c r="DK24" s="1"/>
  <c r="J24"/>
  <c r="L24"/>
  <c r="N24"/>
  <c r="O24"/>
  <c r="P24" s="1"/>
  <c r="DE24" s="1"/>
  <c r="R24"/>
  <c r="S24" s="1"/>
  <c r="T24" s="1"/>
  <c r="V24"/>
  <c r="AP24"/>
  <c r="BA24"/>
  <c r="H24" s="1"/>
  <c r="BC24"/>
  <c r="BF24"/>
  <c r="BK24"/>
  <c r="CT24"/>
  <c r="CU24"/>
  <c r="CV24"/>
  <c r="CW24"/>
  <c r="CX24"/>
  <c r="CY24"/>
  <c r="CZ24"/>
  <c r="DA24"/>
  <c r="DB24"/>
  <c r="DC24"/>
  <c r="DD24"/>
  <c r="B23"/>
  <c r="C23" s="1"/>
  <c r="D23" s="1"/>
  <c r="I23"/>
  <c r="DK23" s="1"/>
  <c r="J23"/>
  <c r="L23"/>
  <c r="N23"/>
  <c r="O23"/>
  <c r="P23" s="1"/>
  <c r="DE23" s="1"/>
  <c r="R23"/>
  <c r="S23" s="1"/>
  <c r="T23" s="1"/>
  <c r="V23"/>
  <c r="AP23"/>
  <c r="BA23"/>
  <c r="H23" s="1"/>
  <c r="BC23"/>
  <c r="BH23"/>
  <c r="BK23"/>
  <c r="CT23"/>
  <c r="CU23"/>
  <c r="CV23"/>
  <c r="CW23"/>
  <c r="CX23"/>
  <c r="CY23"/>
  <c r="CZ23"/>
  <c r="DA23"/>
  <c r="DB23"/>
  <c r="DC23"/>
  <c r="DD23"/>
  <c r="DD22"/>
  <c r="DC22"/>
  <c r="DB22"/>
  <c r="DA22"/>
  <c r="CZ22"/>
  <c r="CY22"/>
  <c r="CX22"/>
  <c r="CW22"/>
  <c r="CV22"/>
  <c r="CU22"/>
  <c r="CT22"/>
  <c r="BC22"/>
  <c r="BA22"/>
  <c r="BH22" s="1"/>
  <c r="AP22"/>
  <c r="AK22"/>
  <c r="V22"/>
  <c r="R22"/>
  <c r="O22"/>
  <c r="Q22" s="1"/>
  <c r="N22"/>
  <c r="M22"/>
  <c r="L22"/>
  <c r="J22"/>
  <c r="I22"/>
  <c r="H22"/>
  <c r="B22"/>
  <c r="E22" s="1"/>
  <c r="CV21"/>
  <c r="CU21"/>
  <c r="CT21"/>
  <c r="BC21"/>
  <c r="BA21"/>
  <c r="V21"/>
  <c r="R21"/>
  <c r="S21" s="1"/>
  <c r="O21"/>
  <c r="Q21" s="1"/>
  <c r="N21"/>
  <c r="L21"/>
  <c r="J21"/>
  <c r="I21"/>
  <c r="B21"/>
  <c r="E21" s="1"/>
  <c r="DD20"/>
  <c r="DC20"/>
  <c r="DB20"/>
  <c r="DA20"/>
  <c r="CZ20"/>
  <c r="CY20"/>
  <c r="CX20"/>
  <c r="CW20"/>
  <c r="CV20"/>
  <c r="CU20"/>
  <c r="CT20"/>
  <c r="BC20"/>
  <c r="BA20"/>
  <c r="V20"/>
  <c r="R20"/>
  <c r="S20" s="1"/>
  <c r="O20"/>
  <c r="Q20" s="1"/>
  <c r="N20"/>
  <c r="L20"/>
  <c r="J20"/>
  <c r="I20"/>
  <c r="B20"/>
  <c r="AO20" i="109"/>
  <c r="BB21" i="115" l="1"/>
  <c r="BB38" s="1"/>
  <c r="BB39" s="1"/>
  <c r="BE21"/>
  <c r="BE39" i="116"/>
  <c r="BB38"/>
  <c r="BB39" s="1"/>
  <c r="W41"/>
  <c r="X39"/>
  <c r="W31" i="111"/>
  <c r="X31" s="1"/>
  <c r="W29"/>
  <c r="X29" s="1"/>
  <c r="W27"/>
  <c r="X27" s="1"/>
  <c r="W19"/>
  <c r="X19" s="1"/>
  <c r="F12"/>
  <c r="W16"/>
  <c r="X16" s="1"/>
  <c r="BE28"/>
  <c r="BB25"/>
  <c r="W12"/>
  <c r="X12" s="1"/>
  <c r="W8"/>
  <c r="X8" s="1"/>
  <c r="W15"/>
  <c r="X15" s="1"/>
  <c r="W30"/>
  <c r="X30" s="1"/>
  <c r="W33"/>
  <c r="X33" s="1"/>
  <c r="W11"/>
  <c r="X11" s="1"/>
  <c r="W14"/>
  <c r="X14" s="1"/>
  <c r="W21"/>
  <c r="X21" s="1"/>
  <c r="F16"/>
  <c r="BB34"/>
  <c r="BE15"/>
  <c r="W10"/>
  <c r="X10" s="1"/>
  <c r="BB19"/>
  <c r="W9"/>
  <c r="X9" s="1"/>
  <c r="W13"/>
  <c r="W23"/>
  <c r="W25"/>
  <c r="W41" i="115"/>
  <c r="X39"/>
  <c r="BE36" i="111"/>
  <c r="BB36"/>
  <c r="F36"/>
  <c r="BB35"/>
  <c r="F35"/>
  <c r="H35"/>
  <c r="AK35"/>
  <c r="W35"/>
  <c r="X35" s="1"/>
  <c r="AZ35"/>
  <c r="BE34"/>
  <c r="F34"/>
  <c r="AZ34"/>
  <c r="W34"/>
  <c r="X34" s="1"/>
  <c r="D38" i="113"/>
  <c r="BD32" i="111"/>
  <c r="BF32" s="1"/>
  <c r="AZ32"/>
  <c r="W32"/>
  <c r="X32" s="1"/>
  <c r="BD30"/>
  <c r="BF30" s="1"/>
  <c r="AI30"/>
  <c r="BE30"/>
  <c r="F19"/>
  <c r="F15"/>
  <c r="W41" i="114"/>
  <c r="X39"/>
  <c r="BB28" i="111"/>
  <c r="BE13"/>
  <c r="F28"/>
  <c r="F25"/>
  <c r="AI24"/>
  <c r="BK24"/>
  <c r="H24"/>
  <c r="AK24"/>
  <c r="W24"/>
  <c r="X24" s="1"/>
  <c r="BB23"/>
  <c r="BB15"/>
  <c r="BB11"/>
  <c r="BB9"/>
  <c r="BE19"/>
  <c r="X37" i="108"/>
  <c r="W41" i="113"/>
  <c r="X39"/>
  <c r="X25" i="111"/>
  <c r="BE25"/>
  <c r="BB37" i="112"/>
  <c r="BE37"/>
  <c r="F37"/>
  <c r="BE36"/>
  <c r="BB36"/>
  <c r="F36"/>
  <c r="BE35"/>
  <c r="BB35"/>
  <c r="F35"/>
  <c r="BE34"/>
  <c r="BB34"/>
  <c r="F34"/>
  <c r="BE33"/>
  <c r="BB33"/>
  <c r="F33"/>
  <c r="BE32"/>
  <c r="BB32"/>
  <c r="F32"/>
  <c r="BE31"/>
  <c r="BB31"/>
  <c r="F31"/>
  <c r="BE30"/>
  <c r="BB30"/>
  <c r="F30"/>
  <c r="BE29"/>
  <c r="BB29"/>
  <c r="F29"/>
  <c r="BE28"/>
  <c r="BB28"/>
  <c r="F28"/>
  <c r="BE27"/>
  <c r="BB27"/>
  <c r="F27"/>
  <c r="BB26"/>
  <c r="BE26"/>
  <c r="F26"/>
  <c r="BE25"/>
  <c r="BB25"/>
  <c r="F25"/>
  <c r="BB24"/>
  <c r="BE24"/>
  <c r="F24"/>
  <c r="BE23"/>
  <c r="BB23"/>
  <c r="F23"/>
  <c r="BE22"/>
  <c r="BB22"/>
  <c r="F22"/>
  <c r="BE21"/>
  <c r="BB21"/>
  <c r="F21"/>
  <c r="BE20"/>
  <c r="BB20"/>
  <c r="F20"/>
  <c r="BE19"/>
  <c r="BB19"/>
  <c r="F19"/>
  <c r="BE18"/>
  <c r="BB18"/>
  <c r="F18"/>
  <c r="BB17"/>
  <c r="BE17"/>
  <c r="F17"/>
  <c r="BE16"/>
  <c r="BB16"/>
  <c r="F16"/>
  <c r="BB15"/>
  <c r="BE15"/>
  <c r="F15"/>
  <c r="BB14"/>
  <c r="BE14"/>
  <c r="F14"/>
  <c r="BB13"/>
  <c r="BE13"/>
  <c r="F13"/>
  <c r="BB12"/>
  <c r="BE12"/>
  <c r="F12"/>
  <c r="BB11"/>
  <c r="BE11"/>
  <c r="F11"/>
  <c r="BB10"/>
  <c r="BE10"/>
  <c r="F10"/>
  <c r="BB9"/>
  <c r="BE9"/>
  <c r="F9"/>
  <c r="C39"/>
  <c r="E39"/>
  <c r="S39"/>
  <c r="S41" s="1"/>
  <c r="CR39"/>
  <c r="D38"/>
  <c r="BB7"/>
  <c r="BE7"/>
  <c r="DG38"/>
  <c r="DH38" s="1"/>
  <c r="DJ7"/>
  <c r="DJ38" s="1"/>
  <c r="BA38"/>
  <c r="AE39" s="1"/>
  <c r="BK7"/>
  <c r="BD7"/>
  <c r="AK7"/>
  <c r="M7"/>
  <c r="H7"/>
  <c r="BH7"/>
  <c r="BH8" s="1"/>
  <c r="AI7"/>
  <c r="F7"/>
  <c r="P38"/>
  <c r="P39" s="1"/>
  <c r="X8"/>
  <c r="AP39"/>
  <c r="DE38"/>
  <c r="BE8"/>
  <c r="BB8"/>
  <c r="DK38"/>
  <c r="T38"/>
  <c r="F8"/>
  <c r="BE36" i="108"/>
  <c r="X34"/>
  <c r="BB36"/>
  <c r="BB37"/>
  <c r="BB35"/>
  <c r="BE35"/>
  <c r="F35"/>
  <c r="BB34"/>
  <c r="BB33"/>
  <c r="BE33"/>
  <c r="F33"/>
  <c r="X33"/>
  <c r="DG23"/>
  <c r="DJ23" s="1"/>
  <c r="BE35" i="111"/>
  <c r="X13"/>
  <c r="CR39"/>
  <c r="DK38"/>
  <c r="X23"/>
  <c r="C39"/>
  <c r="CV39"/>
  <c r="CT40" s="1"/>
  <c r="DA39"/>
  <c r="E39"/>
  <c r="BK34"/>
  <c r="AK34"/>
  <c r="M34"/>
  <c r="H34"/>
  <c r="BK30"/>
  <c r="M30"/>
  <c r="H30"/>
  <c r="BK32"/>
  <c r="AK32"/>
  <c r="M32"/>
  <c r="H32"/>
  <c r="BE37"/>
  <c r="BB31"/>
  <c r="BE31"/>
  <c r="F31"/>
  <c r="BB27"/>
  <c r="BE27"/>
  <c r="F27"/>
  <c r="BB33"/>
  <c r="BE33"/>
  <c r="F33"/>
  <c r="BB29"/>
  <c r="BE29"/>
  <c r="F29"/>
  <c r="BB21"/>
  <c r="BE21"/>
  <c r="BE20"/>
  <c r="BB20"/>
  <c r="BK17"/>
  <c r="BD17"/>
  <c r="BF17" s="1"/>
  <c r="AK17"/>
  <c r="M17"/>
  <c r="H17"/>
  <c r="AI17"/>
  <c r="W17"/>
  <c r="X17" s="1"/>
  <c r="F17"/>
  <c r="BB17"/>
  <c r="BE17"/>
  <c r="BE14"/>
  <c r="BB14"/>
  <c r="BE10"/>
  <c r="BB10"/>
  <c r="BE8"/>
  <c r="BB8"/>
  <c r="AO44"/>
  <c r="AO39"/>
  <c r="AP39" s="1"/>
  <c r="P38"/>
  <c r="P39" s="1"/>
  <c r="DE7"/>
  <c r="DE38" s="1"/>
  <c r="D38"/>
  <c r="BE7"/>
  <c r="BB7"/>
  <c r="AK22"/>
  <c r="M22"/>
  <c r="H22"/>
  <c r="BD22"/>
  <c r="BF22" s="1"/>
  <c r="W22"/>
  <c r="X22" s="1"/>
  <c r="F22"/>
  <c r="BK22"/>
  <c r="AZ22"/>
  <c r="AI22"/>
  <c r="AK18"/>
  <c r="M18"/>
  <c r="H18"/>
  <c r="BD18"/>
  <c r="BF18" s="1"/>
  <c r="W18"/>
  <c r="X18" s="1"/>
  <c r="F18"/>
  <c r="BK18"/>
  <c r="AZ18"/>
  <c r="AI18"/>
  <c r="F8"/>
  <c r="S39"/>
  <c r="S41" s="1"/>
  <c r="BE24"/>
  <c r="BB24"/>
  <c r="F24"/>
  <c r="BB16"/>
  <c r="BE16"/>
  <c r="BE12"/>
  <c r="BB12"/>
  <c r="BA38"/>
  <c r="AE39" s="1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AI7"/>
  <c r="W7"/>
  <c r="X7" s="1"/>
  <c r="F7"/>
  <c r="BK7"/>
  <c r="BD7"/>
  <c r="AK7"/>
  <c r="M7"/>
  <c r="H7"/>
  <c r="BE22"/>
  <c r="BB22"/>
  <c r="BE18"/>
  <c r="BB18"/>
  <c r="BB26"/>
  <c r="BE26"/>
  <c r="F26"/>
  <c r="AK20"/>
  <c r="M20"/>
  <c r="H20"/>
  <c r="BK20"/>
  <c r="AZ20"/>
  <c r="AI20"/>
  <c r="BD20"/>
  <c r="BF20" s="1"/>
  <c r="W20"/>
  <c r="X20" s="1"/>
  <c r="F20"/>
  <c r="DJ38"/>
  <c r="T38"/>
  <c r="F21"/>
  <c r="F14"/>
  <c r="F10"/>
  <c r="DG38"/>
  <c r="DI38" s="1"/>
  <c r="BE32" i="108"/>
  <c r="BB32"/>
  <c r="F32"/>
  <c r="BB31"/>
  <c r="BE31"/>
  <c r="F31"/>
  <c r="BB30"/>
  <c r="BE30"/>
  <c r="F30"/>
  <c r="BE29"/>
  <c r="BB29"/>
  <c r="F29"/>
  <c r="BB28"/>
  <c r="BE28"/>
  <c r="F28"/>
  <c r="BB27"/>
  <c r="BE27"/>
  <c r="F27"/>
  <c r="BB26"/>
  <c r="X26"/>
  <c r="BE26"/>
  <c r="DG24"/>
  <c r="DJ24" s="1"/>
  <c r="Q24"/>
  <c r="P25"/>
  <c r="DE25" s="1"/>
  <c r="BK25"/>
  <c r="BD25"/>
  <c r="BF25" s="1"/>
  <c r="AZ25"/>
  <c r="AI25"/>
  <c r="BH25"/>
  <c r="AK25"/>
  <c r="M25"/>
  <c r="H25"/>
  <c r="C25"/>
  <c r="D25" s="1"/>
  <c r="S25"/>
  <c r="T25" s="1"/>
  <c r="W25" s="1"/>
  <c r="X25" s="1"/>
  <c r="AP25"/>
  <c r="Q23"/>
  <c r="C22"/>
  <c r="D22" s="1"/>
  <c r="S22"/>
  <c r="T22" s="1"/>
  <c r="W22" s="1"/>
  <c r="X22" s="1"/>
  <c r="AI24"/>
  <c r="W24"/>
  <c r="F24"/>
  <c r="BH24"/>
  <c r="AZ24"/>
  <c r="AK24"/>
  <c r="M24"/>
  <c r="E24"/>
  <c r="BE24" s="1"/>
  <c r="AI23"/>
  <c r="W23"/>
  <c r="F23"/>
  <c r="BD23"/>
  <c r="BF23" s="1"/>
  <c r="AZ23"/>
  <c r="AK23"/>
  <c r="M23"/>
  <c r="E23"/>
  <c r="BE23" s="1"/>
  <c r="P22"/>
  <c r="DE22" s="1"/>
  <c r="AI22"/>
  <c r="AZ22"/>
  <c r="BD22"/>
  <c r="BF22" s="1"/>
  <c r="BK22"/>
  <c r="P21"/>
  <c r="BH21"/>
  <c r="AK21"/>
  <c r="M21"/>
  <c r="BD21"/>
  <c r="BF21" s="1"/>
  <c r="AI21"/>
  <c r="BK21"/>
  <c r="AZ21"/>
  <c r="T21"/>
  <c r="W21" s="1"/>
  <c r="X21" s="1"/>
  <c r="C21"/>
  <c r="D21" s="1"/>
  <c r="AP21"/>
  <c r="P20"/>
  <c r="DE20" s="1"/>
  <c r="BK20"/>
  <c r="BH20"/>
  <c r="AK20"/>
  <c r="M20"/>
  <c r="H20"/>
  <c r="BD20"/>
  <c r="BF20" s="1"/>
  <c r="AZ20"/>
  <c r="AI20"/>
  <c r="T20"/>
  <c r="W20" s="1"/>
  <c r="X20" s="1"/>
  <c r="C20"/>
  <c r="D20" s="1"/>
  <c r="E20"/>
  <c r="AP20"/>
  <c r="AO21" i="109"/>
  <c r="AO22"/>
  <c r="AO23"/>
  <c r="AO24"/>
  <c r="AO27"/>
  <c r="AO28"/>
  <c r="AO29"/>
  <c r="AO30"/>
  <c r="AO31"/>
  <c r="AO32"/>
  <c r="AO33"/>
  <c r="AO34"/>
  <c r="AO35"/>
  <c r="AO36"/>
  <c r="DD19" i="108"/>
  <c r="DC19"/>
  <c r="DB19"/>
  <c r="DA19"/>
  <c r="CZ19"/>
  <c r="CY19"/>
  <c r="CX19"/>
  <c r="CW19"/>
  <c r="CV19"/>
  <c r="CU19"/>
  <c r="CT19"/>
  <c r="BC19"/>
  <c r="BA19"/>
  <c r="V19"/>
  <c r="R19"/>
  <c r="O19"/>
  <c r="Q19" s="1"/>
  <c r="N19"/>
  <c r="L19"/>
  <c r="J19"/>
  <c r="I19"/>
  <c r="B19"/>
  <c r="AO19" i="109"/>
  <c r="DD18" i="108"/>
  <c r="DC18"/>
  <c r="DB18"/>
  <c r="DA18"/>
  <c r="CZ18"/>
  <c r="CY18"/>
  <c r="CX18"/>
  <c r="CW18"/>
  <c r="CV18"/>
  <c r="CU18"/>
  <c r="CT18"/>
  <c r="BC18"/>
  <c r="BA18"/>
  <c r="V18"/>
  <c r="R18"/>
  <c r="S18" s="1"/>
  <c r="T18" s="1"/>
  <c r="O18"/>
  <c r="Q18" s="1"/>
  <c r="N18"/>
  <c r="L18"/>
  <c r="J18"/>
  <c r="I18"/>
  <c r="DK18" s="1"/>
  <c r="B18"/>
  <c r="E18" s="1"/>
  <c r="AO18" i="109"/>
  <c r="B17" i="108"/>
  <c r="C17" s="1"/>
  <c r="D17" s="1"/>
  <c r="I17"/>
  <c r="DK17" s="1"/>
  <c r="J17"/>
  <c r="L17"/>
  <c r="N17"/>
  <c r="O17"/>
  <c r="P17" s="1"/>
  <c r="DE17" s="1"/>
  <c r="R17"/>
  <c r="S17" s="1"/>
  <c r="T17" s="1"/>
  <c r="V17"/>
  <c r="AP17"/>
  <c r="BA17"/>
  <c r="H17" s="1"/>
  <c r="BC17"/>
  <c r="BD17"/>
  <c r="BF17"/>
  <c r="BH17"/>
  <c r="BK17"/>
  <c r="CT17"/>
  <c r="CU17"/>
  <c r="CV17"/>
  <c r="CW17"/>
  <c r="CX17"/>
  <c r="CY17"/>
  <c r="CZ17"/>
  <c r="DA17"/>
  <c r="DB17"/>
  <c r="DC17"/>
  <c r="DD17"/>
  <c r="B16"/>
  <c r="C16" s="1"/>
  <c r="D16" s="1"/>
  <c r="I16"/>
  <c r="DK16" s="1"/>
  <c r="J16"/>
  <c r="L16"/>
  <c r="N16"/>
  <c r="O16"/>
  <c r="P16" s="1"/>
  <c r="DE16" s="1"/>
  <c r="R16"/>
  <c r="S16" s="1"/>
  <c r="T16" s="1"/>
  <c r="V16"/>
  <c r="AP16"/>
  <c r="BA16"/>
  <c r="H16" s="1"/>
  <c r="BC16"/>
  <c r="BD16"/>
  <c r="BF16"/>
  <c r="BH16"/>
  <c r="BK16"/>
  <c r="CT16"/>
  <c r="CU16"/>
  <c r="CV16"/>
  <c r="CW16"/>
  <c r="CX16"/>
  <c r="CY16"/>
  <c r="CZ16"/>
  <c r="DA16"/>
  <c r="DB16"/>
  <c r="DC16"/>
  <c r="DD16"/>
  <c r="B15"/>
  <c r="C15" s="1"/>
  <c r="D15" s="1"/>
  <c r="I15"/>
  <c r="DK15" s="1"/>
  <c r="J15"/>
  <c r="L15"/>
  <c r="N15"/>
  <c r="O15"/>
  <c r="P15" s="1"/>
  <c r="DE15" s="1"/>
  <c r="R15"/>
  <c r="S15" s="1"/>
  <c r="T15" s="1"/>
  <c r="V15"/>
  <c r="AP15"/>
  <c r="BA15"/>
  <c r="H15" s="1"/>
  <c r="BC15"/>
  <c r="BD15"/>
  <c r="BF15"/>
  <c r="BH15"/>
  <c r="BK15"/>
  <c r="CT15"/>
  <c r="CU15"/>
  <c r="CV15"/>
  <c r="CW15"/>
  <c r="CX15"/>
  <c r="CY15"/>
  <c r="CZ15"/>
  <c r="DA15"/>
  <c r="DB15"/>
  <c r="DC15"/>
  <c r="DD15"/>
  <c r="DD14"/>
  <c r="DC14"/>
  <c r="DB14"/>
  <c r="DA14"/>
  <c r="CZ14"/>
  <c r="CY14"/>
  <c r="CX14"/>
  <c r="CW14"/>
  <c r="CV14"/>
  <c r="CU14"/>
  <c r="CT14"/>
  <c r="BC14"/>
  <c r="AP14"/>
  <c r="V14"/>
  <c r="R14"/>
  <c r="S14" s="1"/>
  <c r="O14"/>
  <c r="Q14" s="1"/>
  <c r="N14"/>
  <c r="L14"/>
  <c r="J14"/>
  <c r="I14"/>
  <c r="B14"/>
  <c r="E14" s="1"/>
  <c r="AO17" i="109"/>
  <c r="AO15"/>
  <c r="DD13" i="108"/>
  <c r="DC13"/>
  <c r="DB13"/>
  <c r="DA13"/>
  <c r="CZ13"/>
  <c r="CY13"/>
  <c r="CX13"/>
  <c r="CW13"/>
  <c r="CV13"/>
  <c r="CU13"/>
  <c r="CT13"/>
  <c r="BC13"/>
  <c r="AP13"/>
  <c r="BA13"/>
  <c r="V13"/>
  <c r="R13"/>
  <c r="S13" s="1"/>
  <c r="O13"/>
  <c r="Q13" s="1"/>
  <c r="N13"/>
  <c r="L13"/>
  <c r="J13"/>
  <c r="I13"/>
  <c r="B13"/>
  <c r="C13" s="1"/>
  <c r="DD12"/>
  <c r="DC12"/>
  <c r="DB12"/>
  <c r="DA12"/>
  <c r="CZ12"/>
  <c r="CY12"/>
  <c r="CX12"/>
  <c r="CW12"/>
  <c r="CV12"/>
  <c r="CU12"/>
  <c r="CT12"/>
  <c r="BC12"/>
  <c r="AP12"/>
  <c r="BA12"/>
  <c r="V12"/>
  <c r="R12"/>
  <c r="S12" s="1"/>
  <c r="O12"/>
  <c r="Q12" s="1"/>
  <c r="N12"/>
  <c r="L12"/>
  <c r="J12"/>
  <c r="I12"/>
  <c r="B12"/>
  <c r="C12" s="1"/>
  <c r="R37" i="110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B11" i="108"/>
  <c r="C11" s="1"/>
  <c r="D11" s="1"/>
  <c r="I11"/>
  <c r="DG11" s="1"/>
  <c r="DJ11" s="1"/>
  <c r="J11"/>
  <c r="L11"/>
  <c r="N11"/>
  <c r="O11"/>
  <c r="P11" s="1"/>
  <c r="DE11" s="1"/>
  <c r="R11"/>
  <c r="S11" s="1"/>
  <c r="T11" s="1"/>
  <c r="V11"/>
  <c r="AP11"/>
  <c r="BA11"/>
  <c r="H11" s="1"/>
  <c r="BC11"/>
  <c r="BD11"/>
  <c r="BF11"/>
  <c r="BH11"/>
  <c r="BK11"/>
  <c r="CT11"/>
  <c r="CU11"/>
  <c r="CV11"/>
  <c r="CW11"/>
  <c r="CX11"/>
  <c r="CY11"/>
  <c r="CZ11"/>
  <c r="DA11"/>
  <c r="DB11"/>
  <c r="DC11"/>
  <c r="DD11"/>
  <c r="B10"/>
  <c r="C10" s="1"/>
  <c r="D10" s="1"/>
  <c r="I10"/>
  <c r="DK10" s="1"/>
  <c r="J10"/>
  <c r="L10"/>
  <c r="N10"/>
  <c r="O10"/>
  <c r="P10" s="1"/>
  <c r="DE10" s="1"/>
  <c r="R10"/>
  <c r="S10" s="1"/>
  <c r="T10" s="1"/>
  <c r="V10"/>
  <c r="AP10"/>
  <c r="BA10"/>
  <c r="H10" s="1"/>
  <c r="BC10"/>
  <c r="BD10"/>
  <c r="BF10"/>
  <c r="BH10"/>
  <c r="BK10"/>
  <c r="CT10"/>
  <c r="CU10"/>
  <c r="CV10"/>
  <c r="CW10"/>
  <c r="CX10"/>
  <c r="CY10"/>
  <c r="CZ10"/>
  <c r="DA10"/>
  <c r="DB10"/>
  <c r="DC10"/>
  <c r="DD10"/>
  <c r="B9"/>
  <c r="C9" s="1"/>
  <c r="D9" s="1"/>
  <c r="I9"/>
  <c r="DK9" s="1"/>
  <c r="J9"/>
  <c r="L9"/>
  <c r="N9"/>
  <c r="O9"/>
  <c r="P9" s="1"/>
  <c r="DE9" s="1"/>
  <c r="R9"/>
  <c r="S9" s="1"/>
  <c r="T9" s="1"/>
  <c r="V9"/>
  <c r="AP9"/>
  <c r="BA9"/>
  <c r="H9" s="1"/>
  <c r="BC9"/>
  <c r="BD9"/>
  <c r="BF9"/>
  <c r="BH9"/>
  <c r="BK9"/>
  <c r="CT9"/>
  <c r="CU9"/>
  <c r="CV9"/>
  <c r="CW9"/>
  <c r="CX9"/>
  <c r="CY9"/>
  <c r="CZ9"/>
  <c r="DA9"/>
  <c r="DB9"/>
  <c r="DC9"/>
  <c r="DD9"/>
  <c r="BF59"/>
  <c r="DD8"/>
  <c r="DC8"/>
  <c r="DB8"/>
  <c r="DA8"/>
  <c r="CZ8"/>
  <c r="CY8"/>
  <c r="CX8"/>
  <c r="CW8"/>
  <c r="CV8"/>
  <c r="CU8"/>
  <c r="CT8"/>
  <c r="BC8"/>
  <c r="BA8"/>
  <c r="V8"/>
  <c r="R8"/>
  <c r="O8"/>
  <c r="Q8" s="1"/>
  <c r="N8"/>
  <c r="L8"/>
  <c r="J8"/>
  <c r="I8"/>
  <c r="B8"/>
  <c r="DD7"/>
  <c r="DC7"/>
  <c r="DB7"/>
  <c r="DA7"/>
  <c r="CZ7"/>
  <c r="CY7"/>
  <c r="CX7"/>
  <c r="CW7"/>
  <c r="CV7"/>
  <c r="CU7"/>
  <c r="CT7"/>
  <c r="BC7"/>
  <c r="AP7"/>
  <c r="BA7"/>
  <c r="V7"/>
  <c r="R7"/>
  <c r="O7"/>
  <c r="P7" s="1"/>
  <c r="DE7" s="1"/>
  <c r="N7"/>
  <c r="L7"/>
  <c r="J7"/>
  <c r="I7"/>
  <c r="B7"/>
  <c r="C7" s="1"/>
  <c r="BE39" i="113" l="1"/>
  <c r="F39"/>
  <c r="F41" s="1"/>
  <c r="AA39" i="111"/>
  <c r="W7" i="112"/>
  <c r="X7" s="1"/>
  <c r="AA39"/>
  <c r="BK38"/>
  <c r="BL7"/>
  <c r="BL8" s="1"/>
  <c r="BE39"/>
  <c r="BA39"/>
  <c r="AZ39" s="1"/>
  <c r="AK39"/>
  <c r="AI39"/>
  <c r="M39"/>
  <c r="W39"/>
  <c r="H39"/>
  <c r="F39"/>
  <c r="F41" s="1"/>
  <c r="DI38"/>
  <c r="BB38"/>
  <c r="BB39" s="1"/>
  <c r="BD38"/>
  <c r="BD39" s="1"/>
  <c r="BF7"/>
  <c r="BF38" s="1"/>
  <c r="BF39" s="1"/>
  <c r="BB48"/>
  <c r="BB51" s="1"/>
  <c r="BD38" i="111"/>
  <c r="BD39" s="1"/>
  <c r="BF7"/>
  <c r="BF38" s="1"/>
  <c r="BF39" s="1"/>
  <c r="BB38"/>
  <c r="BB39" s="1"/>
  <c r="BK38"/>
  <c r="BL7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L24" s="1"/>
  <c r="BL25" s="1"/>
  <c r="BL26" s="1"/>
  <c r="BL27" s="1"/>
  <c r="BL28" s="1"/>
  <c r="BL29" s="1"/>
  <c r="BL30" s="1"/>
  <c r="BL31" s="1"/>
  <c r="BL32" s="1"/>
  <c r="BL33" s="1"/>
  <c r="BL34" s="1"/>
  <c r="BL35" s="1"/>
  <c r="BL36" s="1"/>
  <c r="BL37" s="1"/>
  <c r="BE39"/>
  <c r="BA39"/>
  <c r="AZ39" s="1"/>
  <c r="AK39"/>
  <c r="AI39"/>
  <c r="M39"/>
  <c r="W39"/>
  <c r="H39"/>
  <c r="F39"/>
  <c r="F41" s="1"/>
  <c r="DH38"/>
  <c r="BB48"/>
  <c r="BB51" s="1"/>
  <c r="DK11" i="108"/>
  <c r="DG9"/>
  <c r="DJ9" s="1"/>
  <c r="DG16"/>
  <c r="DJ16" s="1"/>
  <c r="DG10"/>
  <c r="DJ10" s="1"/>
  <c r="DG15"/>
  <c r="DJ15" s="1"/>
  <c r="X24"/>
  <c r="BB25"/>
  <c r="BE25"/>
  <c r="F25"/>
  <c r="BB22"/>
  <c r="F22"/>
  <c r="X23"/>
  <c r="BE22"/>
  <c r="BB24"/>
  <c r="BB23"/>
  <c r="BE21"/>
  <c r="BB21"/>
  <c r="F21"/>
  <c r="BE20"/>
  <c r="BB20"/>
  <c r="F20"/>
  <c r="DG17"/>
  <c r="DJ17" s="1"/>
  <c r="Q17"/>
  <c r="P19"/>
  <c r="DE19" s="1"/>
  <c r="BK19"/>
  <c r="BD19"/>
  <c r="BF19" s="1"/>
  <c r="AZ19"/>
  <c r="AI19"/>
  <c r="BH19"/>
  <c r="AK19"/>
  <c r="M19"/>
  <c r="H19"/>
  <c r="C19"/>
  <c r="D19" s="1"/>
  <c r="E19"/>
  <c r="S19"/>
  <c r="T19" s="1"/>
  <c r="W19" s="1"/>
  <c r="X19" s="1"/>
  <c r="AP19"/>
  <c r="Q16"/>
  <c r="P18"/>
  <c r="DE18" s="1"/>
  <c r="BH18"/>
  <c r="AK18"/>
  <c r="M18"/>
  <c r="H18"/>
  <c r="BK18"/>
  <c r="BD18"/>
  <c r="BF18" s="1"/>
  <c r="AZ18"/>
  <c r="AI18"/>
  <c r="W18"/>
  <c r="X18" s="1"/>
  <c r="DG18"/>
  <c r="DJ18" s="1"/>
  <c r="C18"/>
  <c r="D18" s="1"/>
  <c r="AP18"/>
  <c r="Q15"/>
  <c r="P14"/>
  <c r="DE14" s="1"/>
  <c r="AI17"/>
  <c r="W17"/>
  <c r="F17"/>
  <c r="AK17"/>
  <c r="M17"/>
  <c r="E17"/>
  <c r="BB17" s="1"/>
  <c r="AI16"/>
  <c r="W16"/>
  <c r="F16"/>
  <c r="AK16"/>
  <c r="M16"/>
  <c r="E16"/>
  <c r="BB16" s="1"/>
  <c r="AI15"/>
  <c r="W15"/>
  <c r="F15"/>
  <c r="AK15"/>
  <c r="M15"/>
  <c r="E15"/>
  <c r="BE15" s="1"/>
  <c r="T14"/>
  <c r="BA14"/>
  <c r="C14"/>
  <c r="D14" s="1"/>
  <c r="D13"/>
  <c r="F13" s="1"/>
  <c r="E13"/>
  <c r="T13"/>
  <c r="BK13"/>
  <c r="BD13"/>
  <c r="BF13" s="1"/>
  <c r="AK13"/>
  <c r="M13"/>
  <c r="H13"/>
  <c r="BH13"/>
  <c r="AI13"/>
  <c r="W13"/>
  <c r="X13" s="1"/>
  <c r="P13"/>
  <c r="DE13" s="1"/>
  <c r="Q11"/>
  <c r="D12"/>
  <c r="F12" s="1"/>
  <c r="E12"/>
  <c r="T12"/>
  <c r="BK12"/>
  <c r="BD12"/>
  <c r="BF12" s="1"/>
  <c r="AK12"/>
  <c r="M12"/>
  <c r="H12"/>
  <c r="BH12"/>
  <c r="AI12"/>
  <c r="W12"/>
  <c r="X12" s="1"/>
  <c r="P12"/>
  <c r="DE12" s="1"/>
  <c r="Q9"/>
  <c r="Q10"/>
  <c r="S7"/>
  <c r="P8"/>
  <c r="DE8" s="1"/>
  <c r="D7"/>
  <c r="F7" s="1"/>
  <c r="E7"/>
  <c r="T7"/>
  <c r="W7" s="1"/>
  <c r="AI11"/>
  <c r="W11"/>
  <c r="F11"/>
  <c r="AK11"/>
  <c r="M11"/>
  <c r="E11"/>
  <c r="BB11" s="1"/>
  <c r="AI10"/>
  <c r="W10"/>
  <c r="F10"/>
  <c r="AK10"/>
  <c r="M10"/>
  <c r="E10"/>
  <c r="BB10" s="1"/>
  <c r="AI9"/>
  <c r="W9"/>
  <c r="X9" s="1"/>
  <c r="F9"/>
  <c r="AK9"/>
  <c r="M9"/>
  <c r="E9"/>
  <c r="BB9" s="1"/>
  <c r="BK7"/>
  <c r="BD7"/>
  <c r="BF7" s="1"/>
  <c r="AK7"/>
  <c r="H7"/>
  <c r="BH7"/>
  <c r="BH8" s="1"/>
  <c r="AI7"/>
  <c r="M7"/>
  <c r="AI8"/>
  <c r="BK8"/>
  <c r="BD8"/>
  <c r="BF8" s="1"/>
  <c r="AK8"/>
  <c r="M8"/>
  <c r="H8"/>
  <c r="Q7"/>
  <c r="C8"/>
  <c r="D8" s="1"/>
  <c r="E8"/>
  <c r="S8"/>
  <c r="T8" s="1"/>
  <c r="W8" s="1"/>
  <c r="X8" s="1"/>
  <c r="AP8"/>
  <c r="B36" i="110"/>
  <c r="C36" s="1"/>
  <c r="D36" s="1"/>
  <c r="I36"/>
  <c r="DG36" s="1"/>
  <c r="DJ36" s="1"/>
  <c r="J36"/>
  <c r="L36"/>
  <c r="N36"/>
  <c r="O36"/>
  <c r="P36" s="1"/>
  <c r="DE36" s="1"/>
  <c r="AP36"/>
  <c r="BA36"/>
  <c r="H36" s="1"/>
  <c r="BC36"/>
  <c r="BD36"/>
  <c r="BF36"/>
  <c r="BH36"/>
  <c r="BI36"/>
  <c r="BJ36" s="1"/>
  <c r="BK36"/>
  <c r="CT36"/>
  <c r="CU36"/>
  <c r="CV36"/>
  <c r="CW36"/>
  <c r="CX36"/>
  <c r="CY36"/>
  <c r="CZ36"/>
  <c r="DA36"/>
  <c r="DB36"/>
  <c r="DD36"/>
  <c r="DN36"/>
  <c r="DQ36"/>
  <c r="I35"/>
  <c r="DG35" s="1"/>
  <c r="DJ35" s="1"/>
  <c r="J35"/>
  <c r="L35"/>
  <c r="N35"/>
  <c r="O35"/>
  <c r="P35" s="1"/>
  <c r="DE35" s="1"/>
  <c r="AO35"/>
  <c r="AP35"/>
  <c r="BA35"/>
  <c r="BC35"/>
  <c r="BH35"/>
  <c r="BI35"/>
  <c r="BJ35" s="1"/>
  <c r="BK35"/>
  <c r="CU35"/>
  <c r="CV35"/>
  <c r="CW35"/>
  <c r="CX35"/>
  <c r="CY35"/>
  <c r="CZ35"/>
  <c r="DA35"/>
  <c r="DB35"/>
  <c r="DD35"/>
  <c r="DN35"/>
  <c r="BM35" s="1"/>
  <c r="DQ35"/>
  <c r="I34"/>
  <c r="DG34" s="1"/>
  <c r="DJ34" s="1"/>
  <c r="J34"/>
  <c r="L34"/>
  <c r="N34"/>
  <c r="O34"/>
  <c r="P34" s="1"/>
  <c r="DE34" s="1"/>
  <c r="AO34"/>
  <c r="AP34"/>
  <c r="BA34"/>
  <c r="BC34"/>
  <c r="BH34"/>
  <c r="BI34"/>
  <c r="BJ34" s="1"/>
  <c r="BK34"/>
  <c r="CU34"/>
  <c r="CV34"/>
  <c r="CW34"/>
  <c r="CX34"/>
  <c r="CY34"/>
  <c r="CZ34"/>
  <c r="DA34"/>
  <c r="DB34"/>
  <c r="DD34"/>
  <c r="DN34"/>
  <c r="BM34" s="1"/>
  <c r="DQ34"/>
  <c r="I33"/>
  <c r="DG33" s="1"/>
  <c r="DJ33" s="1"/>
  <c r="J33"/>
  <c r="L33"/>
  <c r="N33"/>
  <c r="O33"/>
  <c r="P33" s="1"/>
  <c r="DE33" s="1"/>
  <c r="AO33"/>
  <c r="AP33"/>
  <c r="BA33"/>
  <c r="BC33"/>
  <c r="BH33"/>
  <c r="BI33"/>
  <c r="BJ33" s="1"/>
  <c r="BK33"/>
  <c r="CU33"/>
  <c r="CV33"/>
  <c r="CW33"/>
  <c r="CX33"/>
  <c r="CY33"/>
  <c r="CZ33"/>
  <c r="DA33"/>
  <c r="DB33"/>
  <c r="DD33"/>
  <c r="DN33"/>
  <c r="BM33" s="1"/>
  <c r="DQ33"/>
  <c r="I32"/>
  <c r="DG32" s="1"/>
  <c r="DJ32" s="1"/>
  <c r="J32"/>
  <c r="L32"/>
  <c r="N32"/>
  <c r="O32"/>
  <c r="P32" s="1"/>
  <c r="DE32" s="1"/>
  <c r="AO32"/>
  <c r="AP32"/>
  <c r="BA32"/>
  <c r="BC32"/>
  <c r="BH32"/>
  <c r="BI32"/>
  <c r="BJ32" s="1"/>
  <c r="BK32"/>
  <c r="CU32"/>
  <c r="CV32"/>
  <c r="CW32"/>
  <c r="CX32"/>
  <c r="CY32"/>
  <c r="CZ32"/>
  <c r="DA32"/>
  <c r="DB32"/>
  <c r="DD32"/>
  <c r="DN32"/>
  <c r="BM32" s="1"/>
  <c r="DQ32"/>
  <c r="I31"/>
  <c r="DG31" s="1"/>
  <c r="DJ31" s="1"/>
  <c r="J31"/>
  <c r="L31"/>
  <c r="N31"/>
  <c r="O31"/>
  <c r="P31" s="1"/>
  <c r="DE31" s="1"/>
  <c r="AO31"/>
  <c r="AP31"/>
  <c r="BA31"/>
  <c r="BC31"/>
  <c r="BH31"/>
  <c r="BI31"/>
  <c r="BJ31" s="1"/>
  <c r="BK31"/>
  <c r="CU31"/>
  <c r="CV31"/>
  <c r="CW31"/>
  <c r="CX31"/>
  <c r="CY31"/>
  <c r="CZ31"/>
  <c r="DA31"/>
  <c r="DB31"/>
  <c r="DD31"/>
  <c r="DN31"/>
  <c r="BM31" s="1"/>
  <c r="DQ31"/>
  <c r="I30"/>
  <c r="DG30" s="1"/>
  <c r="DJ30" s="1"/>
  <c r="J30"/>
  <c r="L30"/>
  <c r="N30"/>
  <c r="O30"/>
  <c r="P30" s="1"/>
  <c r="DE30" s="1"/>
  <c r="AO30"/>
  <c r="AP30"/>
  <c r="BA30"/>
  <c r="BC30"/>
  <c r="BH30"/>
  <c r="BI30"/>
  <c r="BJ30" s="1"/>
  <c r="BK30"/>
  <c r="CU30"/>
  <c r="CV30"/>
  <c r="CW30"/>
  <c r="CX30"/>
  <c r="CY30"/>
  <c r="CZ30"/>
  <c r="DA30"/>
  <c r="DB30"/>
  <c r="DD30"/>
  <c r="DN30"/>
  <c r="BM30" s="1"/>
  <c r="DQ30"/>
  <c r="I29"/>
  <c r="DK29" s="1"/>
  <c r="J29"/>
  <c r="L29"/>
  <c r="N29"/>
  <c r="O29"/>
  <c r="P29" s="1"/>
  <c r="DE29" s="1"/>
  <c r="AO29"/>
  <c r="AP29"/>
  <c r="BA29"/>
  <c r="BC29"/>
  <c r="BH29"/>
  <c r="BI29"/>
  <c r="BJ29" s="1"/>
  <c r="BK29"/>
  <c r="CU29"/>
  <c r="CV29"/>
  <c r="CW29"/>
  <c r="CX29"/>
  <c r="CY29"/>
  <c r="CZ29"/>
  <c r="DA29"/>
  <c r="DB29"/>
  <c r="DD29"/>
  <c r="DN29"/>
  <c r="BM29" s="1"/>
  <c r="DQ29"/>
  <c r="B37"/>
  <c r="C37" s="1"/>
  <c r="D37" s="1"/>
  <c r="I37"/>
  <c r="DK37" s="1"/>
  <c r="J37"/>
  <c r="L37"/>
  <c r="N37"/>
  <c r="O37"/>
  <c r="P37" s="1"/>
  <c r="DE37" s="1"/>
  <c r="S37"/>
  <c r="T37" s="1"/>
  <c r="V37"/>
  <c r="AO37"/>
  <c r="AP37"/>
  <c r="BA37"/>
  <c r="H37" s="1"/>
  <c r="BB37"/>
  <c r="BC37"/>
  <c r="BI37"/>
  <c r="CT37"/>
  <c r="CU37"/>
  <c r="CV37"/>
  <c r="CW37"/>
  <c r="CX37"/>
  <c r="CY37"/>
  <c r="CZ37"/>
  <c r="DA37"/>
  <c r="DB37"/>
  <c r="DC37"/>
  <c r="DD37"/>
  <c r="DG37"/>
  <c r="DJ37" s="1"/>
  <c r="I28"/>
  <c r="DG28" s="1"/>
  <c r="DJ28" s="1"/>
  <c r="J28"/>
  <c r="L28"/>
  <c r="N28"/>
  <c r="O28"/>
  <c r="P28" s="1"/>
  <c r="DE28" s="1"/>
  <c r="AO28"/>
  <c r="AP28"/>
  <c r="BA28"/>
  <c r="BC28"/>
  <c r="BH28"/>
  <c r="BI28"/>
  <c r="BJ28" s="1"/>
  <c r="BK28"/>
  <c r="CU28"/>
  <c r="CV28"/>
  <c r="CW28"/>
  <c r="CX28"/>
  <c r="CY28"/>
  <c r="CZ28"/>
  <c r="DA28"/>
  <c r="DB28"/>
  <c r="DD28"/>
  <c r="DN28"/>
  <c r="BM28" s="1"/>
  <c r="DQ28"/>
  <c r="I27"/>
  <c r="DK27" s="1"/>
  <c r="J27"/>
  <c r="L27"/>
  <c r="N27"/>
  <c r="O27"/>
  <c r="P27" s="1"/>
  <c r="DE27" s="1"/>
  <c r="AO27"/>
  <c r="AP27"/>
  <c r="BA27"/>
  <c r="BC27"/>
  <c r="BH27"/>
  <c r="BI27"/>
  <c r="BJ27" s="1"/>
  <c r="BK27"/>
  <c r="CU27"/>
  <c r="CV27"/>
  <c r="CW27"/>
  <c r="CX27"/>
  <c r="CY27"/>
  <c r="CZ27"/>
  <c r="DA27"/>
  <c r="DB27"/>
  <c r="DD27"/>
  <c r="DN27"/>
  <c r="BM27" s="1"/>
  <c r="DQ27"/>
  <c r="I26"/>
  <c r="DK26" s="1"/>
  <c r="J26"/>
  <c r="L26"/>
  <c r="N26"/>
  <c r="O26"/>
  <c r="P26" s="1"/>
  <c r="DE26" s="1"/>
  <c r="AO26"/>
  <c r="AP26"/>
  <c r="BA26"/>
  <c r="BC26"/>
  <c r="BH26"/>
  <c r="BI26"/>
  <c r="BJ26" s="1"/>
  <c r="BK26"/>
  <c r="CU26"/>
  <c r="CV26"/>
  <c r="CW26"/>
  <c r="CX26"/>
  <c r="CY26"/>
  <c r="CZ26"/>
  <c r="DA26"/>
  <c r="DB26"/>
  <c r="DD26"/>
  <c r="DN26"/>
  <c r="BM26" s="1"/>
  <c r="DQ26"/>
  <c r="I25"/>
  <c r="DK25" s="1"/>
  <c r="J25"/>
  <c r="L25"/>
  <c r="N25"/>
  <c r="O25"/>
  <c r="P25" s="1"/>
  <c r="DE25" s="1"/>
  <c r="AP25"/>
  <c r="BA25"/>
  <c r="H25" s="1"/>
  <c r="BC25"/>
  <c r="BD25"/>
  <c r="BF25"/>
  <c r="BH25"/>
  <c r="BI25"/>
  <c r="BJ25" s="1"/>
  <c r="BK25"/>
  <c r="BM25"/>
  <c r="B25" s="1"/>
  <c r="CT25"/>
  <c r="CU25"/>
  <c r="CV25"/>
  <c r="CW25"/>
  <c r="CX25"/>
  <c r="CY25"/>
  <c r="CZ25"/>
  <c r="DA25"/>
  <c r="DB25"/>
  <c r="DD25"/>
  <c r="DG25"/>
  <c r="DJ25" s="1"/>
  <c r="DN25"/>
  <c r="DQ25"/>
  <c r="I24"/>
  <c r="DK24" s="1"/>
  <c r="J24"/>
  <c r="L24"/>
  <c r="N24"/>
  <c r="O24"/>
  <c r="P24" s="1"/>
  <c r="DE24" s="1"/>
  <c r="AO24"/>
  <c r="AP24"/>
  <c r="BA24"/>
  <c r="H24" s="1"/>
  <c r="BC24"/>
  <c r="BF24"/>
  <c r="BI24"/>
  <c r="BJ24" s="1"/>
  <c r="BK24"/>
  <c r="BM24"/>
  <c r="B24" s="1"/>
  <c r="CT24"/>
  <c r="CU24"/>
  <c r="CV24"/>
  <c r="CW24"/>
  <c r="CX24"/>
  <c r="CY24"/>
  <c r="CZ24"/>
  <c r="DA24"/>
  <c r="DB24"/>
  <c r="DD24"/>
  <c r="DN24"/>
  <c r="DQ24"/>
  <c r="I23"/>
  <c r="DG23" s="1"/>
  <c r="DJ23" s="1"/>
  <c r="J23"/>
  <c r="L23"/>
  <c r="N23"/>
  <c r="O23"/>
  <c r="P23" s="1"/>
  <c r="DE23" s="1"/>
  <c r="AO23"/>
  <c r="AP23"/>
  <c r="BA23"/>
  <c r="BC23"/>
  <c r="BH23"/>
  <c r="BI23"/>
  <c r="BJ23" s="1"/>
  <c r="BK23"/>
  <c r="CU23"/>
  <c r="CV23"/>
  <c r="CW23"/>
  <c r="CX23"/>
  <c r="CY23"/>
  <c r="CZ23"/>
  <c r="DA23"/>
  <c r="DB23"/>
  <c r="DD23"/>
  <c r="DN23"/>
  <c r="BM23" s="1"/>
  <c r="DQ23"/>
  <c r="I22"/>
  <c r="DG22" s="1"/>
  <c r="DJ22" s="1"/>
  <c r="J22"/>
  <c r="L22"/>
  <c r="N22"/>
  <c r="O22"/>
  <c r="P22" s="1"/>
  <c r="DE22" s="1"/>
  <c r="AO22"/>
  <c r="AP22"/>
  <c r="BA22"/>
  <c r="BC22"/>
  <c r="BH22"/>
  <c r="BI22"/>
  <c r="BJ22"/>
  <c r="V22"/>
  <c r="S22" s="1"/>
  <c r="T22" s="1"/>
  <c r="CU22"/>
  <c r="CV22"/>
  <c r="CW22"/>
  <c r="CX22"/>
  <c r="CY22"/>
  <c r="CZ22"/>
  <c r="DA22"/>
  <c r="DB22"/>
  <c r="DC22"/>
  <c r="DD22"/>
  <c r="DN22"/>
  <c r="BM22" s="1"/>
  <c r="DQ22"/>
  <c r="I21"/>
  <c r="DK21" s="1"/>
  <c r="J21"/>
  <c r="L21"/>
  <c r="N21"/>
  <c r="O21"/>
  <c r="P21" s="1"/>
  <c r="DE21" s="1"/>
  <c r="AO21"/>
  <c r="AP21"/>
  <c r="BA21"/>
  <c r="BC21"/>
  <c r="BH21"/>
  <c r="BI21"/>
  <c r="BJ21" s="1"/>
  <c r="BK21"/>
  <c r="CU21"/>
  <c r="CV21"/>
  <c r="CW21"/>
  <c r="CX21"/>
  <c r="CY21"/>
  <c r="CZ21"/>
  <c r="DA21"/>
  <c r="DB21"/>
  <c r="DD21"/>
  <c r="DN21"/>
  <c r="BM21" s="1"/>
  <c r="DQ21"/>
  <c r="I20"/>
  <c r="DK20" s="1"/>
  <c r="J20"/>
  <c r="L20"/>
  <c r="N20"/>
  <c r="O20"/>
  <c r="P20" s="1"/>
  <c r="DE20" s="1"/>
  <c r="AO20"/>
  <c r="AP20"/>
  <c r="BA20"/>
  <c r="BC20"/>
  <c r="BH20"/>
  <c r="BI20"/>
  <c r="BJ20" s="1"/>
  <c r="BK20"/>
  <c r="CU20"/>
  <c r="CV20"/>
  <c r="CW20"/>
  <c r="CX20"/>
  <c r="CY20"/>
  <c r="CZ20"/>
  <c r="DA20"/>
  <c r="DB20"/>
  <c r="DD20"/>
  <c r="DN20"/>
  <c r="BM20" s="1"/>
  <c r="DQ20"/>
  <c r="I19"/>
  <c r="DK19" s="1"/>
  <c r="J19"/>
  <c r="L19"/>
  <c r="N19"/>
  <c r="O19"/>
  <c r="P19" s="1"/>
  <c r="DE19" s="1"/>
  <c r="AO19"/>
  <c r="AP19"/>
  <c r="BA19"/>
  <c r="BC19"/>
  <c r="BH19"/>
  <c r="BI19"/>
  <c r="BJ19" s="1"/>
  <c r="BK19"/>
  <c r="CU19"/>
  <c r="CV19"/>
  <c r="CW19"/>
  <c r="CX19"/>
  <c r="CY19"/>
  <c r="CZ19"/>
  <c r="DA19"/>
  <c r="DB19"/>
  <c r="DD19"/>
  <c r="DN19"/>
  <c r="BM19" s="1"/>
  <c r="DQ19"/>
  <c r="I18"/>
  <c r="DG18" s="1"/>
  <c r="DJ18" s="1"/>
  <c r="J18"/>
  <c r="L18"/>
  <c r="N18"/>
  <c r="O18"/>
  <c r="P18" s="1"/>
  <c r="DE18" s="1"/>
  <c r="AO18"/>
  <c r="AP18"/>
  <c r="BA18"/>
  <c r="BC18"/>
  <c r="BH18"/>
  <c r="BI18"/>
  <c r="BJ18" s="1"/>
  <c r="BK18"/>
  <c r="CU18"/>
  <c r="CV18"/>
  <c r="CX18"/>
  <c r="CY18"/>
  <c r="CZ18"/>
  <c r="DA18"/>
  <c r="DB18"/>
  <c r="DD18"/>
  <c r="DN18"/>
  <c r="BM18" s="1"/>
  <c r="DQ18"/>
  <c r="I17"/>
  <c r="DG17" s="1"/>
  <c r="DJ17" s="1"/>
  <c r="J17"/>
  <c r="L17"/>
  <c r="N17"/>
  <c r="O17"/>
  <c r="P17" s="1"/>
  <c r="DE17" s="1"/>
  <c r="AO17"/>
  <c r="AP17"/>
  <c r="BA17"/>
  <c r="BC17"/>
  <c r="BD17"/>
  <c r="BF17"/>
  <c r="BH17"/>
  <c r="BI17"/>
  <c r="BJ17" s="1"/>
  <c r="BK17"/>
  <c r="CU17"/>
  <c r="CV17"/>
  <c r="CX17"/>
  <c r="CY17"/>
  <c r="CZ17"/>
  <c r="DA17"/>
  <c r="DB17"/>
  <c r="DD17"/>
  <c r="DN17"/>
  <c r="BM17" s="1"/>
  <c r="DQ17"/>
  <c r="I16"/>
  <c r="DG16" s="1"/>
  <c r="DJ16" s="1"/>
  <c r="J16"/>
  <c r="L16"/>
  <c r="N16"/>
  <c r="O16"/>
  <c r="P16" s="1"/>
  <c r="DE16" s="1"/>
  <c r="AO16"/>
  <c r="AP16"/>
  <c r="BA16"/>
  <c r="BC16"/>
  <c r="BD16"/>
  <c r="BF16"/>
  <c r="BH16"/>
  <c r="BI16"/>
  <c r="BJ16" s="1"/>
  <c r="BK16"/>
  <c r="CU16"/>
  <c r="CV16"/>
  <c r="CX16"/>
  <c r="CY16"/>
  <c r="CZ16"/>
  <c r="DA16"/>
  <c r="DB16"/>
  <c r="DD16"/>
  <c r="DN16"/>
  <c r="BM16" s="1"/>
  <c r="DQ16"/>
  <c r="I15"/>
  <c r="DK15" s="1"/>
  <c r="J15"/>
  <c r="L15"/>
  <c r="N15"/>
  <c r="O15"/>
  <c r="P15" s="1"/>
  <c r="DE15" s="1"/>
  <c r="AP15"/>
  <c r="BA15"/>
  <c r="BC15"/>
  <c r="BD15"/>
  <c r="BF15"/>
  <c r="BH15"/>
  <c r="BI15"/>
  <c r="BJ15" s="1"/>
  <c r="BK15"/>
  <c r="CU15"/>
  <c r="CV15"/>
  <c r="CX15"/>
  <c r="CY15"/>
  <c r="CZ15"/>
  <c r="DA15"/>
  <c r="DB15"/>
  <c r="DD15"/>
  <c r="DN15"/>
  <c r="BM15" s="1"/>
  <c r="DQ15"/>
  <c r="I14"/>
  <c r="DK14" s="1"/>
  <c r="J14"/>
  <c r="L14"/>
  <c r="N14"/>
  <c r="O14"/>
  <c r="P14" s="1"/>
  <c r="DE14" s="1"/>
  <c r="AO14"/>
  <c r="AP14"/>
  <c r="BA14"/>
  <c r="BC14"/>
  <c r="BD14"/>
  <c r="BF14"/>
  <c r="BH14"/>
  <c r="BI14"/>
  <c r="BJ14" s="1"/>
  <c r="BK14"/>
  <c r="CU14"/>
  <c r="CV14"/>
  <c r="CX14"/>
  <c r="CY14"/>
  <c r="CZ14"/>
  <c r="DA14"/>
  <c r="DB14"/>
  <c r="DD14"/>
  <c r="DN14"/>
  <c r="BM14" s="1"/>
  <c r="DQ14"/>
  <c r="I13"/>
  <c r="DG13" s="1"/>
  <c r="DJ13" s="1"/>
  <c r="J13"/>
  <c r="L13"/>
  <c r="N13"/>
  <c r="O13"/>
  <c r="P13" s="1"/>
  <c r="DE13" s="1"/>
  <c r="AO13"/>
  <c r="AP13"/>
  <c r="BA13"/>
  <c r="BC13"/>
  <c r="BD13"/>
  <c r="BF13"/>
  <c r="BH13"/>
  <c r="BI13"/>
  <c r="BJ13" s="1"/>
  <c r="BK13"/>
  <c r="CU13"/>
  <c r="CV13"/>
  <c r="CX13"/>
  <c r="CY13"/>
  <c r="CZ13"/>
  <c r="DA13"/>
  <c r="DB13"/>
  <c r="DD13"/>
  <c r="DN13"/>
  <c r="BM13" s="1"/>
  <c r="DQ13"/>
  <c r="I12"/>
  <c r="DG12" s="1"/>
  <c r="DJ12" s="1"/>
  <c r="J12"/>
  <c r="L12"/>
  <c r="N12"/>
  <c r="O12"/>
  <c r="P12" s="1"/>
  <c r="DE12" s="1"/>
  <c r="AO12"/>
  <c r="AP12"/>
  <c r="BA12"/>
  <c r="BC12"/>
  <c r="BD12"/>
  <c r="BF12"/>
  <c r="BH12"/>
  <c r="BI12"/>
  <c r="BJ12" s="1"/>
  <c r="BK12"/>
  <c r="CU12"/>
  <c r="CV12"/>
  <c r="CX12"/>
  <c r="CY12"/>
  <c r="CZ12"/>
  <c r="DA12"/>
  <c r="DB12"/>
  <c r="DD12"/>
  <c r="DN12"/>
  <c r="BM12" s="1"/>
  <c r="DQ12"/>
  <c r="I11"/>
  <c r="DK11" s="1"/>
  <c r="J11"/>
  <c r="L11"/>
  <c r="N11"/>
  <c r="O11"/>
  <c r="P11" s="1"/>
  <c r="DE11" s="1"/>
  <c r="AO11"/>
  <c r="AP11"/>
  <c r="BA11"/>
  <c r="BC11"/>
  <c r="BD11"/>
  <c r="BF11"/>
  <c r="BH11"/>
  <c r="BI11"/>
  <c r="BJ11" s="1"/>
  <c r="BK11"/>
  <c r="CU11"/>
  <c r="CV11"/>
  <c r="CX11"/>
  <c r="CY11"/>
  <c r="CZ11"/>
  <c r="DA11"/>
  <c r="DB11"/>
  <c r="DD11"/>
  <c r="DG11"/>
  <c r="DJ11" s="1"/>
  <c r="DN11"/>
  <c r="BM11" s="1"/>
  <c r="DQ11"/>
  <c r="I10"/>
  <c r="DK10" s="1"/>
  <c r="J10"/>
  <c r="L10"/>
  <c r="N10"/>
  <c r="O10"/>
  <c r="P10" s="1"/>
  <c r="DE10" s="1"/>
  <c r="AO10"/>
  <c r="AP10"/>
  <c r="BA10"/>
  <c r="BC10"/>
  <c r="BD10"/>
  <c r="BF10"/>
  <c r="BH10"/>
  <c r="BI10"/>
  <c r="BJ10" s="1"/>
  <c r="BK10"/>
  <c r="CU10"/>
  <c r="CV10"/>
  <c r="CX10"/>
  <c r="CY10"/>
  <c r="CZ10"/>
  <c r="DA10"/>
  <c r="DB10"/>
  <c r="DD10"/>
  <c r="DG10"/>
  <c r="DJ10" s="1"/>
  <c r="DN10"/>
  <c r="BM10" s="1"/>
  <c r="DQ10"/>
  <c r="I9"/>
  <c r="DG9" s="1"/>
  <c r="DJ9" s="1"/>
  <c r="J9"/>
  <c r="L9"/>
  <c r="N9"/>
  <c r="O9"/>
  <c r="P9" s="1"/>
  <c r="DE9" s="1"/>
  <c r="AO9"/>
  <c r="AP9"/>
  <c r="BA9"/>
  <c r="BC9"/>
  <c r="BD9"/>
  <c r="BF9"/>
  <c r="BH9"/>
  <c r="BI9"/>
  <c r="BJ9" s="1"/>
  <c r="BK9"/>
  <c r="CU9"/>
  <c r="CV9"/>
  <c r="CX9"/>
  <c r="CY9"/>
  <c r="CZ9"/>
  <c r="DA9"/>
  <c r="DB9"/>
  <c r="DD9"/>
  <c r="DK9"/>
  <c r="DN9"/>
  <c r="BM9" s="1"/>
  <c r="DQ9"/>
  <c r="W41" i="112" l="1"/>
  <c r="X39"/>
  <c r="W41" i="111"/>
  <c r="X39"/>
  <c r="X16" i="108"/>
  <c r="X10"/>
  <c r="X11"/>
  <c r="X17"/>
  <c r="BB19"/>
  <c r="BE19"/>
  <c r="F19"/>
  <c r="BE18"/>
  <c r="BB18"/>
  <c r="F18"/>
  <c r="X15"/>
  <c r="BE17"/>
  <c r="BE16"/>
  <c r="BB15"/>
  <c r="BB14"/>
  <c r="BE14"/>
  <c r="BK14"/>
  <c r="BD14"/>
  <c r="BF14" s="1"/>
  <c r="AK14"/>
  <c r="M14"/>
  <c r="H14"/>
  <c r="BH14"/>
  <c r="AI14"/>
  <c r="W14"/>
  <c r="X14" s="1"/>
  <c r="F14"/>
  <c r="BB13"/>
  <c r="BE13"/>
  <c r="BE12"/>
  <c r="BB12"/>
  <c r="DK36" i="110"/>
  <c r="X7" i="108"/>
  <c r="DK23" i="110"/>
  <c r="DG24"/>
  <c r="DJ24" s="1"/>
  <c r="DK33"/>
  <c r="DK35"/>
  <c r="BB7" i="108"/>
  <c r="DK30" i="110"/>
  <c r="DK31"/>
  <c r="DK32"/>
  <c r="BE7" i="108"/>
  <c r="BE11"/>
  <c r="BE10"/>
  <c r="BE9"/>
  <c r="BE8"/>
  <c r="BB8"/>
  <c r="F8"/>
  <c r="DG29" i="110"/>
  <c r="DJ29" s="1"/>
  <c r="DK34"/>
  <c r="Q33"/>
  <c r="DG26"/>
  <c r="DJ26" s="1"/>
  <c r="DG27"/>
  <c r="DJ27" s="1"/>
  <c r="E37"/>
  <c r="BE37" s="1"/>
  <c r="Q29"/>
  <c r="Q30"/>
  <c r="Q31"/>
  <c r="Q11"/>
  <c r="Q32"/>
  <c r="Q34"/>
  <c r="Q36"/>
  <c r="Q26"/>
  <c r="DK12"/>
  <c r="Q12"/>
  <c r="Q24"/>
  <c r="Q27"/>
  <c r="DK28"/>
  <c r="Q23"/>
  <c r="Q10"/>
  <c r="Q28"/>
  <c r="Q9"/>
  <c r="Q13"/>
  <c r="DG14"/>
  <c r="DJ14" s="1"/>
  <c r="Q14"/>
  <c r="DG15"/>
  <c r="DJ15" s="1"/>
  <c r="DG19"/>
  <c r="DJ19" s="1"/>
  <c r="DG20"/>
  <c r="DJ20" s="1"/>
  <c r="DG21"/>
  <c r="DJ21" s="1"/>
  <c r="Q35"/>
  <c r="Q25"/>
  <c r="DK13"/>
  <c r="Q15"/>
  <c r="DK16"/>
  <c r="Q16"/>
  <c r="DK17"/>
  <c r="Q17"/>
  <c r="DK18"/>
  <c r="Q18"/>
  <c r="Q19"/>
  <c r="Q20"/>
  <c r="Q21"/>
  <c r="Q22"/>
  <c r="Q37"/>
  <c r="V36"/>
  <c r="S36" s="1"/>
  <c r="T36" s="1"/>
  <c r="W36" s="1"/>
  <c r="DC36"/>
  <c r="AZ36"/>
  <c r="AK36"/>
  <c r="F36"/>
  <c r="BL36"/>
  <c r="AI36"/>
  <c r="M36"/>
  <c r="E36"/>
  <c r="BB36" s="1"/>
  <c r="CT35"/>
  <c r="B35"/>
  <c r="V35"/>
  <c r="S35" s="1"/>
  <c r="T35" s="1"/>
  <c r="W35" s="1"/>
  <c r="DC35"/>
  <c r="H35"/>
  <c r="BL35"/>
  <c r="AK35"/>
  <c r="BD35"/>
  <c r="BF35" s="1"/>
  <c r="AZ35"/>
  <c r="AI35"/>
  <c r="M35"/>
  <c r="CT34"/>
  <c r="B34"/>
  <c r="V34"/>
  <c r="S34" s="1"/>
  <c r="T34" s="1"/>
  <c r="W34" s="1"/>
  <c r="DC34"/>
  <c r="H34"/>
  <c r="BL34"/>
  <c r="AK34"/>
  <c r="BD34"/>
  <c r="BF34" s="1"/>
  <c r="AZ34"/>
  <c r="AI34"/>
  <c r="M34"/>
  <c r="CT33"/>
  <c r="B33"/>
  <c r="V33"/>
  <c r="S33" s="1"/>
  <c r="T33" s="1"/>
  <c r="W33" s="1"/>
  <c r="DC33"/>
  <c r="H33"/>
  <c r="BL33"/>
  <c r="AK33"/>
  <c r="BD33"/>
  <c r="BF33" s="1"/>
  <c r="AZ33"/>
  <c r="AI33"/>
  <c r="M33"/>
  <c r="CT32"/>
  <c r="B32"/>
  <c r="V32"/>
  <c r="S32" s="1"/>
  <c r="T32" s="1"/>
  <c r="DC32"/>
  <c r="H32"/>
  <c r="BL32"/>
  <c r="AK32"/>
  <c r="BD32"/>
  <c r="BF32" s="1"/>
  <c r="AZ32"/>
  <c r="AI32"/>
  <c r="W32"/>
  <c r="M32"/>
  <c r="CT31"/>
  <c r="B31"/>
  <c r="V31"/>
  <c r="S31" s="1"/>
  <c r="T31" s="1"/>
  <c r="W31" s="1"/>
  <c r="DC31"/>
  <c r="H31"/>
  <c r="BL31"/>
  <c r="AK31"/>
  <c r="BD31"/>
  <c r="BF31" s="1"/>
  <c r="AZ31"/>
  <c r="AI31"/>
  <c r="M31"/>
  <c r="CT30"/>
  <c r="B30"/>
  <c r="V30"/>
  <c r="S30" s="1"/>
  <c r="T30" s="1"/>
  <c r="W30" s="1"/>
  <c r="DC30"/>
  <c r="H30"/>
  <c r="BL30"/>
  <c r="AK30"/>
  <c r="BD30"/>
  <c r="BF30" s="1"/>
  <c r="AZ30"/>
  <c r="AI30"/>
  <c r="M30"/>
  <c r="CT29"/>
  <c r="B29"/>
  <c r="V29"/>
  <c r="S29" s="1"/>
  <c r="T29" s="1"/>
  <c r="DC29"/>
  <c r="BF37"/>
  <c r="BJ37"/>
  <c r="H29"/>
  <c r="BK37"/>
  <c r="BD37"/>
  <c r="AZ37"/>
  <c r="AI37"/>
  <c r="W37"/>
  <c r="F37"/>
  <c r="BL29"/>
  <c r="AK29"/>
  <c r="AK37"/>
  <c r="M37"/>
  <c r="BD29"/>
  <c r="BF29" s="1"/>
  <c r="AZ29"/>
  <c r="AI29"/>
  <c r="W29"/>
  <c r="M29"/>
  <c r="CT28"/>
  <c r="B28"/>
  <c r="V28"/>
  <c r="S28" s="1"/>
  <c r="T28" s="1"/>
  <c r="DC28"/>
  <c r="H28"/>
  <c r="BL28"/>
  <c r="AK28"/>
  <c r="BD28"/>
  <c r="BF28" s="1"/>
  <c r="AZ28"/>
  <c r="AI28"/>
  <c r="W28"/>
  <c r="M28"/>
  <c r="CT27"/>
  <c r="B27"/>
  <c r="V27"/>
  <c r="S27" s="1"/>
  <c r="T27" s="1"/>
  <c r="DC27"/>
  <c r="H27"/>
  <c r="BL27"/>
  <c r="AK27"/>
  <c r="BD27"/>
  <c r="BF27" s="1"/>
  <c r="AZ27"/>
  <c r="AI27"/>
  <c r="W27"/>
  <c r="M27"/>
  <c r="CT26"/>
  <c r="B26"/>
  <c r="V26"/>
  <c r="S26" s="1"/>
  <c r="T26" s="1"/>
  <c r="DC26"/>
  <c r="H26"/>
  <c r="BL26"/>
  <c r="AK26"/>
  <c r="BD26"/>
  <c r="BF26" s="1"/>
  <c r="AZ26"/>
  <c r="AI26"/>
  <c r="W26"/>
  <c r="M26"/>
  <c r="DC25"/>
  <c r="V25"/>
  <c r="S25" s="1"/>
  <c r="T25" s="1"/>
  <c r="W25" s="1"/>
  <c r="C25"/>
  <c r="E25"/>
  <c r="D25"/>
  <c r="AZ25"/>
  <c r="AK25"/>
  <c r="F25"/>
  <c r="BL25"/>
  <c r="AI25"/>
  <c r="M25"/>
  <c r="C24"/>
  <c r="E24"/>
  <c r="D24"/>
  <c r="DC24"/>
  <c r="V24"/>
  <c r="S24" s="1"/>
  <c r="T24" s="1"/>
  <c r="W24" s="1"/>
  <c r="AK24"/>
  <c r="F24"/>
  <c r="BL24"/>
  <c r="BH24"/>
  <c r="AZ24"/>
  <c r="AI24"/>
  <c r="M24"/>
  <c r="CT23"/>
  <c r="B23"/>
  <c r="V23"/>
  <c r="S23" s="1"/>
  <c r="T23" s="1"/>
  <c r="DC23"/>
  <c r="H23"/>
  <c r="BL23"/>
  <c r="AK23"/>
  <c r="BD23"/>
  <c r="BF23" s="1"/>
  <c r="AZ23"/>
  <c r="AI23"/>
  <c r="W23"/>
  <c r="M23"/>
  <c r="CT22"/>
  <c r="B22"/>
  <c r="H22"/>
  <c r="AK22"/>
  <c r="DK22"/>
  <c r="BK22"/>
  <c r="BL22" s="1"/>
  <c r="BD22"/>
  <c r="BF22" s="1"/>
  <c r="AZ22"/>
  <c r="AI22"/>
  <c r="W22"/>
  <c r="M22"/>
  <c r="CT21"/>
  <c r="B21"/>
  <c r="V21"/>
  <c r="S21" s="1"/>
  <c r="T21" s="1"/>
  <c r="DC21"/>
  <c r="H21"/>
  <c r="BL21"/>
  <c r="AK21"/>
  <c r="BD21"/>
  <c r="BF21" s="1"/>
  <c r="AZ21"/>
  <c r="AI21"/>
  <c r="W21"/>
  <c r="M21"/>
  <c r="CT20"/>
  <c r="B20"/>
  <c r="V20"/>
  <c r="S20" s="1"/>
  <c r="T20" s="1"/>
  <c r="DC20"/>
  <c r="H20"/>
  <c r="BL20"/>
  <c r="AK20"/>
  <c r="BD20"/>
  <c r="BF20" s="1"/>
  <c r="AZ20"/>
  <c r="AI20"/>
  <c r="W20"/>
  <c r="M20"/>
  <c r="CT19"/>
  <c r="B19"/>
  <c r="V19"/>
  <c r="S19" s="1"/>
  <c r="T19" s="1"/>
  <c r="W19" s="1"/>
  <c r="DC19"/>
  <c r="H19"/>
  <c r="BL19"/>
  <c r="AK19"/>
  <c r="BD19"/>
  <c r="BF19" s="1"/>
  <c r="AZ19"/>
  <c r="AI19"/>
  <c r="M19"/>
  <c r="CT18"/>
  <c r="B18"/>
  <c r="DC18"/>
  <c r="V18"/>
  <c r="S18" s="1"/>
  <c r="T18" s="1"/>
  <c r="W18" s="1"/>
  <c r="H18"/>
  <c r="BL18"/>
  <c r="AK18"/>
  <c r="BD18"/>
  <c r="BF18" s="1"/>
  <c r="AZ18"/>
  <c r="AI18"/>
  <c r="M18"/>
  <c r="B17"/>
  <c r="CT17"/>
  <c r="V17"/>
  <c r="S17" s="1"/>
  <c r="T17" s="1"/>
  <c r="DC17"/>
  <c r="H17"/>
  <c r="AK17"/>
  <c r="BL17"/>
  <c r="AI17"/>
  <c r="W17"/>
  <c r="M17"/>
  <c r="B16"/>
  <c r="CT16"/>
  <c r="V16"/>
  <c r="S16" s="1"/>
  <c r="T16" s="1"/>
  <c r="DC16"/>
  <c r="H16"/>
  <c r="AK16"/>
  <c r="BL16"/>
  <c r="AI16"/>
  <c r="W16"/>
  <c r="M16"/>
  <c r="DC15"/>
  <c r="V15"/>
  <c r="S15" s="1"/>
  <c r="T15" s="1"/>
  <c r="CT15"/>
  <c r="H15" s="1"/>
  <c r="B15"/>
  <c r="BL15"/>
  <c r="AK15"/>
  <c r="AI15"/>
  <c r="W15"/>
  <c r="M15"/>
  <c r="B14"/>
  <c r="CT14"/>
  <c r="V14"/>
  <c r="S14" s="1"/>
  <c r="T14" s="1"/>
  <c r="W14" s="1"/>
  <c r="DC14"/>
  <c r="H14"/>
  <c r="AK14"/>
  <c r="BL14"/>
  <c r="AI14"/>
  <c r="M14"/>
  <c r="B13"/>
  <c r="CT13"/>
  <c r="V13"/>
  <c r="S13" s="1"/>
  <c r="T13" s="1"/>
  <c r="W13" s="1"/>
  <c r="DC13"/>
  <c r="H13"/>
  <c r="AK13"/>
  <c r="BL13"/>
  <c r="AI13"/>
  <c r="M13"/>
  <c r="B12"/>
  <c r="CT12"/>
  <c r="V12"/>
  <c r="S12" s="1"/>
  <c r="T12" s="1"/>
  <c r="W12" s="1"/>
  <c r="DC12"/>
  <c r="H12"/>
  <c r="AK12"/>
  <c r="BL12"/>
  <c r="AI12"/>
  <c r="M12"/>
  <c r="B11"/>
  <c r="CT11"/>
  <c r="V11"/>
  <c r="S11" s="1"/>
  <c r="T11" s="1"/>
  <c r="W11" s="1"/>
  <c r="DC11"/>
  <c r="H11"/>
  <c r="AK11"/>
  <c r="BL11"/>
  <c r="AI11"/>
  <c r="M11"/>
  <c r="B10"/>
  <c r="CT10"/>
  <c r="V10"/>
  <c r="S10" s="1"/>
  <c r="T10" s="1"/>
  <c r="W10" s="1"/>
  <c r="DC10"/>
  <c r="H10"/>
  <c r="AK10"/>
  <c r="BL10"/>
  <c r="AI10"/>
  <c r="M10"/>
  <c r="B9"/>
  <c r="CT9"/>
  <c r="V9"/>
  <c r="S9" s="1"/>
  <c r="T9" s="1"/>
  <c r="DC9"/>
  <c r="H9"/>
  <c r="AK9"/>
  <c r="BL9"/>
  <c r="AI9"/>
  <c r="W9"/>
  <c r="M9"/>
  <c r="CL38"/>
  <c r="CP39" s="1"/>
  <c r="DQ8"/>
  <c r="DQ7"/>
  <c r="B8"/>
  <c r="B7"/>
  <c r="BM8"/>
  <c r="BM7"/>
  <c r="CT7" s="1"/>
  <c r="DN8"/>
  <c r="DN7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8"/>
  <c r="DC8"/>
  <c r="DB8"/>
  <c r="DA8"/>
  <c r="CZ8"/>
  <c r="CY8"/>
  <c r="CX8"/>
  <c r="CV8"/>
  <c r="CU8"/>
  <c r="CT8"/>
  <c r="BI8"/>
  <c r="BC8"/>
  <c r="AP8"/>
  <c r="AO8"/>
  <c r="BA8" s="1"/>
  <c r="BK8" s="1"/>
  <c r="V8"/>
  <c r="S8" s="1"/>
  <c r="O8"/>
  <c r="P8" s="1"/>
  <c r="DE8" s="1"/>
  <c r="N8"/>
  <c r="L8"/>
  <c r="J8"/>
  <c r="I8"/>
  <c r="DK8" s="1"/>
  <c r="C8"/>
  <c r="DD7"/>
  <c r="DC7"/>
  <c r="DB7"/>
  <c r="DA7"/>
  <c r="DA38" s="1"/>
  <c r="CZ7"/>
  <c r="CZ38" s="1"/>
  <c r="CY7"/>
  <c r="CY38" s="1"/>
  <c r="CX7"/>
  <c r="CX38" s="1"/>
  <c r="CV7"/>
  <c r="CV38" s="1"/>
  <c r="CU7"/>
  <c r="CU38" s="1"/>
  <c r="BI7"/>
  <c r="BC7"/>
  <c r="BC38" s="1"/>
  <c r="BC39" s="1"/>
  <c r="AP7"/>
  <c r="AO7"/>
  <c r="AO38" s="1"/>
  <c r="V7"/>
  <c r="O7"/>
  <c r="P7" s="1"/>
  <c r="N7"/>
  <c r="N38" s="1"/>
  <c r="N39" s="1"/>
  <c r="L7"/>
  <c r="L38" s="1"/>
  <c r="L39" s="1"/>
  <c r="J7"/>
  <c r="J38" s="1"/>
  <c r="J39" s="1"/>
  <c r="I7"/>
  <c r="I38" s="1"/>
  <c r="I39" s="1"/>
  <c r="I41" s="1"/>
  <c r="E7"/>
  <c r="BI36" i="107"/>
  <c r="BC36"/>
  <c r="BA36"/>
  <c r="BK36" s="1"/>
  <c r="AZ36"/>
  <c r="AP36"/>
  <c r="AK36"/>
  <c r="AI36"/>
  <c r="V36"/>
  <c r="R36"/>
  <c r="S36" s="1"/>
  <c r="O36"/>
  <c r="Q36" s="1"/>
  <c r="N36"/>
  <c r="L36"/>
  <c r="J36"/>
  <c r="I36"/>
  <c r="DK36" s="1"/>
  <c r="B36"/>
  <c r="C36" s="1"/>
  <c r="BI35"/>
  <c r="BC35"/>
  <c r="BA35"/>
  <c r="V35"/>
  <c r="R35"/>
  <c r="O35"/>
  <c r="Q35" s="1"/>
  <c r="N35"/>
  <c r="L35"/>
  <c r="J35"/>
  <c r="I35"/>
  <c r="DK35" s="1"/>
  <c r="B35"/>
  <c r="BI34"/>
  <c r="BC34"/>
  <c r="BA34"/>
  <c r="V34"/>
  <c r="R34"/>
  <c r="O34"/>
  <c r="Q34" s="1"/>
  <c r="N34"/>
  <c r="L34"/>
  <c r="J34"/>
  <c r="I34"/>
  <c r="DK34" s="1"/>
  <c r="B34"/>
  <c r="B33"/>
  <c r="C33" s="1"/>
  <c r="D33" s="1"/>
  <c r="I33"/>
  <c r="DK33" s="1"/>
  <c r="J33"/>
  <c r="L33"/>
  <c r="N33"/>
  <c r="O33"/>
  <c r="P33" s="1"/>
  <c r="DE33" s="1"/>
  <c r="R33"/>
  <c r="S33" s="1"/>
  <c r="T33" s="1"/>
  <c r="V33"/>
  <c r="AP33"/>
  <c r="BA33"/>
  <c r="H33" s="1"/>
  <c r="BC33"/>
  <c r="BH33"/>
  <c r="BI33"/>
  <c r="BJ33" s="1"/>
  <c r="BK33"/>
  <c r="B32"/>
  <c r="C32" s="1"/>
  <c r="D32" s="1"/>
  <c r="I32"/>
  <c r="DK32" s="1"/>
  <c r="J32"/>
  <c r="L32"/>
  <c r="N32"/>
  <c r="O32"/>
  <c r="P32" s="1"/>
  <c r="R32"/>
  <c r="S32" s="1"/>
  <c r="T32" s="1"/>
  <c r="V32"/>
  <c r="AP32"/>
  <c r="BA32"/>
  <c r="H32" s="1"/>
  <c r="BC32"/>
  <c r="BH32"/>
  <c r="BI32"/>
  <c r="BJ32" s="1"/>
  <c r="BK32"/>
  <c r="B31"/>
  <c r="C31" s="1"/>
  <c r="D31" s="1"/>
  <c r="I31"/>
  <c r="DK31" s="1"/>
  <c r="J31"/>
  <c r="L31"/>
  <c r="N31"/>
  <c r="O31"/>
  <c r="P31" s="1"/>
  <c r="DE31" s="1"/>
  <c r="R31"/>
  <c r="S31" s="1"/>
  <c r="T31" s="1"/>
  <c r="V31"/>
  <c r="AP31"/>
  <c r="BA31"/>
  <c r="H31" s="1"/>
  <c r="BC31"/>
  <c r="BH31"/>
  <c r="BI31"/>
  <c r="BJ31" s="1"/>
  <c r="BK31"/>
  <c r="BI30"/>
  <c r="BC30"/>
  <c r="BA30"/>
  <c r="V30"/>
  <c r="R30"/>
  <c r="O30"/>
  <c r="Q30" s="1"/>
  <c r="N30"/>
  <c r="L30"/>
  <c r="J30"/>
  <c r="I30"/>
  <c r="DK30" s="1"/>
  <c r="B30"/>
  <c r="BA8" i="105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6"/>
  <c r="BA37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29" i="107"/>
  <c r="C29" s="1"/>
  <c r="D29" s="1"/>
  <c r="I29"/>
  <c r="DK29" s="1"/>
  <c r="J29"/>
  <c r="L29"/>
  <c r="N29"/>
  <c r="O29"/>
  <c r="P29" s="1"/>
  <c r="R29"/>
  <c r="S29" s="1"/>
  <c r="T29" s="1"/>
  <c r="V29"/>
  <c r="AP29"/>
  <c r="BA29"/>
  <c r="H29" s="1"/>
  <c r="BC29"/>
  <c r="BD29"/>
  <c r="BF29"/>
  <c r="BH29"/>
  <c r="BI29"/>
  <c r="BJ29" s="1"/>
  <c r="BK29"/>
  <c r="B28"/>
  <c r="C28" s="1"/>
  <c r="D28" s="1"/>
  <c r="I28"/>
  <c r="DK28" s="1"/>
  <c r="J28"/>
  <c r="L28"/>
  <c r="N28"/>
  <c r="O28"/>
  <c r="P28" s="1"/>
  <c r="R28"/>
  <c r="S28" s="1"/>
  <c r="T28" s="1"/>
  <c r="V28"/>
  <c r="AP28"/>
  <c r="BA28"/>
  <c r="H28" s="1"/>
  <c r="BC28"/>
  <c r="BH28"/>
  <c r="BI28"/>
  <c r="BJ28" s="1"/>
  <c r="BK28"/>
  <c r="B27"/>
  <c r="C27" s="1"/>
  <c r="D27" s="1"/>
  <c r="I27"/>
  <c r="DK27" s="1"/>
  <c r="J27"/>
  <c r="L27"/>
  <c r="N27"/>
  <c r="O27"/>
  <c r="P27" s="1"/>
  <c r="DE27" s="1"/>
  <c r="R27"/>
  <c r="S27" s="1"/>
  <c r="T27" s="1"/>
  <c r="V27"/>
  <c r="AP27"/>
  <c r="BA27"/>
  <c r="H27" s="1"/>
  <c r="BC27"/>
  <c r="BH27"/>
  <c r="BI27"/>
  <c r="BJ27" s="1"/>
  <c r="BK27"/>
  <c r="B26"/>
  <c r="C26" s="1"/>
  <c r="D26" s="1"/>
  <c r="I26"/>
  <c r="DK26" s="1"/>
  <c r="J26"/>
  <c r="L26"/>
  <c r="N26"/>
  <c r="O26"/>
  <c r="P26" s="1"/>
  <c r="R26"/>
  <c r="S26" s="1"/>
  <c r="T26" s="1"/>
  <c r="V26"/>
  <c r="AP26"/>
  <c r="BA26"/>
  <c r="H26" s="1"/>
  <c r="BC26"/>
  <c r="BD26"/>
  <c r="BF26"/>
  <c r="BH26"/>
  <c r="BI26"/>
  <c r="BJ26" s="1"/>
  <c r="BK26"/>
  <c r="B25"/>
  <c r="C25" s="1"/>
  <c r="D25" s="1"/>
  <c r="I25"/>
  <c r="DK25" s="1"/>
  <c r="J25"/>
  <c r="L25"/>
  <c r="N25"/>
  <c r="O25"/>
  <c r="P25" s="1"/>
  <c r="DE25" s="1"/>
  <c r="R25"/>
  <c r="S25" s="1"/>
  <c r="T25" s="1"/>
  <c r="V25"/>
  <c r="AP25"/>
  <c r="BA25"/>
  <c r="H25" s="1"/>
  <c r="BC25"/>
  <c r="BH25"/>
  <c r="BI25"/>
  <c r="BJ25" s="1"/>
  <c r="BK25"/>
  <c r="B24"/>
  <c r="C24" s="1"/>
  <c r="D24" s="1"/>
  <c r="I24"/>
  <c r="DG24" s="1"/>
  <c r="DJ24" s="1"/>
  <c r="J24"/>
  <c r="L24"/>
  <c r="N24"/>
  <c r="O24"/>
  <c r="P24" s="1"/>
  <c r="DE24" s="1"/>
  <c r="R24"/>
  <c r="S24" s="1"/>
  <c r="T24" s="1"/>
  <c r="V24"/>
  <c r="AP24"/>
  <c r="BA24"/>
  <c r="H24" s="1"/>
  <c r="BC24"/>
  <c r="BF24"/>
  <c r="BH24"/>
  <c r="BI24"/>
  <c r="BJ24" s="1"/>
  <c r="BK24"/>
  <c r="H11" i="105"/>
  <c r="H12"/>
  <c r="H13"/>
  <c r="H14"/>
  <c r="H15"/>
  <c r="H16"/>
  <c r="H17"/>
  <c r="H18"/>
  <c r="H8"/>
  <c r="H9"/>
  <c r="H10"/>
  <c r="H7"/>
  <c r="B8"/>
  <c r="C8" s="1"/>
  <c r="D8" s="1"/>
  <c r="I8"/>
  <c r="J8"/>
  <c r="L8"/>
  <c r="N8"/>
  <c r="O8"/>
  <c r="P8" s="1"/>
  <c r="R8"/>
  <c r="V8"/>
  <c r="AK8"/>
  <c r="AO8"/>
  <c r="AP8"/>
  <c r="BC8"/>
  <c r="BD8"/>
  <c r="BF8" s="1"/>
  <c r="BI8"/>
  <c r="BJ8" s="1"/>
  <c r="BK8"/>
  <c r="B9"/>
  <c r="C9" s="1"/>
  <c r="D9" s="1"/>
  <c r="I9"/>
  <c r="J9"/>
  <c r="L9"/>
  <c r="N9"/>
  <c r="O9"/>
  <c r="P9" s="1"/>
  <c r="R9"/>
  <c r="V9"/>
  <c r="AK9"/>
  <c r="AO9"/>
  <c r="AP9"/>
  <c r="BC9"/>
  <c r="BD9"/>
  <c r="BF9" s="1"/>
  <c r="BI9"/>
  <c r="BJ9" s="1"/>
  <c r="BK9"/>
  <c r="B10"/>
  <c r="C10" s="1"/>
  <c r="D10" s="1"/>
  <c r="I10"/>
  <c r="J10"/>
  <c r="L10"/>
  <c r="N10"/>
  <c r="O10"/>
  <c r="P10" s="1"/>
  <c r="R10"/>
  <c r="V10"/>
  <c r="AK10"/>
  <c r="AO10"/>
  <c r="AP10"/>
  <c r="BC10"/>
  <c r="BD10"/>
  <c r="BF10" s="1"/>
  <c r="BI10"/>
  <c r="BJ10" s="1"/>
  <c r="BK10"/>
  <c r="B11"/>
  <c r="C11" s="1"/>
  <c r="D11" s="1"/>
  <c r="I11"/>
  <c r="J11"/>
  <c r="L11"/>
  <c r="N11"/>
  <c r="O11"/>
  <c r="P11" s="1"/>
  <c r="R11"/>
  <c r="V11"/>
  <c r="AK11"/>
  <c r="AO11"/>
  <c r="AP11"/>
  <c r="BC11"/>
  <c r="BD11"/>
  <c r="BF11" s="1"/>
  <c r="BI11"/>
  <c r="BJ11" s="1"/>
  <c r="BK11"/>
  <c r="B12"/>
  <c r="C12" s="1"/>
  <c r="D12" s="1"/>
  <c r="I12"/>
  <c r="J12"/>
  <c r="L12"/>
  <c r="N12"/>
  <c r="O12"/>
  <c r="P12" s="1"/>
  <c r="R12"/>
  <c r="V12"/>
  <c r="AK12"/>
  <c r="AO12"/>
  <c r="AP12"/>
  <c r="BC12"/>
  <c r="BD12"/>
  <c r="BF12" s="1"/>
  <c r="BI12"/>
  <c r="BJ12" s="1"/>
  <c r="BK12"/>
  <c r="B13"/>
  <c r="C13" s="1"/>
  <c r="D13" s="1"/>
  <c r="I13"/>
  <c r="J13"/>
  <c r="L13"/>
  <c r="N13"/>
  <c r="O13"/>
  <c r="P13" s="1"/>
  <c r="R13"/>
  <c r="V13"/>
  <c r="AK13"/>
  <c r="AO13"/>
  <c r="AP13"/>
  <c r="BC13"/>
  <c r="BD13"/>
  <c r="BF13" s="1"/>
  <c r="BI13"/>
  <c r="BJ13" s="1"/>
  <c r="BK13"/>
  <c r="B14"/>
  <c r="C14" s="1"/>
  <c r="D14" s="1"/>
  <c r="I14"/>
  <c r="J14"/>
  <c r="L14"/>
  <c r="N14"/>
  <c r="O14"/>
  <c r="P14" s="1"/>
  <c r="R14"/>
  <c r="V14"/>
  <c r="AK14"/>
  <c r="AO14"/>
  <c r="AP14"/>
  <c r="BC14"/>
  <c r="BD14"/>
  <c r="BF14" s="1"/>
  <c r="BI14"/>
  <c r="BJ14" s="1"/>
  <c r="BJ15" s="1"/>
  <c r="BJ16" s="1"/>
  <c r="BJ17" s="1"/>
  <c r="BK14"/>
  <c r="B15"/>
  <c r="C15" s="1"/>
  <c r="D15" s="1"/>
  <c r="I15"/>
  <c r="J15"/>
  <c r="L15"/>
  <c r="N15"/>
  <c r="O15"/>
  <c r="P15" s="1"/>
  <c r="R15"/>
  <c r="V15"/>
  <c r="AP15"/>
  <c r="BC15"/>
  <c r="BI15"/>
  <c r="B16"/>
  <c r="C16" s="1"/>
  <c r="D16" s="1"/>
  <c r="I16"/>
  <c r="J16"/>
  <c r="L16"/>
  <c r="N16"/>
  <c r="O16"/>
  <c r="P16" s="1"/>
  <c r="R16"/>
  <c r="S16" s="1"/>
  <c r="T16" s="1"/>
  <c r="V16"/>
  <c r="AO16"/>
  <c r="AP16" s="1"/>
  <c r="BC16"/>
  <c r="BI16"/>
  <c r="B17"/>
  <c r="C17" s="1"/>
  <c r="D17" s="1"/>
  <c r="I17"/>
  <c r="J17"/>
  <c r="L17"/>
  <c r="N17"/>
  <c r="O17"/>
  <c r="P17" s="1"/>
  <c r="R17"/>
  <c r="S17" s="1"/>
  <c r="T17" s="1"/>
  <c r="V17"/>
  <c r="AO17"/>
  <c r="AP17" s="1"/>
  <c r="BC17"/>
  <c r="BI17"/>
  <c r="B18"/>
  <c r="C18" s="1"/>
  <c r="D18" s="1"/>
  <c r="I18"/>
  <c r="J18"/>
  <c r="L18"/>
  <c r="N18"/>
  <c r="O18"/>
  <c r="P18" s="1"/>
  <c r="R18"/>
  <c r="S18" s="1"/>
  <c r="T18" s="1"/>
  <c r="V18"/>
  <c r="AO18"/>
  <c r="AP18" s="1"/>
  <c r="BC18"/>
  <c r="BI18"/>
  <c r="BJ18" s="1"/>
  <c r="B19"/>
  <c r="C19" s="1"/>
  <c r="D19" s="1"/>
  <c r="I19"/>
  <c r="J19"/>
  <c r="L19"/>
  <c r="N19"/>
  <c r="O19"/>
  <c r="P19" s="1"/>
  <c r="R19"/>
  <c r="S19" s="1"/>
  <c r="T19" s="1"/>
  <c r="V19"/>
  <c r="AO19"/>
  <c r="AP19" s="1"/>
  <c r="BC19"/>
  <c r="BI19"/>
  <c r="BJ19" s="1"/>
  <c r="B20"/>
  <c r="C20" s="1"/>
  <c r="D20" s="1"/>
  <c r="I20"/>
  <c r="J20"/>
  <c r="L20"/>
  <c r="N20"/>
  <c r="O20"/>
  <c r="P20" s="1"/>
  <c r="R20"/>
  <c r="S20" s="1"/>
  <c r="T20" s="1"/>
  <c r="V20"/>
  <c r="AO20"/>
  <c r="AP20" s="1"/>
  <c r="BC20"/>
  <c r="BI20"/>
  <c r="BJ20" s="1"/>
  <c r="B21"/>
  <c r="C21" s="1"/>
  <c r="D21" s="1"/>
  <c r="I21"/>
  <c r="J21"/>
  <c r="L21"/>
  <c r="N21"/>
  <c r="O21"/>
  <c r="P21" s="1"/>
  <c r="R21"/>
  <c r="S21" s="1"/>
  <c r="T21" s="1"/>
  <c r="V21"/>
  <c r="AO21"/>
  <c r="AP21" s="1"/>
  <c r="BC21"/>
  <c r="BI21"/>
  <c r="BJ21" s="1"/>
  <c r="B22"/>
  <c r="C22" s="1"/>
  <c r="D22" s="1"/>
  <c r="I22"/>
  <c r="J22"/>
  <c r="L22"/>
  <c r="N22"/>
  <c r="O22"/>
  <c r="P22" s="1"/>
  <c r="R22"/>
  <c r="S22" s="1"/>
  <c r="T22" s="1"/>
  <c r="V22"/>
  <c r="AO22"/>
  <c r="AP22" s="1"/>
  <c r="BC22"/>
  <c r="BI22"/>
  <c r="B23"/>
  <c r="C23" s="1"/>
  <c r="D23" s="1"/>
  <c r="I23"/>
  <c r="J23"/>
  <c r="L23"/>
  <c r="N23"/>
  <c r="O23"/>
  <c r="P23" s="1"/>
  <c r="R23"/>
  <c r="S23" s="1"/>
  <c r="T23" s="1"/>
  <c r="V23"/>
  <c r="AO23"/>
  <c r="AP23" s="1"/>
  <c r="BC23"/>
  <c r="BI23"/>
  <c r="B24"/>
  <c r="C24" s="1"/>
  <c r="D24" s="1"/>
  <c r="I24"/>
  <c r="J24"/>
  <c r="L24"/>
  <c r="N24"/>
  <c r="O24"/>
  <c r="P24" s="1"/>
  <c r="R24"/>
  <c r="S24" s="1"/>
  <c r="T24" s="1"/>
  <c r="V24"/>
  <c r="AO24"/>
  <c r="AP24" s="1"/>
  <c r="BC24"/>
  <c r="BF24"/>
  <c r="BI24"/>
  <c r="B25"/>
  <c r="C25" s="1"/>
  <c r="D25" s="1"/>
  <c r="I25"/>
  <c r="J25"/>
  <c r="L25"/>
  <c r="N25"/>
  <c r="O25"/>
  <c r="P25" s="1"/>
  <c r="R25"/>
  <c r="V25"/>
  <c r="AK25"/>
  <c r="AP25"/>
  <c r="AZ25"/>
  <c r="BC25"/>
  <c r="BD25"/>
  <c r="BF25" s="1"/>
  <c r="BI25"/>
  <c r="BK25"/>
  <c r="B26"/>
  <c r="C26" s="1"/>
  <c r="D26" s="1"/>
  <c r="I26"/>
  <c r="J26"/>
  <c r="L26"/>
  <c r="N26"/>
  <c r="O26"/>
  <c r="P26" s="1"/>
  <c r="R26"/>
  <c r="S26" s="1"/>
  <c r="T26" s="1"/>
  <c r="V26"/>
  <c r="AO26"/>
  <c r="AP26" s="1"/>
  <c r="BC26"/>
  <c r="BI26"/>
  <c r="B27"/>
  <c r="C27" s="1"/>
  <c r="D27" s="1"/>
  <c r="I27"/>
  <c r="J27"/>
  <c r="L27"/>
  <c r="N27"/>
  <c r="O27"/>
  <c r="P27" s="1"/>
  <c r="R27"/>
  <c r="S27" s="1"/>
  <c r="T27" s="1"/>
  <c r="V27"/>
  <c r="AO27"/>
  <c r="AP27" s="1"/>
  <c r="BC27"/>
  <c r="BI27"/>
  <c r="B28"/>
  <c r="C28" s="1"/>
  <c r="D28" s="1"/>
  <c r="I28"/>
  <c r="J28"/>
  <c r="L28"/>
  <c r="N28"/>
  <c r="O28"/>
  <c r="P28" s="1"/>
  <c r="R28"/>
  <c r="S28" s="1"/>
  <c r="T28" s="1"/>
  <c r="V28"/>
  <c r="AO28"/>
  <c r="AP28" s="1"/>
  <c r="BC28"/>
  <c r="BI28"/>
  <c r="B29"/>
  <c r="C29" s="1"/>
  <c r="D29" s="1"/>
  <c r="I29"/>
  <c r="J29"/>
  <c r="L29"/>
  <c r="N29"/>
  <c r="O29"/>
  <c r="P29" s="1"/>
  <c r="R29"/>
  <c r="S29" s="1"/>
  <c r="T29" s="1"/>
  <c r="V29"/>
  <c r="AO29"/>
  <c r="AP29"/>
  <c r="BC29"/>
  <c r="BI29"/>
  <c r="BF59" i="109"/>
  <c r="AV46"/>
  <c r="AV43"/>
  <c r="BI36" s="1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A37"/>
  <c r="V37"/>
  <c r="R37"/>
  <c r="O37"/>
  <c r="Q37" s="1"/>
  <c r="N37"/>
  <c r="L37"/>
  <c r="J37"/>
  <c r="I37"/>
  <c r="DK37" s="1"/>
  <c r="B37"/>
  <c r="DD36"/>
  <c r="DC36"/>
  <c r="DB36"/>
  <c r="DA36"/>
  <c r="CZ36"/>
  <c r="CY36"/>
  <c r="CX36"/>
  <c r="CW36"/>
  <c r="CV36"/>
  <c r="CU36"/>
  <c r="CT36"/>
  <c r="BC36"/>
  <c r="BA36"/>
  <c r="V36"/>
  <c r="R36"/>
  <c r="S36" s="1"/>
  <c r="O36"/>
  <c r="Q36" s="1"/>
  <c r="N36"/>
  <c r="L36"/>
  <c r="J36"/>
  <c r="I36"/>
  <c r="DK36" s="1"/>
  <c r="B36"/>
  <c r="E36" s="1"/>
  <c r="DD35"/>
  <c r="DC35"/>
  <c r="DB35"/>
  <c r="DA35"/>
  <c r="CZ35"/>
  <c r="CY35"/>
  <c r="CX35"/>
  <c r="CW35"/>
  <c r="CV35"/>
  <c r="CU35"/>
  <c r="CT35"/>
  <c r="BC35"/>
  <c r="BA35"/>
  <c r="V35"/>
  <c r="R35"/>
  <c r="O35"/>
  <c r="Q35" s="1"/>
  <c r="N35"/>
  <c r="L35"/>
  <c r="J35"/>
  <c r="I35"/>
  <c r="DK35" s="1"/>
  <c r="B35"/>
  <c r="DD34"/>
  <c r="DC34"/>
  <c r="DB34"/>
  <c r="DA34"/>
  <c r="CZ34"/>
  <c r="CY34"/>
  <c r="CX34"/>
  <c r="CW34"/>
  <c r="CV34"/>
  <c r="CU34"/>
  <c r="CT34"/>
  <c r="BC34"/>
  <c r="AP34"/>
  <c r="BA34"/>
  <c r="V34"/>
  <c r="R34"/>
  <c r="O34"/>
  <c r="Q34" s="1"/>
  <c r="N34"/>
  <c r="L34"/>
  <c r="J34"/>
  <c r="I34"/>
  <c r="DK34" s="1"/>
  <c r="B34"/>
  <c r="E34" s="1"/>
  <c r="DD33"/>
  <c r="DC33"/>
  <c r="DB33"/>
  <c r="DA33"/>
  <c r="CZ33"/>
  <c r="CY33"/>
  <c r="CX33"/>
  <c r="CW33"/>
  <c r="CV33"/>
  <c r="CU33"/>
  <c r="CT33"/>
  <c r="BC33"/>
  <c r="BA33"/>
  <c r="V33"/>
  <c r="R33"/>
  <c r="O33"/>
  <c r="P33" s="1"/>
  <c r="DE33" s="1"/>
  <c r="N33"/>
  <c r="L33"/>
  <c r="J33"/>
  <c r="I33"/>
  <c r="DK33" s="1"/>
  <c r="B33"/>
  <c r="DD32"/>
  <c r="DC32"/>
  <c r="DB32"/>
  <c r="DA32"/>
  <c r="CZ32"/>
  <c r="CY32"/>
  <c r="CX32"/>
  <c r="CW32"/>
  <c r="CV32"/>
  <c r="CU32"/>
  <c r="CT32"/>
  <c r="BC32"/>
  <c r="BA32"/>
  <c r="V32"/>
  <c r="R32"/>
  <c r="O32"/>
  <c r="Q32" s="1"/>
  <c r="N32"/>
  <c r="L32"/>
  <c r="J32"/>
  <c r="I32"/>
  <c r="DK32" s="1"/>
  <c r="B32"/>
  <c r="E32" s="1"/>
  <c r="DD31"/>
  <c r="DC31"/>
  <c r="DB31"/>
  <c r="DA31"/>
  <c r="CZ31"/>
  <c r="CY31"/>
  <c r="CX31"/>
  <c r="CW31"/>
  <c r="CV31"/>
  <c r="CU31"/>
  <c r="CT31"/>
  <c r="BC31"/>
  <c r="BA31"/>
  <c r="V31"/>
  <c r="R31"/>
  <c r="S31" s="1"/>
  <c r="O31"/>
  <c r="P31" s="1"/>
  <c r="DE31" s="1"/>
  <c r="N31"/>
  <c r="L31"/>
  <c r="J31"/>
  <c r="I31"/>
  <c r="DK31" s="1"/>
  <c r="B31"/>
  <c r="DD30"/>
  <c r="DC30"/>
  <c r="DB30"/>
  <c r="DA30"/>
  <c r="CZ30"/>
  <c r="CY30"/>
  <c r="CX30"/>
  <c r="CW30"/>
  <c r="CV30"/>
  <c r="CU30"/>
  <c r="CT30"/>
  <c r="BI30"/>
  <c r="BC30"/>
  <c r="BA30"/>
  <c r="V30"/>
  <c r="R30"/>
  <c r="S30" s="1"/>
  <c r="O30"/>
  <c r="Q30" s="1"/>
  <c r="N30"/>
  <c r="L30"/>
  <c r="J30"/>
  <c r="I30"/>
  <c r="DK30" s="1"/>
  <c r="B30"/>
  <c r="E30" s="1"/>
  <c r="DD29"/>
  <c r="DC29"/>
  <c r="DB29"/>
  <c r="DA29"/>
  <c r="CZ29"/>
  <c r="CY29"/>
  <c r="CX29"/>
  <c r="CW29"/>
  <c r="CV29"/>
  <c r="CU29"/>
  <c r="CT29"/>
  <c r="BC29"/>
  <c r="BA29"/>
  <c r="V29"/>
  <c r="R29"/>
  <c r="O29"/>
  <c r="P29" s="1"/>
  <c r="DE29" s="1"/>
  <c r="N29"/>
  <c r="L29"/>
  <c r="J29"/>
  <c r="I29"/>
  <c r="DK29" s="1"/>
  <c r="B29"/>
  <c r="DD28"/>
  <c r="DC28"/>
  <c r="DB28"/>
  <c r="DA28"/>
  <c r="CZ28"/>
  <c r="CY28"/>
  <c r="CX28"/>
  <c r="CW28"/>
  <c r="CV28"/>
  <c r="CU28"/>
  <c r="CT28"/>
  <c r="BC28"/>
  <c r="BA28"/>
  <c r="V28"/>
  <c r="R28"/>
  <c r="S28" s="1"/>
  <c r="O28"/>
  <c r="Q28" s="1"/>
  <c r="N28"/>
  <c r="L28"/>
  <c r="J28"/>
  <c r="I28"/>
  <c r="DK28" s="1"/>
  <c r="B28"/>
  <c r="E28" s="1"/>
  <c r="DD27"/>
  <c r="DC27"/>
  <c r="DB27"/>
  <c r="DA27"/>
  <c r="CZ27"/>
  <c r="CY27"/>
  <c r="CX27"/>
  <c r="CW27"/>
  <c r="CV27"/>
  <c r="CU27"/>
  <c r="CT27"/>
  <c r="BC27"/>
  <c r="BA27"/>
  <c r="BK27" s="1"/>
  <c r="AP27"/>
  <c r="AK27"/>
  <c r="V27"/>
  <c r="R27"/>
  <c r="O27"/>
  <c r="P27" s="1"/>
  <c r="DE27" s="1"/>
  <c r="N27"/>
  <c r="M27"/>
  <c r="L27"/>
  <c r="J27"/>
  <c r="I27"/>
  <c r="DK27" s="1"/>
  <c r="H27"/>
  <c r="B27"/>
  <c r="DD26"/>
  <c r="DC26"/>
  <c r="DB26"/>
  <c r="DA26"/>
  <c r="CZ26"/>
  <c r="CY26"/>
  <c r="CX26"/>
  <c r="CW26"/>
  <c r="CV26"/>
  <c r="CU26"/>
  <c r="CT26"/>
  <c r="BI26"/>
  <c r="BC26"/>
  <c r="AZ26"/>
  <c r="AP26"/>
  <c r="AK26"/>
  <c r="AI26"/>
  <c r="V26"/>
  <c r="R26"/>
  <c r="S26" s="1"/>
  <c r="O26"/>
  <c r="P26" s="1"/>
  <c r="DE26" s="1"/>
  <c r="N26"/>
  <c r="M26"/>
  <c r="L26"/>
  <c r="J26"/>
  <c r="I26"/>
  <c r="DK26" s="1"/>
  <c r="H26"/>
  <c r="B26"/>
  <c r="DD25"/>
  <c r="DC25"/>
  <c r="DB25"/>
  <c r="DA25"/>
  <c r="CZ25"/>
  <c r="CY25"/>
  <c r="CX25"/>
  <c r="CW25"/>
  <c r="CV25"/>
  <c r="CU25"/>
  <c r="CT25"/>
  <c r="BC25"/>
  <c r="BA25"/>
  <c r="BD25" s="1"/>
  <c r="BF25" s="1"/>
  <c r="AP25"/>
  <c r="AI25"/>
  <c r="V25"/>
  <c r="R25"/>
  <c r="O25"/>
  <c r="P25" s="1"/>
  <c r="DE25" s="1"/>
  <c r="N25"/>
  <c r="L25"/>
  <c r="J25"/>
  <c r="I25"/>
  <c r="DK25" s="1"/>
  <c r="B25"/>
  <c r="DD24"/>
  <c r="DC24"/>
  <c r="DB24"/>
  <c r="DA24"/>
  <c r="CZ24"/>
  <c r="CY24"/>
  <c r="CX24"/>
  <c r="CW24"/>
  <c r="CV24"/>
  <c r="CU24"/>
  <c r="CT24"/>
  <c r="BC24"/>
  <c r="BF24" s="1"/>
  <c r="BA24"/>
  <c r="AZ24" s="1"/>
  <c r="AP24"/>
  <c r="AI24"/>
  <c r="V24"/>
  <c r="R24"/>
  <c r="O24"/>
  <c r="Q24" s="1"/>
  <c r="N24"/>
  <c r="L24"/>
  <c r="J24"/>
  <c r="I24"/>
  <c r="DK24" s="1"/>
  <c r="B24"/>
  <c r="E24" s="1"/>
  <c r="DD23"/>
  <c r="DC23"/>
  <c r="DB23"/>
  <c r="DA23"/>
  <c r="CZ23"/>
  <c r="CY23"/>
  <c r="CX23"/>
  <c r="CW23"/>
  <c r="CV23"/>
  <c r="CU23"/>
  <c r="CT23"/>
  <c r="BI23"/>
  <c r="BC23"/>
  <c r="BA23"/>
  <c r="BK23" s="1"/>
  <c r="AP23"/>
  <c r="AI23"/>
  <c r="V23"/>
  <c r="R23"/>
  <c r="S23" s="1"/>
  <c r="O23"/>
  <c r="Q23" s="1"/>
  <c r="N23"/>
  <c r="L23"/>
  <c r="J23"/>
  <c r="I23"/>
  <c r="DK23" s="1"/>
  <c r="B23"/>
  <c r="E23" s="1"/>
  <c r="DD22"/>
  <c r="DC22"/>
  <c r="DB22"/>
  <c r="DA22"/>
  <c r="CZ22"/>
  <c r="CY22"/>
  <c r="CX22"/>
  <c r="CW22"/>
  <c r="CV22"/>
  <c r="CU22"/>
  <c r="CT22"/>
  <c r="BC22"/>
  <c r="BA22"/>
  <c r="BK22" s="1"/>
  <c r="AP22"/>
  <c r="AI22"/>
  <c r="V22"/>
  <c r="R22"/>
  <c r="O22"/>
  <c r="Q22" s="1"/>
  <c r="N22"/>
  <c r="L22"/>
  <c r="J22"/>
  <c r="I22"/>
  <c r="B22"/>
  <c r="E22" s="1"/>
  <c r="DD21"/>
  <c r="DC21"/>
  <c r="DB21"/>
  <c r="DA21"/>
  <c r="CZ21"/>
  <c r="CY21"/>
  <c r="CX21"/>
  <c r="CW21"/>
  <c r="CV21"/>
  <c r="CU21"/>
  <c r="CT21"/>
  <c r="BC21"/>
  <c r="BA21"/>
  <c r="BK21" s="1"/>
  <c r="AP21"/>
  <c r="AI21"/>
  <c r="V21"/>
  <c r="R21"/>
  <c r="O21"/>
  <c r="Q21" s="1"/>
  <c r="N21"/>
  <c r="L21"/>
  <c r="J21"/>
  <c r="I21"/>
  <c r="DK21" s="1"/>
  <c r="B21"/>
  <c r="E21" s="1"/>
  <c r="DD20"/>
  <c r="DC20"/>
  <c r="DB20"/>
  <c r="DA20"/>
  <c r="CZ20"/>
  <c r="CY20"/>
  <c r="CX20"/>
  <c r="CW20"/>
  <c r="CV20"/>
  <c r="CU20"/>
  <c r="CT20"/>
  <c r="BC20"/>
  <c r="BA20"/>
  <c r="BK20" s="1"/>
  <c r="AP20"/>
  <c r="AI20"/>
  <c r="V20"/>
  <c r="R20"/>
  <c r="O20"/>
  <c r="Q20" s="1"/>
  <c r="N20"/>
  <c r="L20"/>
  <c r="J20"/>
  <c r="I20"/>
  <c r="DK20" s="1"/>
  <c r="B20"/>
  <c r="E20" s="1"/>
  <c r="DD19"/>
  <c r="DC19"/>
  <c r="DB19"/>
  <c r="DA19"/>
  <c r="CZ19"/>
  <c r="CY19"/>
  <c r="CX19"/>
  <c r="CW19"/>
  <c r="CV19"/>
  <c r="CU19"/>
  <c r="CT19"/>
  <c r="BI19"/>
  <c r="BC19"/>
  <c r="BA19"/>
  <c r="BK19" s="1"/>
  <c r="AP19"/>
  <c r="AI19"/>
  <c r="V19"/>
  <c r="R19"/>
  <c r="O19"/>
  <c r="Q19" s="1"/>
  <c r="N19"/>
  <c r="L19"/>
  <c r="J19"/>
  <c r="I19"/>
  <c r="DK19" s="1"/>
  <c r="B19"/>
  <c r="DD18"/>
  <c r="DC18"/>
  <c r="DB18"/>
  <c r="DA18"/>
  <c r="CZ18"/>
  <c r="CY18"/>
  <c r="CX18"/>
  <c r="CW18"/>
  <c r="CV18"/>
  <c r="CU18"/>
  <c r="CT18"/>
  <c r="BC18"/>
  <c r="BA18"/>
  <c r="BK18" s="1"/>
  <c r="AP18"/>
  <c r="AI18"/>
  <c r="V18"/>
  <c r="R18"/>
  <c r="O18"/>
  <c r="Q18" s="1"/>
  <c r="N18"/>
  <c r="L18"/>
  <c r="J18"/>
  <c r="I18"/>
  <c r="DK18" s="1"/>
  <c r="B18"/>
  <c r="DD17"/>
  <c r="DC17"/>
  <c r="DB17"/>
  <c r="DA17"/>
  <c r="CZ17"/>
  <c r="CY17"/>
  <c r="CX17"/>
  <c r="CW17"/>
  <c r="CV17"/>
  <c r="CU17"/>
  <c r="CT17"/>
  <c r="BC17"/>
  <c r="BA17"/>
  <c r="BK17" s="1"/>
  <c r="AP17"/>
  <c r="AK17"/>
  <c r="V17"/>
  <c r="R17"/>
  <c r="S17" s="1"/>
  <c r="O17"/>
  <c r="Q17" s="1"/>
  <c r="N17"/>
  <c r="L17"/>
  <c r="J17"/>
  <c r="I17"/>
  <c r="DK17" s="1"/>
  <c r="B17"/>
  <c r="C17" s="1"/>
  <c r="DD16"/>
  <c r="DC16"/>
  <c r="DB16"/>
  <c r="DA16"/>
  <c r="CZ16"/>
  <c r="CY16"/>
  <c r="CX16"/>
  <c r="CW16"/>
  <c r="CV16"/>
  <c r="CU16"/>
  <c r="CT16"/>
  <c r="BC16"/>
  <c r="BA16"/>
  <c r="BK16" s="1"/>
  <c r="AP16"/>
  <c r="AK16"/>
  <c r="V16"/>
  <c r="R16"/>
  <c r="O16"/>
  <c r="Q16" s="1"/>
  <c r="N16"/>
  <c r="L16"/>
  <c r="J16"/>
  <c r="I16"/>
  <c r="DK16" s="1"/>
  <c r="B16"/>
  <c r="DD15"/>
  <c r="DC15"/>
  <c r="DB15"/>
  <c r="DA15"/>
  <c r="CZ15"/>
  <c r="CY15"/>
  <c r="CX15"/>
  <c r="CW15"/>
  <c r="CV15"/>
  <c r="CU15"/>
  <c r="CT15"/>
  <c r="BC15"/>
  <c r="BA15"/>
  <c r="BK15" s="1"/>
  <c r="AP15"/>
  <c r="AK15"/>
  <c r="V15"/>
  <c r="R15"/>
  <c r="S15" s="1"/>
  <c r="O15"/>
  <c r="Q15" s="1"/>
  <c r="N15"/>
  <c r="L15"/>
  <c r="J15"/>
  <c r="I15"/>
  <c r="DK15" s="1"/>
  <c r="B15"/>
  <c r="C15" s="1"/>
  <c r="DD14"/>
  <c r="DC14"/>
  <c r="DB14"/>
  <c r="DA14"/>
  <c r="CZ14"/>
  <c r="CY14"/>
  <c r="CX14"/>
  <c r="CW14"/>
  <c r="CV14"/>
  <c r="CU14"/>
  <c r="CT14"/>
  <c r="BI14"/>
  <c r="BC14"/>
  <c r="AP14"/>
  <c r="AO14"/>
  <c r="BA14" s="1"/>
  <c r="V14"/>
  <c r="R14"/>
  <c r="O14"/>
  <c r="Q14" s="1"/>
  <c r="N14"/>
  <c r="L14"/>
  <c r="J14"/>
  <c r="I14"/>
  <c r="DG14" s="1"/>
  <c r="DJ14" s="1"/>
  <c r="B14"/>
  <c r="C14" s="1"/>
  <c r="DD13"/>
  <c r="DC13"/>
  <c r="DB13"/>
  <c r="DA13"/>
  <c r="CZ13"/>
  <c r="CY13"/>
  <c r="CX13"/>
  <c r="CW13"/>
  <c r="CV13"/>
  <c r="CU13"/>
  <c r="CT13"/>
  <c r="BI13"/>
  <c r="BC13"/>
  <c r="AO13"/>
  <c r="BA13" s="1"/>
  <c r="V13"/>
  <c r="R13"/>
  <c r="S13" s="1"/>
  <c r="O13"/>
  <c r="Q13" s="1"/>
  <c r="N13"/>
  <c r="L13"/>
  <c r="J13"/>
  <c r="I13"/>
  <c r="DG13" s="1"/>
  <c r="DJ13" s="1"/>
  <c r="B13"/>
  <c r="C13" s="1"/>
  <c r="DD12"/>
  <c r="DC12"/>
  <c r="DB12"/>
  <c r="DA12"/>
  <c r="CZ12"/>
  <c r="CY12"/>
  <c r="CX12"/>
  <c r="CW12"/>
  <c r="CV12"/>
  <c r="CU12"/>
  <c r="CT12"/>
  <c r="BI12"/>
  <c r="BC12"/>
  <c r="AP12"/>
  <c r="AO12"/>
  <c r="BA12" s="1"/>
  <c r="V12"/>
  <c r="R12"/>
  <c r="S12" s="1"/>
  <c r="O12"/>
  <c r="Q12" s="1"/>
  <c r="N12"/>
  <c r="L12"/>
  <c r="J12"/>
  <c r="I12"/>
  <c r="DG12" s="1"/>
  <c r="DJ12" s="1"/>
  <c r="B12"/>
  <c r="C12" s="1"/>
  <c r="DD11"/>
  <c r="DC11"/>
  <c r="DB11"/>
  <c r="DA11"/>
  <c r="CZ11"/>
  <c r="CY11"/>
  <c r="CX11"/>
  <c r="CW11"/>
  <c r="CV11"/>
  <c r="CU11"/>
  <c r="CT11"/>
  <c r="BI11"/>
  <c r="BC11"/>
  <c r="AO11"/>
  <c r="BA11" s="1"/>
  <c r="V11"/>
  <c r="R11"/>
  <c r="S11" s="1"/>
  <c r="O11"/>
  <c r="Q11" s="1"/>
  <c r="N11"/>
  <c r="L11"/>
  <c r="J11"/>
  <c r="I11"/>
  <c r="DG11" s="1"/>
  <c r="DJ11" s="1"/>
  <c r="B11"/>
  <c r="C11" s="1"/>
  <c r="DD10"/>
  <c r="DC10"/>
  <c r="DB10"/>
  <c r="DA10"/>
  <c r="CZ10"/>
  <c r="CY10"/>
  <c r="CX10"/>
  <c r="CW10"/>
  <c r="CV10"/>
  <c r="CU10"/>
  <c r="CT10"/>
  <c r="BI10"/>
  <c r="BC10"/>
  <c r="AO10"/>
  <c r="BA10" s="1"/>
  <c r="V10"/>
  <c r="R10"/>
  <c r="S10" s="1"/>
  <c r="O10"/>
  <c r="Q10" s="1"/>
  <c r="N10"/>
  <c r="L10"/>
  <c r="J10"/>
  <c r="I10"/>
  <c r="DG10" s="1"/>
  <c r="DJ10" s="1"/>
  <c r="B10"/>
  <c r="C10" s="1"/>
  <c r="DD9"/>
  <c r="DC9"/>
  <c r="DB9"/>
  <c r="DA9"/>
  <c r="CZ9"/>
  <c r="CY9"/>
  <c r="CX9"/>
  <c r="CW9"/>
  <c r="CV9"/>
  <c r="CU9"/>
  <c r="CT9"/>
  <c r="BI9"/>
  <c r="BC9"/>
  <c r="AP9"/>
  <c r="AO9"/>
  <c r="BA9" s="1"/>
  <c r="V9"/>
  <c r="R9"/>
  <c r="O9"/>
  <c r="Q9" s="1"/>
  <c r="N9"/>
  <c r="L9"/>
  <c r="J9"/>
  <c r="I9"/>
  <c r="DG9" s="1"/>
  <c r="DJ9" s="1"/>
  <c r="B9"/>
  <c r="C9" s="1"/>
  <c r="DD8"/>
  <c r="DC8"/>
  <c r="DB8"/>
  <c r="DA8"/>
  <c r="CZ8"/>
  <c r="CY8"/>
  <c r="CX8"/>
  <c r="CW8"/>
  <c r="CV8"/>
  <c r="CU8"/>
  <c r="CT8"/>
  <c r="BI8"/>
  <c r="BC8"/>
  <c r="AP8"/>
  <c r="AO8"/>
  <c r="BA8" s="1"/>
  <c r="V8"/>
  <c r="R8"/>
  <c r="O8"/>
  <c r="Q8" s="1"/>
  <c r="N8"/>
  <c r="L8"/>
  <c r="J8"/>
  <c r="I8"/>
  <c r="DG8" s="1"/>
  <c r="DJ8" s="1"/>
  <c r="B8"/>
  <c r="C8" s="1"/>
  <c r="DD7"/>
  <c r="DC7"/>
  <c r="DB7"/>
  <c r="DA7"/>
  <c r="CZ7"/>
  <c r="CZ38" s="1"/>
  <c r="CY7"/>
  <c r="CY38" s="1"/>
  <c r="CX7"/>
  <c r="CX38" s="1"/>
  <c r="CW7"/>
  <c r="CV7"/>
  <c r="CU7"/>
  <c r="CT7"/>
  <c r="BI7"/>
  <c r="BC7"/>
  <c r="AP7"/>
  <c r="AO7"/>
  <c r="V7"/>
  <c r="R7"/>
  <c r="S7" s="1"/>
  <c r="O7"/>
  <c r="P7" s="1"/>
  <c r="N7"/>
  <c r="L7"/>
  <c r="J7"/>
  <c r="I7"/>
  <c r="B7"/>
  <c r="C7" s="1"/>
  <c r="AV46" i="108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K36"/>
  <c r="DK35"/>
  <c r="DD33"/>
  <c r="DC33"/>
  <c r="DB33"/>
  <c r="DA33"/>
  <c r="CZ33"/>
  <c r="CY33"/>
  <c r="CX33"/>
  <c r="CW33"/>
  <c r="CV33"/>
  <c r="M33" s="1"/>
  <c r="CU33"/>
  <c r="CT33"/>
  <c r="DE33"/>
  <c r="DK33"/>
  <c r="DK32"/>
  <c r="DK31"/>
  <c r="DK30"/>
  <c r="DK29"/>
  <c r="DK28"/>
  <c r="DK27"/>
  <c r="DK26"/>
  <c r="DK22"/>
  <c r="DD21"/>
  <c r="DC21"/>
  <c r="DB21"/>
  <c r="DA21"/>
  <c r="CZ21"/>
  <c r="CY21"/>
  <c r="CX21"/>
  <c r="CW21"/>
  <c r="DK21"/>
  <c r="DK20"/>
  <c r="DK19"/>
  <c r="DK14"/>
  <c r="DK13"/>
  <c r="DK12"/>
  <c r="DC38"/>
  <c r="DA38"/>
  <c r="CY38"/>
  <c r="CW38"/>
  <c r="CU38"/>
  <c r="V38"/>
  <c r="V39" s="1"/>
  <c r="DD23" i="107"/>
  <c r="DC23"/>
  <c r="DB23"/>
  <c r="DA23"/>
  <c r="CZ23"/>
  <c r="CY23"/>
  <c r="CX23"/>
  <c r="CW23"/>
  <c r="CV23"/>
  <c r="CU23"/>
  <c r="CT23"/>
  <c r="BI23"/>
  <c r="BC23"/>
  <c r="BA23"/>
  <c r="V23"/>
  <c r="R23"/>
  <c r="O23"/>
  <c r="Q23" s="1"/>
  <c r="N23"/>
  <c r="L23"/>
  <c r="J23"/>
  <c r="I23"/>
  <c r="DK23" s="1"/>
  <c r="B23"/>
  <c r="DD22"/>
  <c r="DC22"/>
  <c r="DB22"/>
  <c r="DA22"/>
  <c r="CZ22"/>
  <c r="CY22"/>
  <c r="CX22"/>
  <c r="CW22"/>
  <c r="CV22"/>
  <c r="CU22"/>
  <c r="CT22"/>
  <c r="BI22"/>
  <c r="BC22"/>
  <c r="BA22"/>
  <c r="V22"/>
  <c r="R22"/>
  <c r="O22"/>
  <c r="Q22" s="1"/>
  <c r="N22"/>
  <c r="L22"/>
  <c r="J22"/>
  <c r="I22"/>
  <c r="DK22" s="1"/>
  <c r="B22"/>
  <c r="BI21"/>
  <c r="BC21"/>
  <c r="BA21"/>
  <c r="V21"/>
  <c r="R21"/>
  <c r="O21"/>
  <c r="Q21" s="1"/>
  <c r="N21"/>
  <c r="L21"/>
  <c r="J21"/>
  <c r="I21"/>
  <c r="DK21" s="1"/>
  <c r="B21"/>
  <c r="DD20"/>
  <c r="DC20"/>
  <c r="DB20"/>
  <c r="DA20"/>
  <c r="CZ20"/>
  <c r="CY20"/>
  <c r="CX20"/>
  <c r="CW20"/>
  <c r="CV20"/>
  <c r="CU20"/>
  <c r="CT20"/>
  <c r="BI20"/>
  <c r="BC20"/>
  <c r="BA20"/>
  <c r="V20"/>
  <c r="R20"/>
  <c r="S20" s="1"/>
  <c r="O20"/>
  <c r="Q20" s="1"/>
  <c r="N20"/>
  <c r="L20"/>
  <c r="J20"/>
  <c r="I20"/>
  <c r="DK20" s="1"/>
  <c r="B20"/>
  <c r="E20" s="1"/>
  <c r="B19"/>
  <c r="C19" s="1"/>
  <c r="D19" s="1"/>
  <c r="I19"/>
  <c r="DG19" s="1"/>
  <c r="DJ19" s="1"/>
  <c r="J19"/>
  <c r="L19"/>
  <c r="N19"/>
  <c r="O19"/>
  <c r="P19" s="1"/>
  <c r="DE19" s="1"/>
  <c r="R19"/>
  <c r="S19" s="1"/>
  <c r="T19" s="1"/>
  <c r="V19"/>
  <c r="AP19"/>
  <c r="BA19"/>
  <c r="H19" s="1"/>
  <c r="BC19"/>
  <c r="BH19"/>
  <c r="BI19"/>
  <c r="BJ19" s="1"/>
  <c r="BK19"/>
  <c r="CT19"/>
  <c r="CU19"/>
  <c r="CV19"/>
  <c r="CW19"/>
  <c r="CX19"/>
  <c r="CY19"/>
  <c r="CZ19"/>
  <c r="DA19"/>
  <c r="DB19"/>
  <c r="DC19"/>
  <c r="DD19"/>
  <c r="DK19"/>
  <c r="B18"/>
  <c r="C18" s="1"/>
  <c r="D18" s="1"/>
  <c r="I18"/>
  <c r="DG18" s="1"/>
  <c r="DJ18" s="1"/>
  <c r="J18"/>
  <c r="L18"/>
  <c r="N18"/>
  <c r="O18"/>
  <c r="P18" s="1"/>
  <c r="DE18" s="1"/>
  <c r="R18"/>
  <c r="S18" s="1"/>
  <c r="T18" s="1"/>
  <c r="V18"/>
  <c r="AP18"/>
  <c r="BA18"/>
  <c r="H18" s="1"/>
  <c r="BC18"/>
  <c r="BD18"/>
  <c r="BF18"/>
  <c r="BH18"/>
  <c r="BI18"/>
  <c r="BJ18" s="1"/>
  <c r="BK18"/>
  <c r="CT18"/>
  <c r="CU18"/>
  <c r="CV18"/>
  <c r="CW18"/>
  <c r="CX18"/>
  <c r="CY18"/>
  <c r="CZ18"/>
  <c r="DA18"/>
  <c r="DB18"/>
  <c r="DC18"/>
  <c r="DD18"/>
  <c r="DK18"/>
  <c r="AP17"/>
  <c r="DD17"/>
  <c r="DC17"/>
  <c r="DB17"/>
  <c r="DA17"/>
  <c r="CZ17"/>
  <c r="CY17"/>
  <c r="CX17"/>
  <c r="CW17"/>
  <c r="CV17"/>
  <c r="CU17"/>
  <c r="CT17"/>
  <c r="BI17"/>
  <c r="BC17"/>
  <c r="BA17"/>
  <c r="V17"/>
  <c r="R17"/>
  <c r="S17" s="1"/>
  <c r="O17"/>
  <c r="P17" s="1"/>
  <c r="DE17" s="1"/>
  <c r="N17"/>
  <c r="L17"/>
  <c r="J17"/>
  <c r="I17"/>
  <c r="DK17" s="1"/>
  <c r="B17"/>
  <c r="C17" s="1"/>
  <c r="DD16"/>
  <c r="DC16"/>
  <c r="DB16"/>
  <c r="DA16"/>
  <c r="CZ16"/>
  <c r="CY16"/>
  <c r="CX16"/>
  <c r="CW16"/>
  <c r="CV16"/>
  <c r="CU16"/>
  <c r="CT16"/>
  <c r="BI16"/>
  <c r="BC16"/>
  <c r="AP16"/>
  <c r="BA16"/>
  <c r="V16"/>
  <c r="R16"/>
  <c r="S16" s="1"/>
  <c r="O16"/>
  <c r="Q16" s="1"/>
  <c r="N16"/>
  <c r="L16"/>
  <c r="J16"/>
  <c r="I16"/>
  <c r="DK16" s="1"/>
  <c r="B16"/>
  <c r="C16" s="1"/>
  <c r="DD15"/>
  <c r="DC15"/>
  <c r="DB15"/>
  <c r="DA15"/>
  <c r="CZ15"/>
  <c r="CY15"/>
  <c r="CX15"/>
  <c r="CW15"/>
  <c r="CV15"/>
  <c r="CU15"/>
  <c r="CT15"/>
  <c r="BI15"/>
  <c r="BC15"/>
  <c r="BA15"/>
  <c r="BK15" s="1"/>
  <c r="AP15"/>
  <c r="AK15"/>
  <c r="AI15"/>
  <c r="V15"/>
  <c r="R15"/>
  <c r="O15"/>
  <c r="Q15" s="1"/>
  <c r="N15"/>
  <c r="M15"/>
  <c r="L15"/>
  <c r="J15"/>
  <c r="I15"/>
  <c r="DG15" s="1"/>
  <c r="DJ15" s="1"/>
  <c r="H15"/>
  <c r="B15"/>
  <c r="DD14"/>
  <c r="DC14"/>
  <c r="DB14"/>
  <c r="DA14"/>
  <c r="CZ14"/>
  <c r="CY14"/>
  <c r="CX14"/>
  <c r="CW14"/>
  <c r="CV14"/>
  <c r="CU14"/>
  <c r="CT14"/>
  <c r="BI14"/>
  <c r="BC14"/>
  <c r="AP14"/>
  <c r="BA14"/>
  <c r="V14"/>
  <c r="R14"/>
  <c r="S14" s="1"/>
  <c r="O14"/>
  <c r="Q14" s="1"/>
  <c r="N14"/>
  <c r="L14"/>
  <c r="J14"/>
  <c r="I14"/>
  <c r="DK14" s="1"/>
  <c r="B14"/>
  <c r="C14" s="1"/>
  <c r="DD13"/>
  <c r="DC13"/>
  <c r="DB13"/>
  <c r="DA13"/>
  <c r="CZ13"/>
  <c r="CY13"/>
  <c r="CX13"/>
  <c r="CW13"/>
  <c r="CV13"/>
  <c r="CU13"/>
  <c r="CT13"/>
  <c r="BI13"/>
  <c r="BC13"/>
  <c r="AP13"/>
  <c r="BA13"/>
  <c r="V13"/>
  <c r="R13"/>
  <c r="S13" s="1"/>
  <c r="O13"/>
  <c r="Q13" s="1"/>
  <c r="N13"/>
  <c r="L13"/>
  <c r="J13"/>
  <c r="I13"/>
  <c r="DG13" s="1"/>
  <c r="DJ13" s="1"/>
  <c r="B13"/>
  <c r="C13" s="1"/>
  <c r="B12"/>
  <c r="C12" s="1"/>
  <c r="D12" s="1"/>
  <c r="I12"/>
  <c r="DK12" s="1"/>
  <c r="J12"/>
  <c r="L12"/>
  <c r="N12"/>
  <c r="O12"/>
  <c r="P12" s="1"/>
  <c r="DE12" s="1"/>
  <c r="R12"/>
  <c r="S12" s="1"/>
  <c r="T12" s="1"/>
  <c r="V12"/>
  <c r="AP12"/>
  <c r="BA12"/>
  <c r="H12" s="1"/>
  <c r="BC12"/>
  <c r="BD12"/>
  <c r="BF12"/>
  <c r="BH12"/>
  <c r="BI12"/>
  <c r="BJ12" s="1"/>
  <c r="BK12"/>
  <c r="CT12"/>
  <c r="CU12"/>
  <c r="CV12"/>
  <c r="CW12"/>
  <c r="CX12"/>
  <c r="CY12"/>
  <c r="CZ12"/>
  <c r="DA12"/>
  <c r="DB12"/>
  <c r="DC12"/>
  <c r="DD12"/>
  <c r="B11"/>
  <c r="C11" s="1"/>
  <c r="D11" s="1"/>
  <c r="I11"/>
  <c r="DK11" s="1"/>
  <c r="J11"/>
  <c r="L11"/>
  <c r="N11"/>
  <c r="O11"/>
  <c r="P11" s="1"/>
  <c r="DE11" s="1"/>
  <c r="R11"/>
  <c r="S11" s="1"/>
  <c r="T11" s="1"/>
  <c r="V11"/>
  <c r="AP11"/>
  <c r="BA11"/>
  <c r="H11" s="1"/>
  <c r="BC11"/>
  <c r="BD11"/>
  <c r="BF11"/>
  <c r="BH11"/>
  <c r="BI11"/>
  <c r="BJ11" s="1"/>
  <c r="BK11"/>
  <c r="CT11"/>
  <c r="CU11"/>
  <c r="CV11"/>
  <c r="CW11"/>
  <c r="CX11"/>
  <c r="CY11"/>
  <c r="CZ11"/>
  <c r="DA11"/>
  <c r="DB11"/>
  <c r="DC11"/>
  <c r="DD11"/>
  <c r="DG11"/>
  <c r="DJ11" s="1"/>
  <c r="DD10"/>
  <c r="DC10"/>
  <c r="DB10"/>
  <c r="DA10"/>
  <c r="CZ10"/>
  <c r="CY10"/>
  <c r="CX10"/>
  <c r="CW10"/>
  <c r="CV10"/>
  <c r="CU10"/>
  <c r="CT10"/>
  <c r="BI10"/>
  <c r="BC10"/>
  <c r="AP10"/>
  <c r="BA10"/>
  <c r="V10"/>
  <c r="R10"/>
  <c r="S10" s="1"/>
  <c r="O10"/>
  <c r="Q10" s="1"/>
  <c r="N10"/>
  <c r="L10"/>
  <c r="J10"/>
  <c r="I10"/>
  <c r="DK10" s="1"/>
  <c r="B10"/>
  <c r="C10" s="1"/>
  <c r="B9"/>
  <c r="C9" s="1"/>
  <c r="D9" s="1"/>
  <c r="I9"/>
  <c r="DK9" s="1"/>
  <c r="J9"/>
  <c r="L9"/>
  <c r="N9"/>
  <c r="O9"/>
  <c r="P9" s="1"/>
  <c r="DE9" s="1"/>
  <c r="R9"/>
  <c r="S9" s="1"/>
  <c r="T9" s="1"/>
  <c r="V9"/>
  <c r="AP9"/>
  <c r="BA9"/>
  <c r="H9" s="1"/>
  <c r="BC9"/>
  <c r="BD9"/>
  <c r="BF9"/>
  <c r="BH9"/>
  <c r="BI9"/>
  <c r="BJ9" s="1"/>
  <c r="BK9"/>
  <c r="CT9"/>
  <c r="CU9"/>
  <c r="CV9"/>
  <c r="CW9"/>
  <c r="CX9"/>
  <c r="CY9"/>
  <c r="CZ9"/>
  <c r="DA9"/>
  <c r="DB9"/>
  <c r="DC9"/>
  <c r="DD9"/>
  <c r="DG9"/>
  <c r="DJ9" s="1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B37"/>
  <c r="AO37"/>
  <c r="BA37" s="1"/>
  <c r="V37"/>
  <c r="R37"/>
  <c r="O37"/>
  <c r="Q37" s="1"/>
  <c r="N37"/>
  <c r="L37"/>
  <c r="J37"/>
  <c r="I37"/>
  <c r="DK37" s="1"/>
  <c r="B37"/>
  <c r="DD36"/>
  <c r="DC36"/>
  <c r="DB36"/>
  <c r="DA36"/>
  <c r="CZ36"/>
  <c r="H36" s="1"/>
  <c r="CY36"/>
  <c r="CX36"/>
  <c r="CW36"/>
  <c r="CV36"/>
  <c r="M36" s="1"/>
  <c r="CU36"/>
  <c r="CT36"/>
  <c r="DD35"/>
  <c r="DC35"/>
  <c r="DB35"/>
  <c r="DA35"/>
  <c r="CZ35"/>
  <c r="CY35"/>
  <c r="CX35"/>
  <c r="CW35"/>
  <c r="CV35"/>
  <c r="CU35"/>
  <c r="CT35"/>
  <c r="DD34"/>
  <c r="DC34"/>
  <c r="DB34"/>
  <c r="DA34"/>
  <c r="CZ34"/>
  <c r="CY34"/>
  <c r="CX34"/>
  <c r="CW34"/>
  <c r="CV34"/>
  <c r="CU34"/>
  <c r="CT34"/>
  <c r="DD33"/>
  <c r="DC33"/>
  <c r="DB33"/>
  <c r="DA33"/>
  <c r="CZ33"/>
  <c r="CY33"/>
  <c r="CX33"/>
  <c r="CW33"/>
  <c r="CV33"/>
  <c r="CU33"/>
  <c r="CT33"/>
  <c r="DD32"/>
  <c r="DC32"/>
  <c r="DB32"/>
  <c r="DA32"/>
  <c r="CZ32"/>
  <c r="CY32"/>
  <c r="CX32"/>
  <c r="CW32"/>
  <c r="CV32"/>
  <c r="CU32"/>
  <c r="CT32"/>
  <c r="DD31"/>
  <c r="DC31"/>
  <c r="DB31"/>
  <c r="DA31"/>
  <c r="CZ31"/>
  <c r="CY31"/>
  <c r="CX31"/>
  <c r="CW31"/>
  <c r="CV31"/>
  <c r="CU31"/>
  <c r="CT31"/>
  <c r="DD30"/>
  <c r="DC30"/>
  <c r="DB30"/>
  <c r="DA30"/>
  <c r="CZ30"/>
  <c r="CY30"/>
  <c r="CX30"/>
  <c r="CW30"/>
  <c r="CV30"/>
  <c r="CU30"/>
  <c r="CT30"/>
  <c r="DD29"/>
  <c r="DC29"/>
  <c r="DB29"/>
  <c r="DA29"/>
  <c r="CZ29"/>
  <c r="CY29"/>
  <c r="CX29"/>
  <c r="CW29"/>
  <c r="CV29"/>
  <c r="CU29"/>
  <c r="CT29"/>
  <c r="DD28"/>
  <c r="DC28"/>
  <c r="DB28"/>
  <c r="DA28"/>
  <c r="CZ28"/>
  <c r="CY28"/>
  <c r="CX28"/>
  <c r="CW28"/>
  <c r="CV28"/>
  <c r="CU28"/>
  <c r="CT28"/>
  <c r="DD27"/>
  <c r="DC27"/>
  <c r="DB27"/>
  <c r="DA27"/>
  <c r="CZ27"/>
  <c r="CY27"/>
  <c r="CX27"/>
  <c r="CW27"/>
  <c r="CV27"/>
  <c r="CU27"/>
  <c r="CT27"/>
  <c r="DD26"/>
  <c r="DC26"/>
  <c r="DB26"/>
  <c r="DA26"/>
  <c r="CZ26"/>
  <c r="CY26"/>
  <c r="CX26"/>
  <c r="CW26"/>
  <c r="CV26"/>
  <c r="CU26"/>
  <c r="CT26"/>
  <c r="DD25"/>
  <c r="DC25"/>
  <c r="DB25"/>
  <c r="DA25"/>
  <c r="CZ25"/>
  <c r="CY25"/>
  <c r="CX25"/>
  <c r="CW25"/>
  <c r="CV25"/>
  <c r="CU25"/>
  <c r="CT25"/>
  <c r="DD24"/>
  <c r="DC24"/>
  <c r="DB24"/>
  <c r="DA24"/>
  <c r="CZ24"/>
  <c r="CY24"/>
  <c r="CX24"/>
  <c r="CW24"/>
  <c r="CV24"/>
  <c r="CU24"/>
  <c r="CT24"/>
  <c r="DD21"/>
  <c r="DC21"/>
  <c r="DB21"/>
  <c r="DA21"/>
  <c r="CZ21"/>
  <c r="CY21"/>
  <c r="CX21"/>
  <c r="CW21"/>
  <c r="CV21"/>
  <c r="CU21"/>
  <c r="CT21"/>
  <c r="DD8"/>
  <c r="DC8"/>
  <c r="DB8"/>
  <c r="DA8"/>
  <c r="CZ8"/>
  <c r="CY8"/>
  <c r="CX8"/>
  <c r="CW8"/>
  <c r="CV8"/>
  <c r="CU8"/>
  <c r="CT8"/>
  <c r="BI8"/>
  <c r="BC8"/>
  <c r="AP8"/>
  <c r="BA8"/>
  <c r="V8"/>
  <c r="R8"/>
  <c r="S8" s="1"/>
  <c r="O8"/>
  <c r="Q8" s="1"/>
  <c r="N8"/>
  <c r="L8"/>
  <c r="J8"/>
  <c r="I8"/>
  <c r="DG8" s="1"/>
  <c r="DJ8" s="1"/>
  <c r="B8"/>
  <c r="C8" s="1"/>
  <c r="DD7"/>
  <c r="DC7"/>
  <c r="DB7"/>
  <c r="DA7"/>
  <c r="CZ7"/>
  <c r="CY7"/>
  <c r="CX7"/>
  <c r="CW7"/>
  <c r="CV7"/>
  <c r="CU7"/>
  <c r="CT7"/>
  <c r="BI7"/>
  <c r="BC7"/>
  <c r="BC38" s="1"/>
  <c r="BC39" s="1"/>
  <c r="AP7"/>
  <c r="AO38"/>
  <c r="V7"/>
  <c r="R7"/>
  <c r="S7" s="1"/>
  <c r="O7"/>
  <c r="P7" s="1"/>
  <c r="N7"/>
  <c r="L7"/>
  <c r="J7"/>
  <c r="I7"/>
  <c r="B7"/>
  <c r="I37" i="106"/>
  <c r="DK37" s="1"/>
  <c r="J37"/>
  <c r="N37"/>
  <c r="O37"/>
  <c r="P37" s="1"/>
  <c r="DE37" s="1"/>
  <c r="V37"/>
  <c r="S37" s="1"/>
  <c r="T37" s="1"/>
  <c r="AP37"/>
  <c r="BA37"/>
  <c r="H37" s="1"/>
  <c r="BC37"/>
  <c r="BD37"/>
  <c r="BF37"/>
  <c r="BH37"/>
  <c r="BI37"/>
  <c r="BJ37" s="1"/>
  <c r="BK37"/>
  <c r="CT37"/>
  <c r="CU37"/>
  <c r="CW37"/>
  <c r="CX37"/>
  <c r="CY37"/>
  <c r="CZ37"/>
  <c r="DA37"/>
  <c r="DB37"/>
  <c r="DC37"/>
  <c r="DD37"/>
  <c r="DN37"/>
  <c r="DR37"/>
  <c r="BO37" s="1"/>
  <c r="I36"/>
  <c r="DG36" s="1"/>
  <c r="DJ36" s="1"/>
  <c r="J36"/>
  <c r="N36"/>
  <c r="O36"/>
  <c r="P36" s="1"/>
  <c r="DE36" s="1"/>
  <c r="V36"/>
  <c r="S36" s="1"/>
  <c r="T36" s="1"/>
  <c r="AO36"/>
  <c r="AP36"/>
  <c r="BA36"/>
  <c r="H36" s="1"/>
  <c r="BC36"/>
  <c r="BH36"/>
  <c r="BI36"/>
  <c r="BJ36" s="1"/>
  <c r="BK36"/>
  <c r="CT36"/>
  <c r="CU36"/>
  <c r="CW36"/>
  <c r="CX36"/>
  <c r="CY36"/>
  <c r="CZ36"/>
  <c r="DA36"/>
  <c r="DB36"/>
  <c r="DC36"/>
  <c r="DD36"/>
  <c r="DN36"/>
  <c r="DR36"/>
  <c r="BO36" s="1"/>
  <c r="I35"/>
  <c r="DG35" s="1"/>
  <c r="DJ35" s="1"/>
  <c r="J35"/>
  <c r="N35"/>
  <c r="O35"/>
  <c r="P35" s="1"/>
  <c r="DE35" s="1"/>
  <c r="V35"/>
  <c r="S35" s="1"/>
  <c r="T35" s="1"/>
  <c r="AO35"/>
  <c r="AP35"/>
  <c r="BA35"/>
  <c r="H35" s="1"/>
  <c r="BC35"/>
  <c r="BH35"/>
  <c r="BI35"/>
  <c r="BJ35" s="1"/>
  <c r="BK35"/>
  <c r="CT35"/>
  <c r="CU35"/>
  <c r="CW35"/>
  <c r="CX35"/>
  <c r="CY35"/>
  <c r="CZ35"/>
  <c r="DA35"/>
  <c r="DB35"/>
  <c r="DC35"/>
  <c r="DD35"/>
  <c r="DN35"/>
  <c r="DR35"/>
  <c r="BO35" s="1"/>
  <c r="I34"/>
  <c r="DG34" s="1"/>
  <c r="DJ34" s="1"/>
  <c r="J34"/>
  <c r="N34"/>
  <c r="O34"/>
  <c r="P34" s="1"/>
  <c r="DE34" s="1"/>
  <c r="V34"/>
  <c r="S34" s="1"/>
  <c r="T34" s="1"/>
  <c r="AO34"/>
  <c r="AP34"/>
  <c r="BA34"/>
  <c r="H34" s="1"/>
  <c r="BC34"/>
  <c r="BH34"/>
  <c r="BI34"/>
  <c r="BJ34" s="1"/>
  <c r="BK34"/>
  <c r="CT34"/>
  <c r="CU34"/>
  <c r="CW34"/>
  <c r="CX34"/>
  <c r="CY34"/>
  <c r="CZ34"/>
  <c r="DA34"/>
  <c r="DB34"/>
  <c r="DC34"/>
  <c r="DD34"/>
  <c r="DN34"/>
  <c r="DR34"/>
  <c r="BO34" s="1"/>
  <c r="I32"/>
  <c r="DK32" s="1"/>
  <c r="J32"/>
  <c r="N32"/>
  <c r="O32"/>
  <c r="P32" s="1"/>
  <c r="DE32" s="1"/>
  <c r="V32"/>
  <c r="S32" s="1"/>
  <c r="T32" s="1"/>
  <c r="AO32"/>
  <c r="AP32"/>
  <c r="BA32"/>
  <c r="H32" s="1"/>
  <c r="BB32"/>
  <c r="BC32"/>
  <c r="BD32"/>
  <c r="BF32"/>
  <c r="BH32"/>
  <c r="BI32"/>
  <c r="BJ32" s="1"/>
  <c r="BL32"/>
  <c r="CT32"/>
  <c r="CU32"/>
  <c r="CW32"/>
  <c r="CX32"/>
  <c r="CY32"/>
  <c r="CZ32"/>
  <c r="DA32"/>
  <c r="DB32"/>
  <c r="DC32"/>
  <c r="DD32"/>
  <c r="DN32"/>
  <c r="DR32"/>
  <c r="BO32" s="1"/>
  <c r="I33"/>
  <c r="DG33" s="1"/>
  <c r="DJ33" s="1"/>
  <c r="J33"/>
  <c r="N33"/>
  <c r="O33"/>
  <c r="P33" s="1"/>
  <c r="DE33" s="1"/>
  <c r="V33"/>
  <c r="S33" s="1"/>
  <c r="T33" s="1"/>
  <c r="AO33"/>
  <c r="AP33" s="1"/>
  <c r="BC33"/>
  <c r="BI33"/>
  <c r="BJ33" s="1"/>
  <c r="CT33"/>
  <c r="CU33"/>
  <c r="CW33"/>
  <c r="CX33"/>
  <c r="CY33"/>
  <c r="CZ33"/>
  <c r="DA33"/>
  <c r="DB33"/>
  <c r="DC33"/>
  <c r="DD33"/>
  <c r="DN33"/>
  <c r="DR33"/>
  <c r="BO33" s="1"/>
  <c r="I31"/>
  <c r="DG31" s="1"/>
  <c r="DJ31" s="1"/>
  <c r="J31"/>
  <c r="N31"/>
  <c r="O31"/>
  <c r="P31" s="1"/>
  <c r="DE31" s="1"/>
  <c r="V31"/>
  <c r="S31" s="1"/>
  <c r="T31" s="1"/>
  <c r="AO31"/>
  <c r="AP31"/>
  <c r="BA31"/>
  <c r="H31" s="1"/>
  <c r="BC31"/>
  <c r="BH31"/>
  <c r="BI31"/>
  <c r="BJ31" s="1"/>
  <c r="BK31"/>
  <c r="CT31"/>
  <c r="CU31"/>
  <c r="CW31"/>
  <c r="CX31"/>
  <c r="CY31"/>
  <c r="CZ31"/>
  <c r="DA31"/>
  <c r="DB31"/>
  <c r="DC31"/>
  <c r="DD31"/>
  <c r="DN31"/>
  <c r="DR31"/>
  <c r="BO31" s="1"/>
  <c r="I30"/>
  <c r="DG30" s="1"/>
  <c r="DJ30" s="1"/>
  <c r="J30"/>
  <c r="N30"/>
  <c r="O30"/>
  <c r="P30" s="1"/>
  <c r="DE30" s="1"/>
  <c r="V30"/>
  <c r="S30" s="1"/>
  <c r="T30" s="1"/>
  <c r="AO30"/>
  <c r="AP30"/>
  <c r="BA30"/>
  <c r="H30" s="1"/>
  <c r="BC30"/>
  <c r="BH30"/>
  <c r="BI30"/>
  <c r="BJ30" s="1"/>
  <c r="BK30"/>
  <c r="CT30"/>
  <c r="CU30"/>
  <c r="CW30"/>
  <c r="CX30"/>
  <c r="CY30"/>
  <c r="CZ30"/>
  <c r="DA30"/>
  <c r="DB30"/>
  <c r="DC30"/>
  <c r="DD30"/>
  <c r="DN30"/>
  <c r="DP30"/>
  <c r="DR30"/>
  <c r="BO30" s="1"/>
  <c r="I29"/>
  <c r="DK29" s="1"/>
  <c r="J29"/>
  <c r="N29"/>
  <c r="O29"/>
  <c r="P29" s="1"/>
  <c r="DE29" s="1"/>
  <c r="V29"/>
  <c r="S29" s="1"/>
  <c r="T29" s="1"/>
  <c r="AO29"/>
  <c r="AP29"/>
  <c r="BA29"/>
  <c r="BC29"/>
  <c r="BH29"/>
  <c r="BI29"/>
  <c r="BJ29" s="1"/>
  <c r="BK29"/>
  <c r="CT29"/>
  <c r="CU29"/>
  <c r="CX29"/>
  <c r="CY29"/>
  <c r="CZ29"/>
  <c r="DA29"/>
  <c r="DB29"/>
  <c r="DC29"/>
  <c r="DD29"/>
  <c r="DN29"/>
  <c r="DP29"/>
  <c r="BP29" s="1"/>
  <c r="CW29" s="1"/>
  <c r="DR29"/>
  <c r="BO29" s="1"/>
  <c r="I28"/>
  <c r="DG28" s="1"/>
  <c r="DJ28" s="1"/>
  <c r="J28"/>
  <c r="N28"/>
  <c r="O28"/>
  <c r="P28" s="1"/>
  <c r="DE28" s="1"/>
  <c r="V28"/>
  <c r="S28" s="1"/>
  <c r="T28" s="1"/>
  <c r="AO28"/>
  <c r="AP28"/>
  <c r="BA28"/>
  <c r="H28" s="1"/>
  <c r="BC28"/>
  <c r="BH28"/>
  <c r="BI28"/>
  <c r="BJ28" s="1"/>
  <c r="BK28"/>
  <c r="CT28"/>
  <c r="CU28"/>
  <c r="CW28"/>
  <c r="CX28"/>
  <c r="CY28"/>
  <c r="CZ28"/>
  <c r="DA28"/>
  <c r="DB28"/>
  <c r="DC28"/>
  <c r="DD28"/>
  <c r="DN28"/>
  <c r="DP28"/>
  <c r="DR28"/>
  <c r="BO28" s="1"/>
  <c r="I27"/>
  <c r="DG27" s="1"/>
  <c r="DJ27" s="1"/>
  <c r="J27"/>
  <c r="N27"/>
  <c r="O27"/>
  <c r="P27" s="1"/>
  <c r="DE27" s="1"/>
  <c r="V27"/>
  <c r="S27" s="1"/>
  <c r="T27" s="1"/>
  <c r="AO27"/>
  <c r="AP27"/>
  <c r="BA27"/>
  <c r="BC27"/>
  <c r="BH27"/>
  <c r="BI27"/>
  <c r="BJ27" s="1"/>
  <c r="BK27"/>
  <c r="CT27"/>
  <c r="CU27"/>
  <c r="CX27"/>
  <c r="CY27"/>
  <c r="CZ27"/>
  <c r="DA27"/>
  <c r="DB27"/>
  <c r="DC27"/>
  <c r="DD27"/>
  <c r="DN27"/>
  <c r="DP27"/>
  <c r="BP27" s="1"/>
  <c r="CW27" s="1"/>
  <c r="DR27"/>
  <c r="BO27" s="1"/>
  <c r="I26"/>
  <c r="DK26" s="1"/>
  <c r="J26"/>
  <c r="N26"/>
  <c r="O26"/>
  <c r="P26" s="1"/>
  <c r="DE26" s="1"/>
  <c r="V26"/>
  <c r="S26" s="1"/>
  <c r="T26" s="1"/>
  <c r="AO26"/>
  <c r="AP26"/>
  <c r="BA26"/>
  <c r="BC26"/>
  <c r="BH26"/>
  <c r="BI26"/>
  <c r="BJ26" s="1"/>
  <c r="BK26"/>
  <c r="CT26"/>
  <c r="CU26"/>
  <c r="CX26"/>
  <c r="CY26"/>
  <c r="CZ26"/>
  <c r="DA26"/>
  <c r="DB26"/>
  <c r="DC26"/>
  <c r="DD26"/>
  <c r="DN26"/>
  <c r="DP26"/>
  <c r="BP26" s="1"/>
  <c r="CW26" s="1"/>
  <c r="DR26"/>
  <c r="BO26" s="1"/>
  <c r="I25"/>
  <c r="DK25" s="1"/>
  <c r="J25"/>
  <c r="N25"/>
  <c r="O25"/>
  <c r="P25" s="1"/>
  <c r="DE25" s="1"/>
  <c r="V25"/>
  <c r="S25" s="1"/>
  <c r="T25" s="1"/>
  <c r="AP25"/>
  <c r="BA25"/>
  <c r="BC25"/>
  <c r="BD25"/>
  <c r="BF25"/>
  <c r="BH25"/>
  <c r="BI25"/>
  <c r="BJ25" s="1"/>
  <c r="BK25"/>
  <c r="CT25"/>
  <c r="CU25"/>
  <c r="CX25"/>
  <c r="CY25"/>
  <c r="CZ25"/>
  <c r="DA25"/>
  <c r="DB25"/>
  <c r="DC25"/>
  <c r="DD25"/>
  <c r="DG25"/>
  <c r="DJ25" s="1"/>
  <c r="DN25"/>
  <c r="DP25"/>
  <c r="BP25" s="1"/>
  <c r="CW25" s="1"/>
  <c r="DR25"/>
  <c r="BO25" s="1"/>
  <c r="I24"/>
  <c r="DG24" s="1"/>
  <c r="DJ24" s="1"/>
  <c r="J24"/>
  <c r="N24"/>
  <c r="O24"/>
  <c r="P24" s="1"/>
  <c r="DE24" s="1"/>
  <c r="V24"/>
  <c r="S24" s="1"/>
  <c r="T24" s="1"/>
  <c r="AO24"/>
  <c r="AP24"/>
  <c r="BA24"/>
  <c r="BC24"/>
  <c r="BF24"/>
  <c r="BI24"/>
  <c r="BJ24" s="1"/>
  <c r="BK24"/>
  <c r="BO24"/>
  <c r="B24" s="1"/>
  <c r="CT24"/>
  <c r="CU24"/>
  <c r="CV24"/>
  <c r="CX24"/>
  <c r="CY24"/>
  <c r="CZ24"/>
  <c r="DA24"/>
  <c r="DB24"/>
  <c r="DC24"/>
  <c r="DD24"/>
  <c r="DN24"/>
  <c r="DP24"/>
  <c r="BP24" s="1"/>
  <c r="CW24" s="1"/>
  <c r="DR24"/>
  <c r="I23"/>
  <c r="DG23" s="1"/>
  <c r="DJ23" s="1"/>
  <c r="J23"/>
  <c r="N23"/>
  <c r="O23"/>
  <c r="P23" s="1"/>
  <c r="DE23" s="1"/>
  <c r="V23"/>
  <c r="S23" s="1"/>
  <c r="T23" s="1"/>
  <c r="AO23"/>
  <c r="AP23" s="1"/>
  <c r="BA23"/>
  <c r="BC23"/>
  <c r="BD23"/>
  <c r="BF23"/>
  <c r="BH23"/>
  <c r="BI23"/>
  <c r="BJ23" s="1"/>
  <c r="BK23"/>
  <c r="CT23"/>
  <c r="CU23"/>
  <c r="CX23"/>
  <c r="CY23"/>
  <c r="CZ23"/>
  <c r="DA23"/>
  <c r="DB23"/>
  <c r="DC23"/>
  <c r="DD23"/>
  <c r="DN23"/>
  <c r="DP23"/>
  <c r="BP23" s="1"/>
  <c r="CW23" s="1"/>
  <c r="DR23"/>
  <c r="BO23" s="1"/>
  <c r="I22"/>
  <c r="DK22" s="1"/>
  <c r="J22"/>
  <c r="N22"/>
  <c r="O22"/>
  <c r="P22" s="1"/>
  <c r="DE22" s="1"/>
  <c r="V22"/>
  <c r="S22" s="1"/>
  <c r="T22" s="1"/>
  <c r="AO22"/>
  <c r="AP22"/>
  <c r="BA22"/>
  <c r="BC22"/>
  <c r="BH22"/>
  <c r="BI22"/>
  <c r="BJ22" s="1"/>
  <c r="BK22"/>
  <c r="CT22"/>
  <c r="CU22"/>
  <c r="CX22"/>
  <c r="CY22"/>
  <c r="CZ22"/>
  <c r="DA22"/>
  <c r="DB22"/>
  <c r="DC22"/>
  <c r="DD22"/>
  <c r="DN22"/>
  <c r="DP22"/>
  <c r="BP22" s="1"/>
  <c r="CW22" s="1"/>
  <c r="DR22"/>
  <c r="BO22" s="1"/>
  <c r="I21"/>
  <c r="DG21" s="1"/>
  <c r="DJ21" s="1"/>
  <c r="J21"/>
  <c r="N21"/>
  <c r="O21"/>
  <c r="P21" s="1"/>
  <c r="DE21" s="1"/>
  <c r="V21"/>
  <c r="S21" s="1"/>
  <c r="T21" s="1"/>
  <c r="AO21"/>
  <c r="AP21"/>
  <c r="BA21"/>
  <c r="BC21"/>
  <c r="BH21"/>
  <c r="BI21"/>
  <c r="BJ21" s="1"/>
  <c r="BK21"/>
  <c r="CT21"/>
  <c r="CU21"/>
  <c r="CX21"/>
  <c r="CY21"/>
  <c r="CZ21"/>
  <c r="DA21"/>
  <c r="DB21"/>
  <c r="DC21"/>
  <c r="DD21"/>
  <c r="DN21"/>
  <c r="DP21"/>
  <c r="BP21" s="1"/>
  <c r="CW21" s="1"/>
  <c r="DR21"/>
  <c r="BO21" s="1"/>
  <c r="I20"/>
  <c r="DG20" s="1"/>
  <c r="DJ20" s="1"/>
  <c r="J20"/>
  <c r="N20"/>
  <c r="O20"/>
  <c r="P20" s="1"/>
  <c r="DE20" s="1"/>
  <c r="V20"/>
  <c r="S20" s="1"/>
  <c r="T20" s="1"/>
  <c r="AO20"/>
  <c r="AP20"/>
  <c r="BA20"/>
  <c r="BC20"/>
  <c r="BH20"/>
  <c r="BI20"/>
  <c r="BJ20" s="1"/>
  <c r="BK20"/>
  <c r="CT20"/>
  <c r="CU20"/>
  <c r="CX20"/>
  <c r="CY20"/>
  <c r="CZ20"/>
  <c r="DA20"/>
  <c r="DB20"/>
  <c r="DC20"/>
  <c r="DD20"/>
  <c r="DN20"/>
  <c r="DP20"/>
  <c r="BP20" s="1"/>
  <c r="CW20" s="1"/>
  <c r="DR20"/>
  <c r="BO20" s="1"/>
  <c r="I19"/>
  <c r="DK19" s="1"/>
  <c r="J19"/>
  <c r="N19"/>
  <c r="O19"/>
  <c r="P19" s="1"/>
  <c r="DE19" s="1"/>
  <c r="V19"/>
  <c r="S19" s="1"/>
  <c r="T19" s="1"/>
  <c r="AO19"/>
  <c r="AP19" s="1"/>
  <c r="BA19"/>
  <c r="BC19"/>
  <c r="BD19"/>
  <c r="BF19"/>
  <c r="BH19"/>
  <c r="BI19"/>
  <c r="BJ19" s="1"/>
  <c r="BK19"/>
  <c r="CT19"/>
  <c r="CU19"/>
  <c r="CX19"/>
  <c r="CY19"/>
  <c r="CZ19"/>
  <c r="DA19"/>
  <c r="DB19"/>
  <c r="DC19"/>
  <c r="DD19"/>
  <c r="DN19"/>
  <c r="DP19"/>
  <c r="BP19" s="1"/>
  <c r="CW19" s="1"/>
  <c r="DR19"/>
  <c r="BO19" s="1"/>
  <c r="I18"/>
  <c r="DG18" s="1"/>
  <c r="DJ18" s="1"/>
  <c r="J18"/>
  <c r="N18"/>
  <c r="O18"/>
  <c r="P18" s="1"/>
  <c r="DE18" s="1"/>
  <c r="V18"/>
  <c r="S18" s="1"/>
  <c r="T18" s="1"/>
  <c r="AO18"/>
  <c r="AP18"/>
  <c r="BA18"/>
  <c r="BC18"/>
  <c r="BH18"/>
  <c r="BI18"/>
  <c r="BJ18" s="1"/>
  <c r="BK18"/>
  <c r="CT18"/>
  <c r="CU18"/>
  <c r="CX18"/>
  <c r="CY18"/>
  <c r="CZ18"/>
  <c r="DA18"/>
  <c r="DB18"/>
  <c r="DC18"/>
  <c r="DD18"/>
  <c r="DN18"/>
  <c r="DP18"/>
  <c r="BP18" s="1"/>
  <c r="CW18" s="1"/>
  <c r="DR18"/>
  <c r="BO18" s="1"/>
  <c r="I17"/>
  <c r="DG17" s="1"/>
  <c r="DJ17" s="1"/>
  <c r="J17"/>
  <c r="N17"/>
  <c r="O17"/>
  <c r="P17" s="1"/>
  <c r="V17"/>
  <c r="S17" s="1"/>
  <c r="T17" s="1"/>
  <c r="AO17"/>
  <c r="AP17"/>
  <c r="BA17"/>
  <c r="BC17"/>
  <c r="BD17"/>
  <c r="BF17"/>
  <c r="BH17"/>
  <c r="BI17"/>
  <c r="BJ17" s="1"/>
  <c r="BK17"/>
  <c r="BO17"/>
  <c r="CT17"/>
  <c r="CU17"/>
  <c r="CV17"/>
  <c r="CX17"/>
  <c r="CY17"/>
  <c r="CZ17"/>
  <c r="DA17"/>
  <c r="DB17"/>
  <c r="DC17"/>
  <c r="DD17"/>
  <c r="DN17"/>
  <c r="DP17"/>
  <c r="BP17" s="1"/>
  <c r="CW17" s="1"/>
  <c r="DR17"/>
  <c r="I16"/>
  <c r="DG16" s="1"/>
  <c r="DJ16" s="1"/>
  <c r="J16"/>
  <c r="N16"/>
  <c r="O16"/>
  <c r="P16" s="1"/>
  <c r="DE16" s="1"/>
  <c r="V16"/>
  <c r="S16" s="1"/>
  <c r="T16" s="1"/>
  <c r="AO16"/>
  <c r="AP16"/>
  <c r="BA16"/>
  <c r="BC16"/>
  <c r="BD16"/>
  <c r="BF16"/>
  <c r="BH16"/>
  <c r="BI16"/>
  <c r="BJ16" s="1"/>
  <c r="BK16"/>
  <c r="CT16"/>
  <c r="CU16"/>
  <c r="CX16"/>
  <c r="CY16"/>
  <c r="CZ16"/>
  <c r="DA16"/>
  <c r="DB16"/>
  <c r="DC16"/>
  <c r="DD16"/>
  <c r="DN16"/>
  <c r="DP16"/>
  <c r="BP16" s="1"/>
  <c r="CW16" s="1"/>
  <c r="DR16"/>
  <c r="BO16" s="1"/>
  <c r="I15"/>
  <c r="DG15" s="1"/>
  <c r="DJ15" s="1"/>
  <c r="J15"/>
  <c r="N15"/>
  <c r="O15"/>
  <c r="P15" s="1"/>
  <c r="V15"/>
  <c r="S15" s="1"/>
  <c r="T15" s="1"/>
  <c r="AO15"/>
  <c r="AP15"/>
  <c r="BA15"/>
  <c r="BC15"/>
  <c r="BD15"/>
  <c r="BF15"/>
  <c r="BH15"/>
  <c r="BI15"/>
  <c r="BJ15" s="1"/>
  <c r="BK15"/>
  <c r="CT15"/>
  <c r="CU15"/>
  <c r="CX15"/>
  <c r="CY15"/>
  <c r="CZ15"/>
  <c r="DA15"/>
  <c r="DB15"/>
  <c r="DC15"/>
  <c r="DD15"/>
  <c r="DN15"/>
  <c r="DP15"/>
  <c r="BP15" s="1"/>
  <c r="CW15" s="1"/>
  <c r="DR15"/>
  <c r="BO15" s="1"/>
  <c r="I14"/>
  <c r="DK14" s="1"/>
  <c r="J14"/>
  <c r="N14"/>
  <c r="O14"/>
  <c r="P14" s="1"/>
  <c r="V14"/>
  <c r="S14" s="1"/>
  <c r="T14" s="1"/>
  <c r="AO14"/>
  <c r="AP14" s="1"/>
  <c r="BA14"/>
  <c r="BC14"/>
  <c r="BH14"/>
  <c r="BI14"/>
  <c r="BJ14" s="1"/>
  <c r="BK14"/>
  <c r="CT14"/>
  <c r="CU14"/>
  <c r="CX14"/>
  <c r="CY14"/>
  <c r="CZ14"/>
  <c r="DA14"/>
  <c r="DB14"/>
  <c r="DC14"/>
  <c r="DD14"/>
  <c r="DG14"/>
  <c r="DJ14" s="1"/>
  <c r="DN14"/>
  <c r="DP14"/>
  <c r="BP14" s="1"/>
  <c r="CW14" s="1"/>
  <c r="DR14"/>
  <c r="BO14" s="1"/>
  <c r="I13"/>
  <c r="DK13" s="1"/>
  <c r="J13"/>
  <c r="N13"/>
  <c r="O13"/>
  <c r="P13" s="1"/>
  <c r="DE13" s="1"/>
  <c r="V13"/>
  <c r="S13" s="1"/>
  <c r="T13" s="1"/>
  <c r="AO13"/>
  <c r="AP13" s="1"/>
  <c r="BA13"/>
  <c r="BC13"/>
  <c r="BH13"/>
  <c r="BI13"/>
  <c r="BJ13" s="1"/>
  <c r="BK13"/>
  <c r="CT13"/>
  <c r="CU13"/>
  <c r="CX13"/>
  <c r="CY13"/>
  <c r="CZ13"/>
  <c r="DA13"/>
  <c r="DB13"/>
  <c r="DC13"/>
  <c r="DD13"/>
  <c r="DG13"/>
  <c r="DJ13" s="1"/>
  <c r="DN13"/>
  <c r="DP13"/>
  <c r="BP13" s="1"/>
  <c r="CW13" s="1"/>
  <c r="DR13"/>
  <c r="BO13" s="1"/>
  <c r="I12"/>
  <c r="DK12" s="1"/>
  <c r="J12"/>
  <c r="N12"/>
  <c r="O12"/>
  <c r="P12" s="1"/>
  <c r="DE12" s="1"/>
  <c r="V12"/>
  <c r="S12" s="1"/>
  <c r="T12" s="1"/>
  <c r="AO12"/>
  <c r="AP12" s="1"/>
  <c r="BA12"/>
  <c r="BC12"/>
  <c r="BD12"/>
  <c r="BF12"/>
  <c r="BH12"/>
  <c r="BI12"/>
  <c r="BJ12" s="1"/>
  <c r="BK12"/>
  <c r="CT12"/>
  <c r="CU12"/>
  <c r="CX12"/>
  <c r="CY12"/>
  <c r="CZ12"/>
  <c r="DA12"/>
  <c r="DB12"/>
  <c r="DC12"/>
  <c r="DD12"/>
  <c r="DG12"/>
  <c r="DJ12" s="1"/>
  <c r="DN12"/>
  <c r="DP12"/>
  <c r="BP12" s="1"/>
  <c r="CW12" s="1"/>
  <c r="DR12"/>
  <c r="BO12" s="1"/>
  <c r="I11"/>
  <c r="DK11" s="1"/>
  <c r="J11"/>
  <c r="N11"/>
  <c r="O11"/>
  <c r="P11" s="1"/>
  <c r="Q11" s="1"/>
  <c r="V11"/>
  <c r="S11" s="1"/>
  <c r="T11" s="1"/>
  <c r="AO11"/>
  <c r="AP11" s="1"/>
  <c r="BA11"/>
  <c r="BC11"/>
  <c r="BD11"/>
  <c r="BF11"/>
  <c r="BH11"/>
  <c r="BI11"/>
  <c r="BJ11" s="1"/>
  <c r="BK11"/>
  <c r="CT11"/>
  <c r="CU11"/>
  <c r="CX11"/>
  <c r="CY11"/>
  <c r="CZ11"/>
  <c r="DA11"/>
  <c r="DB11"/>
  <c r="DC11"/>
  <c r="DD11"/>
  <c r="DG11"/>
  <c r="DJ11" s="1"/>
  <c r="DN11"/>
  <c r="DP11"/>
  <c r="BP11" s="1"/>
  <c r="CW11" s="1"/>
  <c r="DR11"/>
  <c r="BO11" s="1"/>
  <c r="I10"/>
  <c r="DK10" s="1"/>
  <c r="J10"/>
  <c r="N10"/>
  <c r="O10"/>
  <c r="P10" s="1"/>
  <c r="V10"/>
  <c r="S10" s="1"/>
  <c r="T10" s="1"/>
  <c r="AO10"/>
  <c r="AP10" s="1"/>
  <c r="BA10"/>
  <c r="BC10"/>
  <c r="BD10"/>
  <c r="BF10"/>
  <c r="BH10"/>
  <c r="BI10"/>
  <c r="BJ10" s="1"/>
  <c r="BK10"/>
  <c r="CT10"/>
  <c r="CU10"/>
  <c r="CX10"/>
  <c r="CY10"/>
  <c r="CZ10"/>
  <c r="DA10"/>
  <c r="DB10"/>
  <c r="DC10"/>
  <c r="DD10"/>
  <c r="DG10"/>
  <c r="DJ10" s="1"/>
  <c r="DN10"/>
  <c r="DP10"/>
  <c r="BP10" s="1"/>
  <c r="CW10" s="1"/>
  <c r="DR10"/>
  <c r="BO10" s="1"/>
  <c r="I9"/>
  <c r="DG9" s="1"/>
  <c r="DJ9" s="1"/>
  <c r="J9"/>
  <c r="N9"/>
  <c r="O9"/>
  <c r="P9" s="1"/>
  <c r="Q9" s="1"/>
  <c r="V9"/>
  <c r="S9" s="1"/>
  <c r="T9" s="1"/>
  <c r="AO9"/>
  <c r="AP9"/>
  <c r="BA9"/>
  <c r="BC9"/>
  <c r="BD9"/>
  <c r="BF9"/>
  <c r="BH9"/>
  <c r="BI9"/>
  <c r="BJ9" s="1"/>
  <c r="BK9"/>
  <c r="CT9"/>
  <c r="CU9"/>
  <c r="CX9"/>
  <c r="CY9"/>
  <c r="CZ9"/>
  <c r="DA9"/>
  <c r="DB9"/>
  <c r="DC9"/>
  <c r="DD9"/>
  <c r="DN9"/>
  <c r="DP9"/>
  <c r="BP9" s="1"/>
  <c r="CW9" s="1"/>
  <c r="DR9"/>
  <c r="BO9" s="1"/>
  <c r="I8"/>
  <c r="DG8" s="1"/>
  <c r="DJ8" s="1"/>
  <c r="J8"/>
  <c r="N8"/>
  <c r="O8"/>
  <c r="P8" s="1"/>
  <c r="DE8" s="1"/>
  <c r="V8"/>
  <c r="S8" s="1"/>
  <c r="T8" s="1"/>
  <c r="AO8"/>
  <c r="AP8"/>
  <c r="BA8"/>
  <c r="BC8"/>
  <c r="BD8"/>
  <c r="BF8"/>
  <c r="BH8"/>
  <c r="BI8"/>
  <c r="BJ8" s="1"/>
  <c r="BK8"/>
  <c r="BO8"/>
  <c r="B8" s="1"/>
  <c r="CT8"/>
  <c r="CU8"/>
  <c r="CV8"/>
  <c r="CX8"/>
  <c r="CY8"/>
  <c r="CZ8"/>
  <c r="DA8"/>
  <c r="DB8"/>
  <c r="DC8"/>
  <c r="DD8"/>
  <c r="DN8"/>
  <c r="DP8"/>
  <c r="BP8" s="1"/>
  <c r="CW8" s="1"/>
  <c r="DR8"/>
  <c r="L7"/>
  <c r="B7"/>
  <c r="X25" i="110" l="1"/>
  <c r="F16" i="105"/>
  <c r="DK23" i="106"/>
  <c r="H33" i="108"/>
  <c r="DA38" i="109"/>
  <c r="S34"/>
  <c r="T34" s="1"/>
  <c r="BI32" i="108"/>
  <c r="BI29"/>
  <c r="BI28"/>
  <c r="BI27"/>
  <c r="BI26"/>
  <c r="BI31"/>
  <c r="BI30"/>
  <c r="BI24"/>
  <c r="BI20"/>
  <c r="BI25"/>
  <c r="BI23"/>
  <c r="BI22"/>
  <c r="BI21"/>
  <c r="BI19"/>
  <c r="BI16"/>
  <c r="BI15"/>
  <c r="BI14"/>
  <c r="BI13"/>
  <c r="BI11"/>
  <c r="BI10"/>
  <c r="BI9"/>
  <c r="BI7"/>
  <c r="BI18"/>
  <c r="BI17"/>
  <c r="BI12"/>
  <c r="BI8"/>
  <c r="S32" i="109"/>
  <c r="T32" s="1"/>
  <c r="S27"/>
  <c r="T27" s="1"/>
  <c r="BK26"/>
  <c r="M25"/>
  <c r="AK25"/>
  <c r="AZ25"/>
  <c r="H25"/>
  <c r="S25"/>
  <c r="T25" s="1"/>
  <c r="S24"/>
  <c r="T24" s="1"/>
  <c r="C25"/>
  <c r="D25" s="1"/>
  <c r="E25"/>
  <c r="C26"/>
  <c r="D26" s="1"/>
  <c r="E26"/>
  <c r="C27"/>
  <c r="D27" s="1"/>
  <c r="E27"/>
  <c r="H21" i="108"/>
  <c r="CV38" i="109"/>
  <c r="BK25"/>
  <c r="BD26"/>
  <c r="BF26" s="1"/>
  <c r="DB38"/>
  <c r="DG19" i="106"/>
  <c r="DJ19" s="1"/>
  <c r="H17" i="109"/>
  <c r="M17"/>
  <c r="H16"/>
  <c r="M16"/>
  <c r="AI16"/>
  <c r="BD16"/>
  <c r="BF16" s="1"/>
  <c r="DC38"/>
  <c r="CU38"/>
  <c r="H15"/>
  <c r="M15"/>
  <c r="S14"/>
  <c r="T14" s="1"/>
  <c r="AP13"/>
  <c r="X24" i="110"/>
  <c r="CW38" i="109"/>
  <c r="CV39" s="1"/>
  <c r="X20" i="110"/>
  <c r="X22"/>
  <c r="X16"/>
  <c r="X17"/>
  <c r="X18"/>
  <c r="X26"/>
  <c r="X27"/>
  <c r="X28"/>
  <c r="X30"/>
  <c r="X34"/>
  <c r="X9"/>
  <c r="X10"/>
  <c r="X37"/>
  <c r="X36"/>
  <c r="DB38"/>
  <c r="DD38"/>
  <c r="X29"/>
  <c r="X31"/>
  <c r="X32"/>
  <c r="X33"/>
  <c r="X11"/>
  <c r="X12"/>
  <c r="X19"/>
  <c r="X21"/>
  <c r="X35"/>
  <c r="X23"/>
  <c r="X13"/>
  <c r="X14"/>
  <c r="AP11" i="109"/>
  <c r="Q8" i="110"/>
  <c r="X15"/>
  <c r="BE36"/>
  <c r="C35"/>
  <c r="E35"/>
  <c r="D35"/>
  <c r="BL37"/>
  <c r="C34"/>
  <c r="E34"/>
  <c r="D34"/>
  <c r="C33"/>
  <c r="E33"/>
  <c r="D33"/>
  <c r="C32"/>
  <c r="E32"/>
  <c r="D32"/>
  <c r="C31"/>
  <c r="E31"/>
  <c r="D31"/>
  <c r="C30"/>
  <c r="E30"/>
  <c r="D30"/>
  <c r="BH37"/>
  <c r="C29"/>
  <c r="E29"/>
  <c r="D29"/>
  <c r="C28"/>
  <c r="E28"/>
  <c r="D28"/>
  <c r="C27"/>
  <c r="E27"/>
  <c r="D27"/>
  <c r="C26"/>
  <c r="E26"/>
  <c r="D26"/>
  <c r="BE25"/>
  <c r="BB25"/>
  <c r="BB24"/>
  <c r="BE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9"/>
  <c r="E9"/>
  <c r="D9"/>
  <c r="V38"/>
  <c r="V39" s="1"/>
  <c r="DC38"/>
  <c r="DA39" s="1"/>
  <c r="S7"/>
  <c r="T7" s="1"/>
  <c r="B38"/>
  <c r="B39" s="1"/>
  <c r="CT38"/>
  <c r="CT39" s="1"/>
  <c r="C7"/>
  <c r="DE7"/>
  <c r="R38"/>
  <c r="R39" s="1"/>
  <c r="AO44"/>
  <c r="AO39"/>
  <c r="D7"/>
  <c r="BA7"/>
  <c r="BJ7"/>
  <c r="DG7"/>
  <c r="DK7"/>
  <c r="H8"/>
  <c r="M8"/>
  <c r="T8"/>
  <c r="AK8"/>
  <c r="O38"/>
  <c r="O39" s="1"/>
  <c r="Q39" s="1"/>
  <c r="AI8"/>
  <c r="W8"/>
  <c r="Q7"/>
  <c r="D8"/>
  <c r="E8"/>
  <c r="BD8"/>
  <c r="BF8" s="1"/>
  <c r="BJ8"/>
  <c r="DG8"/>
  <c r="DJ8" s="1"/>
  <c r="CW38"/>
  <c r="CV39" s="1"/>
  <c r="CT40" s="1"/>
  <c r="AV39"/>
  <c r="BU39"/>
  <c r="BW39"/>
  <c r="BY39"/>
  <c r="CA39"/>
  <c r="CC39"/>
  <c r="CE39"/>
  <c r="CG39"/>
  <c r="J45"/>
  <c r="BA38"/>
  <c r="AO38" i="109"/>
  <c r="AO39" s="1"/>
  <c r="AP10"/>
  <c r="Q32" i="107"/>
  <c r="DD38" i="109"/>
  <c r="S9"/>
  <c r="T9" s="1"/>
  <c r="CT38"/>
  <c r="BC38"/>
  <c r="BC39" s="1"/>
  <c r="V38"/>
  <c r="V39" s="1"/>
  <c r="S8"/>
  <c r="T8" s="1"/>
  <c r="Q31" i="107"/>
  <c r="Q33"/>
  <c r="BI16" i="109"/>
  <c r="BI17"/>
  <c r="BI21"/>
  <c r="BI28"/>
  <c r="BI32"/>
  <c r="BI35"/>
  <c r="BI15"/>
  <c r="BI18"/>
  <c r="BI20"/>
  <c r="BI22"/>
  <c r="BI24"/>
  <c r="BI25"/>
  <c r="BI27"/>
  <c r="BI29"/>
  <c r="BI31"/>
  <c r="BI33"/>
  <c r="BI34"/>
  <c r="D36" i="107"/>
  <c r="F36" s="1"/>
  <c r="E36"/>
  <c r="T36"/>
  <c r="W36" s="1"/>
  <c r="BD36"/>
  <c r="BF36" s="1"/>
  <c r="X36"/>
  <c r="P36"/>
  <c r="DE36" s="1"/>
  <c r="BJ36"/>
  <c r="P30"/>
  <c r="DE30" s="1"/>
  <c r="P35"/>
  <c r="DE35" s="1"/>
  <c r="BK35"/>
  <c r="BD35"/>
  <c r="BF35" s="1"/>
  <c r="AZ35"/>
  <c r="AI35"/>
  <c r="AK35"/>
  <c r="M35"/>
  <c r="H35"/>
  <c r="C35"/>
  <c r="D35" s="1"/>
  <c r="E35"/>
  <c r="S35"/>
  <c r="T35" s="1"/>
  <c r="W35" s="1"/>
  <c r="X35" s="1"/>
  <c r="AP35"/>
  <c r="BJ35"/>
  <c r="Q25"/>
  <c r="P34"/>
  <c r="DE34" s="1"/>
  <c r="BK34"/>
  <c r="BD34"/>
  <c r="BF34" s="1"/>
  <c r="AZ34"/>
  <c r="AI34"/>
  <c r="BH34"/>
  <c r="BH35" s="1"/>
  <c r="BH36" s="1"/>
  <c r="AK34"/>
  <c r="M34"/>
  <c r="H34"/>
  <c r="BL34"/>
  <c r="BL35" s="1"/>
  <c r="BL36" s="1"/>
  <c r="C34"/>
  <c r="D34" s="1"/>
  <c r="E34"/>
  <c r="S34"/>
  <c r="T34" s="1"/>
  <c r="W34" s="1"/>
  <c r="X34" s="1"/>
  <c r="AP34"/>
  <c r="BJ34"/>
  <c r="Q26"/>
  <c r="Q28"/>
  <c r="Q27"/>
  <c r="Q29"/>
  <c r="E16" i="105"/>
  <c r="BE16" s="1"/>
  <c r="BL33" i="107"/>
  <c r="AI33"/>
  <c r="W33"/>
  <c r="F33"/>
  <c r="BD33"/>
  <c r="BF33" s="1"/>
  <c r="AZ33"/>
  <c r="AK33"/>
  <c r="M33"/>
  <c r="E33"/>
  <c r="BE33" s="1"/>
  <c r="BL32"/>
  <c r="AI32"/>
  <c r="W32"/>
  <c r="F32"/>
  <c r="BD32"/>
  <c r="BF32" s="1"/>
  <c r="AZ32"/>
  <c r="AK32"/>
  <c r="M32"/>
  <c r="E32"/>
  <c r="BE32" s="1"/>
  <c r="BL31"/>
  <c r="AI31"/>
  <c r="W31"/>
  <c r="F31"/>
  <c r="BD31"/>
  <c r="BF31" s="1"/>
  <c r="AZ31"/>
  <c r="AK31"/>
  <c r="M31"/>
  <c r="E31"/>
  <c r="BE31" s="1"/>
  <c r="BK30"/>
  <c r="BL30" s="1"/>
  <c r="BD30"/>
  <c r="BF30" s="1"/>
  <c r="AZ30"/>
  <c r="AI30"/>
  <c r="BH30"/>
  <c r="AK30"/>
  <c r="M30"/>
  <c r="H30"/>
  <c r="C30"/>
  <c r="D30" s="1"/>
  <c r="E30"/>
  <c r="S30"/>
  <c r="T30" s="1"/>
  <c r="W30" s="1"/>
  <c r="X30" s="1"/>
  <c r="AP30"/>
  <c r="BJ30"/>
  <c r="Q17" i="105"/>
  <c r="B38" i="108"/>
  <c r="B39" s="1"/>
  <c r="J38"/>
  <c r="J39" s="1"/>
  <c r="Q29" i="105"/>
  <c r="Q26"/>
  <c r="Q21"/>
  <c r="Q24"/>
  <c r="Q23"/>
  <c r="E18"/>
  <c r="BB18" s="1"/>
  <c r="S12"/>
  <c r="T12" s="1"/>
  <c r="S10"/>
  <c r="T10" s="1"/>
  <c r="S8"/>
  <c r="T8" s="1"/>
  <c r="Q8"/>
  <c r="Q24" i="107"/>
  <c r="E25" i="105"/>
  <c r="BE25" s="1"/>
  <c r="Q20"/>
  <c r="Q19"/>
  <c r="E17"/>
  <c r="BE17" s="1"/>
  <c r="Q14"/>
  <c r="BL29" i="107"/>
  <c r="AI29"/>
  <c r="W29"/>
  <c r="F29"/>
  <c r="AZ29"/>
  <c r="AK29"/>
  <c r="M29"/>
  <c r="E29"/>
  <c r="BE29" s="1"/>
  <c r="BL28"/>
  <c r="AI28"/>
  <c r="W28"/>
  <c r="F28"/>
  <c r="BD28"/>
  <c r="BF28" s="1"/>
  <c r="AZ28"/>
  <c r="AK28"/>
  <c r="M28"/>
  <c r="E28"/>
  <c r="BE28" s="1"/>
  <c r="BL27"/>
  <c r="AI27"/>
  <c r="W27"/>
  <c r="F27"/>
  <c r="BD27"/>
  <c r="BF27" s="1"/>
  <c r="AZ27"/>
  <c r="AK27"/>
  <c r="M27"/>
  <c r="E27"/>
  <c r="BE27" s="1"/>
  <c r="BL26"/>
  <c r="AI26"/>
  <c r="W26"/>
  <c r="F26"/>
  <c r="AZ26"/>
  <c r="AK26"/>
  <c r="M26"/>
  <c r="E26"/>
  <c r="BE26" s="1"/>
  <c r="BL25"/>
  <c r="AI25"/>
  <c r="W25"/>
  <c r="F25"/>
  <c r="BD25"/>
  <c r="BF25" s="1"/>
  <c r="AZ25"/>
  <c r="AK25"/>
  <c r="M25"/>
  <c r="E25"/>
  <c r="BE25" s="1"/>
  <c r="AI24"/>
  <c r="W24"/>
  <c r="X24" s="1"/>
  <c r="F24"/>
  <c r="BL24"/>
  <c r="AZ24"/>
  <c r="AK24"/>
  <c r="M24"/>
  <c r="E24"/>
  <c r="BE24" s="1"/>
  <c r="F25" i="105"/>
  <c r="Q12"/>
  <c r="Q28"/>
  <c r="Q27"/>
  <c r="Q22"/>
  <c r="Q18"/>
  <c r="Q16"/>
  <c r="S14"/>
  <c r="T14" s="1"/>
  <c r="Q10"/>
  <c r="I38" i="109"/>
  <c r="I39" s="1"/>
  <c r="I41" s="1"/>
  <c r="L38"/>
  <c r="L39" s="1"/>
  <c r="S25" i="105"/>
  <c r="T25" s="1"/>
  <c r="Q25"/>
  <c r="F17"/>
  <c r="S15"/>
  <c r="T15" s="1"/>
  <c r="Q15"/>
  <c r="S13"/>
  <c r="T13" s="1"/>
  <c r="Q13"/>
  <c r="S11"/>
  <c r="T11" s="1"/>
  <c r="Q11"/>
  <c r="S9"/>
  <c r="T9" s="1"/>
  <c r="Q9"/>
  <c r="F14"/>
  <c r="F12"/>
  <c r="F10"/>
  <c r="F13"/>
  <c r="F11"/>
  <c r="F9"/>
  <c r="BJ22"/>
  <c r="BJ23" s="1"/>
  <c r="BJ24" s="1"/>
  <c r="BJ25" s="1"/>
  <c r="BJ26" s="1"/>
  <c r="BJ27" s="1"/>
  <c r="BJ28" s="1"/>
  <c r="BJ29" s="1"/>
  <c r="BK29"/>
  <c r="BD29"/>
  <c r="BF29" s="1"/>
  <c r="AZ29"/>
  <c r="AI29"/>
  <c r="W29"/>
  <c r="F29"/>
  <c r="AI17"/>
  <c r="W17"/>
  <c r="AI16"/>
  <c r="W16"/>
  <c r="AK15"/>
  <c r="F15"/>
  <c r="F8"/>
  <c r="AK29"/>
  <c r="E29"/>
  <c r="BB29" s="1"/>
  <c r="E28"/>
  <c r="BB28" s="1"/>
  <c r="E27"/>
  <c r="BB27" s="1"/>
  <c r="E26"/>
  <c r="BB26" s="1"/>
  <c r="AI25"/>
  <c r="E24"/>
  <c r="BE24" s="1"/>
  <c r="E23"/>
  <c r="BB23" s="1"/>
  <c r="E22"/>
  <c r="BB22" s="1"/>
  <c r="E21"/>
  <c r="BB21" s="1"/>
  <c r="E20"/>
  <c r="BB20" s="1"/>
  <c r="E19"/>
  <c r="BB19" s="1"/>
  <c r="BK17"/>
  <c r="BD17"/>
  <c r="BF17" s="1"/>
  <c r="AK17"/>
  <c r="BK16"/>
  <c r="BD16"/>
  <c r="BF16" s="1"/>
  <c r="AK16"/>
  <c r="BK15"/>
  <c r="BD15"/>
  <c r="BF15" s="1"/>
  <c r="AI15"/>
  <c r="E15"/>
  <c r="BE15" s="1"/>
  <c r="AI14"/>
  <c r="E14"/>
  <c r="BE14" s="1"/>
  <c r="AI13"/>
  <c r="E13"/>
  <c r="BE13" s="1"/>
  <c r="AI12"/>
  <c r="E12"/>
  <c r="BE12" s="1"/>
  <c r="AI11"/>
  <c r="E11"/>
  <c r="BE11" s="1"/>
  <c r="AI10"/>
  <c r="E10"/>
  <c r="BE10" s="1"/>
  <c r="AI9"/>
  <c r="E9"/>
  <c r="BE9" s="1"/>
  <c r="BL8"/>
  <c r="BL9" s="1"/>
  <c r="BL10" s="1"/>
  <c r="BL11" s="1"/>
  <c r="BL12" s="1"/>
  <c r="BL13" s="1"/>
  <c r="BL14" s="1"/>
  <c r="BL15" s="1"/>
  <c r="BL16" s="1"/>
  <c r="BL17" s="1"/>
  <c r="AI8"/>
  <c r="E8"/>
  <c r="BE8" s="1"/>
  <c r="DE29" i="107"/>
  <c r="V38"/>
  <c r="V39" s="1"/>
  <c r="P37" i="109"/>
  <c r="DE37" s="1"/>
  <c r="DE28" i="107"/>
  <c r="CU38"/>
  <c r="CW38"/>
  <c r="CY38"/>
  <c r="DA38"/>
  <c r="DC38"/>
  <c r="L38" i="108"/>
  <c r="L39" s="1"/>
  <c r="N38"/>
  <c r="N39" s="1"/>
  <c r="P16" i="109"/>
  <c r="DE16" s="1"/>
  <c r="DK10"/>
  <c r="DK14"/>
  <c r="DK8"/>
  <c r="DK12"/>
  <c r="DE21" i="108"/>
  <c r="B38" i="109"/>
  <c r="B39" s="1"/>
  <c r="E7"/>
  <c r="J38"/>
  <c r="J39" s="1"/>
  <c r="N38"/>
  <c r="N39" s="1"/>
  <c r="D9"/>
  <c r="E9"/>
  <c r="DK9"/>
  <c r="D11"/>
  <c r="E11"/>
  <c r="T11"/>
  <c r="DK11"/>
  <c r="D13"/>
  <c r="E13"/>
  <c r="T13"/>
  <c r="DK13"/>
  <c r="D15"/>
  <c r="E15"/>
  <c r="T15"/>
  <c r="P18"/>
  <c r="DE18" s="1"/>
  <c r="P19"/>
  <c r="DE19" s="1"/>
  <c r="P20"/>
  <c r="DE20" s="1"/>
  <c r="P21"/>
  <c r="DE21" s="1"/>
  <c r="P22"/>
  <c r="DE22" s="1"/>
  <c r="P23"/>
  <c r="DE23" s="1"/>
  <c r="P24"/>
  <c r="DE24" s="1"/>
  <c r="T26"/>
  <c r="P35"/>
  <c r="DE35" s="1"/>
  <c r="D8"/>
  <c r="E8"/>
  <c r="D10"/>
  <c r="E10"/>
  <c r="T10"/>
  <c r="D12"/>
  <c r="E12"/>
  <c r="T12"/>
  <c r="D14"/>
  <c r="E14"/>
  <c r="D17"/>
  <c r="E17"/>
  <c r="T17"/>
  <c r="T31"/>
  <c r="BK8"/>
  <c r="BD8"/>
  <c r="BF8" s="1"/>
  <c r="AK8"/>
  <c r="M8"/>
  <c r="H8"/>
  <c r="AI8"/>
  <c r="BK10"/>
  <c r="BD10"/>
  <c r="BF10" s="1"/>
  <c r="AK10"/>
  <c r="M10"/>
  <c r="H10"/>
  <c r="AI10"/>
  <c r="BK12"/>
  <c r="BD12"/>
  <c r="BF12" s="1"/>
  <c r="AK12"/>
  <c r="M12"/>
  <c r="H12"/>
  <c r="AI12"/>
  <c r="BK14"/>
  <c r="BD14"/>
  <c r="BF14" s="1"/>
  <c r="AK14"/>
  <c r="M14"/>
  <c r="H14"/>
  <c r="AI14"/>
  <c r="DE7"/>
  <c r="BK9"/>
  <c r="BD9"/>
  <c r="BF9" s="1"/>
  <c r="AK9"/>
  <c r="M9"/>
  <c r="H9"/>
  <c r="AI9"/>
  <c r="BK11"/>
  <c r="BD11"/>
  <c r="BF11" s="1"/>
  <c r="AK11"/>
  <c r="M11"/>
  <c r="H11"/>
  <c r="AI11"/>
  <c r="BK13"/>
  <c r="BD13"/>
  <c r="BF13" s="1"/>
  <c r="AK13"/>
  <c r="M13"/>
  <c r="H13"/>
  <c r="AI13"/>
  <c r="R38"/>
  <c r="R39" s="1"/>
  <c r="AK28"/>
  <c r="M28"/>
  <c r="H28"/>
  <c r="BK28"/>
  <c r="BD28"/>
  <c r="AZ28"/>
  <c r="AI28"/>
  <c r="AK30"/>
  <c r="M30"/>
  <c r="H30"/>
  <c r="BK30"/>
  <c r="BD30"/>
  <c r="AZ30"/>
  <c r="AI30"/>
  <c r="BK31"/>
  <c r="BD31"/>
  <c r="AZ31"/>
  <c r="AI31"/>
  <c r="AK31"/>
  <c r="M31"/>
  <c r="H31"/>
  <c r="BK33"/>
  <c r="BD33"/>
  <c r="AZ33"/>
  <c r="AI33"/>
  <c r="AK33"/>
  <c r="M33"/>
  <c r="H33"/>
  <c r="AK34"/>
  <c r="M34"/>
  <c r="H34"/>
  <c r="BK34"/>
  <c r="BD34"/>
  <c r="BF34" s="1"/>
  <c r="AZ34"/>
  <c r="AI34"/>
  <c r="AK36"/>
  <c r="M36"/>
  <c r="H36"/>
  <c r="BK36"/>
  <c r="BD36"/>
  <c r="AZ36"/>
  <c r="AI36"/>
  <c r="BK37"/>
  <c r="BD37"/>
  <c r="AZ37"/>
  <c r="AI37"/>
  <c r="AK37"/>
  <c r="M37"/>
  <c r="H37"/>
  <c r="D7"/>
  <c r="T7"/>
  <c r="BA7"/>
  <c r="BJ7"/>
  <c r="BJ8" s="1"/>
  <c r="BJ9" s="1"/>
  <c r="BJ10" s="1"/>
  <c r="BJ11" s="1"/>
  <c r="BJ12" s="1"/>
  <c r="BJ13" s="1"/>
  <c r="BJ14" s="1"/>
  <c r="P8"/>
  <c r="DE8" s="1"/>
  <c r="P9"/>
  <c r="DE9" s="1"/>
  <c r="P10"/>
  <c r="DE10" s="1"/>
  <c r="P11"/>
  <c r="DE11" s="1"/>
  <c r="P12"/>
  <c r="DE12" s="1"/>
  <c r="P13"/>
  <c r="DE13" s="1"/>
  <c r="P14"/>
  <c r="DE14" s="1"/>
  <c r="P15"/>
  <c r="DE15" s="1"/>
  <c r="AI15"/>
  <c r="BD15"/>
  <c r="BF15" s="1"/>
  <c r="DG15"/>
  <c r="DJ15" s="1"/>
  <c r="C16"/>
  <c r="D16" s="1"/>
  <c r="E16"/>
  <c r="S16"/>
  <c r="T16" s="1"/>
  <c r="P17"/>
  <c r="DE17" s="1"/>
  <c r="AI17"/>
  <c r="BD17"/>
  <c r="BF17" s="1"/>
  <c r="DG17"/>
  <c r="DJ17" s="1"/>
  <c r="C18"/>
  <c r="D18" s="1"/>
  <c r="E18"/>
  <c r="H18"/>
  <c r="M18"/>
  <c r="S18"/>
  <c r="T18" s="1"/>
  <c r="AK18"/>
  <c r="AZ18"/>
  <c r="BD18"/>
  <c r="BF18" s="1"/>
  <c r="DG18"/>
  <c r="DJ18" s="1"/>
  <c r="C19"/>
  <c r="D19" s="1"/>
  <c r="E19"/>
  <c r="H19"/>
  <c r="M19"/>
  <c r="S19"/>
  <c r="T19" s="1"/>
  <c r="AK19"/>
  <c r="AZ19"/>
  <c r="BD19"/>
  <c r="BF19" s="1"/>
  <c r="DG19"/>
  <c r="DJ19" s="1"/>
  <c r="C20"/>
  <c r="D20" s="1"/>
  <c r="H20"/>
  <c r="M20"/>
  <c r="S20"/>
  <c r="T20" s="1"/>
  <c r="AK20"/>
  <c r="AZ20"/>
  <c r="BD20"/>
  <c r="BF20" s="1"/>
  <c r="DG20"/>
  <c r="DJ20" s="1"/>
  <c r="C21"/>
  <c r="D21" s="1"/>
  <c r="H21"/>
  <c r="M21"/>
  <c r="S21"/>
  <c r="T21" s="1"/>
  <c r="AK21"/>
  <c r="AZ21"/>
  <c r="BD21"/>
  <c r="BF21" s="1"/>
  <c r="DG21"/>
  <c r="DJ21" s="1"/>
  <c r="C22"/>
  <c r="D22" s="1"/>
  <c r="H22"/>
  <c r="M22"/>
  <c r="S22"/>
  <c r="T22" s="1"/>
  <c r="AK22"/>
  <c r="AZ22"/>
  <c r="BD22"/>
  <c r="BF22" s="1"/>
  <c r="BF28"/>
  <c r="BF30"/>
  <c r="BF31"/>
  <c r="BF33"/>
  <c r="BF36"/>
  <c r="BF37"/>
  <c r="O38"/>
  <c r="O39" s="1"/>
  <c r="Q39" s="1"/>
  <c r="DK22"/>
  <c r="DG22"/>
  <c r="DJ22" s="1"/>
  <c r="BK29"/>
  <c r="BD29"/>
  <c r="AZ29"/>
  <c r="AI29"/>
  <c r="AK29"/>
  <c r="M29"/>
  <c r="H29"/>
  <c r="AK32"/>
  <c r="M32"/>
  <c r="H32"/>
  <c r="BK32"/>
  <c r="BD32"/>
  <c r="BF32" s="1"/>
  <c r="AZ32"/>
  <c r="AI32"/>
  <c r="BK35"/>
  <c r="BD35"/>
  <c r="AZ35"/>
  <c r="AI35"/>
  <c r="AK35"/>
  <c r="M35"/>
  <c r="H35"/>
  <c r="Q7"/>
  <c r="DG7"/>
  <c r="DK7"/>
  <c r="DG16"/>
  <c r="DJ16" s="1"/>
  <c r="BF29"/>
  <c r="BF35"/>
  <c r="T23"/>
  <c r="BK24"/>
  <c r="DG24"/>
  <c r="DJ24" s="1"/>
  <c r="Q25"/>
  <c r="DG25"/>
  <c r="DJ25" s="1"/>
  <c r="Q26"/>
  <c r="DG26"/>
  <c r="DJ26" s="1"/>
  <c r="Q27"/>
  <c r="P28"/>
  <c r="DE28" s="1"/>
  <c r="T28"/>
  <c r="DG28"/>
  <c r="DJ28" s="1"/>
  <c r="C29"/>
  <c r="D29" s="1"/>
  <c r="E29"/>
  <c r="Q29"/>
  <c r="S29"/>
  <c r="T29" s="1"/>
  <c r="AP29"/>
  <c r="P30"/>
  <c r="DE30" s="1"/>
  <c r="T30"/>
  <c r="DG30"/>
  <c r="DJ30" s="1"/>
  <c r="C31"/>
  <c r="D31" s="1"/>
  <c r="E31"/>
  <c r="Q31"/>
  <c r="AP31"/>
  <c r="P32"/>
  <c r="DE32" s="1"/>
  <c r="DG32"/>
  <c r="DJ32" s="1"/>
  <c r="C33"/>
  <c r="D33" s="1"/>
  <c r="E33"/>
  <c r="Q33"/>
  <c r="S33"/>
  <c r="T33" s="1"/>
  <c r="AP33"/>
  <c r="P34"/>
  <c r="DE34" s="1"/>
  <c r="DG34"/>
  <c r="DJ34" s="1"/>
  <c r="C35"/>
  <c r="D35" s="1"/>
  <c r="E35"/>
  <c r="S35"/>
  <c r="T35" s="1"/>
  <c r="AP35"/>
  <c r="P36"/>
  <c r="DE36" s="1"/>
  <c r="T36"/>
  <c r="DG36"/>
  <c r="DJ36" s="1"/>
  <c r="C37"/>
  <c r="D37" s="1"/>
  <c r="E37"/>
  <c r="S37"/>
  <c r="T37" s="1"/>
  <c r="AP37"/>
  <c r="AV39"/>
  <c r="BU39"/>
  <c r="BW39"/>
  <c r="BY39"/>
  <c r="CA39"/>
  <c r="CC39"/>
  <c r="CE39"/>
  <c r="CG39"/>
  <c r="J45"/>
  <c r="C23"/>
  <c r="D23" s="1"/>
  <c r="H23"/>
  <c r="M23"/>
  <c r="AK23"/>
  <c r="AZ23"/>
  <c r="BD23"/>
  <c r="BF23" s="1"/>
  <c r="DG23"/>
  <c r="DJ23" s="1"/>
  <c r="C24"/>
  <c r="D24" s="1"/>
  <c r="H24"/>
  <c r="M24"/>
  <c r="AK24"/>
  <c r="AI27"/>
  <c r="AZ27"/>
  <c r="BD27"/>
  <c r="BF27" s="1"/>
  <c r="DG27"/>
  <c r="DJ27" s="1"/>
  <c r="C28"/>
  <c r="D28" s="1"/>
  <c r="AP28"/>
  <c r="DG29"/>
  <c r="DJ29" s="1"/>
  <c r="C30"/>
  <c r="D30" s="1"/>
  <c r="AP30"/>
  <c r="DG31"/>
  <c r="DJ31" s="1"/>
  <c r="C32"/>
  <c r="D32" s="1"/>
  <c r="AP32"/>
  <c r="DG33"/>
  <c r="DJ33" s="1"/>
  <c r="C34"/>
  <c r="D34" s="1"/>
  <c r="DG35"/>
  <c r="DJ35" s="1"/>
  <c r="C36"/>
  <c r="D36" s="1"/>
  <c r="AP36"/>
  <c r="DG37"/>
  <c r="DJ37" s="1"/>
  <c r="AO38" i="108"/>
  <c r="AO39" s="1"/>
  <c r="BC38"/>
  <c r="BC39" s="1"/>
  <c r="CT38"/>
  <c r="CT39" s="1"/>
  <c r="CV38"/>
  <c r="CX38"/>
  <c r="CZ38"/>
  <c r="DB38"/>
  <c r="DD38"/>
  <c r="I38"/>
  <c r="I39" s="1"/>
  <c r="I41" s="1"/>
  <c r="DK7"/>
  <c r="DG7"/>
  <c r="R38"/>
  <c r="R39" s="1"/>
  <c r="O38"/>
  <c r="O39" s="1"/>
  <c r="Q39" s="1"/>
  <c r="DK8"/>
  <c r="DG8"/>
  <c r="DJ8" s="1"/>
  <c r="DK25"/>
  <c r="DG25"/>
  <c r="DJ25" s="1"/>
  <c r="CV39"/>
  <c r="DG12"/>
  <c r="DJ12" s="1"/>
  <c r="DG13"/>
  <c r="DJ13" s="1"/>
  <c r="DG14"/>
  <c r="DJ14" s="1"/>
  <c r="DG20"/>
  <c r="DJ20" s="1"/>
  <c r="DG22"/>
  <c r="DJ22" s="1"/>
  <c r="DG19"/>
  <c r="DJ19" s="1"/>
  <c r="DG21"/>
  <c r="DJ21" s="1"/>
  <c r="DG26"/>
  <c r="DJ26" s="1"/>
  <c r="DG28"/>
  <c r="DJ28" s="1"/>
  <c r="DG30"/>
  <c r="DJ30" s="1"/>
  <c r="DG32"/>
  <c r="DJ32" s="1"/>
  <c r="DG36"/>
  <c r="DJ36" s="1"/>
  <c r="AV39"/>
  <c r="BU39"/>
  <c r="BW39"/>
  <c r="BY39"/>
  <c r="CA39"/>
  <c r="CC39"/>
  <c r="CE39"/>
  <c r="CG39"/>
  <c r="J45"/>
  <c r="DG27"/>
  <c r="DJ27" s="1"/>
  <c r="DG29"/>
  <c r="DJ29" s="1"/>
  <c r="DG31"/>
  <c r="DJ31" s="1"/>
  <c r="DG33"/>
  <c r="DJ33" s="1"/>
  <c r="DG35"/>
  <c r="DJ35" s="1"/>
  <c r="DE26" i="107"/>
  <c r="CT38"/>
  <c r="CV38"/>
  <c r="CX38"/>
  <c r="CZ38"/>
  <c r="DB38"/>
  <c r="DD38"/>
  <c r="P23"/>
  <c r="DE23" s="1"/>
  <c r="BK23"/>
  <c r="BD23"/>
  <c r="BF23" s="1"/>
  <c r="AZ23"/>
  <c r="AI23"/>
  <c r="BH23"/>
  <c r="AK23"/>
  <c r="M23"/>
  <c r="H23"/>
  <c r="BL23"/>
  <c r="C23"/>
  <c r="D23" s="1"/>
  <c r="E23"/>
  <c r="S23"/>
  <c r="T23" s="1"/>
  <c r="W23" s="1"/>
  <c r="X23" s="1"/>
  <c r="AP23"/>
  <c r="BJ23"/>
  <c r="P22"/>
  <c r="DE22" s="1"/>
  <c r="BK22"/>
  <c r="BD22"/>
  <c r="BF22" s="1"/>
  <c r="AZ22"/>
  <c r="AI22"/>
  <c r="BH22"/>
  <c r="AK22"/>
  <c r="M22"/>
  <c r="H22"/>
  <c r="BL22"/>
  <c r="C22"/>
  <c r="D22" s="1"/>
  <c r="E22"/>
  <c r="S22"/>
  <c r="T22" s="1"/>
  <c r="W22" s="1"/>
  <c r="X22" s="1"/>
  <c r="AP22"/>
  <c r="BJ22"/>
  <c r="Q18"/>
  <c r="Q19"/>
  <c r="P21"/>
  <c r="DE21" s="1"/>
  <c r="BK21"/>
  <c r="BD21"/>
  <c r="BF21" s="1"/>
  <c r="AZ21"/>
  <c r="AI21"/>
  <c r="BH21"/>
  <c r="AK21"/>
  <c r="M21"/>
  <c r="H21"/>
  <c r="BL21"/>
  <c r="C21"/>
  <c r="D21" s="1"/>
  <c r="E21"/>
  <c r="S21"/>
  <c r="T21" s="1"/>
  <c r="W21" s="1"/>
  <c r="X21" s="1"/>
  <c r="AP21"/>
  <c r="BJ21"/>
  <c r="P20"/>
  <c r="DE20" s="1"/>
  <c r="BH20"/>
  <c r="AK20"/>
  <c r="M20"/>
  <c r="H20"/>
  <c r="BK20"/>
  <c r="BD20"/>
  <c r="BF20" s="1"/>
  <c r="AZ20"/>
  <c r="AI20"/>
  <c r="BL20"/>
  <c r="T20"/>
  <c r="W20" s="1"/>
  <c r="X20" s="1"/>
  <c r="DG20"/>
  <c r="DJ20" s="1"/>
  <c r="C20"/>
  <c r="D20" s="1"/>
  <c r="AP20"/>
  <c r="BJ20"/>
  <c r="DG17"/>
  <c r="DJ17" s="1"/>
  <c r="D17"/>
  <c r="F17" s="1"/>
  <c r="E17"/>
  <c r="T17"/>
  <c r="BL19"/>
  <c r="AI19"/>
  <c r="W19"/>
  <c r="F19"/>
  <c r="BD19"/>
  <c r="BF19" s="1"/>
  <c r="AZ19"/>
  <c r="AK19"/>
  <c r="M19"/>
  <c r="E19"/>
  <c r="BE19" s="1"/>
  <c r="BL18"/>
  <c r="AI18"/>
  <c r="W18"/>
  <c r="F18"/>
  <c r="AZ18"/>
  <c r="AK18"/>
  <c r="M18"/>
  <c r="E18"/>
  <c r="BE18" s="1"/>
  <c r="BH17"/>
  <c r="AI17"/>
  <c r="W17"/>
  <c r="BK17"/>
  <c r="BL17" s="1"/>
  <c r="BD17"/>
  <c r="BF17" s="1"/>
  <c r="AK17"/>
  <c r="M17"/>
  <c r="H17"/>
  <c r="Q17"/>
  <c r="BJ17"/>
  <c r="D16"/>
  <c r="F16" s="1"/>
  <c r="E16"/>
  <c r="T16"/>
  <c r="BK16"/>
  <c r="BD16"/>
  <c r="BF16" s="1"/>
  <c r="AK16"/>
  <c r="M16"/>
  <c r="H16"/>
  <c r="BH16"/>
  <c r="AI16"/>
  <c r="W16"/>
  <c r="X16" s="1"/>
  <c r="BL16"/>
  <c r="P16"/>
  <c r="DE16" s="1"/>
  <c r="BJ16"/>
  <c r="P15"/>
  <c r="DE15" s="1"/>
  <c r="BD15"/>
  <c r="BF15" s="1"/>
  <c r="BL15"/>
  <c r="C15"/>
  <c r="D15" s="1"/>
  <c r="E15"/>
  <c r="S15"/>
  <c r="T15" s="1"/>
  <c r="W15" s="1"/>
  <c r="X15" s="1"/>
  <c r="BH15"/>
  <c r="BJ15"/>
  <c r="DG12"/>
  <c r="DJ12" s="1"/>
  <c r="Q12"/>
  <c r="D14"/>
  <c r="F14" s="1"/>
  <c r="E14"/>
  <c r="T14"/>
  <c r="BK14"/>
  <c r="BD14"/>
  <c r="BF14" s="1"/>
  <c r="AK14"/>
  <c r="M14"/>
  <c r="H14"/>
  <c r="BH14"/>
  <c r="AI14"/>
  <c r="W14"/>
  <c r="X14" s="1"/>
  <c r="BL14"/>
  <c r="P14"/>
  <c r="DE14" s="1"/>
  <c r="BJ14"/>
  <c r="D13"/>
  <c r="F13" s="1"/>
  <c r="E13"/>
  <c r="T13"/>
  <c r="BK13"/>
  <c r="BD13"/>
  <c r="BF13" s="1"/>
  <c r="AK13"/>
  <c r="M13"/>
  <c r="H13"/>
  <c r="BH13"/>
  <c r="AI13"/>
  <c r="W13"/>
  <c r="X13" s="1"/>
  <c r="BL13"/>
  <c r="P13"/>
  <c r="DE13" s="1"/>
  <c r="BJ13"/>
  <c r="Q9"/>
  <c r="Q11"/>
  <c r="D10"/>
  <c r="E10"/>
  <c r="T10"/>
  <c r="W10" s="1"/>
  <c r="X10" s="1"/>
  <c r="AI12"/>
  <c r="W12"/>
  <c r="F12"/>
  <c r="BL12"/>
  <c r="AK12"/>
  <c r="M12"/>
  <c r="E12"/>
  <c r="BB12" s="1"/>
  <c r="AI11"/>
  <c r="W11"/>
  <c r="F11"/>
  <c r="BL11"/>
  <c r="AK11"/>
  <c r="M11"/>
  <c r="E11"/>
  <c r="BB11" s="1"/>
  <c r="BK10"/>
  <c r="BL10" s="1"/>
  <c r="BD10"/>
  <c r="BF10" s="1"/>
  <c r="AK10"/>
  <c r="M10"/>
  <c r="H10"/>
  <c r="BH10"/>
  <c r="AI10"/>
  <c r="P10"/>
  <c r="DE10" s="1"/>
  <c r="BJ10"/>
  <c r="DK9" i="106"/>
  <c r="Q22"/>
  <c r="DG37"/>
  <c r="DJ37" s="1"/>
  <c r="B38" i="107"/>
  <c r="B39" s="1"/>
  <c r="J38"/>
  <c r="J39" s="1"/>
  <c r="N38"/>
  <c r="N39" s="1"/>
  <c r="Q37" i="106"/>
  <c r="I38" i="107"/>
  <c r="I39" s="1"/>
  <c r="I41" s="1"/>
  <c r="L38"/>
  <c r="L39" s="1"/>
  <c r="DK24" i="106"/>
  <c r="Q26"/>
  <c r="DK15" i="107"/>
  <c r="C7"/>
  <c r="D7" s="1"/>
  <c r="DK13"/>
  <c r="DK8"/>
  <c r="DG10"/>
  <c r="DJ10" s="1"/>
  <c r="DG14"/>
  <c r="DJ14" s="1"/>
  <c r="DG16"/>
  <c r="DJ16" s="1"/>
  <c r="DK24"/>
  <c r="E7"/>
  <c r="D8"/>
  <c r="F8" s="1"/>
  <c r="E8"/>
  <c r="T8"/>
  <c r="W8" s="1"/>
  <c r="X8" s="1"/>
  <c r="DE32"/>
  <c r="P37"/>
  <c r="DE37" s="1"/>
  <c r="AI9"/>
  <c r="W9"/>
  <c r="F9"/>
  <c r="BL9"/>
  <c r="AK9"/>
  <c r="M9"/>
  <c r="E9"/>
  <c r="BB9" s="1"/>
  <c r="DE7"/>
  <c r="BK8"/>
  <c r="BD8"/>
  <c r="BF8" s="1"/>
  <c r="AK8"/>
  <c r="M8"/>
  <c r="H8"/>
  <c r="AI8"/>
  <c r="R38"/>
  <c r="R39" s="1"/>
  <c r="AO44"/>
  <c r="AO39"/>
  <c r="BK37"/>
  <c r="BD37"/>
  <c r="BF37" s="1"/>
  <c r="AZ37"/>
  <c r="AI37"/>
  <c r="W37"/>
  <c r="X37" s="1"/>
  <c r="F37"/>
  <c r="AK37"/>
  <c r="M37"/>
  <c r="H37"/>
  <c r="T7"/>
  <c r="BA7"/>
  <c r="BJ7"/>
  <c r="BJ8" s="1"/>
  <c r="P8"/>
  <c r="DE8" s="1"/>
  <c r="DG22"/>
  <c r="DJ22" s="1"/>
  <c r="DG23"/>
  <c r="DJ23" s="1"/>
  <c r="O38"/>
  <c r="O39" s="1"/>
  <c r="Q39" s="1"/>
  <c r="Q7"/>
  <c r="DG7"/>
  <c r="DK7"/>
  <c r="DG21"/>
  <c r="DJ21" s="1"/>
  <c r="DG26"/>
  <c r="DJ26" s="1"/>
  <c r="DG28"/>
  <c r="DJ28" s="1"/>
  <c r="DG30"/>
  <c r="DJ30" s="1"/>
  <c r="DG32"/>
  <c r="DJ32" s="1"/>
  <c r="DG34"/>
  <c r="DJ34" s="1"/>
  <c r="DG36"/>
  <c r="DJ36" s="1"/>
  <c r="C37"/>
  <c r="D37" s="1"/>
  <c r="E37"/>
  <c r="S37"/>
  <c r="T37" s="1"/>
  <c r="AP37"/>
  <c r="AV39"/>
  <c r="BU39"/>
  <c r="BW39"/>
  <c r="BY39"/>
  <c r="CA39"/>
  <c r="CC39"/>
  <c r="CE39"/>
  <c r="CG39"/>
  <c r="J45"/>
  <c r="DG25"/>
  <c r="DJ25" s="1"/>
  <c r="DG27"/>
  <c r="DJ27" s="1"/>
  <c r="DG29"/>
  <c r="DJ29" s="1"/>
  <c r="DG31"/>
  <c r="DJ31" s="1"/>
  <c r="DG33"/>
  <c r="DJ33" s="1"/>
  <c r="DG35"/>
  <c r="DJ35" s="1"/>
  <c r="DG37"/>
  <c r="DJ37" s="1"/>
  <c r="DK16" i="106"/>
  <c r="Q31"/>
  <c r="Q36"/>
  <c r="Q32"/>
  <c r="DK27"/>
  <c r="DG29"/>
  <c r="DJ29" s="1"/>
  <c r="DK21"/>
  <c r="Q30"/>
  <c r="Q34"/>
  <c r="Q35"/>
  <c r="DK8"/>
  <c r="DK15"/>
  <c r="DK17"/>
  <c r="Q23"/>
  <c r="Q28"/>
  <c r="Q29"/>
  <c r="Q33"/>
  <c r="DK18"/>
  <c r="DK20"/>
  <c r="Q21"/>
  <c r="DG22"/>
  <c r="DJ22" s="1"/>
  <c r="Q24"/>
  <c r="Q25"/>
  <c r="DG26"/>
  <c r="DJ26" s="1"/>
  <c r="Q27"/>
  <c r="DG32"/>
  <c r="DJ32" s="1"/>
  <c r="Q10"/>
  <c r="DE10"/>
  <c r="Q14"/>
  <c r="DE14"/>
  <c r="Q15"/>
  <c r="DE15"/>
  <c r="DE9"/>
  <c r="DE11"/>
  <c r="DK28"/>
  <c r="DK30"/>
  <c r="DK31"/>
  <c r="DK33"/>
  <c r="DK34"/>
  <c r="DK35"/>
  <c r="DK36"/>
  <c r="CV37"/>
  <c r="B37"/>
  <c r="L37"/>
  <c r="AZ37"/>
  <c r="AK37"/>
  <c r="BL37"/>
  <c r="AI37"/>
  <c r="W37"/>
  <c r="M37"/>
  <c r="B36"/>
  <c r="L36"/>
  <c r="CV36"/>
  <c r="BL36"/>
  <c r="AK36"/>
  <c r="BD36"/>
  <c r="BF36" s="1"/>
  <c r="AZ36"/>
  <c r="AI36"/>
  <c r="W36"/>
  <c r="X36" s="1"/>
  <c r="M36"/>
  <c r="B35"/>
  <c r="L35"/>
  <c r="CV35"/>
  <c r="M35" s="1"/>
  <c r="BF35"/>
  <c r="BL35"/>
  <c r="AK35"/>
  <c r="BD35"/>
  <c r="AZ35"/>
  <c r="AI35"/>
  <c r="W35"/>
  <c r="X35" s="1"/>
  <c r="B34"/>
  <c r="L34"/>
  <c r="CV34"/>
  <c r="BL34"/>
  <c r="AK34"/>
  <c r="BD34"/>
  <c r="BF34" s="1"/>
  <c r="AZ34"/>
  <c r="AI34"/>
  <c r="W34"/>
  <c r="X34" s="1"/>
  <c r="M34"/>
  <c r="B33"/>
  <c r="L33"/>
  <c r="CV33"/>
  <c r="CV32"/>
  <c r="B32"/>
  <c r="L32"/>
  <c r="BA33"/>
  <c r="AK32"/>
  <c r="F32"/>
  <c r="AZ32"/>
  <c r="AI32"/>
  <c r="W32"/>
  <c r="X32" s="1"/>
  <c r="M32"/>
  <c r="B31"/>
  <c r="L31"/>
  <c r="CV31"/>
  <c r="BL31"/>
  <c r="AK31"/>
  <c r="BD31"/>
  <c r="BF31" s="1"/>
  <c r="AZ31"/>
  <c r="AI31"/>
  <c r="W31"/>
  <c r="X31" s="1"/>
  <c r="M31"/>
  <c r="B30"/>
  <c r="L30"/>
  <c r="CV30"/>
  <c r="BL30"/>
  <c r="AK30"/>
  <c r="BD30"/>
  <c r="BF30" s="1"/>
  <c r="AZ30"/>
  <c r="AI30"/>
  <c r="W30"/>
  <c r="X30" s="1"/>
  <c r="M30"/>
  <c r="CV29"/>
  <c r="B29"/>
  <c r="L29"/>
  <c r="H29"/>
  <c r="BL29"/>
  <c r="AK29"/>
  <c r="BD29"/>
  <c r="BF29" s="1"/>
  <c r="AZ29"/>
  <c r="AI29"/>
  <c r="W29"/>
  <c r="M29"/>
  <c r="B28"/>
  <c r="L28"/>
  <c r="CV28"/>
  <c r="BL28"/>
  <c r="AK28"/>
  <c r="BD28"/>
  <c r="BF28" s="1"/>
  <c r="AZ28"/>
  <c r="AI28"/>
  <c r="W28"/>
  <c r="X28" s="1"/>
  <c r="M28"/>
  <c r="CV27"/>
  <c r="B27"/>
  <c r="L27"/>
  <c r="H27"/>
  <c r="BL27"/>
  <c r="AK27"/>
  <c r="BD27"/>
  <c r="BF27" s="1"/>
  <c r="AZ27"/>
  <c r="AI27"/>
  <c r="W27"/>
  <c r="M27"/>
  <c r="CV26"/>
  <c r="B26"/>
  <c r="L26"/>
  <c r="H26"/>
  <c r="BL26"/>
  <c r="AK26"/>
  <c r="BD26"/>
  <c r="BF26" s="1"/>
  <c r="AZ26"/>
  <c r="AI26"/>
  <c r="W26"/>
  <c r="M26"/>
  <c r="H25"/>
  <c r="B25"/>
  <c r="L25"/>
  <c r="CV25"/>
  <c r="AZ25"/>
  <c r="AK25"/>
  <c r="BL25"/>
  <c r="AI25"/>
  <c r="W25"/>
  <c r="X25" s="1"/>
  <c r="M25"/>
  <c r="C24"/>
  <c r="E24"/>
  <c r="D24"/>
  <c r="H24"/>
  <c r="AK24"/>
  <c r="L24"/>
  <c r="F24"/>
  <c r="BL24"/>
  <c r="BH24"/>
  <c r="AZ24"/>
  <c r="AI24"/>
  <c r="W24"/>
  <c r="X24" s="1"/>
  <c r="M24"/>
  <c r="H23"/>
  <c r="CV23"/>
  <c r="B23"/>
  <c r="L23"/>
  <c r="BL23"/>
  <c r="AK23"/>
  <c r="AZ23"/>
  <c r="AI23"/>
  <c r="W23"/>
  <c r="X23" s="1"/>
  <c r="M23"/>
  <c r="CV22"/>
  <c r="B22"/>
  <c r="L22"/>
  <c r="H22"/>
  <c r="BL22"/>
  <c r="AK22"/>
  <c r="BD22"/>
  <c r="BF22" s="1"/>
  <c r="AZ22"/>
  <c r="AI22"/>
  <c r="W22"/>
  <c r="M22"/>
  <c r="CV21"/>
  <c r="B21"/>
  <c r="L21"/>
  <c r="H21"/>
  <c r="BL21"/>
  <c r="AK21"/>
  <c r="BD21"/>
  <c r="BF21" s="1"/>
  <c r="AZ21"/>
  <c r="AI21"/>
  <c r="W21"/>
  <c r="X21" s="1"/>
  <c r="M21"/>
  <c r="H20"/>
  <c r="CV20"/>
  <c r="B20"/>
  <c r="L20"/>
  <c r="BL20"/>
  <c r="AK20"/>
  <c r="BD20"/>
  <c r="BF20" s="1"/>
  <c r="AZ20"/>
  <c r="AI20"/>
  <c r="W20"/>
  <c r="Q20"/>
  <c r="M20"/>
  <c r="CV19"/>
  <c r="B19"/>
  <c r="L19"/>
  <c r="H19"/>
  <c r="BL19"/>
  <c r="AK19"/>
  <c r="AZ19"/>
  <c r="AI19"/>
  <c r="W19"/>
  <c r="Q19"/>
  <c r="X19" s="1"/>
  <c r="M19"/>
  <c r="H18"/>
  <c r="CV18"/>
  <c r="B18"/>
  <c r="L18"/>
  <c r="BL18"/>
  <c r="AK18"/>
  <c r="BD18"/>
  <c r="BF18" s="1"/>
  <c r="AZ18"/>
  <c r="AI18"/>
  <c r="W18"/>
  <c r="Q18"/>
  <c r="X18" s="1"/>
  <c r="M18"/>
  <c r="B17"/>
  <c r="Q17"/>
  <c r="DE17"/>
  <c r="H17"/>
  <c r="AK17"/>
  <c r="L17"/>
  <c r="BL17"/>
  <c r="AI17"/>
  <c r="W17"/>
  <c r="M17"/>
  <c r="H16"/>
  <c r="B16"/>
  <c r="L16"/>
  <c r="CV16"/>
  <c r="AK16"/>
  <c r="BL16"/>
  <c r="AI16"/>
  <c r="W16"/>
  <c r="Q16"/>
  <c r="M16"/>
  <c r="H15"/>
  <c r="B15"/>
  <c r="L15"/>
  <c r="CV15"/>
  <c r="AK15"/>
  <c r="BL15"/>
  <c r="AI15"/>
  <c r="W15"/>
  <c r="M15"/>
  <c r="B14"/>
  <c r="L14"/>
  <c r="CV14"/>
  <c r="H14"/>
  <c r="BD14"/>
  <c r="BF14" s="1"/>
  <c r="AK14"/>
  <c r="BL14"/>
  <c r="AI14"/>
  <c r="W14"/>
  <c r="M14"/>
  <c r="B13"/>
  <c r="L13"/>
  <c r="CV13"/>
  <c r="H13"/>
  <c r="BD13"/>
  <c r="BF13" s="1"/>
  <c r="AK13"/>
  <c r="BL13"/>
  <c r="AI13"/>
  <c r="W13"/>
  <c r="Q13"/>
  <c r="M13"/>
  <c r="B12"/>
  <c r="L12"/>
  <c r="CV12"/>
  <c r="H12"/>
  <c r="AK12"/>
  <c r="BL12"/>
  <c r="AI12"/>
  <c r="W12"/>
  <c r="Q12"/>
  <c r="M12"/>
  <c r="B11"/>
  <c r="L11"/>
  <c r="CV11"/>
  <c r="H11"/>
  <c r="AK11"/>
  <c r="BL11"/>
  <c r="AI11"/>
  <c r="W11"/>
  <c r="X11" s="1"/>
  <c r="M11"/>
  <c r="B10"/>
  <c r="L10"/>
  <c r="CV10"/>
  <c r="H10"/>
  <c r="AK10"/>
  <c r="BL10"/>
  <c r="AI10"/>
  <c r="W10"/>
  <c r="X10" s="1"/>
  <c r="M10"/>
  <c r="H9"/>
  <c r="B9"/>
  <c r="L9"/>
  <c r="CV9"/>
  <c r="AK9"/>
  <c r="BL9"/>
  <c r="AI9"/>
  <c r="W9"/>
  <c r="X9" s="1"/>
  <c r="M9"/>
  <c r="H8"/>
  <c r="C8"/>
  <c r="E8"/>
  <c r="D8"/>
  <c r="AK8"/>
  <c r="L8"/>
  <c r="F8"/>
  <c r="BL8"/>
  <c r="AI8"/>
  <c r="W8"/>
  <c r="Q8"/>
  <c r="M8"/>
  <c r="BO7"/>
  <c r="DR7"/>
  <c r="BP7"/>
  <c r="DP7"/>
  <c r="DN7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7"/>
  <c r="DD38" s="1"/>
  <c r="DC7"/>
  <c r="DB7"/>
  <c r="DB38" s="1"/>
  <c r="DA7"/>
  <c r="DA38" s="1"/>
  <c r="CZ7"/>
  <c r="CZ38" s="1"/>
  <c r="CY7"/>
  <c r="CY38" s="1"/>
  <c r="CX7"/>
  <c r="CX38" s="1"/>
  <c r="CW7"/>
  <c r="CW38" s="1"/>
  <c r="CV7"/>
  <c r="CU7"/>
  <c r="CU38" s="1"/>
  <c r="CT7"/>
  <c r="CT38" s="1"/>
  <c r="BI7"/>
  <c r="BC7"/>
  <c r="BC38" s="1"/>
  <c r="BC39" s="1"/>
  <c r="AP7"/>
  <c r="AO7"/>
  <c r="AO38" s="1"/>
  <c r="V7"/>
  <c r="S7"/>
  <c r="O7"/>
  <c r="N7"/>
  <c r="J7"/>
  <c r="I7"/>
  <c r="DD37" i="104"/>
  <c r="DC37"/>
  <c r="DB37"/>
  <c r="DA37"/>
  <c r="CZ37"/>
  <c r="CY37"/>
  <c r="CX37"/>
  <c r="CW37"/>
  <c r="CV37"/>
  <c r="CU37"/>
  <c r="CT37"/>
  <c r="BI37"/>
  <c r="BC37"/>
  <c r="BA37"/>
  <c r="BK37" s="1"/>
  <c r="AP37"/>
  <c r="AI37"/>
  <c r="V37"/>
  <c r="R37"/>
  <c r="O37"/>
  <c r="Q37" s="1"/>
  <c r="N37"/>
  <c r="M37"/>
  <c r="L37"/>
  <c r="J37"/>
  <c r="I37"/>
  <c r="H37"/>
  <c r="B37"/>
  <c r="C37" s="1"/>
  <c r="B36"/>
  <c r="C36" s="1"/>
  <c r="D36" s="1"/>
  <c r="I36"/>
  <c r="DG36" s="1"/>
  <c r="DJ36" s="1"/>
  <c r="J36"/>
  <c r="L36"/>
  <c r="N36"/>
  <c r="O36"/>
  <c r="P36" s="1"/>
  <c r="DE36" s="1"/>
  <c r="R36"/>
  <c r="S36" s="1"/>
  <c r="T36" s="1"/>
  <c r="V36"/>
  <c r="AP36"/>
  <c r="BA36"/>
  <c r="H36" s="1"/>
  <c r="BC36"/>
  <c r="BI36"/>
  <c r="BJ36" s="1"/>
  <c r="BK36"/>
  <c r="CT36"/>
  <c r="CU36"/>
  <c r="CV36"/>
  <c r="CW36"/>
  <c r="CX36"/>
  <c r="CY36"/>
  <c r="CZ36"/>
  <c r="DA36"/>
  <c r="DB36"/>
  <c r="DC36"/>
  <c r="DD36"/>
  <c r="B35"/>
  <c r="C35" s="1"/>
  <c r="D35" s="1"/>
  <c r="I35"/>
  <c r="DG35" s="1"/>
  <c r="DJ35" s="1"/>
  <c r="J35"/>
  <c r="L35"/>
  <c r="N35"/>
  <c r="O35"/>
  <c r="P35" s="1"/>
  <c r="DE35" s="1"/>
  <c r="R35"/>
  <c r="S35" s="1"/>
  <c r="T35" s="1"/>
  <c r="V35"/>
  <c r="AP35"/>
  <c r="BA35"/>
  <c r="H35" s="1"/>
  <c r="BC35"/>
  <c r="BI35"/>
  <c r="BJ35" s="1"/>
  <c r="BK35"/>
  <c r="CT35"/>
  <c r="CU35"/>
  <c r="CV35"/>
  <c r="CW35"/>
  <c r="CX35"/>
  <c r="CY35"/>
  <c r="CZ35"/>
  <c r="DA35"/>
  <c r="DB35"/>
  <c r="DC35"/>
  <c r="DD35"/>
  <c r="BI34"/>
  <c r="BC34"/>
  <c r="BA34"/>
  <c r="V34"/>
  <c r="R34"/>
  <c r="O34"/>
  <c r="Q34" s="1"/>
  <c r="N34"/>
  <c r="L34"/>
  <c r="J34"/>
  <c r="I34"/>
  <c r="B34"/>
  <c r="E34" s="1"/>
  <c r="DD33"/>
  <c r="DC33"/>
  <c r="DB33"/>
  <c r="DA33"/>
  <c r="CZ33"/>
  <c r="CY33"/>
  <c r="CX33"/>
  <c r="CW33"/>
  <c r="CV33"/>
  <c r="CU33"/>
  <c r="CT33"/>
  <c r="BI33"/>
  <c r="BC33"/>
  <c r="BA33"/>
  <c r="V33"/>
  <c r="R33"/>
  <c r="S33" s="1"/>
  <c r="O33"/>
  <c r="Q33" s="1"/>
  <c r="N33"/>
  <c r="L33"/>
  <c r="J33"/>
  <c r="I33"/>
  <c r="B33"/>
  <c r="E33" s="1"/>
  <c r="BF59" i="105"/>
  <c r="R30"/>
  <c r="R31"/>
  <c r="R32"/>
  <c r="R33"/>
  <c r="R34"/>
  <c r="S34" s="1"/>
  <c r="T34" s="1"/>
  <c r="R35"/>
  <c r="R36"/>
  <c r="S36" s="1"/>
  <c r="T36" s="1"/>
  <c r="R37"/>
  <c r="R7"/>
  <c r="DE8"/>
  <c r="DE10"/>
  <c r="DE12"/>
  <c r="DE14"/>
  <c r="DE15"/>
  <c r="DE16"/>
  <c r="DE17"/>
  <c r="DE18"/>
  <c r="DE19"/>
  <c r="DE20"/>
  <c r="DE22"/>
  <c r="DE23"/>
  <c r="DE26"/>
  <c r="DE28"/>
  <c r="O30"/>
  <c r="P30" s="1"/>
  <c r="DE30" s="1"/>
  <c r="O31"/>
  <c r="Q31" s="1"/>
  <c r="O32"/>
  <c r="Q32" s="1"/>
  <c r="O33"/>
  <c r="Q33" s="1"/>
  <c r="O34"/>
  <c r="Q34" s="1"/>
  <c r="O35"/>
  <c r="Q35" s="1"/>
  <c r="O36"/>
  <c r="Q36" s="1"/>
  <c r="O37"/>
  <c r="P37" s="1"/>
  <c r="DE37" s="1"/>
  <c r="O7"/>
  <c r="P7" s="1"/>
  <c r="L30"/>
  <c r="L31"/>
  <c r="L32"/>
  <c r="L33"/>
  <c r="L34"/>
  <c r="L35"/>
  <c r="L36"/>
  <c r="L37"/>
  <c r="L7"/>
  <c r="J30"/>
  <c r="J31"/>
  <c r="J32"/>
  <c r="J33"/>
  <c r="J34"/>
  <c r="J35"/>
  <c r="J36"/>
  <c r="J37"/>
  <c r="J7"/>
  <c r="B30"/>
  <c r="B31"/>
  <c r="E31" s="1"/>
  <c r="B32"/>
  <c r="B33"/>
  <c r="B34"/>
  <c r="C34" s="1"/>
  <c r="D34" s="1"/>
  <c r="B35"/>
  <c r="B36"/>
  <c r="C36" s="1"/>
  <c r="D36" s="1"/>
  <c r="B37"/>
  <c r="B7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B37"/>
  <c r="AO37"/>
  <c r="V37"/>
  <c r="N37"/>
  <c r="I37"/>
  <c r="DK37" s="1"/>
  <c r="DD36"/>
  <c r="DC36"/>
  <c r="DB36"/>
  <c r="DA36"/>
  <c r="CZ36"/>
  <c r="CY36"/>
  <c r="CX36"/>
  <c r="CW36"/>
  <c r="CV36"/>
  <c r="CU36"/>
  <c r="CT36"/>
  <c r="BI36"/>
  <c r="BC36"/>
  <c r="BK36"/>
  <c r="AP36"/>
  <c r="AK36"/>
  <c r="V36"/>
  <c r="N36"/>
  <c r="M36"/>
  <c r="I36"/>
  <c r="DK36" s="1"/>
  <c r="H36"/>
  <c r="DD35"/>
  <c r="DC35"/>
  <c r="DB35"/>
  <c r="DA35"/>
  <c r="CZ35"/>
  <c r="CY35"/>
  <c r="CX35"/>
  <c r="CW35"/>
  <c r="CV35"/>
  <c r="CU35"/>
  <c r="CT35"/>
  <c r="BI35"/>
  <c r="BC35"/>
  <c r="AO35"/>
  <c r="BA35" s="1"/>
  <c r="V35"/>
  <c r="N35"/>
  <c r="I35"/>
  <c r="DK35" s="1"/>
  <c r="DD34"/>
  <c r="DC34"/>
  <c r="DB34"/>
  <c r="DA34"/>
  <c r="CZ34"/>
  <c r="CY34"/>
  <c r="CX34"/>
  <c r="CW34"/>
  <c r="CV34"/>
  <c r="CU34"/>
  <c r="CT34"/>
  <c r="BI34"/>
  <c r="BC34"/>
  <c r="AO34"/>
  <c r="BA34" s="1"/>
  <c r="AK34" s="1"/>
  <c r="V34"/>
  <c r="N34"/>
  <c r="M34"/>
  <c r="I34"/>
  <c r="DK34" s="1"/>
  <c r="H34"/>
  <c r="DD33"/>
  <c r="DC33"/>
  <c r="DB33"/>
  <c r="DA33"/>
  <c r="CZ33"/>
  <c r="CY33"/>
  <c r="CX33"/>
  <c r="CW33"/>
  <c r="CV33"/>
  <c r="CU33"/>
  <c r="CT33"/>
  <c r="BI33"/>
  <c r="BC33"/>
  <c r="AO33"/>
  <c r="V33"/>
  <c r="N33"/>
  <c r="I33"/>
  <c r="DK33" s="1"/>
  <c r="DD32"/>
  <c r="DC32"/>
  <c r="DB32"/>
  <c r="DA32"/>
  <c r="CZ32"/>
  <c r="CY32"/>
  <c r="CX32"/>
  <c r="CW32"/>
  <c r="CV32"/>
  <c r="CU32"/>
  <c r="CT32"/>
  <c r="BI32"/>
  <c r="BC32"/>
  <c r="AO32"/>
  <c r="BK32" s="1"/>
  <c r="V32"/>
  <c r="N32"/>
  <c r="I32"/>
  <c r="DK32" s="1"/>
  <c r="DD31"/>
  <c r="DC31"/>
  <c r="DB31"/>
  <c r="DA31"/>
  <c r="CZ31"/>
  <c r="CY31"/>
  <c r="CX31"/>
  <c r="CW31"/>
  <c r="CV31"/>
  <c r="CU31"/>
  <c r="CT31"/>
  <c r="BI31"/>
  <c r="BC31"/>
  <c r="AO31"/>
  <c r="V31"/>
  <c r="N31"/>
  <c r="I31"/>
  <c r="DK31" s="1"/>
  <c r="DD30"/>
  <c r="DC30"/>
  <c r="DB30"/>
  <c r="DA30"/>
  <c r="CZ30"/>
  <c r="CY30"/>
  <c r="CX30"/>
  <c r="CW30"/>
  <c r="CV30"/>
  <c r="CU30"/>
  <c r="CT30"/>
  <c r="BI30"/>
  <c r="BC30"/>
  <c r="AO30"/>
  <c r="V30"/>
  <c r="N30"/>
  <c r="I30"/>
  <c r="DK30" s="1"/>
  <c r="DD29"/>
  <c r="DC29"/>
  <c r="DB29"/>
  <c r="DA29"/>
  <c r="CZ29"/>
  <c r="H29" s="1"/>
  <c r="CY29"/>
  <c r="CX29"/>
  <c r="CW29"/>
  <c r="CV29"/>
  <c r="M29" s="1"/>
  <c r="CU29"/>
  <c r="CT29"/>
  <c r="DK29"/>
  <c r="DD28"/>
  <c r="DC28"/>
  <c r="DB28"/>
  <c r="DA28"/>
  <c r="CZ28"/>
  <c r="CY28"/>
  <c r="CX28"/>
  <c r="CW28"/>
  <c r="CV28"/>
  <c r="CU28"/>
  <c r="CT28"/>
  <c r="DK28"/>
  <c r="DD27"/>
  <c r="DC27"/>
  <c r="DB27"/>
  <c r="DA27"/>
  <c r="CZ27"/>
  <c r="CY27"/>
  <c r="CX27"/>
  <c r="CW27"/>
  <c r="CV27"/>
  <c r="CU27"/>
  <c r="CT27"/>
  <c r="DK27"/>
  <c r="DD26"/>
  <c r="DC26"/>
  <c r="DB26"/>
  <c r="DA26"/>
  <c r="CZ26"/>
  <c r="CY26"/>
  <c r="CX26"/>
  <c r="CW26"/>
  <c r="CV26"/>
  <c r="CU26"/>
  <c r="CT26"/>
  <c r="DD25"/>
  <c r="DC25"/>
  <c r="DB25"/>
  <c r="DA25"/>
  <c r="CZ25"/>
  <c r="CY25"/>
  <c r="CX25"/>
  <c r="CW25"/>
  <c r="CV25"/>
  <c r="M25" s="1"/>
  <c r="CU25"/>
  <c r="CT25"/>
  <c r="DD24"/>
  <c r="DC24"/>
  <c r="DB24"/>
  <c r="DA24"/>
  <c r="CZ24"/>
  <c r="CY24"/>
  <c r="CX24"/>
  <c r="CW24"/>
  <c r="CV24"/>
  <c r="CU24"/>
  <c r="CT24"/>
  <c r="DD23"/>
  <c r="DC23"/>
  <c r="DB23"/>
  <c r="DA23"/>
  <c r="CZ23"/>
  <c r="CY23"/>
  <c r="CX23"/>
  <c r="CW23"/>
  <c r="CV23"/>
  <c r="CU23"/>
  <c r="CT23"/>
  <c r="DK23"/>
  <c r="DD22"/>
  <c r="DC22"/>
  <c r="DB22"/>
  <c r="DA22"/>
  <c r="CZ22"/>
  <c r="CY22"/>
  <c r="CX22"/>
  <c r="CW22"/>
  <c r="CV22"/>
  <c r="CU22"/>
  <c r="CT22"/>
  <c r="DK22"/>
  <c r="DD21"/>
  <c r="DC21"/>
  <c r="DB21"/>
  <c r="DA21"/>
  <c r="CZ21"/>
  <c r="CY21"/>
  <c r="CX21"/>
  <c r="CW21"/>
  <c r="CV21"/>
  <c r="CU21"/>
  <c r="CT21"/>
  <c r="DK21"/>
  <c r="DD20"/>
  <c r="DC20"/>
  <c r="DB20"/>
  <c r="DA20"/>
  <c r="CZ20"/>
  <c r="CY20"/>
  <c r="CX20"/>
  <c r="CW20"/>
  <c r="CV20"/>
  <c r="CU20"/>
  <c r="CT20"/>
  <c r="DK20"/>
  <c r="DD19"/>
  <c r="DC19"/>
  <c r="DB19"/>
  <c r="DA19"/>
  <c r="CZ19"/>
  <c r="CY19"/>
  <c r="CX19"/>
  <c r="CW19"/>
  <c r="CW38" s="1"/>
  <c r="CV19"/>
  <c r="CU19"/>
  <c r="CT19"/>
  <c r="DK19"/>
  <c r="DD18"/>
  <c r="DC18"/>
  <c r="DB18"/>
  <c r="DA18"/>
  <c r="CZ18"/>
  <c r="CY18"/>
  <c r="CX18"/>
  <c r="CV18"/>
  <c r="CU18"/>
  <c r="CT18"/>
  <c r="DK18"/>
  <c r="DD17"/>
  <c r="DC17"/>
  <c r="DB17"/>
  <c r="DA17"/>
  <c r="CZ17"/>
  <c r="CY17"/>
  <c r="CX17"/>
  <c r="CV17"/>
  <c r="M17" s="1"/>
  <c r="CU17"/>
  <c r="CT17"/>
  <c r="DG17"/>
  <c r="DJ17" s="1"/>
  <c r="DD16"/>
  <c r="DC16"/>
  <c r="DB16"/>
  <c r="DA16"/>
  <c r="CZ16"/>
  <c r="CY16"/>
  <c r="CX16"/>
  <c r="CV16"/>
  <c r="M16" s="1"/>
  <c r="CU16"/>
  <c r="CT16"/>
  <c r="DG16"/>
  <c r="DJ16" s="1"/>
  <c r="DD15"/>
  <c r="DC15"/>
  <c r="DB15"/>
  <c r="DA15"/>
  <c r="CZ15"/>
  <c r="CY15"/>
  <c r="CX15"/>
  <c r="CV15"/>
  <c r="M15" s="1"/>
  <c r="CU15"/>
  <c r="CT15"/>
  <c r="DG15"/>
  <c r="DJ15" s="1"/>
  <c r="DD14"/>
  <c r="DC14"/>
  <c r="DB14"/>
  <c r="DA14"/>
  <c r="CZ14"/>
  <c r="CY14"/>
  <c r="CX14"/>
  <c r="CV14"/>
  <c r="M14" s="1"/>
  <c r="CU14"/>
  <c r="CT14"/>
  <c r="DK14"/>
  <c r="DD13"/>
  <c r="DC13"/>
  <c r="DB13"/>
  <c r="DA13"/>
  <c r="CZ13"/>
  <c r="CY13"/>
  <c r="CX13"/>
  <c r="CV13"/>
  <c r="CU13"/>
  <c r="CT13"/>
  <c r="DK13"/>
  <c r="DD12"/>
  <c r="DC12"/>
  <c r="DB12"/>
  <c r="DA12"/>
  <c r="CZ12"/>
  <c r="CY12"/>
  <c r="CX12"/>
  <c r="CV12"/>
  <c r="M12" s="1"/>
  <c r="CU12"/>
  <c r="CT12"/>
  <c r="DK12"/>
  <c r="DD11"/>
  <c r="DC11"/>
  <c r="DB11"/>
  <c r="DA11"/>
  <c r="CZ11"/>
  <c r="CY11"/>
  <c r="CX11"/>
  <c r="CV11"/>
  <c r="CU11"/>
  <c r="CT11"/>
  <c r="DG11"/>
  <c r="DJ11" s="1"/>
  <c r="DD10"/>
  <c r="DC10"/>
  <c r="DB10"/>
  <c r="DA10"/>
  <c r="CZ10"/>
  <c r="CY10"/>
  <c r="CX10"/>
  <c r="CV10"/>
  <c r="M10" s="1"/>
  <c r="CU10"/>
  <c r="CT10"/>
  <c r="DG10"/>
  <c r="DJ10" s="1"/>
  <c r="DD9"/>
  <c r="DC9"/>
  <c r="DB9"/>
  <c r="DA9"/>
  <c r="CZ9"/>
  <c r="CY9"/>
  <c r="CX9"/>
  <c r="CV9"/>
  <c r="CU9"/>
  <c r="CT9"/>
  <c r="DG9"/>
  <c r="DJ9" s="1"/>
  <c r="DD8"/>
  <c r="DC8"/>
  <c r="DB8"/>
  <c r="DA8"/>
  <c r="CZ8"/>
  <c r="CY8"/>
  <c r="CX8"/>
  <c r="CV8"/>
  <c r="M8" s="1"/>
  <c r="CU8"/>
  <c r="CT8"/>
  <c r="DK8"/>
  <c r="DD7"/>
  <c r="DD38" s="1"/>
  <c r="DC7"/>
  <c r="DB7"/>
  <c r="DA7"/>
  <c r="CZ7"/>
  <c r="CZ38" s="1"/>
  <c r="CY7"/>
  <c r="CX7"/>
  <c r="CX38" s="1"/>
  <c r="CV7"/>
  <c r="CU7"/>
  <c r="CT7"/>
  <c r="BI7"/>
  <c r="BC7"/>
  <c r="AO7"/>
  <c r="V7"/>
  <c r="N7"/>
  <c r="I7"/>
  <c r="AO32" i="104"/>
  <c r="BA32" s="1"/>
  <c r="DD32"/>
  <c r="DC32"/>
  <c r="DB32"/>
  <c r="DA32"/>
  <c r="CZ32"/>
  <c r="CY32"/>
  <c r="CX32"/>
  <c r="CW32"/>
  <c r="CV32"/>
  <c r="CU32"/>
  <c r="CT32"/>
  <c r="BI32"/>
  <c r="BJ32" s="1"/>
  <c r="BC32"/>
  <c r="BB32"/>
  <c r="V32"/>
  <c r="R32"/>
  <c r="S32" s="1"/>
  <c r="O32"/>
  <c r="Q32" s="1"/>
  <c r="N32"/>
  <c r="L32"/>
  <c r="J32"/>
  <c r="I32"/>
  <c r="B32"/>
  <c r="E32" s="1"/>
  <c r="BK31" i="101"/>
  <c r="DD31" i="104"/>
  <c r="DC31"/>
  <c r="DB31"/>
  <c r="DA31"/>
  <c r="CZ31"/>
  <c r="CY31"/>
  <c r="CX31"/>
  <c r="CW31"/>
  <c r="CV31"/>
  <c r="CU31"/>
  <c r="CT31"/>
  <c r="BI31"/>
  <c r="BC31"/>
  <c r="BA31"/>
  <c r="V31"/>
  <c r="R31"/>
  <c r="O31"/>
  <c r="P31" s="1"/>
  <c r="DE31" s="1"/>
  <c r="N31"/>
  <c r="L31"/>
  <c r="J31"/>
  <c r="I31"/>
  <c r="B31"/>
  <c r="W35" i="109" l="1"/>
  <c r="X35" s="1"/>
  <c r="W33"/>
  <c r="X33" s="1"/>
  <c r="W29"/>
  <c r="X29" s="1"/>
  <c r="W23"/>
  <c r="X23" s="1"/>
  <c r="W22"/>
  <c r="X22" s="1"/>
  <c r="W21"/>
  <c r="X21" s="1"/>
  <c r="W20"/>
  <c r="X20" s="1"/>
  <c r="W19"/>
  <c r="X19" s="1"/>
  <c r="F19"/>
  <c r="W16"/>
  <c r="X16" s="1"/>
  <c r="W17"/>
  <c r="X17" s="1"/>
  <c r="F17"/>
  <c r="W10"/>
  <c r="X10" s="1"/>
  <c r="F8"/>
  <c r="W26"/>
  <c r="W15"/>
  <c r="X15" s="1"/>
  <c r="F15"/>
  <c r="W13"/>
  <c r="X13" s="1"/>
  <c r="W11"/>
  <c r="X11" s="1"/>
  <c r="F11"/>
  <c r="W25" i="105"/>
  <c r="X25" s="1"/>
  <c r="W14"/>
  <c r="X14" s="1"/>
  <c r="W8"/>
  <c r="X8" s="1"/>
  <c r="W12"/>
  <c r="X12" s="1"/>
  <c r="W24" i="109"/>
  <c r="X24" s="1"/>
  <c r="W32"/>
  <c r="X32" s="1"/>
  <c r="BB24"/>
  <c r="W37"/>
  <c r="X37" s="1"/>
  <c r="W36"/>
  <c r="X36" s="1"/>
  <c r="W30"/>
  <c r="X30" s="1"/>
  <c r="W28"/>
  <c r="X28" s="1"/>
  <c r="W18"/>
  <c r="X18" s="1"/>
  <c r="W31"/>
  <c r="X31" s="1"/>
  <c r="W12"/>
  <c r="X12" s="1"/>
  <c r="W9" i="105"/>
  <c r="X9" s="1"/>
  <c r="W11"/>
  <c r="W13"/>
  <c r="X13" s="1"/>
  <c r="W15"/>
  <c r="W10"/>
  <c r="X10" s="1"/>
  <c r="W8" i="109"/>
  <c r="X8" s="1"/>
  <c r="W9"/>
  <c r="X9" s="1"/>
  <c r="W14"/>
  <c r="X14" s="1"/>
  <c r="W25"/>
  <c r="X25" s="1"/>
  <c r="W27"/>
  <c r="X27" s="1"/>
  <c r="W34"/>
  <c r="X34" s="1"/>
  <c r="X11" i="107"/>
  <c r="F37" i="109"/>
  <c r="BB37"/>
  <c r="BE36"/>
  <c r="BB36"/>
  <c r="F36"/>
  <c r="BB35"/>
  <c r="F35"/>
  <c r="DA39"/>
  <c r="BE34"/>
  <c r="BB34"/>
  <c r="F34"/>
  <c r="F33"/>
  <c r="BB33"/>
  <c r="BL7" i="108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L24" s="1"/>
  <c r="BL25" s="1"/>
  <c r="BL26" s="1"/>
  <c r="BL27" s="1"/>
  <c r="BL28" s="1"/>
  <c r="BL29" s="1"/>
  <c r="BL30" s="1"/>
  <c r="BL31" s="1"/>
  <c r="BL32" s="1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E32" i="109"/>
  <c r="BB32"/>
  <c r="F32"/>
  <c r="BB31"/>
  <c r="F31"/>
  <c r="BE30"/>
  <c r="BB30"/>
  <c r="F30"/>
  <c r="F29"/>
  <c r="BB29"/>
  <c r="BE28"/>
  <c r="BB28"/>
  <c r="F28"/>
  <c r="BB27"/>
  <c r="F27"/>
  <c r="F26"/>
  <c r="BB26"/>
  <c r="X26"/>
  <c r="F25"/>
  <c r="BB25"/>
  <c r="BE24"/>
  <c r="F24"/>
  <c r="BE23"/>
  <c r="F23"/>
  <c r="BB23"/>
  <c r="F22"/>
  <c r="BB22"/>
  <c r="F21"/>
  <c r="BB21"/>
  <c r="F20"/>
  <c r="BB20"/>
  <c r="BB19"/>
  <c r="X33" i="107"/>
  <c r="BB18" i="109"/>
  <c r="F18"/>
  <c r="BB17"/>
  <c r="F16"/>
  <c r="BB16"/>
  <c r="CT39"/>
  <c r="BB15"/>
  <c r="AO44"/>
  <c r="F14"/>
  <c r="BB14"/>
  <c r="F13"/>
  <c r="BB13"/>
  <c r="F12"/>
  <c r="BB12"/>
  <c r="DA39" i="108"/>
  <c r="AO44"/>
  <c r="BB11" i="109"/>
  <c r="X8" i="110"/>
  <c r="BB35"/>
  <c r="BE35"/>
  <c r="F35"/>
  <c r="BB34"/>
  <c r="BE34"/>
  <c r="F34"/>
  <c r="BB33"/>
  <c r="BE33"/>
  <c r="F33"/>
  <c r="BB32"/>
  <c r="BE32"/>
  <c r="F32"/>
  <c r="E39"/>
  <c r="BB31"/>
  <c r="BE31"/>
  <c r="F31"/>
  <c r="BB30"/>
  <c r="BE30"/>
  <c r="F30"/>
  <c r="BB29"/>
  <c r="BE29"/>
  <c r="F29"/>
  <c r="BB28"/>
  <c r="BE28"/>
  <c r="F28"/>
  <c r="BB27"/>
  <c r="BE27"/>
  <c r="F27"/>
  <c r="BB26"/>
  <c r="BE26"/>
  <c r="F26"/>
  <c r="BB23"/>
  <c r="BE23"/>
  <c r="F23"/>
  <c r="BB22"/>
  <c r="BE22"/>
  <c r="F22"/>
  <c r="BB21"/>
  <c r="BE21"/>
  <c r="F21"/>
  <c r="BB20"/>
  <c r="BE20"/>
  <c r="F20"/>
  <c r="BB19"/>
  <c r="BE19"/>
  <c r="F19"/>
  <c r="BB18"/>
  <c r="BE18"/>
  <c r="F18"/>
  <c r="BE17"/>
  <c r="BB17"/>
  <c r="F17"/>
  <c r="BE16"/>
  <c r="BB16"/>
  <c r="F16"/>
  <c r="BB15"/>
  <c r="BE15"/>
  <c r="F15"/>
  <c r="BE14"/>
  <c r="BB14"/>
  <c r="F14"/>
  <c r="BE13"/>
  <c r="BB13"/>
  <c r="F13"/>
  <c r="BE12"/>
  <c r="BB12"/>
  <c r="F12"/>
  <c r="BE11"/>
  <c r="BB11"/>
  <c r="F11"/>
  <c r="BE10"/>
  <c r="BB10"/>
  <c r="F10"/>
  <c r="BE9"/>
  <c r="BB9"/>
  <c r="F9"/>
  <c r="C39"/>
  <c r="BA39"/>
  <c r="AZ39" s="1"/>
  <c r="AK39"/>
  <c r="AI39"/>
  <c r="M39"/>
  <c r="H39"/>
  <c r="DG38"/>
  <c r="DI38" s="1"/>
  <c r="DJ7"/>
  <c r="DJ38" s="1"/>
  <c r="AE39"/>
  <c r="AA39"/>
  <c r="BK7"/>
  <c r="BD7"/>
  <c r="AK7"/>
  <c r="M7"/>
  <c r="H7"/>
  <c r="BH7"/>
  <c r="BH8" s="1"/>
  <c r="AI7"/>
  <c r="W7"/>
  <c r="X7" s="1"/>
  <c r="F7"/>
  <c r="D38"/>
  <c r="F39" s="1"/>
  <c r="F41" s="1"/>
  <c r="BB7"/>
  <c r="BE7"/>
  <c r="S39"/>
  <c r="S41" s="1"/>
  <c r="P38"/>
  <c r="P39" s="1"/>
  <c r="BE8"/>
  <c r="BB8"/>
  <c r="F8"/>
  <c r="CR39"/>
  <c r="DK38"/>
  <c r="T38"/>
  <c r="W39" s="1"/>
  <c r="AP39"/>
  <c r="DE38"/>
  <c r="BB9" i="109"/>
  <c r="F10"/>
  <c r="BB10"/>
  <c r="CT40"/>
  <c r="F9"/>
  <c r="X32" i="107"/>
  <c r="BB7" i="109"/>
  <c r="BB8"/>
  <c r="BE36" i="107"/>
  <c r="AP39" i="109"/>
  <c r="BB16" i="105"/>
  <c r="X25" i="107"/>
  <c r="X28"/>
  <c r="X31"/>
  <c r="BJ15" i="109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B36" i="107"/>
  <c r="E36" i="105"/>
  <c r="BB36" s="1"/>
  <c r="X26" i="107"/>
  <c r="BB35"/>
  <c r="BE35"/>
  <c r="F35"/>
  <c r="BB34"/>
  <c r="BE34"/>
  <c r="F34"/>
  <c r="BK34" i="105"/>
  <c r="AP34"/>
  <c r="AN39"/>
  <c r="X27" i="107"/>
  <c r="X29"/>
  <c r="BB33"/>
  <c r="BB32"/>
  <c r="BB31"/>
  <c r="BB30"/>
  <c r="BE30"/>
  <c r="F30"/>
  <c r="BB17" i="105"/>
  <c r="P33"/>
  <c r="DE33" s="1"/>
  <c r="X17"/>
  <c r="BB25"/>
  <c r="X15"/>
  <c r="S31"/>
  <c r="T31" s="1"/>
  <c r="AP31"/>
  <c r="X29"/>
  <c r="BB29" i="107"/>
  <c r="BB28"/>
  <c r="BB27"/>
  <c r="BB26"/>
  <c r="BB25"/>
  <c r="BB24"/>
  <c r="CV39"/>
  <c r="X16" i="105"/>
  <c r="X11"/>
  <c r="F18"/>
  <c r="M18"/>
  <c r="AK18"/>
  <c r="W18"/>
  <c r="X18" s="1"/>
  <c r="AI18"/>
  <c r="AZ18"/>
  <c r="BD18"/>
  <c r="BF18" s="1"/>
  <c r="BK18"/>
  <c r="H19"/>
  <c r="M19"/>
  <c r="AK19"/>
  <c r="F19"/>
  <c r="W19"/>
  <c r="X19" s="1"/>
  <c r="AI19"/>
  <c r="AZ19"/>
  <c r="BD19"/>
  <c r="BF19" s="1"/>
  <c r="BK19"/>
  <c r="H20"/>
  <c r="M20"/>
  <c r="AK20"/>
  <c r="F20"/>
  <c r="W20"/>
  <c r="X20" s="1"/>
  <c r="AI20"/>
  <c r="AZ20"/>
  <c r="BD20"/>
  <c r="BF20" s="1"/>
  <c r="BK20"/>
  <c r="H21"/>
  <c r="M21"/>
  <c r="AK21"/>
  <c r="F21"/>
  <c r="W21"/>
  <c r="X21" s="1"/>
  <c r="AI21"/>
  <c r="AZ21"/>
  <c r="BD21"/>
  <c r="BF21" s="1"/>
  <c r="BK21"/>
  <c r="H22"/>
  <c r="M22"/>
  <c r="AK22"/>
  <c r="F22"/>
  <c r="W22"/>
  <c r="X22" s="1"/>
  <c r="AI22"/>
  <c r="AZ22"/>
  <c r="BD22"/>
  <c r="BF22" s="1"/>
  <c r="BK22"/>
  <c r="H23"/>
  <c r="M23"/>
  <c r="AK23"/>
  <c r="F23"/>
  <c r="W23"/>
  <c r="X23" s="1"/>
  <c r="AI23"/>
  <c r="AZ23"/>
  <c r="BD23"/>
  <c r="BF23" s="1"/>
  <c r="BK23"/>
  <c r="H24"/>
  <c r="M24"/>
  <c r="AK24"/>
  <c r="BK24"/>
  <c r="F24"/>
  <c r="W24"/>
  <c r="X24" s="1"/>
  <c r="AI24"/>
  <c r="AZ24"/>
  <c r="H26"/>
  <c r="M26"/>
  <c r="AK26"/>
  <c r="F26"/>
  <c r="W26"/>
  <c r="X26" s="1"/>
  <c r="AI26"/>
  <c r="AZ26"/>
  <c r="BD26"/>
  <c r="BF26" s="1"/>
  <c r="BK26"/>
  <c r="H27"/>
  <c r="M27"/>
  <c r="AK27"/>
  <c r="F27"/>
  <c r="W27"/>
  <c r="X27" s="1"/>
  <c r="AI27"/>
  <c r="AZ27"/>
  <c r="BD27"/>
  <c r="BF27" s="1"/>
  <c r="BK27"/>
  <c r="H28"/>
  <c r="M28"/>
  <c r="AK28"/>
  <c r="F28"/>
  <c r="W28"/>
  <c r="X28" s="1"/>
  <c r="AI28"/>
  <c r="AZ28"/>
  <c r="BD28"/>
  <c r="BF28" s="1"/>
  <c r="BK28"/>
  <c r="M9"/>
  <c r="M11"/>
  <c r="M13"/>
  <c r="H25"/>
  <c r="BB9"/>
  <c r="BB13"/>
  <c r="BB15"/>
  <c r="BE20"/>
  <c r="BE22"/>
  <c r="BB24"/>
  <c r="BE26"/>
  <c r="BE28"/>
  <c r="BB8"/>
  <c r="BB10"/>
  <c r="BB14"/>
  <c r="BE18"/>
  <c r="BE19"/>
  <c r="BE21"/>
  <c r="BE23"/>
  <c r="BE27"/>
  <c r="BE29"/>
  <c r="BL18"/>
  <c r="BL19" s="1"/>
  <c r="BL20" s="1"/>
  <c r="BL21" s="1"/>
  <c r="BL22" s="1"/>
  <c r="BL23" s="1"/>
  <c r="BL24" s="1"/>
  <c r="BL25" s="1"/>
  <c r="BL26" s="1"/>
  <c r="BL27" s="1"/>
  <c r="BL28" s="1"/>
  <c r="BL29" s="1"/>
  <c r="BB11"/>
  <c r="BB12"/>
  <c r="DA38"/>
  <c r="CT39" i="107"/>
  <c r="DA39"/>
  <c r="E39" i="109"/>
  <c r="C39"/>
  <c r="BE37"/>
  <c r="BE33"/>
  <c r="BE26"/>
  <c r="BE25"/>
  <c r="BE14"/>
  <c r="BE10"/>
  <c r="DK38"/>
  <c r="BE22"/>
  <c r="BE20"/>
  <c r="BE18"/>
  <c r="CR39" i="108"/>
  <c r="BE35" i="109"/>
  <c r="BE31"/>
  <c r="BE29"/>
  <c r="BE21"/>
  <c r="BE19"/>
  <c r="BE16"/>
  <c r="BE17"/>
  <c r="BE12"/>
  <c r="BE8"/>
  <c r="BE27"/>
  <c r="BE15"/>
  <c r="BE13"/>
  <c r="BE11"/>
  <c r="BE9"/>
  <c r="T38"/>
  <c r="S39"/>
  <c r="S41" s="1"/>
  <c r="DE38"/>
  <c r="DG38"/>
  <c r="DI38" s="1"/>
  <c r="DJ7"/>
  <c r="DJ38" s="1"/>
  <c r="BA38"/>
  <c r="BK7"/>
  <c r="BD7"/>
  <c r="AK7"/>
  <c r="M7"/>
  <c r="H7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AI7"/>
  <c r="W7"/>
  <c r="X7" s="1"/>
  <c r="F7"/>
  <c r="D38"/>
  <c r="BE7"/>
  <c r="CR39"/>
  <c r="P38"/>
  <c r="P39" s="1"/>
  <c r="S39" i="108"/>
  <c r="S41" s="1"/>
  <c r="E39"/>
  <c r="C39"/>
  <c r="D38"/>
  <c r="BA38"/>
  <c r="AE39" s="1"/>
  <c r="DG38"/>
  <c r="DH38" s="1"/>
  <c r="DJ7"/>
  <c r="DJ38" s="1"/>
  <c r="CT40"/>
  <c r="P38"/>
  <c r="P39" s="1"/>
  <c r="AP39"/>
  <c r="DE38"/>
  <c r="T38"/>
  <c r="DK38"/>
  <c r="BB23" i="107"/>
  <c r="BE23"/>
  <c r="F23"/>
  <c r="X19"/>
  <c r="BB22"/>
  <c r="BE22"/>
  <c r="F22"/>
  <c r="X18"/>
  <c r="X22" i="106"/>
  <c r="BB21" i="107"/>
  <c r="BE21"/>
  <c r="F21"/>
  <c r="BE17"/>
  <c r="BE20"/>
  <c r="BB20"/>
  <c r="F20"/>
  <c r="DB38" i="105"/>
  <c r="X17" i="107"/>
  <c r="BB17"/>
  <c r="BB19"/>
  <c r="BB18"/>
  <c r="BB16"/>
  <c r="BE16"/>
  <c r="X12"/>
  <c r="BB15"/>
  <c r="F15"/>
  <c r="BE15"/>
  <c r="BE14"/>
  <c r="BB14"/>
  <c r="BE13"/>
  <c r="BB13"/>
  <c r="X9"/>
  <c r="CU38" i="105"/>
  <c r="AO38"/>
  <c r="AO39" s="1"/>
  <c r="E39" i="107"/>
  <c r="BB10"/>
  <c r="F10"/>
  <c r="BE10"/>
  <c r="BE12"/>
  <c r="BE11"/>
  <c r="BJ37"/>
  <c r="X37" i="106"/>
  <c r="DC38" i="105"/>
  <c r="X26" i="106"/>
  <c r="BB8" i="107"/>
  <c r="BE8"/>
  <c r="BE37"/>
  <c r="CR39"/>
  <c r="DK38"/>
  <c r="BE9"/>
  <c r="C39"/>
  <c r="T38"/>
  <c r="AP39"/>
  <c r="P38"/>
  <c r="P39" s="1"/>
  <c r="DG38"/>
  <c r="DH38" s="1"/>
  <c r="DJ7"/>
  <c r="DJ38" s="1"/>
  <c r="BA38"/>
  <c r="AE39" s="1"/>
  <c r="BK7"/>
  <c r="BD7"/>
  <c r="AK7"/>
  <c r="M7"/>
  <c r="H7"/>
  <c r="BH7"/>
  <c r="BH8" s="1"/>
  <c r="AI7"/>
  <c r="W7"/>
  <c r="X7" s="1"/>
  <c r="F7"/>
  <c r="D38"/>
  <c r="BB7"/>
  <c r="BE7"/>
  <c r="S39"/>
  <c r="S41" s="1"/>
  <c r="DE38"/>
  <c r="DE11" i="105"/>
  <c r="X29" i="106"/>
  <c r="CY38" i="105"/>
  <c r="DE9"/>
  <c r="DE25"/>
  <c r="BC38"/>
  <c r="BC39" s="1"/>
  <c r="V38"/>
  <c r="V39" s="1"/>
  <c r="CV38"/>
  <c r="CT38"/>
  <c r="DE13"/>
  <c r="DE21"/>
  <c r="E34"/>
  <c r="P35"/>
  <c r="DE35" s="1"/>
  <c r="Q37"/>
  <c r="Q30"/>
  <c r="X27" i="106"/>
  <c r="J38" i="105"/>
  <c r="J39" s="1"/>
  <c r="DK36" i="104"/>
  <c r="X14" i="106"/>
  <c r="X15"/>
  <c r="C37"/>
  <c r="E37"/>
  <c r="D37"/>
  <c r="C36"/>
  <c r="E36"/>
  <c r="D36"/>
  <c r="C35"/>
  <c r="E35"/>
  <c r="D35"/>
  <c r="C34"/>
  <c r="E34"/>
  <c r="D34"/>
  <c r="H33"/>
  <c r="M33"/>
  <c r="W33"/>
  <c r="X33" s="1"/>
  <c r="AI33"/>
  <c r="AZ33"/>
  <c r="BD33"/>
  <c r="BF33" s="1"/>
  <c r="BK33"/>
  <c r="BL33" s="1"/>
  <c r="AK33"/>
  <c r="BH33"/>
  <c r="C32"/>
  <c r="E32"/>
  <c r="D32"/>
  <c r="BE32" s="1"/>
  <c r="C33"/>
  <c r="E33"/>
  <c r="D33"/>
  <c r="C31"/>
  <c r="E31"/>
  <c r="D31"/>
  <c r="C30"/>
  <c r="E30"/>
  <c r="D30"/>
  <c r="C29"/>
  <c r="E29"/>
  <c r="D29"/>
  <c r="C28"/>
  <c r="E28"/>
  <c r="D28"/>
  <c r="C27"/>
  <c r="E27"/>
  <c r="D27"/>
  <c r="C26"/>
  <c r="E26"/>
  <c r="D26"/>
  <c r="C25"/>
  <c r="E25"/>
  <c r="D25"/>
  <c r="BB24"/>
  <c r="BE24"/>
  <c r="C23"/>
  <c r="E23"/>
  <c r="D23"/>
  <c r="C22"/>
  <c r="E22"/>
  <c r="D22"/>
  <c r="C21"/>
  <c r="E21"/>
  <c r="D21"/>
  <c r="C20"/>
  <c r="E20"/>
  <c r="D20"/>
  <c r="X20"/>
  <c r="C19"/>
  <c r="E19"/>
  <c r="D19"/>
  <c r="C18"/>
  <c r="E18"/>
  <c r="D18"/>
  <c r="C17"/>
  <c r="E17"/>
  <c r="D17"/>
  <c r="X17"/>
  <c r="C16"/>
  <c r="E16"/>
  <c r="D16"/>
  <c r="X16"/>
  <c r="C15"/>
  <c r="E15"/>
  <c r="D15"/>
  <c r="C14"/>
  <c r="E14"/>
  <c r="D14"/>
  <c r="C13"/>
  <c r="E13"/>
  <c r="D13"/>
  <c r="X13"/>
  <c r="C12"/>
  <c r="E12"/>
  <c r="D12"/>
  <c r="X12"/>
  <c r="C11"/>
  <c r="E11"/>
  <c r="D11"/>
  <c r="C10"/>
  <c r="E10"/>
  <c r="D10"/>
  <c r="C9"/>
  <c r="E9"/>
  <c r="D9"/>
  <c r="BE8"/>
  <c r="BB8"/>
  <c r="X8"/>
  <c r="CT44"/>
  <c r="AV39"/>
  <c r="CT39"/>
  <c r="P32" i="105"/>
  <c r="DE32" s="1"/>
  <c r="CV38" i="106"/>
  <c r="CU44" s="1"/>
  <c r="C7"/>
  <c r="CV39"/>
  <c r="CT40" s="1"/>
  <c r="I38"/>
  <c r="I39" s="1"/>
  <c r="I41" s="1"/>
  <c r="L38"/>
  <c r="L39" s="1"/>
  <c r="DG7"/>
  <c r="DJ7" s="1"/>
  <c r="DK35" i="104"/>
  <c r="B38" i="106"/>
  <c r="B39" s="1"/>
  <c r="E7"/>
  <c r="J38"/>
  <c r="J39" s="1"/>
  <c r="N38"/>
  <c r="N39" s="1"/>
  <c r="DK7"/>
  <c r="V38"/>
  <c r="V39" s="1"/>
  <c r="DC38"/>
  <c r="DA39" s="1"/>
  <c r="O38"/>
  <c r="O39" s="1"/>
  <c r="R38"/>
  <c r="R39" s="1"/>
  <c r="AO44"/>
  <c r="AO39"/>
  <c r="D7"/>
  <c r="P7"/>
  <c r="Q7" s="1"/>
  <c r="T7"/>
  <c r="BA7"/>
  <c r="BJ7"/>
  <c r="BU39"/>
  <c r="BW39"/>
  <c r="BY39"/>
  <c r="CA39"/>
  <c r="CC39"/>
  <c r="CE39"/>
  <c r="CG39"/>
  <c r="J45"/>
  <c r="L38" i="105"/>
  <c r="L39" s="1"/>
  <c r="Q35" i="104"/>
  <c r="Q36"/>
  <c r="D37"/>
  <c r="E37"/>
  <c r="S37"/>
  <c r="T37" s="1"/>
  <c r="W37" s="1"/>
  <c r="X37" s="1"/>
  <c r="BD37"/>
  <c r="BF37" s="1"/>
  <c r="AK37"/>
  <c r="AZ37"/>
  <c r="BL37"/>
  <c r="P37"/>
  <c r="DE37" s="1"/>
  <c r="BH37"/>
  <c r="BJ37"/>
  <c r="P34"/>
  <c r="AI36"/>
  <c r="W36"/>
  <c r="F36"/>
  <c r="BD36"/>
  <c r="BF36" s="1"/>
  <c r="AZ36"/>
  <c r="AK36"/>
  <c r="M36"/>
  <c r="E36"/>
  <c r="BE36" s="1"/>
  <c r="AI35"/>
  <c r="W35"/>
  <c r="X35" s="1"/>
  <c r="F35"/>
  <c r="BD35"/>
  <c r="BF35" s="1"/>
  <c r="AZ35"/>
  <c r="AK35"/>
  <c r="M35"/>
  <c r="E35"/>
  <c r="BE35" s="1"/>
  <c r="BD34"/>
  <c r="BF34" s="1"/>
  <c r="AZ34"/>
  <c r="AI34"/>
  <c r="AK34"/>
  <c r="BK34"/>
  <c r="C34"/>
  <c r="D34" s="1"/>
  <c r="S34"/>
  <c r="T34" s="1"/>
  <c r="W34" s="1"/>
  <c r="X34" s="1"/>
  <c r="AP34"/>
  <c r="BJ34"/>
  <c r="C31" i="105"/>
  <c r="D31" s="1"/>
  <c r="B38"/>
  <c r="B39" s="1"/>
  <c r="N38"/>
  <c r="N39" s="1"/>
  <c r="I38"/>
  <c r="I39" s="1"/>
  <c r="I41" s="1"/>
  <c r="P33" i="104"/>
  <c r="BH33"/>
  <c r="BH34" s="1"/>
  <c r="BH35" s="1"/>
  <c r="BH36" s="1"/>
  <c r="AK33"/>
  <c r="M33"/>
  <c r="H33"/>
  <c r="BK33"/>
  <c r="BD33"/>
  <c r="BF33" s="1"/>
  <c r="AZ33"/>
  <c r="AI33"/>
  <c r="BL33"/>
  <c r="BL34" s="1"/>
  <c r="BL35" s="1"/>
  <c r="BL36" s="1"/>
  <c r="T33"/>
  <c r="W33" s="1"/>
  <c r="X33" s="1"/>
  <c r="C33"/>
  <c r="D33" s="1"/>
  <c r="AP33"/>
  <c r="BJ33"/>
  <c r="DG8" i="105"/>
  <c r="DJ8" s="1"/>
  <c r="DK9"/>
  <c r="DK10"/>
  <c r="DK11"/>
  <c r="DG12"/>
  <c r="DJ12" s="1"/>
  <c r="DG13"/>
  <c r="DJ13" s="1"/>
  <c r="DG14"/>
  <c r="DJ14" s="1"/>
  <c r="DK15"/>
  <c r="DK16"/>
  <c r="DK17"/>
  <c r="BK31"/>
  <c r="AK31"/>
  <c r="M31"/>
  <c r="H31"/>
  <c r="DE7"/>
  <c r="R38"/>
  <c r="R39" s="1"/>
  <c r="BA7"/>
  <c r="BJ7"/>
  <c r="DK7"/>
  <c r="O38"/>
  <c r="O39" s="1"/>
  <c r="C7"/>
  <c r="D7" s="1"/>
  <c r="E7"/>
  <c r="Q7"/>
  <c r="S7"/>
  <c r="AP7"/>
  <c r="DG7"/>
  <c r="BJ30"/>
  <c r="BJ31" s="1"/>
  <c r="BJ32" s="1"/>
  <c r="BJ33" s="1"/>
  <c r="BJ34" s="1"/>
  <c r="BJ35" s="1"/>
  <c r="BJ36" s="1"/>
  <c r="BJ37" s="1"/>
  <c r="DK25"/>
  <c r="DG25"/>
  <c r="DJ25" s="1"/>
  <c r="BD32"/>
  <c r="BF32" s="1"/>
  <c r="AZ32"/>
  <c r="AI32"/>
  <c r="AK32"/>
  <c r="M32"/>
  <c r="H32"/>
  <c r="BK33"/>
  <c r="BD33"/>
  <c r="BF33" s="1"/>
  <c r="AZ33"/>
  <c r="AI33"/>
  <c r="AK33"/>
  <c r="M33"/>
  <c r="H33"/>
  <c r="BK37"/>
  <c r="BD37"/>
  <c r="BF37" s="1"/>
  <c r="AZ37"/>
  <c r="AI37"/>
  <c r="W37"/>
  <c r="F37"/>
  <c r="AK37"/>
  <c r="M37"/>
  <c r="H37"/>
  <c r="DG19"/>
  <c r="DJ19" s="1"/>
  <c r="DG21"/>
  <c r="DJ21" s="1"/>
  <c r="DG23"/>
  <c r="DJ23" s="1"/>
  <c r="DK24"/>
  <c r="DG24"/>
  <c r="DJ24" s="1"/>
  <c r="DK26"/>
  <c r="DG26"/>
  <c r="DJ26" s="1"/>
  <c r="BK30"/>
  <c r="BD30"/>
  <c r="BF30" s="1"/>
  <c r="AZ30"/>
  <c r="AI30"/>
  <c r="AK30"/>
  <c r="M30"/>
  <c r="H30"/>
  <c r="BK35"/>
  <c r="BD35"/>
  <c r="BF35" s="1"/>
  <c r="AZ35"/>
  <c r="AI35"/>
  <c r="AK35"/>
  <c r="M35"/>
  <c r="H35"/>
  <c r="DG18"/>
  <c r="DJ18" s="1"/>
  <c r="DG20"/>
  <c r="DJ20" s="1"/>
  <c r="DG22"/>
  <c r="DJ22" s="1"/>
  <c r="DE24"/>
  <c r="DE27"/>
  <c r="DG27"/>
  <c r="DJ27" s="1"/>
  <c r="DE29"/>
  <c r="DG29"/>
  <c r="DJ29" s="1"/>
  <c r="C30"/>
  <c r="D30" s="1"/>
  <c r="E30"/>
  <c r="S30"/>
  <c r="T30" s="1"/>
  <c r="AP30"/>
  <c r="P31"/>
  <c r="DE31" s="1"/>
  <c r="AI31"/>
  <c r="AZ31"/>
  <c r="BD31"/>
  <c r="BF31" s="1"/>
  <c r="DG31"/>
  <c r="DJ31" s="1"/>
  <c r="C32"/>
  <c r="D32" s="1"/>
  <c r="E32"/>
  <c r="S32"/>
  <c r="T32" s="1"/>
  <c r="AP32"/>
  <c r="DG32"/>
  <c r="DJ32" s="1"/>
  <c r="C33"/>
  <c r="D33" s="1"/>
  <c r="E33"/>
  <c r="S33"/>
  <c r="T33" s="1"/>
  <c r="AP33"/>
  <c r="F34"/>
  <c r="P34"/>
  <c r="DE34" s="1"/>
  <c r="W34"/>
  <c r="X34" s="1"/>
  <c r="AI34"/>
  <c r="AZ34"/>
  <c r="BD34"/>
  <c r="BF34" s="1"/>
  <c r="DG34"/>
  <c r="DJ34" s="1"/>
  <c r="C35"/>
  <c r="D35" s="1"/>
  <c r="E35"/>
  <c r="S35"/>
  <c r="T35" s="1"/>
  <c r="AP35"/>
  <c r="F36"/>
  <c r="P36"/>
  <c r="DE36" s="1"/>
  <c r="W36"/>
  <c r="X36" s="1"/>
  <c r="AI36"/>
  <c r="AZ36"/>
  <c r="BD36"/>
  <c r="BF36" s="1"/>
  <c r="DG36"/>
  <c r="DJ36" s="1"/>
  <c r="C37"/>
  <c r="D37" s="1"/>
  <c r="E37"/>
  <c r="S37"/>
  <c r="T37" s="1"/>
  <c r="AP37"/>
  <c r="AV39"/>
  <c r="BU39"/>
  <c r="BW39"/>
  <c r="BY39"/>
  <c r="CA39"/>
  <c r="CC39"/>
  <c r="CE39"/>
  <c r="CG39"/>
  <c r="J45"/>
  <c r="DG28"/>
  <c r="DJ28" s="1"/>
  <c r="DG30"/>
  <c r="DJ30" s="1"/>
  <c r="DG33"/>
  <c r="DJ33" s="1"/>
  <c r="DG35"/>
  <c r="DJ35" s="1"/>
  <c r="DG37"/>
  <c r="DJ37" s="1"/>
  <c r="P32" i="104"/>
  <c r="DE32" s="1"/>
  <c r="BH32"/>
  <c r="AK32"/>
  <c r="M32"/>
  <c r="H32"/>
  <c r="BD32"/>
  <c r="BF32" s="1"/>
  <c r="AZ32"/>
  <c r="AI32"/>
  <c r="W32"/>
  <c r="X32" s="1"/>
  <c r="F32"/>
  <c r="BL32"/>
  <c r="T32"/>
  <c r="C32"/>
  <c r="D32" s="1"/>
  <c r="BE32" s="1"/>
  <c r="AP32"/>
  <c r="BK31"/>
  <c r="BD31"/>
  <c r="BF31" s="1"/>
  <c r="AZ31"/>
  <c r="AI31"/>
  <c r="BH31"/>
  <c r="AK31"/>
  <c r="M31"/>
  <c r="H31"/>
  <c r="BL31"/>
  <c r="C31"/>
  <c r="D31" s="1"/>
  <c r="E31"/>
  <c r="Q31"/>
  <c r="S31"/>
  <c r="T31" s="1"/>
  <c r="W31" s="1"/>
  <c r="AP31"/>
  <c r="BJ31"/>
  <c r="W35" i="105" l="1"/>
  <c r="X35" s="1"/>
  <c r="W32"/>
  <c r="X32" s="1"/>
  <c r="W31"/>
  <c r="X31" s="1"/>
  <c r="W33"/>
  <c r="X33" s="1"/>
  <c r="W30"/>
  <c r="X30" s="1"/>
  <c r="BE31"/>
  <c r="AE39" i="109"/>
  <c r="BE39" s="1"/>
  <c r="BE39" i="110"/>
  <c r="W41"/>
  <c r="X39"/>
  <c r="BK38"/>
  <c r="BL7"/>
  <c r="BL8" s="1"/>
  <c r="BB48" s="1"/>
  <c r="BB51" s="1"/>
  <c r="BB38"/>
  <c r="BB39" s="1"/>
  <c r="DH38"/>
  <c r="BD38"/>
  <c r="BD39" s="1"/>
  <c r="BF7"/>
  <c r="BF38" s="1"/>
  <c r="BF39" s="1"/>
  <c r="BB38" i="109"/>
  <c r="BB39" s="1"/>
  <c r="AA39"/>
  <c r="BE36" i="105"/>
  <c r="F35"/>
  <c r="BB35"/>
  <c r="BE34"/>
  <c r="BB34"/>
  <c r="BA38"/>
  <c r="CT40" i="107"/>
  <c r="F33" i="105"/>
  <c r="BB33"/>
  <c r="DA39"/>
  <c r="F32"/>
  <c r="BB32"/>
  <c r="BB31"/>
  <c r="F31"/>
  <c r="BH37" i="107"/>
  <c r="DI38" i="108"/>
  <c r="BD38" i="109"/>
  <c r="BD39" s="1"/>
  <c r="BF7"/>
  <c r="BF38" s="1"/>
  <c r="BF39" s="1"/>
  <c r="DH38"/>
  <c r="BK38"/>
  <c r="BL7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L24" s="1"/>
  <c r="BL25" s="1"/>
  <c r="BL26" s="1"/>
  <c r="BL27" s="1"/>
  <c r="BL28" s="1"/>
  <c r="BL29" s="1"/>
  <c r="BL30" s="1"/>
  <c r="BL31" s="1"/>
  <c r="BL32" s="1"/>
  <c r="BL33" s="1"/>
  <c r="BL34" s="1"/>
  <c r="BL35" s="1"/>
  <c r="BL36" s="1"/>
  <c r="BL37" s="1"/>
  <c r="BB48" s="1"/>
  <c r="BB51" s="1"/>
  <c r="BA39"/>
  <c r="AZ39" s="1"/>
  <c r="AK39"/>
  <c r="AI39"/>
  <c r="M39"/>
  <c r="W39"/>
  <c r="H39"/>
  <c r="F39"/>
  <c r="F41" s="1"/>
  <c r="AA39" i="108"/>
  <c r="BK38"/>
  <c r="BB48"/>
  <c r="BB51" s="1"/>
  <c r="BE39"/>
  <c r="BA39"/>
  <c r="AZ39" s="1"/>
  <c r="AK39"/>
  <c r="AI39"/>
  <c r="M39"/>
  <c r="W39"/>
  <c r="H39"/>
  <c r="F39"/>
  <c r="F41" s="1"/>
  <c r="BB38"/>
  <c r="BB39" s="1"/>
  <c r="BD38"/>
  <c r="BD39" s="1"/>
  <c r="BF38"/>
  <c r="BF39" s="1"/>
  <c r="AA39" i="107"/>
  <c r="AO44" i="105"/>
  <c r="CT39"/>
  <c r="BB38" i="107"/>
  <c r="BB39" s="1"/>
  <c r="BK38"/>
  <c r="BL7"/>
  <c r="BL8" s="1"/>
  <c r="BE39"/>
  <c r="BA39"/>
  <c r="AZ39" s="1"/>
  <c r="AK39"/>
  <c r="AI39"/>
  <c r="M39"/>
  <c r="W39"/>
  <c r="H39"/>
  <c r="F39"/>
  <c r="F41" s="1"/>
  <c r="DI38"/>
  <c r="BD38"/>
  <c r="BD39" s="1"/>
  <c r="BF7"/>
  <c r="BF38" s="1"/>
  <c r="BF39" s="1"/>
  <c r="CV39" i="105"/>
  <c r="X37"/>
  <c r="BE37" i="106"/>
  <c r="BB37"/>
  <c r="F37"/>
  <c r="BB36"/>
  <c r="BE36"/>
  <c r="F36"/>
  <c r="BB35"/>
  <c r="BE35"/>
  <c r="F35"/>
  <c r="BB34"/>
  <c r="BE34"/>
  <c r="F34"/>
  <c r="BB33"/>
  <c r="BE33"/>
  <c r="F33"/>
  <c r="BB31"/>
  <c r="BE31"/>
  <c r="F31"/>
  <c r="BB30"/>
  <c r="BE30"/>
  <c r="F30"/>
  <c r="BB29"/>
  <c r="BE29"/>
  <c r="F29"/>
  <c r="BB28"/>
  <c r="BE28"/>
  <c r="F28"/>
  <c r="BB27"/>
  <c r="BE27"/>
  <c r="F27"/>
  <c r="BB26"/>
  <c r="BE26"/>
  <c r="F26"/>
  <c r="BE25"/>
  <c r="BB25"/>
  <c r="F25"/>
  <c r="BB23"/>
  <c r="BE23"/>
  <c r="F23"/>
  <c r="BB22"/>
  <c r="BE22"/>
  <c r="F22"/>
  <c r="BB21"/>
  <c r="BE21"/>
  <c r="F21"/>
  <c r="BB20"/>
  <c r="BE20"/>
  <c r="F20"/>
  <c r="BB19"/>
  <c r="BE19"/>
  <c r="F19"/>
  <c r="AP39"/>
  <c r="BB18"/>
  <c r="BE18"/>
  <c r="F18"/>
  <c r="BE17"/>
  <c r="BB17"/>
  <c r="F17"/>
  <c r="BE16"/>
  <c r="BB16"/>
  <c r="F16"/>
  <c r="BE15"/>
  <c r="BB15"/>
  <c r="F15"/>
  <c r="BE14"/>
  <c r="BB14"/>
  <c r="F14"/>
  <c r="BE13"/>
  <c r="BB13"/>
  <c r="F13"/>
  <c r="BE12"/>
  <c r="BB12"/>
  <c r="F12"/>
  <c r="BE11"/>
  <c r="BB11"/>
  <c r="F11"/>
  <c r="BE10"/>
  <c r="BB10"/>
  <c r="F10"/>
  <c r="BE9"/>
  <c r="BB9"/>
  <c r="F9"/>
  <c r="E39"/>
  <c r="C39"/>
  <c r="CR39"/>
  <c r="DK38"/>
  <c r="S39"/>
  <c r="S41" s="1"/>
  <c r="D38"/>
  <c r="BE7"/>
  <c r="BB7"/>
  <c r="DJ38"/>
  <c r="T38"/>
  <c r="AE39"/>
  <c r="BA38"/>
  <c r="AA39"/>
  <c r="BH7"/>
  <c r="AI7"/>
  <c r="W7"/>
  <c r="X7" s="1"/>
  <c r="F7"/>
  <c r="BK7"/>
  <c r="BD7"/>
  <c r="AK7"/>
  <c r="M7"/>
  <c r="H7"/>
  <c r="P38"/>
  <c r="P39" s="1"/>
  <c r="DE7"/>
  <c r="DE38" s="1"/>
  <c r="DG38"/>
  <c r="DI38" s="1"/>
  <c r="X36" i="104"/>
  <c r="BE37"/>
  <c r="F37"/>
  <c r="BB37"/>
  <c r="BB36"/>
  <c r="BB35"/>
  <c r="BB34"/>
  <c r="BE34"/>
  <c r="F34"/>
  <c r="CR39" i="105"/>
  <c r="BE33" i="104"/>
  <c r="BB33"/>
  <c r="F33"/>
  <c r="BE37" i="105"/>
  <c r="BE33"/>
  <c r="E39"/>
  <c r="C39"/>
  <c r="S39"/>
  <c r="S41" s="1"/>
  <c r="BE35"/>
  <c r="BE32"/>
  <c r="BB30"/>
  <c r="BE30"/>
  <c r="F30"/>
  <c r="D38"/>
  <c r="BB7"/>
  <c r="BE7"/>
  <c r="T7"/>
  <c r="DE38"/>
  <c r="DG38"/>
  <c r="DI38" s="1"/>
  <c r="DJ7"/>
  <c r="DJ38" s="1"/>
  <c r="AE39"/>
  <c r="BK7"/>
  <c r="BD7"/>
  <c r="AK7"/>
  <c r="M7"/>
  <c r="BH7"/>
  <c r="BH34" s="1"/>
  <c r="BH35" s="1"/>
  <c r="BH36" s="1"/>
  <c r="BH37" s="1"/>
  <c r="AI7"/>
  <c r="F7"/>
  <c r="DK38"/>
  <c r="AP39"/>
  <c r="P38"/>
  <c r="P39" s="1"/>
  <c r="BB31" i="104"/>
  <c r="BE31"/>
  <c r="F31"/>
  <c r="X31"/>
  <c r="T38" i="105" l="1"/>
  <c r="W7"/>
  <c r="X7" s="1"/>
  <c r="BL37" i="107"/>
  <c r="BB48" s="1"/>
  <c r="BB51" s="1"/>
  <c r="W41" i="109"/>
  <c r="X39"/>
  <c r="W41" i="108"/>
  <c r="X39"/>
  <c r="CT40" i="105"/>
  <c r="W41" i="107"/>
  <c r="X39"/>
  <c r="DH38" i="106"/>
  <c r="BD38"/>
  <c r="BD39" s="1"/>
  <c r="BF7"/>
  <c r="BF38" s="1"/>
  <c r="BF39" s="1"/>
  <c r="BB38"/>
  <c r="BB39" s="1"/>
  <c r="BK38"/>
  <c r="BL7"/>
  <c r="BB48" s="1"/>
  <c r="BB51" s="1"/>
  <c r="BE39"/>
  <c r="BA39"/>
  <c r="AZ39" s="1"/>
  <c r="AK39"/>
  <c r="AI39"/>
  <c r="M39"/>
  <c r="W39"/>
  <c r="W41" s="1"/>
  <c r="H39"/>
  <c r="F39"/>
  <c r="F41" s="1"/>
  <c r="Q39"/>
  <c r="AA39" i="105"/>
  <c r="BD38"/>
  <c r="BD39" s="1"/>
  <c r="BF7"/>
  <c r="BF38" s="1"/>
  <c r="BF39" s="1"/>
  <c r="DH38"/>
  <c r="BK38"/>
  <c r="BL7"/>
  <c r="BL30" s="1"/>
  <c r="BL31" s="1"/>
  <c r="BL32" s="1"/>
  <c r="BL33" s="1"/>
  <c r="BL34" s="1"/>
  <c r="BL35" s="1"/>
  <c r="BL36" s="1"/>
  <c r="BL37" s="1"/>
  <c r="BB48" s="1"/>
  <c r="BB51" s="1"/>
  <c r="BE39"/>
  <c r="BA39"/>
  <c r="AZ39" s="1"/>
  <c r="AK39"/>
  <c r="AI39"/>
  <c r="M39"/>
  <c r="W39"/>
  <c r="W41" s="1"/>
  <c r="H39"/>
  <c r="F39"/>
  <c r="F41" s="1"/>
  <c r="Q39"/>
  <c r="BB38"/>
  <c r="BB39" s="1"/>
  <c r="DD30" i="104"/>
  <c r="DC30"/>
  <c r="DB30"/>
  <c r="DA30"/>
  <c r="CZ30"/>
  <c r="CY30"/>
  <c r="CX30"/>
  <c r="CW30"/>
  <c r="CV30"/>
  <c r="CU30"/>
  <c r="CT30"/>
  <c r="BI30"/>
  <c r="BC30"/>
  <c r="BA30"/>
  <c r="V30"/>
  <c r="R30"/>
  <c r="O30"/>
  <c r="P30" s="1"/>
  <c r="DE30" s="1"/>
  <c r="N30"/>
  <c r="L30"/>
  <c r="J30"/>
  <c r="I30"/>
  <c r="B30"/>
  <c r="X39" i="106" l="1"/>
  <c r="X39" i="105"/>
  <c r="BK30" i="104"/>
  <c r="BD30"/>
  <c r="BF30" s="1"/>
  <c r="AZ30"/>
  <c r="AI30"/>
  <c r="BH30"/>
  <c r="AK30"/>
  <c r="M30"/>
  <c r="H30"/>
  <c r="BL30"/>
  <c r="C30"/>
  <c r="D30" s="1"/>
  <c r="E30"/>
  <c r="Q30"/>
  <c r="S30"/>
  <c r="T30" s="1"/>
  <c r="W30" s="1"/>
  <c r="AP30"/>
  <c r="BJ30"/>
  <c r="B29"/>
  <c r="C29" s="1"/>
  <c r="D29" s="1"/>
  <c r="I29"/>
  <c r="DK29" s="1"/>
  <c r="J29"/>
  <c r="L29"/>
  <c r="N29"/>
  <c r="O29"/>
  <c r="P29" s="1"/>
  <c r="DE29" s="1"/>
  <c r="R29"/>
  <c r="S29" s="1"/>
  <c r="T29" s="1"/>
  <c r="V29"/>
  <c r="AP29"/>
  <c r="BA29"/>
  <c r="H29" s="1"/>
  <c r="BC29"/>
  <c r="BH29"/>
  <c r="BI29"/>
  <c r="BJ29" s="1"/>
  <c r="BK29"/>
  <c r="CT29"/>
  <c r="CU29"/>
  <c r="CV29"/>
  <c r="CW29"/>
  <c r="CX29"/>
  <c r="CY29"/>
  <c r="CZ29"/>
  <c r="DA29"/>
  <c r="DB29"/>
  <c r="DC29"/>
  <c r="DD29"/>
  <c r="B28"/>
  <c r="C28" s="1"/>
  <c r="D28" s="1"/>
  <c r="I28"/>
  <c r="DK28" s="1"/>
  <c r="J28"/>
  <c r="L28"/>
  <c r="N28"/>
  <c r="O28"/>
  <c r="P28" s="1"/>
  <c r="DE28" s="1"/>
  <c r="R28"/>
  <c r="S28" s="1"/>
  <c r="T28" s="1"/>
  <c r="V28"/>
  <c r="AP28"/>
  <c r="BA28"/>
  <c r="H28" s="1"/>
  <c r="BC28"/>
  <c r="BH28"/>
  <c r="BI28"/>
  <c r="BJ28" s="1"/>
  <c r="BK28"/>
  <c r="CT28"/>
  <c r="CU28"/>
  <c r="CV28"/>
  <c r="CW28"/>
  <c r="CX28"/>
  <c r="CY28"/>
  <c r="CZ28"/>
  <c r="DA28"/>
  <c r="DB28"/>
  <c r="DC28"/>
  <c r="DD28"/>
  <c r="DG28"/>
  <c r="DJ28" s="1"/>
  <c r="DD27"/>
  <c r="DC27"/>
  <c r="DB27"/>
  <c r="DA27"/>
  <c r="CZ27"/>
  <c r="CY27"/>
  <c r="CX27"/>
  <c r="CW27"/>
  <c r="CV27"/>
  <c r="CU27"/>
  <c r="CT27"/>
  <c r="BI27"/>
  <c r="BC27"/>
  <c r="BA27"/>
  <c r="V27"/>
  <c r="R27"/>
  <c r="S27" s="1"/>
  <c r="O27"/>
  <c r="Q27" s="1"/>
  <c r="N27"/>
  <c r="L27"/>
  <c r="J27"/>
  <c r="I27"/>
  <c r="B27"/>
  <c r="E27" s="1"/>
  <c r="DD26"/>
  <c r="DC26"/>
  <c r="DB26"/>
  <c r="DA26"/>
  <c r="CZ26"/>
  <c r="CY26"/>
  <c r="CX26"/>
  <c r="CW26"/>
  <c r="CV26"/>
  <c r="CU26"/>
  <c r="CT26"/>
  <c r="BI26"/>
  <c r="BC26"/>
  <c r="BA26"/>
  <c r="V26"/>
  <c r="R26"/>
  <c r="O26"/>
  <c r="Q26" s="1"/>
  <c r="N26"/>
  <c r="L26"/>
  <c r="J26"/>
  <c r="I26"/>
  <c r="B26"/>
  <c r="E26" s="1"/>
  <c r="DD25"/>
  <c r="DC25"/>
  <c r="DB25"/>
  <c r="DA25"/>
  <c r="CZ25"/>
  <c r="CY25"/>
  <c r="CX25"/>
  <c r="CW25"/>
  <c r="CV25"/>
  <c r="CU25"/>
  <c r="CT25"/>
  <c r="BI25"/>
  <c r="BC25"/>
  <c r="BA25"/>
  <c r="V25"/>
  <c r="R25"/>
  <c r="S25" s="1"/>
  <c r="O25"/>
  <c r="Q25" s="1"/>
  <c r="N25"/>
  <c r="L25"/>
  <c r="J25"/>
  <c r="I25"/>
  <c r="B25"/>
  <c r="E25" s="1"/>
  <c r="DD24"/>
  <c r="DC24"/>
  <c r="DB24"/>
  <c r="DA24"/>
  <c r="CZ24"/>
  <c r="CY24"/>
  <c r="CX24"/>
  <c r="CW24"/>
  <c r="CV24"/>
  <c r="CU24"/>
  <c r="CT24"/>
  <c r="BI24"/>
  <c r="BC24"/>
  <c r="BF24" s="1"/>
  <c r="BA24"/>
  <c r="BK24" s="1"/>
  <c r="AP24"/>
  <c r="AK24"/>
  <c r="V24"/>
  <c r="R24"/>
  <c r="O24"/>
  <c r="P24" s="1"/>
  <c r="DE24" s="1"/>
  <c r="N24"/>
  <c r="M24"/>
  <c r="L24"/>
  <c r="J24"/>
  <c r="I24"/>
  <c r="H24"/>
  <c r="B24"/>
  <c r="BI23"/>
  <c r="BC23"/>
  <c r="BA23"/>
  <c r="V23"/>
  <c r="R23"/>
  <c r="O23"/>
  <c r="P23" s="1"/>
  <c r="N23"/>
  <c r="L23"/>
  <c r="J23"/>
  <c r="I23"/>
  <c r="B23"/>
  <c r="DG29" l="1"/>
  <c r="DJ29" s="1"/>
  <c r="Q29"/>
  <c r="BB30"/>
  <c r="BE30"/>
  <c r="F30"/>
  <c r="X30"/>
  <c r="Q28"/>
  <c r="P27"/>
  <c r="BL29"/>
  <c r="AI29"/>
  <c r="W29"/>
  <c r="F29"/>
  <c r="BD29"/>
  <c r="BF29" s="1"/>
  <c r="AZ29"/>
  <c r="AK29"/>
  <c r="M29"/>
  <c r="E29"/>
  <c r="BE29" s="1"/>
  <c r="BL28"/>
  <c r="AI28"/>
  <c r="W28"/>
  <c r="F28"/>
  <c r="BD28"/>
  <c r="BF28" s="1"/>
  <c r="AZ28"/>
  <c r="AK28"/>
  <c r="M28"/>
  <c r="E28"/>
  <c r="BB28" s="1"/>
  <c r="BH27"/>
  <c r="AK27"/>
  <c r="M27"/>
  <c r="H27"/>
  <c r="AZ27"/>
  <c r="AI27"/>
  <c r="BK27"/>
  <c r="BD27"/>
  <c r="BF27" s="1"/>
  <c r="BL27"/>
  <c r="T27"/>
  <c r="W27" s="1"/>
  <c r="X27" s="1"/>
  <c r="C27"/>
  <c r="D27" s="1"/>
  <c r="AP27"/>
  <c r="BJ27"/>
  <c r="P26"/>
  <c r="DE26" s="1"/>
  <c r="BK26"/>
  <c r="AZ26"/>
  <c r="AI26"/>
  <c r="BH26"/>
  <c r="AK26"/>
  <c r="M26"/>
  <c r="H26"/>
  <c r="BD26"/>
  <c r="BF26" s="1"/>
  <c r="BL26"/>
  <c r="C26"/>
  <c r="D26" s="1"/>
  <c r="S26"/>
  <c r="T26" s="1"/>
  <c r="W26" s="1"/>
  <c r="X26" s="1"/>
  <c r="AP26"/>
  <c r="BJ26"/>
  <c r="P25"/>
  <c r="DE25" s="1"/>
  <c r="BK25"/>
  <c r="BH25"/>
  <c r="AK25"/>
  <c r="M25"/>
  <c r="H25"/>
  <c r="BD25"/>
  <c r="BF25" s="1"/>
  <c r="AZ25"/>
  <c r="AI25"/>
  <c r="BL25"/>
  <c r="T25"/>
  <c r="W25" s="1"/>
  <c r="X25" s="1"/>
  <c r="C25"/>
  <c r="D25" s="1"/>
  <c r="AP25"/>
  <c r="BJ25"/>
  <c r="E24"/>
  <c r="C24"/>
  <c r="D24" s="1"/>
  <c r="S24"/>
  <c r="T24" s="1"/>
  <c r="W24" s="1"/>
  <c r="BL24"/>
  <c r="Q24"/>
  <c r="AI24"/>
  <c r="AZ24"/>
  <c r="BH24"/>
  <c r="BJ24"/>
  <c r="BK23"/>
  <c r="BD23"/>
  <c r="BF23" s="1"/>
  <c r="AZ23"/>
  <c r="AI23"/>
  <c r="BH23"/>
  <c r="AK23"/>
  <c r="BL23"/>
  <c r="C23"/>
  <c r="D23" s="1"/>
  <c r="E23"/>
  <c r="Q23"/>
  <c r="S23"/>
  <c r="T23" s="1"/>
  <c r="W23" s="1"/>
  <c r="AP23"/>
  <c r="BJ23"/>
  <c r="B22"/>
  <c r="C22" s="1"/>
  <c r="D22" s="1"/>
  <c r="I22"/>
  <c r="DK22" s="1"/>
  <c r="J22"/>
  <c r="L22"/>
  <c r="N22"/>
  <c r="O22"/>
  <c r="P22" s="1"/>
  <c r="DE22" s="1"/>
  <c r="R22"/>
  <c r="S22" s="1"/>
  <c r="T22" s="1"/>
  <c r="V22"/>
  <c r="AP22"/>
  <c r="BA22"/>
  <c r="H22" s="1"/>
  <c r="BC22"/>
  <c r="BH22"/>
  <c r="BI22"/>
  <c r="BJ22" s="1"/>
  <c r="BK22"/>
  <c r="CT22"/>
  <c r="CU22"/>
  <c r="CV22"/>
  <c r="CW22"/>
  <c r="CX22"/>
  <c r="CY22"/>
  <c r="CZ22"/>
  <c r="DA22"/>
  <c r="DB22"/>
  <c r="DC22"/>
  <c r="DD22"/>
  <c r="B21"/>
  <c r="C21" s="1"/>
  <c r="D21" s="1"/>
  <c r="I21"/>
  <c r="DK21" s="1"/>
  <c r="J21"/>
  <c r="L21"/>
  <c r="N21"/>
  <c r="O21"/>
  <c r="P21" s="1"/>
  <c r="DE21" s="1"/>
  <c r="R21"/>
  <c r="S21" s="1"/>
  <c r="T21" s="1"/>
  <c r="V21"/>
  <c r="AP21"/>
  <c r="BA21"/>
  <c r="H21" s="1"/>
  <c r="BC21"/>
  <c r="BH21"/>
  <c r="BI21"/>
  <c r="BJ21" s="1"/>
  <c r="BK21"/>
  <c r="CT21"/>
  <c r="CU21"/>
  <c r="CV21"/>
  <c r="CW21"/>
  <c r="CX21"/>
  <c r="CY21"/>
  <c r="CZ21"/>
  <c r="DA21"/>
  <c r="DB21"/>
  <c r="DC21"/>
  <c r="DD21"/>
  <c r="DG21"/>
  <c r="DJ21" s="1"/>
  <c r="BI20"/>
  <c r="BC20"/>
  <c r="BA20"/>
  <c r="V20"/>
  <c r="R20"/>
  <c r="O20"/>
  <c r="P20" s="1"/>
  <c r="N20"/>
  <c r="L20"/>
  <c r="J20"/>
  <c r="I20"/>
  <c r="B20"/>
  <c r="E20" s="1"/>
  <c r="DD19"/>
  <c r="DC19"/>
  <c r="DB19"/>
  <c r="DA19"/>
  <c r="CZ19"/>
  <c r="CY19"/>
  <c r="CX19"/>
  <c r="CW19"/>
  <c r="CV19"/>
  <c r="CU19"/>
  <c r="CT19"/>
  <c r="BI19"/>
  <c r="BC19"/>
  <c r="BA19"/>
  <c r="V19"/>
  <c r="R19"/>
  <c r="O19"/>
  <c r="P19" s="1"/>
  <c r="DE19" s="1"/>
  <c r="N19"/>
  <c r="L19"/>
  <c r="J19"/>
  <c r="I19"/>
  <c r="B19"/>
  <c r="X29" l="1"/>
  <c r="X28"/>
  <c r="BB29"/>
  <c r="BE28"/>
  <c r="BE27"/>
  <c r="BB27"/>
  <c r="F27"/>
  <c r="BE26"/>
  <c r="BB26"/>
  <c r="F26"/>
  <c r="BE25"/>
  <c r="BB25"/>
  <c r="F25"/>
  <c r="BE24"/>
  <c r="BB24"/>
  <c r="F24"/>
  <c r="X24"/>
  <c r="DG22"/>
  <c r="DJ22" s="1"/>
  <c r="Q22"/>
  <c r="BB23"/>
  <c r="BE23"/>
  <c r="F23"/>
  <c r="X23"/>
  <c r="Q21"/>
  <c r="BL22"/>
  <c r="AI22"/>
  <c r="W22"/>
  <c r="X22" s="1"/>
  <c r="F22"/>
  <c r="BD22"/>
  <c r="BF22" s="1"/>
  <c r="AZ22"/>
  <c r="AK22"/>
  <c r="M22"/>
  <c r="E22"/>
  <c r="BE22" s="1"/>
  <c r="BL21"/>
  <c r="AI21"/>
  <c r="W21"/>
  <c r="X21" s="1"/>
  <c r="F21"/>
  <c r="BD21"/>
  <c r="BF21" s="1"/>
  <c r="AZ21"/>
  <c r="AK21"/>
  <c r="M21"/>
  <c r="E21"/>
  <c r="BE21" s="1"/>
  <c r="Q20"/>
  <c r="BK20"/>
  <c r="BD20"/>
  <c r="BF20" s="1"/>
  <c r="AZ20"/>
  <c r="AI20"/>
  <c r="BH20"/>
  <c r="AK20"/>
  <c r="BL20"/>
  <c r="C20"/>
  <c r="D20" s="1"/>
  <c r="S20"/>
  <c r="T20" s="1"/>
  <c r="W20" s="1"/>
  <c r="AP20"/>
  <c r="BJ20"/>
  <c r="Q19"/>
  <c r="BK19"/>
  <c r="BD19"/>
  <c r="BF19" s="1"/>
  <c r="AZ19"/>
  <c r="AI19"/>
  <c r="BH19"/>
  <c r="AK19"/>
  <c r="M19"/>
  <c r="H19"/>
  <c r="BL19"/>
  <c r="C19"/>
  <c r="D19" s="1"/>
  <c r="E19"/>
  <c r="S19"/>
  <c r="T19" s="1"/>
  <c r="W19" s="1"/>
  <c r="X19" s="1"/>
  <c r="AP19"/>
  <c r="BJ19"/>
  <c r="B18"/>
  <c r="C18" s="1"/>
  <c r="D18" s="1"/>
  <c r="I18"/>
  <c r="DK18" s="1"/>
  <c r="J18"/>
  <c r="L18"/>
  <c r="N18"/>
  <c r="O18"/>
  <c r="P18" s="1"/>
  <c r="R18"/>
  <c r="S18" s="1"/>
  <c r="T18" s="1"/>
  <c r="V18"/>
  <c r="AP18"/>
  <c r="BA18"/>
  <c r="H18" s="1"/>
  <c r="BC18"/>
  <c r="BH18"/>
  <c r="BI18"/>
  <c r="BJ18"/>
  <c r="BK18"/>
  <c r="BL18"/>
  <c r="CT18"/>
  <c r="CU18"/>
  <c r="CV18"/>
  <c r="CW18"/>
  <c r="CX18"/>
  <c r="CY18"/>
  <c r="CZ18"/>
  <c r="DA18"/>
  <c r="DB18"/>
  <c r="DC18"/>
  <c r="DD18"/>
  <c r="DG18"/>
  <c r="DJ18" s="1"/>
  <c r="BI17"/>
  <c r="BC17"/>
  <c r="AP17"/>
  <c r="BA17"/>
  <c r="V17"/>
  <c r="R17"/>
  <c r="O17"/>
  <c r="P17" s="1"/>
  <c r="N17"/>
  <c r="L17"/>
  <c r="J17"/>
  <c r="I17"/>
  <c r="B17"/>
  <c r="C17" s="1"/>
  <c r="BI16"/>
  <c r="BC16"/>
  <c r="AP16"/>
  <c r="BA16"/>
  <c r="V16"/>
  <c r="R16"/>
  <c r="S16" s="1"/>
  <c r="O16"/>
  <c r="P16" s="1"/>
  <c r="N16"/>
  <c r="L16"/>
  <c r="J16"/>
  <c r="I16"/>
  <c r="B16"/>
  <c r="E16" s="1"/>
  <c r="CT16"/>
  <c r="CU16"/>
  <c r="CV16"/>
  <c r="CW16"/>
  <c r="CX16"/>
  <c r="CY16"/>
  <c r="CZ16"/>
  <c r="DA16"/>
  <c r="DB16"/>
  <c r="DC16"/>
  <c r="J8" i="101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X20" i="104" l="1"/>
  <c r="BB22"/>
  <c r="BB21"/>
  <c r="BB20"/>
  <c r="BE20"/>
  <c r="F20"/>
  <c r="Q18"/>
  <c r="DE18"/>
  <c r="BB19"/>
  <c r="BE19"/>
  <c r="F19"/>
  <c r="AI18"/>
  <c r="W18"/>
  <c r="X18" s="1"/>
  <c r="F18"/>
  <c r="BD18"/>
  <c r="BF18" s="1"/>
  <c r="AZ18"/>
  <c r="AK18"/>
  <c r="M18"/>
  <c r="E18"/>
  <c r="BE18" s="1"/>
  <c r="S17"/>
  <c r="T17" s="1"/>
  <c r="W17" s="1"/>
  <c r="D17"/>
  <c r="F17" s="1"/>
  <c r="E17"/>
  <c r="BK17"/>
  <c r="BL17" s="1"/>
  <c r="BD17"/>
  <c r="BF17" s="1"/>
  <c r="BH17"/>
  <c r="AI17"/>
  <c r="AK17"/>
  <c r="Q17"/>
  <c r="BJ17"/>
  <c r="Q16"/>
  <c r="BK16"/>
  <c r="BL16" s="1"/>
  <c r="BD16"/>
  <c r="BF16" s="1"/>
  <c r="AK16"/>
  <c r="M16"/>
  <c r="H16"/>
  <c r="BH16"/>
  <c r="AI16"/>
  <c r="T16"/>
  <c r="W16" s="1"/>
  <c r="X16" s="1"/>
  <c r="BJ16"/>
  <c r="C16"/>
  <c r="D16" s="1"/>
  <c r="B15"/>
  <c r="C15" s="1"/>
  <c r="D15" s="1"/>
  <c r="I15"/>
  <c r="DK15" s="1"/>
  <c r="J15"/>
  <c r="L15"/>
  <c r="N15"/>
  <c r="O15"/>
  <c r="P15" s="1"/>
  <c r="R15"/>
  <c r="S15" s="1"/>
  <c r="T15" s="1"/>
  <c r="V15"/>
  <c r="AP15"/>
  <c r="BA15"/>
  <c r="H15" s="1"/>
  <c r="BC15"/>
  <c r="BD15"/>
  <c r="BF15"/>
  <c r="BH15"/>
  <c r="BI15"/>
  <c r="BJ15" s="1"/>
  <c r="BK15"/>
  <c r="CT15"/>
  <c r="CU15"/>
  <c r="CV15"/>
  <c r="CW15"/>
  <c r="CX15"/>
  <c r="CY15"/>
  <c r="CZ15"/>
  <c r="DA15"/>
  <c r="DB15"/>
  <c r="DC15"/>
  <c r="DD15"/>
  <c r="DG15"/>
  <c r="DJ15" s="1"/>
  <c r="B14"/>
  <c r="C14" s="1"/>
  <c r="D14" s="1"/>
  <c r="I14"/>
  <c r="DK14" s="1"/>
  <c r="J14"/>
  <c r="L14"/>
  <c r="N14"/>
  <c r="O14"/>
  <c r="P14" s="1"/>
  <c r="R14"/>
  <c r="S14" s="1"/>
  <c r="T14" s="1"/>
  <c r="V14"/>
  <c r="AP14"/>
  <c r="BA14"/>
  <c r="H14" s="1"/>
  <c r="BC14"/>
  <c r="BD14"/>
  <c r="BF14"/>
  <c r="BH14"/>
  <c r="BI14"/>
  <c r="BJ14" s="1"/>
  <c r="BK14"/>
  <c r="CT14"/>
  <c r="CU14"/>
  <c r="CV14"/>
  <c r="CW14"/>
  <c r="CX14"/>
  <c r="CY14"/>
  <c r="CZ14"/>
  <c r="DA14"/>
  <c r="DB14"/>
  <c r="DC14"/>
  <c r="DD14"/>
  <c r="DG14"/>
  <c r="DJ14" s="1"/>
  <c r="DD13"/>
  <c r="DC13"/>
  <c r="DB13"/>
  <c r="DA13"/>
  <c r="CZ13"/>
  <c r="CY13"/>
  <c r="CX13"/>
  <c r="CW13"/>
  <c r="CV13"/>
  <c r="CU13"/>
  <c r="CT13"/>
  <c r="BI13"/>
  <c r="BC13"/>
  <c r="AP13"/>
  <c r="V13"/>
  <c r="R13"/>
  <c r="S13" s="1"/>
  <c r="O13"/>
  <c r="N13"/>
  <c r="L13"/>
  <c r="J13"/>
  <c r="I13"/>
  <c r="B13"/>
  <c r="E13" s="1"/>
  <c r="BE17" l="1"/>
  <c r="BB18"/>
  <c r="BB17"/>
  <c r="X17"/>
  <c r="BB16"/>
  <c r="BE16"/>
  <c r="F16"/>
  <c r="Q14"/>
  <c r="DE14"/>
  <c r="Q15"/>
  <c r="DE15"/>
  <c r="C13"/>
  <c r="T13"/>
  <c r="AI15"/>
  <c r="W15"/>
  <c r="F15"/>
  <c r="BL15"/>
  <c r="AK15"/>
  <c r="M15"/>
  <c r="E15"/>
  <c r="BB15" s="1"/>
  <c r="AI14"/>
  <c r="W14"/>
  <c r="X14" s="1"/>
  <c r="F14"/>
  <c r="BL14"/>
  <c r="AK14"/>
  <c r="M14"/>
  <c r="E14"/>
  <c r="BB14" s="1"/>
  <c r="D13"/>
  <c r="P13"/>
  <c r="DE13" s="1"/>
  <c r="BA13"/>
  <c r="BJ13"/>
  <c r="X15" l="1"/>
  <c r="BE15"/>
  <c r="BE14"/>
  <c r="Q13"/>
  <c r="BK13"/>
  <c r="BL13" s="1"/>
  <c r="BD13"/>
  <c r="BF13" s="1"/>
  <c r="AK13"/>
  <c r="M13"/>
  <c r="H13"/>
  <c r="BH13"/>
  <c r="AI13"/>
  <c r="W13"/>
  <c r="F13"/>
  <c r="BB13"/>
  <c r="BE13"/>
  <c r="X13" l="1"/>
  <c r="DD12" l="1"/>
  <c r="DC12"/>
  <c r="DB12"/>
  <c r="DA12"/>
  <c r="CZ12"/>
  <c r="CY12"/>
  <c r="CX12"/>
  <c r="CW12"/>
  <c r="CV12"/>
  <c r="CU12"/>
  <c r="CT12"/>
  <c r="BI12"/>
  <c r="BC12"/>
  <c r="AP12"/>
  <c r="BA12"/>
  <c r="V12"/>
  <c r="R12"/>
  <c r="S12" s="1"/>
  <c r="O12"/>
  <c r="N12"/>
  <c r="L12"/>
  <c r="J12"/>
  <c r="I12"/>
  <c r="B12"/>
  <c r="E12" s="1"/>
  <c r="C12" l="1"/>
  <c r="D12" s="1"/>
  <c r="F12" s="1"/>
  <c r="T12"/>
  <c r="BK12"/>
  <c r="BD12"/>
  <c r="BF12" s="1"/>
  <c r="AK12"/>
  <c r="M12"/>
  <c r="H12"/>
  <c r="BH12"/>
  <c r="AI12"/>
  <c r="W12"/>
  <c r="BL12"/>
  <c r="P12"/>
  <c r="DE12" s="1"/>
  <c r="BJ12"/>
  <c r="B11"/>
  <c r="C11" s="1"/>
  <c r="D11" s="1"/>
  <c r="I11"/>
  <c r="DK11" s="1"/>
  <c r="J11"/>
  <c r="L11"/>
  <c r="N11"/>
  <c r="O11"/>
  <c r="P11" s="1"/>
  <c r="DE11" s="1"/>
  <c r="R11"/>
  <c r="S11" s="1"/>
  <c r="T11" s="1"/>
  <c r="V11"/>
  <c r="AP11"/>
  <c r="BA11"/>
  <c r="H11" s="1"/>
  <c r="BC11"/>
  <c r="BH11"/>
  <c r="BI11"/>
  <c r="BJ11" s="1"/>
  <c r="BK11"/>
  <c r="CT11"/>
  <c r="CU11"/>
  <c r="CV11"/>
  <c r="CW11"/>
  <c r="CX11"/>
  <c r="CY11"/>
  <c r="CZ11"/>
  <c r="DA11"/>
  <c r="DB11"/>
  <c r="DC11"/>
  <c r="DD11"/>
  <c r="DG11"/>
  <c r="DJ11" s="1"/>
  <c r="B10"/>
  <c r="C10" s="1"/>
  <c r="D10" s="1"/>
  <c r="I10"/>
  <c r="DK10" s="1"/>
  <c r="J10"/>
  <c r="L10"/>
  <c r="N10"/>
  <c r="O10"/>
  <c r="P10" s="1"/>
  <c r="DE10" s="1"/>
  <c r="R10"/>
  <c r="S10" s="1"/>
  <c r="T10" s="1"/>
  <c r="V10"/>
  <c r="AP10"/>
  <c r="BA10"/>
  <c r="H10" s="1"/>
  <c r="BC10"/>
  <c r="BH10"/>
  <c r="BI10"/>
  <c r="BJ10" s="1"/>
  <c r="BK10"/>
  <c r="CT10"/>
  <c r="CU10"/>
  <c r="CV10"/>
  <c r="CW10"/>
  <c r="CX10"/>
  <c r="CY10"/>
  <c r="CZ10"/>
  <c r="DA10"/>
  <c r="DB10"/>
  <c r="DC10"/>
  <c r="DD10"/>
  <c r="DG10"/>
  <c r="DJ10" s="1"/>
  <c r="B9"/>
  <c r="C9" s="1"/>
  <c r="D9" s="1"/>
  <c r="I9"/>
  <c r="DG9" s="1"/>
  <c r="DJ9" s="1"/>
  <c r="J9"/>
  <c r="L9"/>
  <c r="N9"/>
  <c r="O9"/>
  <c r="P9" s="1"/>
  <c r="DE9" s="1"/>
  <c r="R9"/>
  <c r="S9" s="1"/>
  <c r="T9" s="1"/>
  <c r="V9"/>
  <c r="AP9"/>
  <c r="BA9"/>
  <c r="H9" s="1"/>
  <c r="BC9"/>
  <c r="BD9"/>
  <c r="BF9" s="1"/>
  <c r="BH9"/>
  <c r="BI9"/>
  <c r="BJ9" s="1"/>
  <c r="BK9"/>
  <c r="CT9"/>
  <c r="CU9"/>
  <c r="CV9"/>
  <c r="CW9"/>
  <c r="CX9"/>
  <c r="CY9"/>
  <c r="CZ9"/>
  <c r="DA9"/>
  <c r="DB9"/>
  <c r="DC9"/>
  <c r="DD9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H39" s="1"/>
  <c r="BR38"/>
  <c r="BZ39" s="1"/>
  <c r="BQ38"/>
  <c r="CF39" s="1"/>
  <c r="BP38"/>
  <c r="BX39" s="1"/>
  <c r="BO38"/>
  <c r="CD39" s="1"/>
  <c r="BN38"/>
  <c r="BV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K37"/>
  <c r="DD34"/>
  <c r="DC34"/>
  <c r="DB34"/>
  <c r="DA34"/>
  <c r="CZ34"/>
  <c r="CY34"/>
  <c r="CX34"/>
  <c r="CW34"/>
  <c r="CV34"/>
  <c r="CU34"/>
  <c r="CT34"/>
  <c r="DK34"/>
  <c r="DE33"/>
  <c r="DK33"/>
  <c r="DK32"/>
  <c r="DK31"/>
  <c r="DG30"/>
  <c r="DJ30" s="1"/>
  <c r="DE27"/>
  <c r="DK27"/>
  <c r="DG26"/>
  <c r="DJ26" s="1"/>
  <c r="DK25"/>
  <c r="DG24"/>
  <c r="DJ24" s="1"/>
  <c r="DD23"/>
  <c r="DC23"/>
  <c r="DB23"/>
  <c r="DA23"/>
  <c r="CZ23"/>
  <c r="CY23"/>
  <c r="CX23"/>
  <c r="CW23"/>
  <c r="CV23"/>
  <c r="M23" s="1"/>
  <c r="CU23"/>
  <c r="CT23"/>
  <c r="DK23"/>
  <c r="DD20"/>
  <c r="DC20"/>
  <c r="DB20"/>
  <c r="DA20"/>
  <c r="CZ20"/>
  <c r="CY20"/>
  <c r="CX20"/>
  <c r="CW20"/>
  <c r="CV20"/>
  <c r="CU20"/>
  <c r="CT20"/>
  <c r="DE20"/>
  <c r="DK20"/>
  <c r="DK19"/>
  <c r="DD17"/>
  <c r="DC17"/>
  <c r="DB17"/>
  <c r="DA17"/>
  <c r="CZ17"/>
  <c r="CY17"/>
  <c r="CX17"/>
  <c r="CW17"/>
  <c r="CV17"/>
  <c r="M17" s="1"/>
  <c r="CU17"/>
  <c r="CT17"/>
  <c r="DE17"/>
  <c r="DG17"/>
  <c r="DJ17" s="1"/>
  <c r="DD16"/>
  <c r="DE16"/>
  <c r="DK16"/>
  <c r="DG13"/>
  <c r="DJ13" s="1"/>
  <c r="DK12"/>
  <c r="DD8"/>
  <c r="DC8"/>
  <c r="DB8"/>
  <c r="DA8"/>
  <c r="CZ8"/>
  <c r="CY8"/>
  <c r="CX8"/>
  <c r="CW8"/>
  <c r="CV8"/>
  <c r="CU8"/>
  <c r="CT8"/>
  <c r="BI8"/>
  <c r="BC8"/>
  <c r="AP8"/>
  <c r="BA8"/>
  <c r="V8"/>
  <c r="R8"/>
  <c r="S8" s="1"/>
  <c r="O8"/>
  <c r="P8" s="1"/>
  <c r="DE8" s="1"/>
  <c r="N8"/>
  <c r="L8"/>
  <c r="J8"/>
  <c r="I8"/>
  <c r="DG8" s="1"/>
  <c r="DJ8" s="1"/>
  <c r="B8"/>
  <c r="C8" s="1"/>
  <c r="DD7"/>
  <c r="DD38" s="1"/>
  <c r="DC7"/>
  <c r="DC38" s="1"/>
  <c r="DB7"/>
  <c r="DB38" s="1"/>
  <c r="DA7"/>
  <c r="DA38" s="1"/>
  <c r="CZ7"/>
  <c r="CZ38" s="1"/>
  <c r="CY7"/>
  <c r="CY38" s="1"/>
  <c r="CX7"/>
  <c r="CX38" s="1"/>
  <c r="CW7"/>
  <c r="CW38" s="1"/>
  <c r="CV7"/>
  <c r="CV38" s="1"/>
  <c r="CU7"/>
  <c r="CU38" s="1"/>
  <c r="CT7"/>
  <c r="CT38" s="1"/>
  <c r="BI7"/>
  <c r="BC7"/>
  <c r="BC38" s="1"/>
  <c r="BC39" s="1"/>
  <c r="AP7"/>
  <c r="AO38"/>
  <c r="V7"/>
  <c r="V38" s="1"/>
  <c r="V39" s="1"/>
  <c r="R7"/>
  <c r="S7" s="1"/>
  <c r="O7"/>
  <c r="N7"/>
  <c r="L7"/>
  <c r="J7"/>
  <c r="I7"/>
  <c r="B7"/>
  <c r="N8" i="101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O8"/>
  <c r="P8" s="1"/>
  <c r="DE8" s="1"/>
  <c r="O9"/>
  <c r="O10"/>
  <c r="P10" s="1"/>
  <c r="DE10" s="1"/>
  <c r="O11"/>
  <c r="O12"/>
  <c r="P12" s="1"/>
  <c r="DE12" s="1"/>
  <c r="O13"/>
  <c r="O14"/>
  <c r="P14" s="1"/>
  <c r="DE14" s="1"/>
  <c r="O15"/>
  <c r="O16"/>
  <c r="P16" s="1"/>
  <c r="DE16" s="1"/>
  <c r="O17"/>
  <c r="O18"/>
  <c r="P18" s="1"/>
  <c r="DE18" s="1"/>
  <c r="O19"/>
  <c r="O20"/>
  <c r="P20" s="1"/>
  <c r="DE20" s="1"/>
  <c r="O21"/>
  <c r="Q21" s="1"/>
  <c r="O22"/>
  <c r="P22" s="1"/>
  <c r="DE22" s="1"/>
  <c r="O23"/>
  <c r="Q23" s="1"/>
  <c r="O24"/>
  <c r="P24" s="1"/>
  <c r="DE24" s="1"/>
  <c r="O25"/>
  <c r="Q25" s="1"/>
  <c r="O26"/>
  <c r="P26" s="1"/>
  <c r="DE26" s="1"/>
  <c r="O27"/>
  <c r="Q27" s="1"/>
  <c r="O28"/>
  <c r="P28" s="1"/>
  <c r="DE28" s="1"/>
  <c r="O29"/>
  <c r="Q29" s="1"/>
  <c r="O30"/>
  <c r="P30" s="1"/>
  <c r="DE30" s="1"/>
  <c r="O31"/>
  <c r="Q31" s="1"/>
  <c r="O32"/>
  <c r="P32" s="1"/>
  <c r="DE32" s="1"/>
  <c r="O33"/>
  <c r="Q33" s="1"/>
  <c r="O34"/>
  <c r="P34" s="1"/>
  <c r="DE34" s="1"/>
  <c r="O35"/>
  <c r="Q35" s="1"/>
  <c r="O36"/>
  <c r="P36" s="1"/>
  <c r="DE36" s="1"/>
  <c r="O37"/>
  <c r="Q37" s="1"/>
  <c r="O7"/>
  <c r="P7" s="1"/>
  <c r="DS37" i="103"/>
  <c r="CL8"/>
  <c r="CL9"/>
  <c r="CL10"/>
  <c r="CL11"/>
  <c r="CL12"/>
  <c r="CL13"/>
  <c r="CL14"/>
  <c r="CL15"/>
  <c r="CL16"/>
  <c r="CL17"/>
  <c r="CL18"/>
  <c r="CL19"/>
  <c r="CL20"/>
  <c r="CL21"/>
  <c r="CL22"/>
  <c r="CL23"/>
  <c r="CL24"/>
  <c r="CL25"/>
  <c r="CL26"/>
  <c r="CL27"/>
  <c r="CL28"/>
  <c r="CL29"/>
  <c r="CL30"/>
  <c r="CL31"/>
  <c r="CL32"/>
  <c r="CL33"/>
  <c r="CL34"/>
  <c r="CL35"/>
  <c r="CL36"/>
  <c r="CL37"/>
  <c r="DC37" s="1"/>
  <c r="CL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5"/>
  <c r="DS26"/>
  <c r="DS27"/>
  <c r="DS28"/>
  <c r="DS29"/>
  <c r="DS30"/>
  <c r="DS31"/>
  <c r="DS32"/>
  <c r="DS33"/>
  <c r="DS34"/>
  <c r="DS35"/>
  <c r="DS36"/>
  <c r="DS7"/>
  <c r="I37"/>
  <c r="DG37" s="1"/>
  <c r="DJ37" s="1"/>
  <c r="J37"/>
  <c r="N37"/>
  <c r="O37"/>
  <c r="P37" s="1"/>
  <c r="Q37" s="1"/>
  <c r="V37"/>
  <c r="AP37"/>
  <c r="BA37"/>
  <c r="H37" s="1"/>
  <c r="BC37"/>
  <c r="BH37"/>
  <c r="BI37"/>
  <c r="BJ37"/>
  <c r="CT37"/>
  <c r="CV37"/>
  <c r="CW37"/>
  <c r="CX37"/>
  <c r="CY37"/>
  <c r="CZ37"/>
  <c r="DA37"/>
  <c r="DB37"/>
  <c r="DD37"/>
  <c r="DK37"/>
  <c r="DP37"/>
  <c r="BN37" s="1"/>
  <c r="I36"/>
  <c r="DG36" s="1"/>
  <c r="DJ36" s="1"/>
  <c r="J36"/>
  <c r="N36"/>
  <c r="O36"/>
  <c r="P36" s="1"/>
  <c r="DE36" s="1"/>
  <c r="V36"/>
  <c r="S36" s="1"/>
  <c r="T36" s="1"/>
  <c r="AO36"/>
  <c r="AP36"/>
  <c r="BA36"/>
  <c r="H36" s="1"/>
  <c r="BC36"/>
  <c r="BH36"/>
  <c r="BI36"/>
  <c r="BJ36" s="1"/>
  <c r="BK36"/>
  <c r="CT36"/>
  <c r="CV36"/>
  <c r="CW36"/>
  <c r="CX36"/>
  <c r="CY36"/>
  <c r="CZ36"/>
  <c r="DA36"/>
  <c r="DB36"/>
  <c r="DC36"/>
  <c r="DD36"/>
  <c r="DP36"/>
  <c r="BN36" s="1"/>
  <c r="I35"/>
  <c r="DK35" s="1"/>
  <c r="J35"/>
  <c r="N35"/>
  <c r="O35"/>
  <c r="P35" s="1"/>
  <c r="DE35" s="1"/>
  <c r="S35"/>
  <c r="T35" s="1"/>
  <c r="V35"/>
  <c r="AO35"/>
  <c r="AP35"/>
  <c r="BA35"/>
  <c r="BC35"/>
  <c r="BH35"/>
  <c r="BI35"/>
  <c r="BJ35" s="1"/>
  <c r="BK35"/>
  <c r="CT35"/>
  <c r="CV35"/>
  <c r="CX35"/>
  <c r="CY35"/>
  <c r="CZ35"/>
  <c r="DA35"/>
  <c r="DB35"/>
  <c r="DC35"/>
  <c r="DD35"/>
  <c r="DN35"/>
  <c r="BP35" s="1"/>
  <c r="CW35" s="1"/>
  <c r="DP35"/>
  <c r="BN35" s="1"/>
  <c r="I34"/>
  <c r="DG34" s="1"/>
  <c r="DJ34" s="1"/>
  <c r="J34"/>
  <c r="N34"/>
  <c r="O34"/>
  <c r="P34" s="1"/>
  <c r="DE34" s="1"/>
  <c r="V34"/>
  <c r="S34" s="1"/>
  <c r="T34" s="1"/>
  <c r="AO34"/>
  <c r="AP34"/>
  <c r="BA34"/>
  <c r="BC34"/>
  <c r="BH34"/>
  <c r="BI34"/>
  <c r="BJ34" s="1"/>
  <c r="BK34"/>
  <c r="CT34"/>
  <c r="CV34"/>
  <c r="CX34"/>
  <c r="CY34"/>
  <c r="CZ34"/>
  <c r="DA34"/>
  <c r="DB34"/>
  <c r="DC34"/>
  <c r="DD34"/>
  <c r="DN34"/>
  <c r="BP34" s="1"/>
  <c r="CW34" s="1"/>
  <c r="DP34"/>
  <c r="BN34" s="1"/>
  <c r="I33"/>
  <c r="DG33" s="1"/>
  <c r="DJ33" s="1"/>
  <c r="J33"/>
  <c r="N33"/>
  <c r="O33"/>
  <c r="P33" s="1"/>
  <c r="DE33" s="1"/>
  <c r="V33"/>
  <c r="S33" s="1"/>
  <c r="T33" s="1"/>
  <c r="AO33"/>
  <c r="AP33"/>
  <c r="BA33"/>
  <c r="BC33"/>
  <c r="BH33"/>
  <c r="BI33"/>
  <c r="BJ33" s="1"/>
  <c r="BK33"/>
  <c r="BL33" s="1"/>
  <c r="CT33"/>
  <c r="CV33"/>
  <c r="CX33"/>
  <c r="CY33"/>
  <c r="CZ33"/>
  <c r="DA33"/>
  <c r="DB33"/>
  <c r="DC33"/>
  <c r="DD33"/>
  <c r="DN33"/>
  <c r="BP33" s="1"/>
  <c r="CW33" s="1"/>
  <c r="DP33"/>
  <c r="BN33" s="1"/>
  <c r="I32"/>
  <c r="DG32" s="1"/>
  <c r="DJ32" s="1"/>
  <c r="J32"/>
  <c r="N32"/>
  <c r="O32"/>
  <c r="P32" s="1"/>
  <c r="DE32" s="1"/>
  <c r="V32"/>
  <c r="S32" s="1"/>
  <c r="T32" s="1"/>
  <c r="AO32"/>
  <c r="AP32"/>
  <c r="BA32"/>
  <c r="BC32"/>
  <c r="BH32"/>
  <c r="BI32"/>
  <c r="BJ32" s="1"/>
  <c r="BK32"/>
  <c r="CT32"/>
  <c r="CV32"/>
  <c r="CX32"/>
  <c r="CY32"/>
  <c r="CZ32"/>
  <c r="DA32"/>
  <c r="DB32"/>
  <c r="DC32"/>
  <c r="DD32"/>
  <c r="DN32"/>
  <c r="BP32" s="1"/>
  <c r="CW32" s="1"/>
  <c r="DP32"/>
  <c r="BN32" s="1"/>
  <c r="I31"/>
  <c r="DK31" s="1"/>
  <c r="J31"/>
  <c r="N31"/>
  <c r="O31"/>
  <c r="P31" s="1"/>
  <c r="S31"/>
  <c r="T31" s="1"/>
  <c r="V31"/>
  <c r="AO31"/>
  <c r="AP31"/>
  <c r="BA31"/>
  <c r="BC31"/>
  <c r="BH31"/>
  <c r="BI31"/>
  <c r="BJ31" s="1"/>
  <c r="BK31"/>
  <c r="CT31"/>
  <c r="CV31"/>
  <c r="CX31"/>
  <c r="CY31"/>
  <c r="CZ31"/>
  <c r="DA31"/>
  <c r="DB31"/>
  <c r="DC31"/>
  <c r="DD31"/>
  <c r="DG31"/>
  <c r="DJ31" s="1"/>
  <c r="DN31"/>
  <c r="BP31" s="1"/>
  <c r="CW31" s="1"/>
  <c r="DP31"/>
  <c r="BN31" s="1"/>
  <c r="I30"/>
  <c r="DG30" s="1"/>
  <c r="DJ30" s="1"/>
  <c r="J30"/>
  <c r="N30"/>
  <c r="O30"/>
  <c r="P30" s="1"/>
  <c r="S30"/>
  <c r="T30" s="1"/>
  <c r="V30"/>
  <c r="AO30"/>
  <c r="AP30" s="1"/>
  <c r="BA30"/>
  <c r="BC30"/>
  <c r="BD30"/>
  <c r="BF30"/>
  <c r="BH30"/>
  <c r="BI30"/>
  <c r="BJ30" s="1"/>
  <c r="BK30"/>
  <c r="CT30"/>
  <c r="CV30"/>
  <c r="CX30"/>
  <c r="CY30"/>
  <c r="CZ30"/>
  <c r="DA30"/>
  <c r="DB30"/>
  <c r="DC30"/>
  <c r="DD30"/>
  <c r="DN30"/>
  <c r="BP30" s="1"/>
  <c r="CW30" s="1"/>
  <c r="DP30"/>
  <c r="BN30" s="1"/>
  <c r="I29"/>
  <c r="DG29" s="1"/>
  <c r="DJ29" s="1"/>
  <c r="J29"/>
  <c r="N29"/>
  <c r="O29"/>
  <c r="P29" s="1"/>
  <c r="DE29" s="1"/>
  <c r="V29"/>
  <c r="S29" s="1"/>
  <c r="T29" s="1"/>
  <c r="AO29"/>
  <c r="AP29"/>
  <c r="BA29"/>
  <c r="BC29"/>
  <c r="BH29"/>
  <c r="BI29"/>
  <c r="BJ29" s="1"/>
  <c r="BK29"/>
  <c r="CT29"/>
  <c r="CV29"/>
  <c r="CX29"/>
  <c r="CY29"/>
  <c r="CZ29"/>
  <c r="DA29"/>
  <c r="DB29"/>
  <c r="DC29"/>
  <c r="DD29"/>
  <c r="DN29"/>
  <c r="BP29" s="1"/>
  <c r="CW29" s="1"/>
  <c r="DP29"/>
  <c r="BN29" s="1"/>
  <c r="I28"/>
  <c r="DG28" s="1"/>
  <c r="DJ28" s="1"/>
  <c r="J28"/>
  <c r="N28"/>
  <c r="O28"/>
  <c r="P28" s="1"/>
  <c r="DE28" s="1"/>
  <c r="V28"/>
  <c r="S28" s="1"/>
  <c r="T28" s="1"/>
  <c r="AO28"/>
  <c r="AP28"/>
  <c r="BA28"/>
  <c r="BC28"/>
  <c r="BH28"/>
  <c r="BI28"/>
  <c r="BJ28" s="1"/>
  <c r="BK28"/>
  <c r="CT28"/>
  <c r="CV28"/>
  <c r="CX28"/>
  <c r="CY28"/>
  <c r="CZ28"/>
  <c r="DA28"/>
  <c r="DB28"/>
  <c r="DC28"/>
  <c r="DD28"/>
  <c r="DN28"/>
  <c r="BP28" s="1"/>
  <c r="CW28" s="1"/>
  <c r="DP28"/>
  <c r="BN28" s="1"/>
  <c r="I27"/>
  <c r="DG27" s="1"/>
  <c r="DJ27" s="1"/>
  <c r="J27"/>
  <c r="N27"/>
  <c r="O27"/>
  <c r="P27" s="1"/>
  <c r="V27"/>
  <c r="AO27"/>
  <c r="AP27"/>
  <c r="BA27"/>
  <c r="BC27"/>
  <c r="BH27"/>
  <c r="BI27"/>
  <c r="BJ27" s="1"/>
  <c r="BK27"/>
  <c r="CT27"/>
  <c r="CV27"/>
  <c r="CX27"/>
  <c r="CY27"/>
  <c r="CZ27"/>
  <c r="DA27"/>
  <c r="DB27"/>
  <c r="DC27"/>
  <c r="DD27"/>
  <c r="DN27"/>
  <c r="BP27" s="1"/>
  <c r="CW27" s="1"/>
  <c r="DP27"/>
  <c r="BN27" s="1"/>
  <c r="I26"/>
  <c r="DG26" s="1"/>
  <c r="DJ26" s="1"/>
  <c r="J26"/>
  <c r="N26"/>
  <c r="O26"/>
  <c r="P26" s="1"/>
  <c r="V26"/>
  <c r="AO26"/>
  <c r="AP26"/>
  <c r="BA26"/>
  <c r="BC26"/>
  <c r="BH26"/>
  <c r="BI26"/>
  <c r="BJ26" s="1"/>
  <c r="BK26"/>
  <c r="CT26"/>
  <c r="CV26"/>
  <c r="CX26"/>
  <c r="CY26"/>
  <c r="CZ26"/>
  <c r="DA26"/>
  <c r="DB26"/>
  <c r="DC26"/>
  <c r="DD26"/>
  <c r="DN26"/>
  <c r="BP26" s="1"/>
  <c r="CW26" s="1"/>
  <c r="DP26"/>
  <c r="BN26" s="1"/>
  <c r="I25"/>
  <c r="DG25" s="1"/>
  <c r="DJ25" s="1"/>
  <c r="J25"/>
  <c r="N25"/>
  <c r="O25"/>
  <c r="P25" s="1"/>
  <c r="V25"/>
  <c r="AO25"/>
  <c r="AP25"/>
  <c r="BA25"/>
  <c r="BC25"/>
  <c r="BH25"/>
  <c r="BI25"/>
  <c r="BJ25" s="1"/>
  <c r="BK25"/>
  <c r="CT25"/>
  <c r="CV25"/>
  <c r="CX25"/>
  <c r="CY25"/>
  <c r="CZ25"/>
  <c r="DA25"/>
  <c r="DB25"/>
  <c r="DC25"/>
  <c r="DD25"/>
  <c r="DN25"/>
  <c r="BP25" s="1"/>
  <c r="CW25" s="1"/>
  <c r="DP25"/>
  <c r="BN25" s="1"/>
  <c r="I24"/>
  <c r="DK24" s="1"/>
  <c r="J24"/>
  <c r="N24"/>
  <c r="O24"/>
  <c r="P24" s="1"/>
  <c r="DE24" s="1"/>
  <c r="V24"/>
  <c r="S24" s="1"/>
  <c r="T24" s="1"/>
  <c r="AO24"/>
  <c r="AP24"/>
  <c r="BA24"/>
  <c r="BC24"/>
  <c r="BF24"/>
  <c r="BI24"/>
  <c r="BJ24" s="1"/>
  <c r="BK24"/>
  <c r="CT24"/>
  <c r="CV24"/>
  <c r="CX24"/>
  <c r="CY24"/>
  <c r="CZ24"/>
  <c r="DA24"/>
  <c r="DB24"/>
  <c r="DC24"/>
  <c r="DD24"/>
  <c r="DN24"/>
  <c r="BP24" s="1"/>
  <c r="CW24" s="1"/>
  <c r="DP24"/>
  <c r="BN24" s="1"/>
  <c r="I23"/>
  <c r="DK23" s="1"/>
  <c r="J23"/>
  <c r="N23"/>
  <c r="O23"/>
  <c r="P23" s="1"/>
  <c r="DE23" s="1"/>
  <c r="V23"/>
  <c r="S23" s="1"/>
  <c r="T23" s="1"/>
  <c r="AO23"/>
  <c r="AP23"/>
  <c r="BA23"/>
  <c r="BC23"/>
  <c r="BH23"/>
  <c r="BI23"/>
  <c r="BJ23" s="1"/>
  <c r="BK23"/>
  <c r="CT23"/>
  <c r="CV23"/>
  <c r="CX23"/>
  <c r="CY23"/>
  <c r="CZ23"/>
  <c r="DA23"/>
  <c r="DB23"/>
  <c r="DC23"/>
  <c r="DD23"/>
  <c r="DN23"/>
  <c r="BP23" s="1"/>
  <c r="CW23" s="1"/>
  <c r="DP23"/>
  <c r="BN23" s="1"/>
  <c r="I22"/>
  <c r="DK22" s="1"/>
  <c r="J22"/>
  <c r="N22"/>
  <c r="O22"/>
  <c r="P22" s="1"/>
  <c r="DE22" s="1"/>
  <c r="V22"/>
  <c r="S22" s="1"/>
  <c r="T22" s="1"/>
  <c r="AO22"/>
  <c r="AP22"/>
  <c r="BA22"/>
  <c r="BC22"/>
  <c r="BH22"/>
  <c r="BI22"/>
  <c r="BJ22" s="1"/>
  <c r="BK22"/>
  <c r="CT22"/>
  <c r="CV22"/>
  <c r="CX22"/>
  <c r="CY22"/>
  <c r="CZ22"/>
  <c r="DA22"/>
  <c r="DB22"/>
  <c r="DC22"/>
  <c r="DD22"/>
  <c r="DN22"/>
  <c r="BP22" s="1"/>
  <c r="CW22" s="1"/>
  <c r="DP22"/>
  <c r="BN22" s="1"/>
  <c r="I21"/>
  <c r="DK21" s="1"/>
  <c r="J21"/>
  <c r="N21"/>
  <c r="O21"/>
  <c r="P21" s="1"/>
  <c r="DE21" s="1"/>
  <c r="V21"/>
  <c r="S21" s="1"/>
  <c r="T21" s="1"/>
  <c r="AO21"/>
  <c r="AP21"/>
  <c r="BA21"/>
  <c r="BC21"/>
  <c r="BH21"/>
  <c r="BI21"/>
  <c r="BJ21" s="1"/>
  <c r="BK21"/>
  <c r="BL21" s="1"/>
  <c r="CT21"/>
  <c r="CV21"/>
  <c r="CX21"/>
  <c r="CY21"/>
  <c r="CZ21"/>
  <c r="DA21"/>
  <c r="DB21"/>
  <c r="DC21"/>
  <c r="DD21"/>
  <c r="DN21"/>
  <c r="BP21" s="1"/>
  <c r="CW21" s="1"/>
  <c r="DP21"/>
  <c r="BN21" s="1"/>
  <c r="I20"/>
  <c r="DK20" s="1"/>
  <c r="J20"/>
  <c r="N20"/>
  <c r="O20"/>
  <c r="P20" s="1"/>
  <c r="DE20" s="1"/>
  <c r="V20"/>
  <c r="S20" s="1"/>
  <c r="T20" s="1"/>
  <c r="AO20"/>
  <c r="AP20"/>
  <c r="BA20"/>
  <c r="BC20"/>
  <c r="BH20"/>
  <c r="BI20"/>
  <c r="BJ20" s="1"/>
  <c r="BK20"/>
  <c r="CT20"/>
  <c r="CV20"/>
  <c r="CX20"/>
  <c r="CY20"/>
  <c r="CZ20"/>
  <c r="DA20"/>
  <c r="DB20"/>
  <c r="DC20"/>
  <c r="DD20"/>
  <c r="DN20"/>
  <c r="BP20" s="1"/>
  <c r="CW20" s="1"/>
  <c r="DP20"/>
  <c r="BN20" s="1"/>
  <c r="I19"/>
  <c r="DG19" s="1"/>
  <c r="DJ19" s="1"/>
  <c r="J19"/>
  <c r="N19"/>
  <c r="O19"/>
  <c r="P19" s="1"/>
  <c r="DE19" s="1"/>
  <c r="V19"/>
  <c r="S19" s="1"/>
  <c r="T19" s="1"/>
  <c r="AO19"/>
  <c r="AP19"/>
  <c r="BA19"/>
  <c r="H19" s="1"/>
  <c r="BC19"/>
  <c r="BH19"/>
  <c r="BI19"/>
  <c r="BJ19"/>
  <c r="CT19"/>
  <c r="CV19"/>
  <c r="CX19"/>
  <c r="CY19"/>
  <c r="CZ19"/>
  <c r="DA19"/>
  <c r="DB19"/>
  <c r="DC19"/>
  <c r="DD19"/>
  <c r="DN19"/>
  <c r="BP19" s="1"/>
  <c r="CW19" s="1"/>
  <c r="DP19"/>
  <c r="BN19" s="1"/>
  <c r="I18"/>
  <c r="DK18" s="1"/>
  <c r="J18"/>
  <c r="N18"/>
  <c r="O18"/>
  <c r="P18" s="1"/>
  <c r="DE18" s="1"/>
  <c r="V18"/>
  <c r="S18" s="1"/>
  <c r="T18" s="1"/>
  <c r="AO18"/>
  <c r="AP18"/>
  <c r="BA18"/>
  <c r="BC18"/>
  <c r="BH18"/>
  <c r="BI18"/>
  <c r="BJ18" s="1"/>
  <c r="BK18"/>
  <c r="CT18"/>
  <c r="CV18"/>
  <c r="CX18"/>
  <c r="CY18"/>
  <c r="CZ18"/>
  <c r="DA18"/>
  <c r="DB18"/>
  <c r="DC18"/>
  <c r="DD18"/>
  <c r="DN18"/>
  <c r="BP18" s="1"/>
  <c r="CW18" s="1"/>
  <c r="DP18"/>
  <c r="BN18" s="1"/>
  <c r="I17"/>
  <c r="DG17" s="1"/>
  <c r="DJ17" s="1"/>
  <c r="J17"/>
  <c r="N17"/>
  <c r="O17"/>
  <c r="P17" s="1"/>
  <c r="DE17" s="1"/>
  <c r="V17"/>
  <c r="S17" s="1"/>
  <c r="T17" s="1"/>
  <c r="AK17"/>
  <c r="AO17"/>
  <c r="AP17"/>
  <c r="BA17"/>
  <c r="BC17"/>
  <c r="BD17"/>
  <c r="BF17"/>
  <c r="BH17"/>
  <c r="BI17"/>
  <c r="BJ17" s="1"/>
  <c r="BK17"/>
  <c r="CT17"/>
  <c r="CV17"/>
  <c r="CX17"/>
  <c r="CY17"/>
  <c r="CZ17"/>
  <c r="DA17"/>
  <c r="DB17"/>
  <c r="DC17"/>
  <c r="DD17"/>
  <c r="DN17"/>
  <c r="BP17" s="1"/>
  <c r="CW17" s="1"/>
  <c r="DP17"/>
  <c r="BN17" s="1"/>
  <c r="I16"/>
  <c r="DK16" s="1"/>
  <c r="J16"/>
  <c r="N16"/>
  <c r="O16"/>
  <c r="P16" s="1"/>
  <c r="DE16" s="1"/>
  <c r="V16"/>
  <c r="S16" s="1"/>
  <c r="T16" s="1"/>
  <c r="AO16"/>
  <c r="AP16"/>
  <c r="BA16"/>
  <c r="BC16"/>
  <c r="BD16"/>
  <c r="BF16"/>
  <c r="BH16"/>
  <c r="BI16"/>
  <c r="BJ16" s="1"/>
  <c r="BK16"/>
  <c r="CT16"/>
  <c r="CV16"/>
  <c r="CX16"/>
  <c r="CY16"/>
  <c r="CZ16"/>
  <c r="DA16"/>
  <c r="DB16"/>
  <c r="DC16"/>
  <c r="DD16"/>
  <c r="DN16"/>
  <c r="BP16" s="1"/>
  <c r="CW16" s="1"/>
  <c r="DP16"/>
  <c r="BN16" s="1"/>
  <c r="I15"/>
  <c r="DG15" s="1"/>
  <c r="DJ15" s="1"/>
  <c r="J15"/>
  <c r="N15"/>
  <c r="O15"/>
  <c r="P15" s="1"/>
  <c r="DE15" s="1"/>
  <c r="V15"/>
  <c r="S15" s="1"/>
  <c r="T15" s="1"/>
  <c r="AO15"/>
  <c r="AP15"/>
  <c r="BA15"/>
  <c r="BC15"/>
  <c r="BD15"/>
  <c r="BF15"/>
  <c r="BH15"/>
  <c r="BI15"/>
  <c r="BJ15" s="1"/>
  <c r="BK15"/>
  <c r="CT15"/>
  <c r="CV15"/>
  <c r="CX15"/>
  <c r="CY15"/>
  <c r="CZ15"/>
  <c r="DA15"/>
  <c r="DB15"/>
  <c r="DC15"/>
  <c r="DD15"/>
  <c r="DN15"/>
  <c r="BP15" s="1"/>
  <c r="CW15" s="1"/>
  <c r="DP15"/>
  <c r="BN15" s="1"/>
  <c r="I14"/>
  <c r="DK14" s="1"/>
  <c r="J14"/>
  <c r="N14"/>
  <c r="O14"/>
  <c r="P14" s="1"/>
  <c r="DE14" s="1"/>
  <c r="V14"/>
  <c r="S14" s="1"/>
  <c r="T14" s="1"/>
  <c r="AO14"/>
  <c r="AP14"/>
  <c r="BA14"/>
  <c r="BC14"/>
  <c r="BD14"/>
  <c r="BF14"/>
  <c r="BH14"/>
  <c r="BI14"/>
  <c r="BJ14" s="1"/>
  <c r="BK14"/>
  <c r="CT14"/>
  <c r="CV14"/>
  <c r="CX14"/>
  <c r="CY14"/>
  <c r="CZ14"/>
  <c r="DA14"/>
  <c r="DB14"/>
  <c r="DC14"/>
  <c r="DD14"/>
  <c r="DN14"/>
  <c r="BP14" s="1"/>
  <c r="CW14" s="1"/>
  <c r="DP14"/>
  <c r="BN14" s="1"/>
  <c r="I13"/>
  <c r="DK13" s="1"/>
  <c r="J13"/>
  <c r="N13"/>
  <c r="O13"/>
  <c r="P13" s="1"/>
  <c r="DE13" s="1"/>
  <c r="V13"/>
  <c r="S13" s="1"/>
  <c r="T13" s="1"/>
  <c r="AO13"/>
  <c r="AP13"/>
  <c r="BA13"/>
  <c r="BC13"/>
  <c r="BD13"/>
  <c r="BF13"/>
  <c r="BH13"/>
  <c r="BI13"/>
  <c r="BJ13" s="1"/>
  <c r="BK13"/>
  <c r="CT13"/>
  <c r="CV13"/>
  <c r="CX13"/>
  <c r="CY13"/>
  <c r="CZ13"/>
  <c r="DA13"/>
  <c r="DB13"/>
  <c r="DC13"/>
  <c r="DD13"/>
  <c r="DN13"/>
  <c r="BP13" s="1"/>
  <c r="CW13" s="1"/>
  <c r="DP13"/>
  <c r="BN13" s="1"/>
  <c r="I12"/>
  <c r="DK12" s="1"/>
  <c r="J12"/>
  <c r="N12"/>
  <c r="O12"/>
  <c r="P12" s="1"/>
  <c r="DE12" s="1"/>
  <c r="V12"/>
  <c r="S12" s="1"/>
  <c r="T12" s="1"/>
  <c r="AO12"/>
  <c r="AP12"/>
  <c r="BA12"/>
  <c r="BC12"/>
  <c r="BD12"/>
  <c r="BF12"/>
  <c r="BH12"/>
  <c r="BI12"/>
  <c r="BJ12" s="1"/>
  <c r="BK12"/>
  <c r="CT12"/>
  <c r="CV12"/>
  <c r="CX12"/>
  <c r="CY12"/>
  <c r="CZ12"/>
  <c r="DA12"/>
  <c r="DB12"/>
  <c r="DC12"/>
  <c r="DD12"/>
  <c r="DN12"/>
  <c r="BP12" s="1"/>
  <c r="CW12" s="1"/>
  <c r="DP12"/>
  <c r="BN12" s="1"/>
  <c r="I11"/>
  <c r="DK11" s="1"/>
  <c r="J11"/>
  <c r="N11"/>
  <c r="O11"/>
  <c r="P11" s="1"/>
  <c r="DE11" s="1"/>
  <c r="V11"/>
  <c r="S11" s="1"/>
  <c r="T11" s="1"/>
  <c r="AO11"/>
  <c r="AP11"/>
  <c r="BA11"/>
  <c r="BC11"/>
  <c r="BD11"/>
  <c r="BF11"/>
  <c r="BH11"/>
  <c r="BI11"/>
  <c r="BJ11" s="1"/>
  <c r="BK11"/>
  <c r="CT11"/>
  <c r="CV11"/>
  <c r="CX11"/>
  <c r="CY11"/>
  <c r="CZ11"/>
  <c r="DA11"/>
  <c r="DB11"/>
  <c r="DC11"/>
  <c r="DD11"/>
  <c r="DN11"/>
  <c r="BP11" s="1"/>
  <c r="CW11" s="1"/>
  <c r="DP11"/>
  <c r="BN11" s="1"/>
  <c r="I10"/>
  <c r="DK10" s="1"/>
  <c r="J10"/>
  <c r="N10"/>
  <c r="O10"/>
  <c r="P10" s="1"/>
  <c r="DE10" s="1"/>
  <c r="V10"/>
  <c r="S10" s="1"/>
  <c r="T10" s="1"/>
  <c r="AK10"/>
  <c r="AO10"/>
  <c r="AP10"/>
  <c r="BA10"/>
  <c r="BC10"/>
  <c r="BD10"/>
  <c r="BF10"/>
  <c r="BH10"/>
  <c r="BI10"/>
  <c r="BJ10" s="1"/>
  <c r="BK10"/>
  <c r="CT10"/>
  <c r="CV10"/>
  <c r="CX10"/>
  <c r="CY10"/>
  <c r="CZ10"/>
  <c r="DA10"/>
  <c r="DB10"/>
  <c r="DC10"/>
  <c r="DD10"/>
  <c r="DG10"/>
  <c r="DJ10" s="1"/>
  <c r="DN10"/>
  <c r="BP10" s="1"/>
  <c r="CW10" s="1"/>
  <c r="DP10"/>
  <c r="BN10" s="1"/>
  <c r="I9"/>
  <c r="DK9" s="1"/>
  <c r="J9"/>
  <c r="N9"/>
  <c r="O9"/>
  <c r="P9" s="1"/>
  <c r="DE9" s="1"/>
  <c r="V9"/>
  <c r="S9" s="1"/>
  <c r="T9" s="1"/>
  <c r="AO9"/>
  <c r="AP9"/>
  <c r="BA9"/>
  <c r="BC9"/>
  <c r="BD9"/>
  <c r="BF9"/>
  <c r="BH9"/>
  <c r="BI9"/>
  <c r="BJ9" s="1"/>
  <c r="BK9"/>
  <c r="CT9"/>
  <c r="CV9"/>
  <c r="CX9"/>
  <c r="CY9"/>
  <c r="CZ9"/>
  <c r="DA9"/>
  <c r="DB9"/>
  <c r="DC9"/>
  <c r="DD9"/>
  <c r="DN9"/>
  <c r="BP9" s="1"/>
  <c r="CW9" s="1"/>
  <c r="DP9"/>
  <c r="BN9" s="1"/>
  <c r="L8"/>
  <c r="L7"/>
  <c r="BN8"/>
  <c r="BN7"/>
  <c r="DP8"/>
  <c r="DP7"/>
  <c r="B8"/>
  <c r="B7"/>
  <c r="BP8"/>
  <c r="BP7"/>
  <c r="DN8"/>
  <c r="DN7"/>
  <c r="AK35" i="100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O37"/>
  <c r="P37" s="1"/>
  <c r="O36"/>
  <c r="P36" s="1"/>
  <c r="O35"/>
  <c r="P35" s="1"/>
  <c r="O34"/>
  <c r="P34" s="1"/>
  <c r="O33"/>
  <c r="P33" s="1"/>
  <c r="O32"/>
  <c r="P32" s="1"/>
  <c r="O31"/>
  <c r="P31" s="1"/>
  <c r="O30"/>
  <c r="P30" s="1"/>
  <c r="O29"/>
  <c r="P29" s="1"/>
  <c r="O28"/>
  <c r="P28" s="1"/>
  <c r="O27"/>
  <c r="P27" s="1"/>
  <c r="O26"/>
  <c r="P26" s="1"/>
  <c r="O25"/>
  <c r="DE25" s="1"/>
  <c r="O24"/>
  <c r="Q24" s="1"/>
  <c r="O23"/>
  <c r="Q23" s="1"/>
  <c r="O22"/>
  <c r="Q22" s="1"/>
  <c r="O21"/>
  <c r="Q21" s="1"/>
  <c r="O20"/>
  <c r="Q20" s="1"/>
  <c r="O19"/>
  <c r="Q19" s="1"/>
  <c r="O18"/>
  <c r="Q18" s="1"/>
  <c r="O17"/>
  <c r="Q17" s="1"/>
  <c r="O16"/>
  <c r="Q16" s="1"/>
  <c r="O15"/>
  <c r="Q15" s="1"/>
  <c r="O14"/>
  <c r="Q14" s="1"/>
  <c r="O13"/>
  <c r="Q13" s="1"/>
  <c r="O12"/>
  <c r="Q12" s="1"/>
  <c r="O11"/>
  <c r="Q11" s="1"/>
  <c r="O10"/>
  <c r="Q10" s="1"/>
  <c r="O9"/>
  <c r="Q9" s="1"/>
  <c r="O8"/>
  <c r="Q8" s="1"/>
  <c r="O7"/>
  <c r="DE7" s="1"/>
  <c r="BF59" i="103"/>
  <c r="AV46"/>
  <c r="AV43"/>
  <c r="AD41"/>
  <c r="BG39"/>
  <c r="AU39"/>
  <c r="AS39"/>
  <c r="AR39"/>
  <c r="AQ39"/>
  <c r="AG39"/>
  <c r="AF39"/>
  <c r="AC39"/>
  <c r="AC41" s="1"/>
  <c r="AB39"/>
  <c r="CM38"/>
  <c r="CQ39" s="1"/>
  <c r="CK38"/>
  <c r="CO39" s="1"/>
  <c r="CJ38"/>
  <c r="CN39" s="1"/>
  <c r="BT38"/>
  <c r="CI39" s="1"/>
  <c r="BS38"/>
  <c r="CH39" s="1"/>
  <c r="BR38"/>
  <c r="BZ39" s="1"/>
  <c r="BQ38"/>
  <c r="CF39" s="1"/>
  <c r="BO38"/>
  <c r="CD39" s="1"/>
  <c r="BM38"/>
  <c r="CB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8"/>
  <c r="DC8"/>
  <c r="DB8"/>
  <c r="DA8"/>
  <c r="CZ8"/>
  <c r="CY8"/>
  <c r="CX8"/>
  <c r="CW8"/>
  <c r="CV8"/>
  <c r="CU8"/>
  <c r="CT8"/>
  <c r="BI8"/>
  <c r="BC8"/>
  <c r="AP8"/>
  <c r="AO8"/>
  <c r="BA8" s="1"/>
  <c r="BK8" s="1"/>
  <c r="AK8"/>
  <c r="V8"/>
  <c r="O8"/>
  <c r="P8" s="1"/>
  <c r="DE8" s="1"/>
  <c r="N8"/>
  <c r="M8"/>
  <c r="J8"/>
  <c r="I8"/>
  <c r="DG8" s="1"/>
  <c r="DJ8" s="1"/>
  <c r="H8"/>
  <c r="E8"/>
  <c r="DD7"/>
  <c r="DC7"/>
  <c r="DB7"/>
  <c r="DA7"/>
  <c r="DA38" s="1"/>
  <c r="CZ7"/>
  <c r="CY7"/>
  <c r="CY38" s="1"/>
  <c r="CX7"/>
  <c r="CV7"/>
  <c r="CV38" s="1"/>
  <c r="CU7"/>
  <c r="CT7"/>
  <c r="CT38" s="1"/>
  <c r="BJ7"/>
  <c r="BI7"/>
  <c r="BC7"/>
  <c r="BC38" s="1"/>
  <c r="BC39" s="1"/>
  <c r="AO7"/>
  <c r="AO38" s="1"/>
  <c r="O7"/>
  <c r="P7" s="1"/>
  <c r="N7"/>
  <c r="J7"/>
  <c r="I7"/>
  <c r="O8" i="98"/>
  <c r="Q8" s="1"/>
  <c r="O9"/>
  <c r="Q9" s="1"/>
  <c r="O10"/>
  <c r="Q10" s="1"/>
  <c r="O11"/>
  <c r="Q11" s="1"/>
  <c r="O12"/>
  <c r="Q12" s="1"/>
  <c r="O13"/>
  <c r="Q13" s="1"/>
  <c r="O14"/>
  <c r="Q14" s="1"/>
  <c r="O15"/>
  <c r="Q15" s="1"/>
  <c r="O16"/>
  <c r="Q16" s="1"/>
  <c r="O17"/>
  <c r="Q17" s="1"/>
  <c r="O18"/>
  <c r="Q18" s="1"/>
  <c r="O19"/>
  <c r="Q19" s="1"/>
  <c r="O20"/>
  <c r="Q20" s="1"/>
  <c r="O21"/>
  <c r="Q21" s="1"/>
  <c r="O22"/>
  <c r="Q22" s="1"/>
  <c r="O23"/>
  <c r="Q23" s="1"/>
  <c r="O24"/>
  <c r="Q24" s="1"/>
  <c r="O25"/>
  <c r="P25" s="1"/>
  <c r="DE25" s="1"/>
  <c r="O26"/>
  <c r="O27"/>
  <c r="P27" s="1"/>
  <c r="DE27" s="1"/>
  <c r="O28"/>
  <c r="O29"/>
  <c r="P29" s="1"/>
  <c r="DE29" s="1"/>
  <c r="O30"/>
  <c r="O31"/>
  <c r="P31" s="1"/>
  <c r="DE31" s="1"/>
  <c r="O32"/>
  <c r="O33"/>
  <c r="P33" s="1"/>
  <c r="DE33" s="1"/>
  <c r="O34"/>
  <c r="O35"/>
  <c r="P35" s="1"/>
  <c r="DE35" s="1"/>
  <c r="O36"/>
  <c r="O37"/>
  <c r="P37" s="1"/>
  <c r="DE37" s="1"/>
  <c r="O7"/>
  <c r="Q7" s="1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7"/>
  <c r="M34" i="104" l="1"/>
  <c r="H34"/>
  <c r="H23"/>
  <c r="M20"/>
  <c r="H20"/>
  <c r="H17"/>
  <c r="DK26" i="103"/>
  <c r="DK9" i="104"/>
  <c r="Q25" i="103"/>
  <c r="DE25"/>
  <c r="DG20"/>
  <c r="DJ20" s="1"/>
  <c r="DG21"/>
  <c r="DJ21" s="1"/>
  <c r="DG22"/>
  <c r="DJ22" s="1"/>
  <c r="DG23"/>
  <c r="DJ23" s="1"/>
  <c r="DG24"/>
  <c r="DJ24" s="1"/>
  <c r="DK27"/>
  <c r="B38" i="104"/>
  <c r="B39" s="1"/>
  <c r="J38"/>
  <c r="J39" s="1"/>
  <c r="N38"/>
  <c r="N39" s="1"/>
  <c r="I38"/>
  <c r="I39" s="1"/>
  <c r="I41" s="1"/>
  <c r="L38"/>
  <c r="L39" s="1"/>
  <c r="BB12"/>
  <c r="BE12"/>
  <c r="Q12"/>
  <c r="X12" s="1"/>
  <c r="DK30" i="103"/>
  <c r="DG18"/>
  <c r="DJ18" s="1"/>
  <c r="DK19"/>
  <c r="C7" i="104"/>
  <c r="D7" s="1"/>
  <c r="DK7"/>
  <c r="DK8"/>
  <c r="DG12"/>
  <c r="DJ12" s="1"/>
  <c r="DK13"/>
  <c r="DG16"/>
  <c r="DJ16" s="1"/>
  <c r="DK17"/>
  <c r="DE23"/>
  <c r="DK24"/>
  <c r="E7"/>
  <c r="DG7"/>
  <c r="DJ7" s="1"/>
  <c r="D8"/>
  <c r="F8" s="1"/>
  <c r="E8"/>
  <c r="T8"/>
  <c r="W8" s="1"/>
  <c r="DK26"/>
  <c r="DE34"/>
  <c r="Q11"/>
  <c r="BL11"/>
  <c r="AI11"/>
  <c r="W11"/>
  <c r="F11"/>
  <c r="BD11"/>
  <c r="BF11" s="1"/>
  <c r="AK11"/>
  <c r="M11"/>
  <c r="E11"/>
  <c r="BE11" s="1"/>
  <c r="Q10"/>
  <c r="BL10"/>
  <c r="AI10"/>
  <c r="W10"/>
  <c r="F10"/>
  <c r="BD10"/>
  <c r="BF10" s="1"/>
  <c r="AK10"/>
  <c r="M10"/>
  <c r="E10"/>
  <c r="BE10" s="1"/>
  <c r="Q9"/>
  <c r="BL9"/>
  <c r="AI9"/>
  <c r="W9"/>
  <c r="F9"/>
  <c r="AK9"/>
  <c r="M9"/>
  <c r="E9"/>
  <c r="BE9" s="1"/>
  <c r="CT39"/>
  <c r="CV39"/>
  <c r="CC39"/>
  <c r="CG39"/>
  <c r="AV39"/>
  <c r="CE39"/>
  <c r="AI8"/>
  <c r="BK8"/>
  <c r="BD8"/>
  <c r="BF8" s="1"/>
  <c r="AK8"/>
  <c r="M8"/>
  <c r="H8"/>
  <c r="O38"/>
  <c r="O39" s="1"/>
  <c r="Q8"/>
  <c r="DG19"/>
  <c r="DJ19" s="1"/>
  <c r="DG23"/>
  <c r="DJ23" s="1"/>
  <c r="DK30"/>
  <c r="R38"/>
  <c r="R39" s="1"/>
  <c r="AO44"/>
  <c r="AO39"/>
  <c r="P7"/>
  <c r="T7"/>
  <c r="BA7"/>
  <c r="BJ7"/>
  <c r="BJ8" s="1"/>
  <c r="DA39"/>
  <c r="DG20"/>
  <c r="DJ20" s="1"/>
  <c r="DG32"/>
  <c r="DJ32" s="1"/>
  <c r="DG34"/>
  <c r="DJ34" s="1"/>
  <c r="BU39"/>
  <c r="BW39"/>
  <c r="BY39"/>
  <c r="CA39"/>
  <c r="J45"/>
  <c r="DG25"/>
  <c r="DJ25" s="1"/>
  <c r="DG27"/>
  <c r="DJ27" s="1"/>
  <c r="DG31"/>
  <c r="DJ31" s="1"/>
  <c r="DG33"/>
  <c r="DJ33" s="1"/>
  <c r="DG37"/>
  <c r="DJ37" s="1"/>
  <c r="DG9" i="103"/>
  <c r="DJ9" s="1"/>
  <c r="DG11"/>
  <c r="DJ11" s="1"/>
  <c r="DG12"/>
  <c r="DJ12" s="1"/>
  <c r="DG13"/>
  <c r="DJ13" s="1"/>
  <c r="DG14"/>
  <c r="DJ14" s="1"/>
  <c r="DK15"/>
  <c r="DG16"/>
  <c r="DJ16" s="1"/>
  <c r="DK28"/>
  <c r="Q9"/>
  <c r="Q14"/>
  <c r="Q16"/>
  <c r="Q20"/>
  <c r="Q17"/>
  <c r="Q12"/>
  <c r="Q22"/>
  <c r="Q11"/>
  <c r="Q13"/>
  <c r="Q21"/>
  <c r="Q23"/>
  <c r="DK32"/>
  <c r="DK33"/>
  <c r="Q24"/>
  <c r="DK17"/>
  <c r="Q18"/>
  <c r="DK25"/>
  <c r="Q27"/>
  <c r="DE27"/>
  <c r="DK29"/>
  <c r="DK36"/>
  <c r="DE7" i="101"/>
  <c r="DK34" i="103"/>
  <c r="DG35"/>
  <c r="DJ35" s="1"/>
  <c r="P37" i="101"/>
  <c r="DE37" s="1"/>
  <c r="P35"/>
  <c r="DE35" s="1"/>
  <c r="P33"/>
  <c r="DE33" s="1"/>
  <c r="P31"/>
  <c r="DE31" s="1"/>
  <c r="P29"/>
  <c r="DE29" s="1"/>
  <c r="P27"/>
  <c r="DE27" s="1"/>
  <c r="P25"/>
  <c r="DE25" s="1"/>
  <c r="P23"/>
  <c r="DE23" s="1"/>
  <c r="P21"/>
  <c r="DE21" s="1"/>
  <c r="P19"/>
  <c r="DE19" s="1"/>
  <c r="P17"/>
  <c r="DE17" s="1"/>
  <c r="P15"/>
  <c r="DE15" s="1"/>
  <c r="P13"/>
  <c r="DE13" s="1"/>
  <c r="P11"/>
  <c r="DE11" s="1"/>
  <c r="P9"/>
  <c r="DE9" s="1"/>
  <c r="Q7"/>
  <c r="Q36"/>
  <c r="Q34"/>
  <c r="Q32"/>
  <c r="Q30"/>
  <c r="Q28"/>
  <c r="Q26"/>
  <c r="Q24"/>
  <c r="Q22"/>
  <c r="Q12"/>
  <c r="Q8"/>
  <c r="Q26" i="103"/>
  <c r="DE26"/>
  <c r="Q30"/>
  <c r="DE30"/>
  <c r="Q31"/>
  <c r="DE31"/>
  <c r="Q10"/>
  <c r="Q15"/>
  <c r="Q19"/>
  <c r="DC38"/>
  <c r="DA39" s="1"/>
  <c r="CL38"/>
  <c r="CP39" s="1"/>
  <c r="S25"/>
  <c r="T25" s="1"/>
  <c r="S26"/>
  <c r="T26" s="1"/>
  <c r="S27"/>
  <c r="T27" s="1"/>
  <c r="S37"/>
  <c r="T37" s="1"/>
  <c r="V7"/>
  <c r="V38" s="1"/>
  <c r="V39" s="1"/>
  <c r="CU37"/>
  <c r="B37"/>
  <c r="L37"/>
  <c r="AI37"/>
  <c r="W37"/>
  <c r="X37" s="1"/>
  <c r="CX38"/>
  <c r="CZ38"/>
  <c r="DB38"/>
  <c r="DD38"/>
  <c r="DE37"/>
  <c r="BK37"/>
  <c r="BL37" s="1"/>
  <c r="BD37"/>
  <c r="BF37" s="1"/>
  <c r="AZ37"/>
  <c r="AK37"/>
  <c r="M37"/>
  <c r="B36"/>
  <c r="L36"/>
  <c r="CU36"/>
  <c r="BD36"/>
  <c r="BF36" s="1"/>
  <c r="AZ36"/>
  <c r="AI36"/>
  <c r="W36"/>
  <c r="BL36"/>
  <c r="AK36"/>
  <c r="Q36"/>
  <c r="M36"/>
  <c r="CU35"/>
  <c r="B35"/>
  <c r="L35"/>
  <c r="H35"/>
  <c r="BD35"/>
  <c r="BF35" s="1"/>
  <c r="AZ35"/>
  <c r="AI35"/>
  <c r="W35"/>
  <c r="BL35"/>
  <c r="AK35"/>
  <c r="Q35"/>
  <c r="M35"/>
  <c r="CU34"/>
  <c r="B34"/>
  <c r="L34"/>
  <c r="H34"/>
  <c r="BD34"/>
  <c r="BF34" s="1"/>
  <c r="AZ34"/>
  <c r="AI34"/>
  <c r="W34"/>
  <c r="BL34"/>
  <c r="AK34"/>
  <c r="Q34"/>
  <c r="M34"/>
  <c r="CU33"/>
  <c r="B33"/>
  <c r="L33"/>
  <c r="H33"/>
  <c r="BD33"/>
  <c r="BF33" s="1"/>
  <c r="AZ33"/>
  <c r="AI33"/>
  <c r="W33"/>
  <c r="AK33"/>
  <c r="Q33"/>
  <c r="X33" s="1"/>
  <c r="M33"/>
  <c r="CU32"/>
  <c r="B32"/>
  <c r="L32"/>
  <c r="H32"/>
  <c r="BD32"/>
  <c r="BF32" s="1"/>
  <c r="AZ32"/>
  <c r="AI32"/>
  <c r="W32"/>
  <c r="BL32"/>
  <c r="AK32"/>
  <c r="Q32"/>
  <c r="M32"/>
  <c r="CU31"/>
  <c r="B31"/>
  <c r="L31"/>
  <c r="H31"/>
  <c r="BD31"/>
  <c r="BF31" s="1"/>
  <c r="AZ31"/>
  <c r="AI31"/>
  <c r="W31"/>
  <c r="X31" s="1"/>
  <c r="BL31"/>
  <c r="AK31"/>
  <c r="M31"/>
  <c r="CU30"/>
  <c r="B30"/>
  <c r="L30"/>
  <c r="H30"/>
  <c r="AZ30"/>
  <c r="AI30"/>
  <c r="W30"/>
  <c r="X30" s="1"/>
  <c r="BL30"/>
  <c r="AK30"/>
  <c r="M30"/>
  <c r="CU29"/>
  <c r="B29"/>
  <c r="L29"/>
  <c r="H29"/>
  <c r="BD29"/>
  <c r="BF29" s="1"/>
  <c r="AZ29"/>
  <c r="AI29"/>
  <c r="W29"/>
  <c r="BL29"/>
  <c r="AK29"/>
  <c r="Q29"/>
  <c r="M29"/>
  <c r="CU28"/>
  <c r="B28"/>
  <c r="L28"/>
  <c r="H28"/>
  <c r="BD28"/>
  <c r="BF28" s="1"/>
  <c r="AZ28"/>
  <c r="AI28"/>
  <c r="W28"/>
  <c r="BL28"/>
  <c r="AK28"/>
  <c r="Q28"/>
  <c r="M28"/>
  <c r="CU27"/>
  <c r="B27"/>
  <c r="L27"/>
  <c r="H27"/>
  <c r="BD27"/>
  <c r="BF27" s="1"/>
  <c r="AZ27"/>
  <c r="AI27"/>
  <c r="W27"/>
  <c r="BL27"/>
  <c r="AK27"/>
  <c r="M27"/>
  <c r="CU26"/>
  <c r="B26"/>
  <c r="L26"/>
  <c r="H26"/>
  <c r="BD26"/>
  <c r="BF26" s="1"/>
  <c r="AZ26"/>
  <c r="AI26"/>
  <c r="W26"/>
  <c r="X26" s="1"/>
  <c r="BL26"/>
  <c r="AK26"/>
  <c r="M26"/>
  <c r="CU25"/>
  <c r="B25"/>
  <c r="L25"/>
  <c r="H25"/>
  <c r="BD25"/>
  <c r="BF25" s="1"/>
  <c r="AZ25"/>
  <c r="AI25"/>
  <c r="W25"/>
  <c r="BL25"/>
  <c r="AK25"/>
  <c r="M25"/>
  <c r="B24"/>
  <c r="L24"/>
  <c r="CU24"/>
  <c r="H24"/>
  <c r="BL24"/>
  <c r="BH24"/>
  <c r="AZ24"/>
  <c r="AI24"/>
  <c r="W24"/>
  <c r="AK24"/>
  <c r="M24"/>
  <c r="CU23"/>
  <c r="B23"/>
  <c r="L23"/>
  <c r="H23"/>
  <c r="BD23"/>
  <c r="BF23" s="1"/>
  <c r="AZ23"/>
  <c r="AI23"/>
  <c r="W23"/>
  <c r="BL23"/>
  <c r="AK23"/>
  <c r="M23"/>
  <c r="CU22"/>
  <c r="B22"/>
  <c r="L22"/>
  <c r="H22"/>
  <c r="BD22"/>
  <c r="BF22" s="1"/>
  <c r="AZ22"/>
  <c r="AI22"/>
  <c r="W22"/>
  <c r="BL22"/>
  <c r="AK22"/>
  <c r="M22"/>
  <c r="CU21"/>
  <c r="B21"/>
  <c r="L21"/>
  <c r="H21"/>
  <c r="BD21"/>
  <c r="BF21" s="1"/>
  <c r="AZ21"/>
  <c r="AI21"/>
  <c r="W21"/>
  <c r="AK21"/>
  <c r="M21"/>
  <c r="CU20"/>
  <c r="B20"/>
  <c r="L20"/>
  <c r="H20"/>
  <c r="BD20"/>
  <c r="BF20" s="1"/>
  <c r="AZ20"/>
  <c r="AI20"/>
  <c r="W20"/>
  <c r="BL20"/>
  <c r="AK20"/>
  <c r="M20"/>
  <c r="CU19"/>
  <c r="B19"/>
  <c r="L19"/>
  <c r="BK19"/>
  <c r="BL19" s="1"/>
  <c r="BD19"/>
  <c r="BF19" s="1"/>
  <c r="AZ19"/>
  <c r="AI19"/>
  <c r="W19"/>
  <c r="X19" s="1"/>
  <c r="AK19"/>
  <c r="M19"/>
  <c r="CU18"/>
  <c r="B18"/>
  <c r="L18"/>
  <c r="H18"/>
  <c r="BD18"/>
  <c r="BF18" s="1"/>
  <c r="AZ18"/>
  <c r="AI18"/>
  <c r="W18"/>
  <c r="BL18"/>
  <c r="AK18"/>
  <c r="M18"/>
  <c r="B17"/>
  <c r="L17"/>
  <c r="CU17"/>
  <c r="H17"/>
  <c r="BL17"/>
  <c r="AI17"/>
  <c r="W17"/>
  <c r="M17"/>
  <c r="B16"/>
  <c r="L16"/>
  <c r="CU16"/>
  <c r="H16"/>
  <c r="BL16"/>
  <c r="AI16"/>
  <c r="W16"/>
  <c r="AK16"/>
  <c r="M16"/>
  <c r="B15"/>
  <c r="L15"/>
  <c r="CU15"/>
  <c r="H15"/>
  <c r="BL15"/>
  <c r="AI15"/>
  <c r="W15"/>
  <c r="X15" s="1"/>
  <c r="AK15"/>
  <c r="M15"/>
  <c r="B14"/>
  <c r="L14"/>
  <c r="CU14"/>
  <c r="H14"/>
  <c r="BL14"/>
  <c r="AI14"/>
  <c r="W14"/>
  <c r="AK14"/>
  <c r="M14"/>
  <c r="B13"/>
  <c r="L13"/>
  <c r="CU13"/>
  <c r="H13"/>
  <c r="BL13"/>
  <c r="AI13"/>
  <c r="W13"/>
  <c r="AK13"/>
  <c r="M13"/>
  <c r="B12"/>
  <c r="L12"/>
  <c r="CU12"/>
  <c r="H12"/>
  <c r="BL12"/>
  <c r="AI12"/>
  <c r="W12"/>
  <c r="AK12"/>
  <c r="M12"/>
  <c r="B11"/>
  <c r="L11"/>
  <c r="CU11"/>
  <c r="H11"/>
  <c r="BL11"/>
  <c r="AI11"/>
  <c r="W11"/>
  <c r="AK11"/>
  <c r="M11"/>
  <c r="H10"/>
  <c r="B10"/>
  <c r="L10"/>
  <c r="CU10"/>
  <c r="BL10"/>
  <c r="AI10"/>
  <c r="W10"/>
  <c r="X10" s="1"/>
  <c r="M10"/>
  <c r="BN38"/>
  <c r="BV39" s="1"/>
  <c r="B9"/>
  <c r="L9"/>
  <c r="CU9"/>
  <c r="CU38" s="1"/>
  <c r="H9"/>
  <c r="B38"/>
  <c r="B39" s="1"/>
  <c r="BL9"/>
  <c r="AI9"/>
  <c r="W9"/>
  <c r="AK9"/>
  <c r="M9"/>
  <c r="BU39"/>
  <c r="BP38"/>
  <c r="BX39" s="1"/>
  <c r="CW7"/>
  <c r="CW38" s="1"/>
  <c r="CT44" s="1"/>
  <c r="Q36" i="100"/>
  <c r="Q34"/>
  <c r="Q32"/>
  <c r="Q30"/>
  <c r="Q28"/>
  <c r="Q26"/>
  <c r="Q37"/>
  <c r="Q35"/>
  <c r="Q33"/>
  <c r="Q31"/>
  <c r="Q29"/>
  <c r="Q27"/>
  <c r="P25"/>
  <c r="Q25" s="1"/>
  <c r="DE8"/>
  <c r="DE10"/>
  <c r="DE12"/>
  <c r="DE14"/>
  <c r="DE16"/>
  <c r="DE18"/>
  <c r="DE20"/>
  <c r="DE22"/>
  <c r="DE24"/>
  <c r="DE26"/>
  <c r="DE28"/>
  <c r="DE30"/>
  <c r="DE32"/>
  <c r="DE34"/>
  <c r="DE36"/>
  <c r="DE9"/>
  <c r="DE11"/>
  <c r="DE13"/>
  <c r="DE15"/>
  <c r="DE17"/>
  <c r="DE19"/>
  <c r="DE21"/>
  <c r="DE23"/>
  <c r="DE27"/>
  <c r="DE29"/>
  <c r="DE31"/>
  <c r="DE33"/>
  <c r="DE35"/>
  <c r="DE37"/>
  <c r="O38"/>
  <c r="Q7"/>
  <c r="N38" i="103"/>
  <c r="N39" s="1"/>
  <c r="I38"/>
  <c r="I39" s="1"/>
  <c r="I41" s="1"/>
  <c r="L38"/>
  <c r="L39" s="1"/>
  <c r="DK8"/>
  <c r="S8"/>
  <c r="T8" s="1"/>
  <c r="W8" s="1"/>
  <c r="J38"/>
  <c r="J39" s="1"/>
  <c r="R38"/>
  <c r="R39" s="1"/>
  <c r="AO44"/>
  <c r="AO39"/>
  <c r="BA7"/>
  <c r="DE7"/>
  <c r="O38"/>
  <c r="CR39" s="1"/>
  <c r="AI8"/>
  <c r="C7"/>
  <c r="D7" s="1"/>
  <c r="E7"/>
  <c r="Q7"/>
  <c r="AP7"/>
  <c r="DG7"/>
  <c r="DK7"/>
  <c r="C8"/>
  <c r="D8" s="1"/>
  <c r="Q8"/>
  <c r="BD8"/>
  <c r="BF8" s="1"/>
  <c r="BJ8"/>
  <c r="AV39"/>
  <c r="BW39"/>
  <c r="BY39"/>
  <c r="CA39"/>
  <c r="CC39"/>
  <c r="CE39"/>
  <c r="CG39"/>
  <c r="J45"/>
  <c r="P21" i="98"/>
  <c r="DE21" s="1"/>
  <c r="P17"/>
  <c r="DE17" s="1"/>
  <c r="P13"/>
  <c r="DE13" s="1"/>
  <c r="P9"/>
  <c r="DE9" s="1"/>
  <c r="P23"/>
  <c r="DE23" s="1"/>
  <c r="P19"/>
  <c r="DE19" s="1"/>
  <c r="P15"/>
  <c r="DE15" s="1"/>
  <c r="P11"/>
  <c r="DE11" s="1"/>
  <c r="Q37"/>
  <c r="Q35"/>
  <c r="Q33"/>
  <c r="Q31"/>
  <c r="Q29"/>
  <c r="Q27"/>
  <c r="Q25"/>
  <c r="P7"/>
  <c r="DE7" s="1"/>
  <c r="P36"/>
  <c r="P34"/>
  <c r="P32"/>
  <c r="P30"/>
  <c r="P28"/>
  <c r="P26"/>
  <c r="P24"/>
  <c r="DE24" s="1"/>
  <c r="P22"/>
  <c r="DE22" s="1"/>
  <c r="P20"/>
  <c r="DE20" s="1"/>
  <c r="P18"/>
  <c r="DE18" s="1"/>
  <c r="P16"/>
  <c r="DE16" s="1"/>
  <c r="P14"/>
  <c r="DE14" s="1"/>
  <c r="P12"/>
  <c r="DE12" s="1"/>
  <c r="P10"/>
  <c r="DE10" s="1"/>
  <c r="P8"/>
  <c r="DE8" s="1"/>
  <c r="E39" i="104" l="1"/>
  <c r="Q17" i="101"/>
  <c r="AP39" i="104"/>
  <c r="X25" i="103"/>
  <c r="Q13" i="101"/>
  <c r="X9" i="104"/>
  <c r="X11"/>
  <c r="BE8"/>
  <c r="DK38"/>
  <c r="X8"/>
  <c r="BB8"/>
  <c r="S39"/>
  <c r="S41" s="1"/>
  <c r="CR39"/>
  <c r="X10"/>
  <c r="BB11"/>
  <c r="BB10"/>
  <c r="BB9"/>
  <c r="CT40"/>
  <c r="C39"/>
  <c r="BA38"/>
  <c r="AE39" s="1"/>
  <c r="BH7"/>
  <c r="BH8" s="1"/>
  <c r="AI7"/>
  <c r="W7"/>
  <c r="F7"/>
  <c r="BK7"/>
  <c r="BD7"/>
  <c r="AK7"/>
  <c r="M7"/>
  <c r="H7"/>
  <c r="P38"/>
  <c r="P39" s="1"/>
  <c r="DE7"/>
  <c r="DE38" s="1"/>
  <c r="Q7"/>
  <c r="DG38"/>
  <c r="DH38" s="1"/>
  <c r="D38"/>
  <c r="BE7"/>
  <c r="BB7"/>
  <c r="DJ38"/>
  <c r="T38"/>
  <c r="Q11" i="101"/>
  <c r="X12" i="103"/>
  <c r="X14"/>
  <c r="X18"/>
  <c r="X13"/>
  <c r="X23"/>
  <c r="X9"/>
  <c r="X16"/>
  <c r="X17"/>
  <c r="X22"/>
  <c r="X20"/>
  <c r="X11"/>
  <c r="X21"/>
  <c r="X24"/>
  <c r="DE38" i="101"/>
  <c r="X27" i="103"/>
  <c r="Q9" i="101"/>
  <c r="P38"/>
  <c r="P39" s="1"/>
  <c r="X32" i="103"/>
  <c r="X28"/>
  <c r="X29"/>
  <c r="X34"/>
  <c r="X35"/>
  <c r="X36"/>
  <c r="S7"/>
  <c r="C37"/>
  <c r="E37"/>
  <c r="D37"/>
  <c r="C36"/>
  <c r="E36"/>
  <c r="D36"/>
  <c r="C35"/>
  <c r="E35"/>
  <c r="D35"/>
  <c r="C34"/>
  <c r="E34"/>
  <c r="D34"/>
  <c r="C33"/>
  <c r="E33"/>
  <c r="D33"/>
  <c r="C32"/>
  <c r="E32"/>
  <c r="D32"/>
  <c r="C31"/>
  <c r="E31"/>
  <c r="D31"/>
  <c r="C30"/>
  <c r="E30"/>
  <c r="D30"/>
  <c r="C29"/>
  <c r="E29"/>
  <c r="D29"/>
  <c r="C28"/>
  <c r="E28"/>
  <c r="D28"/>
  <c r="C27"/>
  <c r="E27"/>
  <c r="D27"/>
  <c r="C26"/>
  <c r="E26"/>
  <c r="D26"/>
  <c r="C25"/>
  <c r="E25"/>
  <c r="D25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V44"/>
  <c r="CT39"/>
  <c r="C9"/>
  <c r="E9"/>
  <c r="D9"/>
  <c r="C39"/>
  <c r="E39"/>
  <c r="CV39"/>
  <c r="CT40" s="1"/>
  <c r="DE38" i="100"/>
  <c r="O39"/>
  <c r="S39" i="103"/>
  <c r="S41" s="1"/>
  <c r="BE8"/>
  <c r="BB8"/>
  <c r="F8"/>
  <c r="BB7"/>
  <c r="BE7"/>
  <c r="DG38"/>
  <c r="DI38" s="1"/>
  <c r="DJ7"/>
  <c r="DJ38" s="1"/>
  <c r="DE38"/>
  <c r="T7"/>
  <c r="T38" s="1"/>
  <c r="O39"/>
  <c r="BA38"/>
  <c r="AE39" s="1"/>
  <c r="BK7"/>
  <c r="BD7"/>
  <c r="AK7"/>
  <c r="M7"/>
  <c r="H7"/>
  <c r="BH7"/>
  <c r="BH8" s="1"/>
  <c r="AI7"/>
  <c r="F7"/>
  <c r="X8"/>
  <c r="DK38"/>
  <c r="P38"/>
  <c r="AP39"/>
  <c r="Q28" i="98"/>
  <c r="DE28"/>
  <c r="Q32"/>
  <c r="DE32"/>
  <c r="Q36"/>
  <c r="DE36"/>
  <c r="Q26"/>
  <c r="DE26"/>
  <c r="Q30"/>
  <c r="DE30"/>
  <c r="Q34"/>
  <c r="DE34"/>
  <c r="P38"/>
  <c r="DD37" i="100"/>
  <c r="DC37"/>
  <c r="DB37"/>
  <c r="DA37"/>
  <c r="CZ37"/>
  <c r="CY37"/>
  <c r="CX37"/>
  <c r="CW37"/>
  <c r="CV37"/>
  <c r="CU37"/>
  <c r="CT37"/>
  <c r="BC37"/>
  <c r="BA37"/>
  <c r="V37"/>
  <c r="R37"/>
  <c r="L37"/>
  <c r="J37"/>
  <c r="I37"/>
  <c r="B37"/>
  <c r="DI38" i="104" l="1"/>
  <c r="X7"/>
  <c r="AA39"/>
  <c r="BB38"/>
  <c r="BB39" s="1"/>
  <c r="Q39"/>
  <c r="BD38"/>
  <c r="BD39" s="1"/>
  <c r="BF7"/>
  <c r="BF38" s="1"/>
  <c r="BF39" s="1"/>
  <c r="BK38"/>
  <c r="BL7"/>
  <c r="BL8" s="1"/>
  <c r="BB48" s="1"/>
  <c r="BB51" s="1"/>
  <c r="BE39"/>
  <c r="BA39"/>
  <c r="AZ39" s="1"/>
  <c r="AK39"/>
  <c r="AI39"/>
  <c r="M39"/>
  <c r="W39"/>
  <c r="W41" s="1"/>
  <c r="H39"/>
  <c r="F39"/>
  <c r="F41" s="1"/>
  <c r="BB37" i="103"/>
  <c r="BE37"/>
  <c r="F37"/>
  <c r="BE36"/>
  <c r="BB36"/>
  <c r="F36"/>
  <c r="BE35"/>
  <c r="BB35"/>
  <c r="F35"/>
  <c r="BE34"/>
  <c r="BB34"/>
  <c r="F34"/>
  <c r="BE33"/>
  <c r="BB33"/>
  <c r="F33"/>
  <c r="BE32"/>
  <c r="BB32"/>
  <c r="F32"/>
  <c r="BE31"/>
  <c r="BB31"/>
  <c r="F31"/>
  <c r="BE30"/>
  <c r="BB30"/>
  <c r="F30"/>
  <c r="BE29"/>
  <c r="BB29"/>
  <c r="F29"/>
  <c r="BE28"/>
  <c r="BB28"/>
  <c r="F28"/>
  <c r="BE27"/>
  <c r="BB27"/>
  <c r="F27"/>
  <c r="BE26"/>
  <c r="BB26"/>
  <c r="F26"/>
  <c r="BE25"/>
  <c r="BB25"/>
  <c r="F25"/>
  <c r="BB24"/>
  <c r="BE24"/>
  <c r="F24"/>
  <c r="BE23"/>
  <c r="BB23"/>
  <c r="F23"/>
  <c r="BE22"/>
  <c r="BB22"/>
  <c r="F22"/>
  <c r="BE21"/>
  <c r="BB21"/>
  <c r="F21"/>
  <c r="BE20"/>
  <c r="BB20"/>
  <c r="F20"/>
  <c r="BE19"/>
  <c r="BB19"/>
  <c r="F19"/>
  <c r="BE18"/>
  <c r="BB18"/>
  <c r="F18"/>
  <c r="BB17"/>
  <c r="BE17"/>
  <c r="F17"/>
  <c r="BB16"/>
  <c r="BE16"/>
  <c r="F16"/>
  <c r="BB15"/>
  <c r="BE15"/>
  <c r="F15"/>
  <c r="BB14"/>
  <c r="BE14"/>
  <c r="F14"/>
  <c r="BB13"/>
  <c r="BE13"/>
  <c r="F13"/>
  <c r="BB38"/>
  <c r="BB39" s="1"/>
  <c r="BB12"/>
  <c r="BE12"/>
  <c r="F12"/>
  <c r="BB11"/>
  <c r="BE11"/>
  <c r="F11"/>
  <c r="Q39"/>
  <c r="BB10"/>
  <c r="BE10"/>
  <c r="F10"/>
  <c r="D38"/>
  <c r="F39" s="1"/>
  <c r="F41" s="1"/>
  <c r="BB9"/>
  <c r="BE9"/>
  <c r="F9"/>
  <c r="DH38"/>
  <c r="W7"/>
  <c r="X7" s="1"/>
  <c r="BK38"/>
  <c r="BL7"/>
  <c r="BL8" s="1"/>
  <c r="BD38"/>
  <c r="BD39" s="1"/>
  <c r="BF7"/>
  <c r="BF38" s="1"/>
  <c r="BF39" s="1"/>
  <c r="BE39"/>
  <c r="BA39"/>
  <c r="AZ39" s="1"/>
  <c r="AK39"/>
  <c r="AI39"/>
  <c r="H39"/>
  <c r="AA39"/>
  <c r="W39"/>
  <c r="W41" s="1"/>
  <c r="M39"/>
  <c r="BB48"/>
  <c r="BB51" s="1"/>
  <c r="DE38" i="98"/>
  <c r="AK37" i="100"/>
  <c r="BK37"/>
  <c r="BD37"/>
  <c r="BF37" s="1"/>
  <c r="AZ37"/>
  <c r="AI37"/>
  <c r="M37"/>
  <c r="H37"/>
  <c r="C37"/>
  <c r="D37" s="1"/>
  <c r="E37"/>
  <c r="S37"/>
  <c r="T37" s="1"/>
  <c r="W37" s="1"/>
  <c r="X37" s="1"/>
  <c r="AP37"/>
  <c r="X39" i="104" l="1"/>
  <c r="X39" i="103"/>
  <c r="BE37" i="100"/>
  <c r="BB37"/>
  <c r="F37"/>
  <c r="AO7" i="101" l="1"/>
  <c r="BC36" i="100"/>
  <c r="BA36"/>
  <c r="V36"/>
  <c r="R36"/>
  <c r="S36" s="1"/>
  <c r="L36"/>
  <c r="J36"/>
  <c r="I36"/>
  <c r="B36"/>
  <c r="C36" s="1"/>
  <c r="DD35"/>
  <c r="DC35"/>
  <c r="DB35"/>
  <c r="DA35"/>
  <c r="CZ35"/>
  <c r="CY35"/>
  <c r="CX35"/>
  <c r="CW35"/>
  <c r="CV35"/>
  <c r="CU35"/>
  <c r="CT35"/>
  <c r="BC35"/>
  <c r="BA35"/>
  <c r="V35"/>
  <c r="R35"/>
  <c r="L35"/>
  <c r="J35"/>
  <c r="I35"/>
  <c r="B35"/>
  <c r="BC34"/>
  <c r="BA34"/>
  <c r="V34"/>
  <c r="R34"/>
  <c r="L34"/>
  <c r="J34"/>
  <c r="I34"/>
  <c r="B34"/>
  <c r="E34" s="1"/>
  <c r="BC33"/>
  <c r="BA33"/>
  <c r="V33"/>
  <c r="R33"/>
  <c r="L33"/>
  <c r="J33"/>
  <c r="I33"/>
  <c r="B33"/>
  <c r="C33" s="1"/>
  <c r="BF59" i="101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S26" s="1"/>
  <c r="R27"/>
  <c r="S27" s="1"/>
  <c r="R28"/>
  <c r="S28" s="1"/>
  <c r="R29"/>
  <c r="R30"/>
  <c r="R31"/>
  <c r="R32"/>
  <c r="R33"/>
  <c r="R34"/>
  <c r="R35"/>
  <c r="R36"/>
  <c r="S36" s="1"/>
  <c r="R37"/>
  <c r="R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B37"/>
  <c r="C37" s="1"/>
  <c r="D37" s="1"/>
  <c r="B8"/>
  <c r="B9"/>
  <c r="B10"/>
  <c r="B11"/>
  <c r="B12"/>
  <c r="B13"/>
  <c r="B14"/>
  <c r="B15"/>
  <c r="B16"/>
  <c r="B17"/>
  <c r="B18"/>
  <c r="B19"/>
  <c r="C19" s="1"/>
  <c r="D19" s="1"/>
  <c r="B20"/>
  <c r="B21"/>
  <c r="E21" s="1"/>
  <c r="B22"/>
  <c r="C22" s="1"/>
  <c r="D22" s="1"/>
  <c r="B23"/>
  <c r="B24"/>
  <c r="C24" s="1"/>
  <c r="B25"/>
  <c r="E25" s="1"/>
  <c r="B26"/>
  <c r="E26" s="1"/>
  <c r="B27"/>
  <c r="E27" s="1"/>
  <c r="B28"/>
  <c r="E28" s="1"/>
  <c r="B29"/>
  <c r="E29" s="1"/>
  <c r="B30"/>
  <c r="E30" s="1"/>
  <c r="B31"/>
  <c r="C31" s="1"/>
  <c r="D31" s="1"/>
  <c r="B32"/>
  <c r="E32" s="1"/>
  <c r="B33"/>
  <c r="C33" s="1"/>
  <c r="D33" s="1"/>
  <c r="B34"/>
  <c r="E34" s="1"/>
  <c r="B35"/>
  <c r="C35" s="1"/>
  <c r="D35" s="1"/>
  <c r="B36"/>
  <c r="E36" s="1"/>
  <c r="B7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A39" s="1"/>
  <c r="BR38"/>
  <c r="CG39" s="1"/>
  <c r="BQ38"/>
  <c r="BY39" s="1"/>
  <c r="BP38"/>
  <c r="BO38"/>
  <c r="BW39" s="1"/>
  <c r="BN38"/>
  <c r="CC39" s="1"/>
  <c r="BM38"/>
  <c r="BU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A37"/>
  <c r="V37"/>
  <c r="I37"/>
  <c r="DK37" s="1"/>
  <c r="DD36"/>
  <c r="DC36"/>
  <c r="DB36"/>
  <c r="DA36"/>
  <c r="CZ36"/>
  <c r="CY36"/>
  <c r="CX36"/>
  <c r="CW36"/>
  <c r="CV36"/>
  <c r="CU36"/>
  <c r="CT36"/>
  <c r="BI36"/>
  <c r="BC36"/>
  <c r="AP36"/>
  <c r="AO36"/>
  <c r="BA36" s="1"/>
  <c r="V36"/>
  <c r="I36"/>
  <c r="DK36" s="1"/>
  <c r="DD35"/>
  <c r="DC35"/>
  <c r="DB35"/>
  <c r="DA35"/>
  <c r="CZ35"/>
  <c r="CY35"/>
  <c r="CX35"/>
  <c r="CW35"/>
  <c r="CV35"/>
  <c r="CU35"/>
  <c r="CT35"/>
  <c r="BI35"/>
  <c r="BC35"/>
  <c r="AO35"/>
  <c r="BA35" s="1"/>
  <c r="V35"/>
  <c r="I35"/>
  <c r="DK35" s="1"/>
  <c r="DD34"/>
  <c r="DC34"/>
  <c r="DB34"/>
  <c r="DA34"/>
  <c r="CZ34"/>
  <c r="CY34"/>
  <c r="CX34"/>
  <c r="CW34"/>
  <c r="CV34"/>
  <c r="CU34"/>
  <c r="CT34"/>
  <c r="BI34"/>
  <c r="BC34"/>
  <c r="AP34"/>
  <c r="AO34"/>
  <c r="BA34" s="1"/>
  <c r="V34"/>
  <c r="I34"/>
  <c r="DK34" s="1"/>
  <c r="DD33"/>
  <c r="DC33"/>
  <c r="DB33"/>
  <c r="DA33"/>
  <c r="CZ33"/>
  <c r="CY33"/>
  <c r="CX33"/>
  <c r="CW33"/>
  <c r="CV33"/>
  <c r="CU33"/>
  <c r="CT33"/>
  <c r="BI33"/>
  <c r="BC33"/>
  <c r="AO33"/>
  <c r="BA33" s="1"/>
  <c r="V33"/>
  <c r="I33"/>
  <c r="DK33" s="1"/>
  <c r="DD32"/>
  <c r="DC32"/>
  <c r="DB32"/>
  <c r="DA32"/>
  <c r="CZ32"/>
  <c r="CY32"/>
  <c r="CX32"/>
  <c r="CW32"/>
  <c r="CV32"/>
  <c r="CU32"/>
  <c r="CT32"/>
  <c r="BI32"/>
  <c r="BC32"/>
  <c r="AO32"/>
  <c r="AP32" s="1"/>
  <c r="V32"/>
  <c r="I32"/>
  <c r="DK32" s="1"/>
  <c r="DD31"/>
  <c r="DC31"/>
  <c r="DB31"/>
  <c r="DA31"/>
  <c r="CZ31"/>
  <c r="CY31"/>
  <c r="CX31"/>
  <c r="CW31"/>
  <c r="CV31"/>
  <c r="CU31"/>
  <c r="CT31"/>
  <c r="BI31"/>
  <c r="BC31"/>
  <c r="AO31"/>
  <c r="BA31" s="1"/>
  <c r="V31"/>
  <c r="I31"/>
  <c r="DK31" s="1"/>
  <c r="DD30"/>
  <c r="DC30"/>
  <c r="DB30"/>
  <c r="DA30"/>
  <c r="CZ30"/>
  <c r="CY30"/>
  <c r="CX30"/>
  <c r="CW30"/>
  <c r="CV30"/>
  <c r="CU30"/>
  <c r="CT30"/>
  <c r="BI30"/>
  <c r="BC30"/>
  <c r="AP30"/>
  <c r="AO30"/>
  <c r="BA30" s="1"/>
  <c r="BK30" s="1"/>
  <c r="V30"/>
  <c r="I30"/>
  <c r="DK30" s="1"/>
  <c r="DD29"/>
  <c r="DC29"/>
  <c r="DB29"/>
  <c r="DA29"/>
  <c r="CZ29"/>
  <c r="CY29"/>
  <c r="CX29"/>
  <c r="CW29"/>
  <c r="CV29"/>
  <c r="CU29"/>
  <c r="CT29"/>
  <c r="BI29"/>
  <c r="BC29"/>
  <c r="AO29"/>
  <c r="BA29" s="1"/>
  <c r="V29"/>
  <c r="I29"/>
  <c r="DK29" s="1"/>
  <c r="DD28"/>
  <c r="DC28"/>
  <c r="DB28"/>
  <c r="DA28"/>
  <c r="CZ28"/>
  <c r="CY28"/>
  <c r="CX28"/>
  <c r="CW28"/>
  <c r="CV28"/>
  <c r="CU28"/>
  <c r="CT28"/>
  <c r="BI28"/>
  <c r="BC28"/>
  <c r="AO28"/>
  <c r="BA28" s="1"/>
  <c r="V28"/>
  <c r="I28"/>
  <c r="DK28" s="1"/>
  <c r="DD27"/>
  <c r="DC27"/>
  <c r="DB27"/>
  <c r="DA27"/>
  <c r="CZ27"/>
  <c r="CY27"/>
  <c r="CX27"/>
  <c r="CW27"/>
  <c r="CV27"/>
  <c r="CU27"/>
  <c r="CT27"/>
  <c r="BI27"/>
  <c r="BC27"/>
  <c r="AO27"/>
  <c r="BA27" s="1"/>
  <c r="V27"/>
  <c r="I27"/>
  <c r="DK27" s="1"/>
  <c r="DD26"/>
  <c r="DC26"/>
  <c r="DB26"/>
  <c r="DA26"/>
  <c r="CZ26"/>
  <c r="CY26"/>
  <c r="CX26"/>
  <c r="CW26"/>
  <c r="CV26"/>
  <c r="CU26"/>
  <c r="CT26"/>
  <c r="BI26"/>
  <c r="BC26"/>
  <c r="AO26"/>
  <c r="BA26" s="1"/>
  <c r="V26"/>
  <c r="I26"/>
  <c r="DK26" s="1"/>
  <c r="DD25"/>
  <c r="DC25"/>
  <c r="DB25"/>
  <c r="DA25"/>
  <c r="CZ25"/>
  <c r="CY25"/>
  <c r="CX25"/>
  <c r="CW25"/>
  <c r="CV25"/>
  <c r="CU25"/>
  <c r="CT25"/>
  <c r="BI25"/>
  <c r="BC25"/>
  <c r="BA25"/>
  <c r="V25"/>
  <c r="I25"/>
  <c r="DK25" s="1"/>
  <c r="DD24"/>
  <c r="DC24"/>
  <c r="DB24"/>
  <c r="DA24"/>
  <c r="CZ24"/>
  <c r="CY24"/>
  <c r="CX24"/>
  <c r="CW24"/>
  <c r="CV24"/>
  <c r="CU24"/>
  <c r="CT24"/>
  <c r="BI24"/>
  <c r="BC24"/>
  <c r="BF24" s="1"/>
  <c r="AO24"/>
  <c r="V24"/>
  <c r="I24"/>
  <c r="DK24" s="1"/>
  <c r="DD23"/>
  <c r="DC23"/>
  <c r="DB23"/>
  <c r="DA23"/>
  <c r="CZ23"/>
  <c r="CY23"/>
  <c r="CX23"/>
  <c r="CW23"/>
  <c r="CV23"/>
  <c r="CU23"/>
  <c r="CT23"/>
  <c r="BI23"/>
  <c r="BC23"/>
  <c r="AP23"/>
  <c r="AO23"/>
  <c r="BA23" s="1"/>
  <c r="AK23" s="1"/>
  <c r="V23"/>
  <c r="I23"/>
  <c r="DG23" s="1"/>
  <c r="DJ23" s="1"/>
  <c r="DD22"/>
  <c r="DC22"/>
  <c r="DB22"/>
  <c r="DA22"/>
  <c r="CZ22"/>
  <c r="CY22"/>
  <c r="CX22"/>
  <c r="CW22"/>
  <c r="CV22"/>
  <c r="CU22"/>
  <c r="CT22"/>
  <c r="BI22"/>
  <c r="BC22"/>
  <c r="AO22"/>
  <c r="V22"/>
  <c r="I22"/>
  <c r="DK22" s="1"/>
  <c r="DD21"/>
  <c r="DC21"/>
  <c r="DB21"/>
  <c r="DA21"/>
  <c r="CZ21"/>
  <c r="CY21"/>
  <c r="CX21"/>
  <c r="CW21"/>
  <c r="CV21"/>
  <c r="CU21"/>
  <c r="CT21"/>
  <c r="BI21"/>
  <c r="BC21"/>
  <c r="AO21"/>
  <c r="BA21" s="1"/>
  <c r="V21"/>
  <c r="I21"/>
  <c r="DK21" s="1"/>
  <c r="DD20"/>
  <c r="DC20"/>
  <c r="DB20"/>
  <c r="DA20"/>
  <c r="CZ20"/>
  <c r="CY20"/>
  <c r="CX20"/>
  <c r="CW20"/>
  <c r="CV20"/>
  <c r="CU20"/>
  <c r="CT20"/>
  <c r="BI20"/>
  <c r="BC20"/>
  <c r="AO20"/>
  <c r="BA20" s="1"/>
  <c r="Q20" s="1"/>
  <c r="V20"/>
  <c r="I20"/>
  <c r="DK20" s="1"/>
  <c r="DD19"/>
  <c r="DC19"/>
  <c r="DB19"/>
  <c r="DA19"/>
  <c r="CZ19"/>
  <c r="CY19"/>
  <c r="CX19"/>
  <c r="CW19"/>
  <c r="CV19"/>
  <c r="CU19"/>
  <c r="CT19"/>
  <c r="BI19"/>
  <c r="BC19"/>
  <c r="AO19"/>
  <c r="BA19" s="1"/>
  <c r="Q19" s="1"/>
  <c r="V19"/>
  <c r="I19"/>
  <c r="DK19" s="1"/>
  <c r="DD18"/>
  <c r="DC18"/>
  <c r="DB18"/>
  <c r="DA18"/>
  <c r="CZ18"/>
  <c r="CY18"/>
  <c r="CX18"/>
  <c r="CW18"/>
  <c r="CV18"/>
  <c r="CU18"/>
  <c r="CT18"/>
  <c r="BI18"/>
  <c r="BC18"/>
  <c r="AO18"/>
  <c r="AP18" s="1"/>
  <c r="V18"/>
  <c r="I18"/>
  <c r="DK18" s="1"/>
  <c r="DD17"/>
  <c r="DC17"/>
  <c r="DB17"/>
  <c r="DA17"/>
  <c r="CZ17"/>
  <c r="CY17"/>
  <c r="CX17"/>
  <c r="CW17"/>
  <c r="CV17"/>
  <c r="CU17"/>
  <c r="CT17"/>
  <c r="BI17"/>
  <c r="BC17"/>
  <c r="AO17"/>
  <c r="BA17" s="1"/>
  <c r="V17"/>
  <c r="I17"/>
  <c r="DK17" s="1"/>
  <c r="DD16"/>
  <c r="DC16"/>
  <c r="DB16"/>
  <c r="DA16"/>
  <c r="CZ16"/>
  <c r="CY16"/>
  <c r="CX16"/>
  <c r="CW16"/>
  <c r="CV16"/>
  <c r="CU16"/>
  <c r="CT16"/>
  <c r="BI16"/>
  <c r="BC16"/>
  <c r="AO16"/>
  <c r="BA16" s="1"/>
  <c r="Q16" s="1"/>
  <c r="V16"/>
  <c r="I16"/>
  <c r="DK16" s="1"/>
  <c r="DD15"/>
  <c r="DC15"/>
  <c r="DB15"/>
  <c r="DA15"/>
  <c r="CZ15"/>
  <c r="CY15"/>
  <c r="CX15"/>
  <c r="CW15"/>
  <c r="CV15"/>
  <c r="CU15"/>
  <c r="CT15"/>
  <c r="BI15"/>
  <c r="BC15"/>
  <c r="AO15"/>
  <c r="BA15" s="1"/>
  <c r="Q15" s="1"/>
  <c r="V15"/>
  <c r="I15"/>
  <c r="DK15" s="1"/>
  <c r="DD14"/>
  <c r="DC14"/>
  <c r="DB14"/>
  <c r="DA14"/>
  <c r="CZ14"/>
  <c r="CY14"/>
  <c r="CX14"/>
  <c r="CW14"/>
  <c r="CV14"/>
  <c r="CU14"/>
  <c r="CT14"/>
  <c r="BI14"/>
  <c r="BC14"/>
  <c r="AO14"/>
  <c r="BA14" s="1"/>
  <c r="Q14" s="1"/>
  <c r="V14"/>
  <c r="I14"/>
  <c r="DK14" s="1"/>
  <c r="DD13"/>
  <c r="DC13"/>
  <c r="DB13"/>
  <c r="DA13"/>
  <c r="CZ13"/>
  <c r="CY13"/>
  <c r="CX13"/>
  <c r="CW13"/>
  <c r="CV13"/>
  <c r="CU13"/>
  <c r="CT13"/>
  <c r="BI13"/>
  <c r="BC13"/>
  <c r="AO13"/>
  <c r="BA13" s="1"/>
  <c r="V13"/>
  <c r="I13"/>
  <c r="DK13" s="1"/>
  <c r="DD12"/>
  <c r="DC12"/>
  <c r="DB12"/>
  <c r="DA12"/>
  <c r="CZ12"/>
  <c r="CY12"/>
  <c r="CX12"/>
  <c r="CW12"/>
  <c r="CV12"/>
  <c r="CU12"/>
  <c r="CT12"/>
  <c r="BI12"/>
  <c r="BC12"/>
  <c r="AO12"/>
  <c r="BA12" s="1"/>
  <c r="V12"/>
  <c r="I12"/>
  <c r="DK12" s="1"/>
  <c r="DD11"/>
  <c r="DC11"/>
  <c r="DB11"/>
  <c r="DA11"/>
  <c r="CZ11"/>
  <c r="CY11"/>
  <c r="CX11"/>
  <c r="CW11"/>
  <c r="CV11"/>
  <c r="CU11"/>
  <c r="CT11"/>
  <c r="BI11"/>
  <c r="BC11"/>
  <c r="AO11"/>
  <c r="BA11" s="1"/>
  <c r="V11"/>
  <c r="I11"/>
  <c r="DK11" s="1"/>
  <c r="DD10"/>
  <c r="DC10"/>
  <c r="DB10"/>
  <c r="DA10"/>
  <c r="CZ10"/>
  <c r="CY10"/>
  <c r="CX10"/>
  <c r="CW10"/>
  <c r="CV10"/>
  <c r="CU10"/>
  <c r="CT10"/>
  <c r="BI10"/>
  <c r="BC10"/>
  <c r="AO10"/>
  <c r="BA10" s="1"/>
  <c r="Q10" s="1"/>
  <c r="V10"/>
  <c r="I10"/>
  <c r="DK10" s="1"/>
  <c r="DD9"/>
  <c r="DC9"/>
  <c r="DB9"/>
  <c r="DA9"/>
  <c r="CZ9"/>
  <c r="CY9"/>
  <c r="CX9"/>
  <c r="CW9"/>
  <c r="CV9"/>
  <c r="CU9"/>
  <c r="CT9"/>
  <c r="BI9"/>
  <c r="BC9"/>
  <c r="AO9"/>
  <c r="BA9" s="1"/>
  <c r="V9"/>
  <c r="I9"/>
  <c r="DK9" s="1"/>
  <c r="DD8"/>
  <c r="DC8"/>
  <c r="DB8"/>
  <c r="DA8"/>
  <c r="CZ8"/>
  <c r="CY8"/>
  <c r="CX8"/>
  <c r="CW8"/>
  <c r="CV8"/>
  <c r="CU8"/>
  <c r="CT8"/>
  <c r="BI8"/>
  <c r="BC8"/>
  <c r="AO8"/>
  <c r="BA8" s="1"/>
  <c r="V8"/>
  <c r="I8"/>
  <c r="DK8" s="1"/>
  <c r="DD7"/>
  <c r="DD38" s="1"/>
  <c r="DC7"/>
  <c r="DB7"/>
  <c r="DB38" s="1"/>
  <c r="DA7"/>
  <c r="DA38" s="1"/>
  <c r="CZ7"/>
  <c r="CZ38" s="1"/>
  <c r="CY7"/>
  <c r="CX7"/>
  <c r="CX38" s="1"/>
  <c r="CW7"/>
  <c r="CV7"/>
  <c r="CU7"/>
  <c r="CT7"/>
  <c r="BI7"/>
  <c r="BC7"/>
  <c r="V7"/>
  <c r="I7"/>
  <c r="B32" i="100"/>
  <c r="C32" s="1"/>
  <c r="D32" s="1"/>
  <c r="I32"/>
  <c r="DK32" s="1"/>
  <c r="J32"/>
  <c r="L32"/>
  <c r="R32"/>
  <c r="S32" s="1"/>
  <c r="T32" s="1"/>
  <c r="V32"/>
  <c r="AP32"/>
  <c r="BA32"/>
  <c r="BC32"/>
  <c r="BK32"/>
  <c r="CT32"/>
  <c r="CU32"/>
  <c r="CV32"/>
  <c r="CW32"/>
  <c r="CX32"/>
  <c r="CY32"/>
  <c r="CZ32"/>
  <c r="DA32"/>
  <c r="DB32"/>
  <c r="DC32"/>
  <c r="DD32"/>
  <c r="B31"/>
  <c r="C31" s="1"/>
  <c r="D31" s="1"/>
  <c r="I31"/>
  <c r="DK31" s="1"/>
  <c r="J31"/>
  <c r="L31"/>
  <c r="R31"/>
  <c r="S31" s="1"/>
  <c r="T31" s="1"/>
  <c r="V31"/>
  <c r="AP31"/>
  <c r="BA31"/>
  <c r="BC31"/>
  <c r="BK31"/>
  <c r="CT31"/>
  <c r="CU31"/>
  <c r="CV31"/>
  <c r="CW31"/>
  <c r="CX31"/>
  <c r="CY31"/>
  <c r="CZ31"/>
  <c r="DA31"/>
  <c r="DB31"/>
  <c r="DC31"/>
  <c r="DD31"/>
  <c r="DG31"/>
  <c r="DJ31" s="1"/>
  <c r="DD30"/>
  <c r="DC30"/>
  <c r="DB30"/>
  <c r="DA30"/>
  <c r="CZ30"/>
  <c r="CY30"/>
  <c r="CX30"/>
  <c r="CW30"/>
  <c r="CV30"/>
  <c r="CU30"/>
  <c r="CT30"/>
  <c r="BC30"/>
  <c r="BA30"/>
  <c r="V30"/>
  <c r="R30"/>
  <c r="L30"/>
  <c r="J30"/>
  <c r="I30"/>
  <c r="B30"/>
  <c r="C30" s="1"/>
  <c r="BC29"/>
  <c r="BA29"/>
  <c r="V29"/>
  <c r="R29"/>
  <c r="S29" s="1"/>
  <c r="L29"/>
  <c r="J29"/>
  <c r="I29"/>
  <c r="B29"/>
  <c r="E29" s="1"/>
  <c r="DG32" l="1"/>
  <c r="DJ32" s="1"/>
  <c r="S37" i="101"/>
  <c r="T37" s="1"/>
  <c r="BK36"/>
  <c r="AK36"/>
  <c r="S35"/>
  <c r="T35" s="1"/>
  <c r="S34"/>
  <c r="T34" s="1"/>
  <c r="BK34"/>
  <c r="AK34"/>
  <c r="S33"/>
  <c r="T33" s="1"/>
  <c r="CT38"/>
  <c r="S31"/>
  <c r="S29"/>
  <c r="T29" s="1"/>
  <c r="AP28"/>
  <c r="AP26"/>
  <c r="S25"/>
  <c r="T25" s="1"/>
  <c r="S23"/>
  <c r="T23" s="1"/>
  <c r="AP20"/>
  <c r="E22"/>
  <c r="BB22" s="1"/>
  <c r="E37"/>
  <c r="BB37" s="1"/>
  <c r="CE39"/>
  <c r="BX39"/>
  <c r="V38"/>
  <c r="V39" s="1"/>
  <c r="CV38"/>
  <c r="BC38"/>
  <c r="BC39" s="1"/>
  <c r="S34" i="100"/>
  <c r="T34" s="1"/>
  <c r="W34" s="1"/>
  <c r="X34" s="1"/>
  <c r="H31"/>
  <c r="H32"/>
  <c r="S33"/>
  <c r="S21" i="101"/>
  <c r="T21" s="1"/>
  <c r="E24"/>
  <c r="S19"/>
  <c r="T19" s="1"/>
  <c r="B38"/>
  <c r="B39" s="1"/>
  <c r="N38"/>
  <c r="N39" s="1"/>
  <c r="AO38"/>
  <c r="AO39" s="1"/>
  <c r="CU38"/>
  <c r="DC38"/>
  <c r="DA39" s="1"/>
  <c r="CY38"/>
  <c r="CW38"/>
  <c r="O38"/>
  <c r="C25"/>
  <c r="D25" s="1"/>
  <c r="C27"/>
  <c r="D27" s="1"/>
  <c r="C29"/>
  <c r="D29" s="1"/>
  <c r="E31"/>
  <c r="BE31" s="1"/>
  <c r="D36" i="100"/>
  <c r="F36" s="1"/>
  <c r="E36"/>
  <c r="T36"/>
  <c r="W36" s="1"/>
  <c r="X36" s="1"/>
  <c r="BK36"/>
  <c r="BD36"/>
  <c r="BF36" s="1"/>
  <c r="AZ36"/>
  <c r="AI36"/>
  <c r="AK36"/>
  <c r="AP36"/>
  <c r="L38" i="101"/>
  <c r="L39" s="1"/>
  <c r="E19"/>
  <c r="BE19" s="1"/>
  <c r="C21"/>
  <c r="D21" s="1"/>
  <c r="E33"/>
  <c r="E35" i="100"/>
  <c r="C35"/>
  <c r="D35" s="1"/>
  <c r="S35"/>
  <c r="T35" s="1"/>
  <c r="W35" s="1"/>
  <c r="X35" s="1"/>
  <c r="BK35"/>
  <c r="BD35"/>
  <c r="BF35" s="1"/>
  <c r="AZ35"/>
  <c r="AI35"/>
  <c r="M35"/>
  <c r="H35"/>
  <c r="AP35"/>
  <c r="E35" i="101"/>
  <c r="S22"/>
  <c r="T22" s="1"/>
  <c r="S24"/>
  <c r="T24" s="1"/>
  <c r="BK34" i="100"/>
  <c r="BD34"/>
  <c r="BF34" s="1"/>
  <c r="AZ34"/>
  <c r="AI34"/>
  <c r="AK34"/>
  <c r="AP34"/>
  <c r="C34"/>
  <c r="D34" s="1"/>
  <c r="S30"/>
  <c r="T30" s="1"/>
  <c r="W30" s="1"/>
  <c r="X30" s="1"/>
  <c r="I38" i="101"/>
  <c r="I39" s="1"/>
  <c r="I41" s="1"/>
  <c r="BE37"/>
  <c r="D33" i="100"/>
  <c r="F33" s="1"/>
  <c r="E33"/>
  <c r="T33"/>
  <c r="W33" s="1"/>
  <c r="X33" s="1"/>
  <c r="BK33"/>
  <c r="BD33"/>
  <c r="BF33" s="1"/>
  <c r="AZ33"/>
  <c r="AI33"/>
  <c r="AK33"/>
  <c r="AP33"/>
  <c r="DK23" i="101"/>
  <c r="DG24"/>
  <c r="DJ24" s="1"/>
  <c r="J38"/>
  <c r="J39" s="1"/>
  <c r="DG21"/>
  <c r="DJ21" s="1"/>
  <c r="BK20"/>
  <c r="AK20"/>
  <c r="BK26"/>
  <c r="AK26"/>
  <c r="BK28"/>
  <c r="AK28"/>
  <c r="BA18"/>
  <c r="BA32"/>
  <c r="AP7"/>
  <c r="AP8"/>
  <c r="AP9"/>
  <c r="AP10"/>
  <c r="AP11"/>
  <c r="AP12"/>
  <c r="AP13"/>
  <c r="AP14"/>
  <c r="AP15"/>
  <c r="AP16"/>
  <c r="AP17"/>
  <c r="AK30"/>
  <c r="AK32"/>
  <c r="S30"/>
  <c r="T30" s="1"/>
  <c r="S32"/>
  <c r="T32" s="1"/>
  <c r="T27"/>
  <c r="T31"/>
  <c r="S7"/>
  <c r="T7" s="1"/>
  <c r="BK9"/>
  <c r="BD9"/>
  <c r="BF9" s="1"/>
  <c r="AK9"/>
  <c r="AI9"/>
  <c r="M9"/>
  <c r="H9"/>
  <c r="BK11"/>
  <c r="BD11"/>
  <c r="BF11" s="1"/>
  <c r="AK11"/>
  <c r="AI11"/>
  <c r="M11"/>
  <c r="H11"/>
  <c r="BK13"/>
  <c r="BD13"/>
  <c r="BF13" s="1"/>
  <c r="AK13"/>
  <c r="AI13"/>
  <c r="M13"/>
  <c r="H13"/>
  <c r="BK15"/>
  <c r="BD15"/>
  <c r="BF15" s="1"/>
  <c r="AK15"/>
  <c r="AI15"/>
  <c r="M15"/>
  <c r="H15"/>
  <c r="BK17"/>
  <c r="BD17"/>
  <c r="BF17" s="1"/>
  <c r="AK17"/>
  <c r="AI17"/>
  <c r="M17"/>
  <c r="H17"/>
  <c r="BK8"/>
  <c r="BD8"/>
  <c r="BF8" s="1"/>
  <c r="AK8"/>
  <c r="AI8"/>
  <c r="M8"/>
  <c r="H8"/>
  <c r="BK10"/>
  <c r="BD10"/>
  <c r="BF10" s="1"/>
  <c r="AK10"/>
  <c r="AI10"/>
  <c r="M10"/>
  <c r="H10"/>
  <c r="BK12"/>
  <c r="BD12"/>
  <c r="BF12" s="1"/>
  <c r="AK12"/>
  <c r="AI12"/>
  <c r="M12"/>
  <c r="H12"/>
  <c r="BK14"/>
  <c r="BD14"/>
  <c r="BF14" s="1"/>
  <c r="AK14"/>
  <c r="AI14"/>
  <c r="M14"/>
  <c r="H14"/>
  <c r="BK16"/>
  <c r="BD16"/>
  <c r="BF16" s="1"/>
  <c r="AK16"/>
  <c r="AI16"/>
  <c r="M16"/>
  <c r="H16"/>
  <c r="BK19"/>
  <c r="BD19"/>
  <c r="BF19" s="1"/>
  <c r="AZ19"/>
  <c r="AI19"/>
  <c r="M19"/>
  <c r="H19"/>
  <c r="AK19"/>
  <c r="F19"/>
  <c r="BK21"/>
  <c r="BD21"/>
  <c r="BF21" s="1"/>
  <c r="AZ21"/>
  <c r="AI21"/>
  <c r="M21"/>
  <c r="H21"/>
  <c r="AK21"/>
  <c r="BK23"/>
  <c r="BD23"/>
  <c r="BF23" s="1"/>
  <c r="AZ23"/>
  <c r="AI23"/>
  <c r="M23"/>
  <c r="H23"/>
  <c r="BA24"/>
  <c r="AP24"/>
  <c r="AK25"/>
  <c r="BK25"/>
  <c r="BD25"/>
  <c r="BF25" s="1"/>
  <c r="AZ25"/>
  <c r="AI25"/>
  <c r="M25"/>
  <c r="H25"/>
  <c r="AK27"/>
  <c r="BK27"/>
  <c r="BD27"/>
  <c r="BF27" s="1"/>
  <c r="AZ27"/>
  <c r="AI27"/>
  <c r="M27"/>
  <c r="H27"/>
  <c r="AK29"/>
  <c r="BK29"/>
  <c r="BD29"/>
  <c r="BF29" s="1"/>
  <c r="AZ29"/>
  <c r="AI29"/>
  <c r="M29"/>
  <c r="H29"/>
  <c r="AK31"/>
  <c r="F31"/>
  <c r="BD31"/>
  <c r="BF31" s="1"/>
  <c r="AZ31"/>
  <c r="AI31"/>
  <c r="M31"/>
  <c r="H31"/>
  <c r="AK33"/>
  <c r="W33"/>
  <c r="X33" s="1"/>
  <c r="F33"/>
  <c r="BK33"/>
  <c r="BD33"/>
  <c r="BF33" s="1"/>
  <c r="AZ33"/>
  <c r="AI33"/>
  <c r="M33"/>
  <c r="H33"/>
  <c r="AK35"/>
  <c r="F35"/>
  <c r="BK35"/>
  <c r="BD35"/>
  <c r="BF35" s="1"/>
  <c r="AZ35"/>
  <c r="AI35"/>
  <c r="M35"/>
  <c r="H35"/>
  <c r="AK37"/>
  <c r="W37"/>
  <c r="X37" s="1"/>
  <c r="F37"/>
  <c r="BK37"/>
  <c r="BD37"/>
  <c r="BF37" s="1"/>
  <c r="AZ37"/>
  <c r="AI37"/>
  <c r="M37"/>
  <c r="H37"/>
  <c r="C7"/>
  <c r="D7" s="1"/>
  <c r="E7"/>
  <c r="BA7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DG7"/>
  <c r="DK7"/>
  <c r="C8"/>
  <c r="D8" s="1"/>
  <c r="E8"/>
  <c r="S8"/>
  <c r="T8" s="1"/>
  <c r="DG8"/>
  <c r="DJ8" s="1"/>
  <c r="C9"/>
  <c r="D9" s="1"/>
  <c r="E9"/>
  <c r="S9"/>
  <c r="T9" s="1"/>
  <c r="DG9"/>
  <c r="DJ9" s="1"/>
  <c r="C10"/>
  <c r="D10" s="1"/>
  <c r="E10"/>
  <c r="S10"/>
  <c r="T10" s="1"/>
  <c r="DG10"/>
  <c r="DJ10" s="1"/>
  <c r="C11"/>
  <c r="D11" s="1"/>
  <c r="E11"/>
  <c r="S11"/>
  <c r="T11" s="1"/>
  <c r="DG11"/>
  <c r="DJ11" s="1"/>
  <c r="C12"/>
  <c r="D12" s="1"/>
  <c r="E12"/>
  <c r="S12"/>
  <c r="T12" s="1"/>
  <c r="DG12"/>
  <c r="DJ12" s="1"/>
  <c r="C13"/>
  <c r="D13" s="1"/>
  <c r="E13"/>
  <c r="S13"/>
  <c r="T13" s="1"/>
  <c r="DG13"/>
  <c r="DJ13" s="1"/>
  <c r="C14"/>
  <c r="D14" s="1"/>
  <c r="E14"/>
  <c r="S14"/>
  <c r="T14" s="1"/>
  <c r="DG14"/>
  <c r="DJ14" s="1"/>
  <c r="C15"/>
  <c r="D15" s="1"/>
  <c r="E15"/>
  <c r="S15"/>
  <c r="T15" s="1"/>
  <c r="DG15"/>
  <c r="DJ15" s="1"/>
  <c r="C16"/>
  <c r="D16" s="1"/>
  <c r="E16"/>
  <c r="S16"/>
  <c r="T16" s="1"/>
  <c r="DG16"/>
  <c r="DJ16" s="1"/>
  <c r="C17"/>
  <c r="D17" s="1"/>
  <c r="E17"/>
  <c r="S17"/>
  <c r="T17" s="1"/>
  <c r="DG17"/>
  <c r="DJ17" s="1"/>
  <c r="C18"/>
  <c r="D18" s="1"/>
  <c r="E18"/>
  <c r="H18"/>
  <c r="S18"/>
  <c r="T18" s="1"/>
  <c r="AZ18"/>
  <c r="AP19"/>
  <c r="DG19"/>
  <c r="DJ19" s="1"/>
  <c r="C20"/>
  <c r="D20" s="1"/>
  <c r="E20"/>
  <c r="H20"/>
  <c r="M20"/>
  <c r="S20"/>
  <c r="T20" s="1"/>
  <c r="AI20"/>
  <c r="AZ20"/>
  <c r="BD20"/>
  <c r="BF20" s="1"/>
  <c r="AP21"/>
  <c r="D24"/>
  <c r="R38"/>
  <c r="R39" s="1"/>
  <c r="BA22"/>
  <c r="AP22"/>
  <c r="E23"/>
  <c r="C23"/>
  <c r="D23" s="1"/>
  <c r="DG18"/>
  <c r="DJ18" s="1"/>
  <c r="DG20"/>
  <c r="DJ20" s="1"/>
  <c r="T26"/>
  <c r="DG26"/>
  <c r="DJ26" s="1"/>
  <c r="T28"/>
  <c r="DG28"/>
  <c r="DJ28" s="1"/>
  <c r="DG30"/>
  <c r="DJ30" s="1"/>
  <c r="DG32"/>
  <c r="DJ32" s="1"/>
  <c r="DG34"/>
  <c r="DJ34" s="1"/>
  <c r="T36"/>
  <c r="DG36"/>
  <c r="DJ36" s="1"/>
  <c r="BV39"/>
  <c r="BZ39"/>
  <c r="CB39"/>
  <c r="CD39"/>
  <c r="CF39"/>
  <c r="CH39"/>
  <c r="J45"/>
  <c r="DG22"/>
  <c r="DJ22" s="1"/>
  <c r="AP25"/>
  <c r="DG25"/>
  <c r="DJ25" s="1"/>
  <c r="C26"/>
  <c r="D26" s="1"/>
  <c r="H26"/>
  <c r="M26"/>
  <c r="AI26"/>
  <c r="AZ26"/>
  <c r="BD26"/>
  <c r="BF26" s="1"/>
  <c r="AP27"/>
  <c r="DG27"/>
  <c r="DJ27" s="1"/>
  <c r="C28"/>
  <c r="D28" s="1"/>
  <c r="H28"/>
  <c r="M28"/>
  <c r="AI28"/>
  <c r="AZ28"/>
  <c r="BD28"/>
  <c r="BF28" s="1"/>
  <c r="AP29"/>
  <c r="DG29"/>
  <c r="DJ29" s="1"/>
  <c r="C30"/>
  <c r="D30" s="1"/>
  <c r="H30"/>
  <c r="M30"/>
  <c r="AI30"/>
  <c r="AZ30"/>
  <c r="BD30"/>
  <c r="BF30" s="1"/>
  <c r="AP31"/>
  <c r="DG31"/>
  <c r="DJ31" s="1"/>
  <c r="C32"/>
  <c r="D32" s="1"/>
  <c r="H32"/>
  <c r="M32"/>
  <c r="AI32"/>
  <c r="AZ32"/>
  <c r="BD32"/>
  <c r="BF32" s="1"/>
  <c r="AP33"/>
  <c r="DG33"/>
  <c r="DJ33" s="1"/>
  <c r="C34"/>
  <c r="D34" s="1"/>
  <c r="H34"/>
  <c r="M34"/>
  <c r="AI34"/>
  <c r="AZ34"/>
  <c r="BD34"/>
  <c r="BF34" s="1"/>
  <c r="AP35"/>
  <c r="DG35"/>
  <c r="DJ35" s="1"/>
  <c r="C36"/>
  <c r="D36" s="1"/>
  <c r="H36"/>
  <c r="M36"/>
  <c r="AI36"/>
  <c r="AZ36"/>
  <c r="BD36"/>
  <c r="BF36" s="1"/>
  <c r="AP37"/>
  <c r="DG37"/>
  <c r="DJ37" s="1"/>
  <c r="AV39"/>
  <c r="D30" i="100"/>
  <c r="F30" s="1"/>
  <c r="E30"/>
  <c r="BD32"/>
  <c r="BF32" s="1"/>
  <c r="AZ32"/>
  <c r="AK32"/>
  <c r="W32"/>
  <c r="X32" s="1"/>
  <c r="F32"/>
  <c r="AI32"/>
  <c r="M32"/>
  <c r="E32"/>
  <c r="BB32" s="1"/>
  <c r="BD31"/>
  <c r="BF31" s="1"/>
  <c r="AZ31"/>
  <c r="AK31"/>
  <c r="W31"/>
  <c r="X31" s="1"/>
  <c r="F31"/>
  <c r="AI31"/>
  <c r="M31"/>
  <c r="E31"/>
  <c r="BB31" s="1"/>
  <c r="AK30"/>
  <c r="BD30"/>
  <c r="BF30" s="1"/>
  <c r="BK30"/>
  <c r="AZ30"/>
  <c r="AI30"/>
  <c r="M30"/>
  <c r="H30"/>
  <c r="AP30"/>
  <c r="BK29"/>
  <c r="BD29"/>
  <c r="BF29" s="1"/>
  <c r="AZ29"/>
  <c r="AI29"/>
  <c r="AK29"/>
  <c r="T29"/>
  <c r="W29" s="1"/>
  <c r="X29" s="1"/>
  <c r="AP29"/>
  <c r="C29"/>
  <c r="D29" s="1"/>
  <c r="BC28"/>
  <c r="BA28"/>
  <c r="V28"/>
  <c r="R28"/>
  <c r="L28"/>
  <c r="J28"/>
  <c r="I28"/>
  <c r="B28"/>
  <c r="C28" s="1"/>
  <c r="BC27"/>
  <c r="BA27"/>
  <c r="V27"/>
  <c r="R27"/>
  <c r="L27"/>
  <c r="J27"/>
  <c r="I27"/>
  <c r="B27"/>
  <c r="C27" s="1"/>
  <c r="BC26"/>
  <c r="BA26"/>
  <c r="V26"/>
  <c r="R26"/>
  <c r="L26"/>
  <c r="J26"/>
  <c r="I26"/>
  <c r="B26"/>
  <c r="C26" s="1"/>
  <c r="B25"/>
  <c r="C25" s="1"/>
  <c r="D25" s="1"/>
  <c r="I25"/>
  <c r="DK25" s="1"/>
  <c r="J25"/>
  <c r="L25"/>
  <c r="R25"/>
  <c r="V25"/>
  <c r="AP25"/>
  <c r="BA25"/>
  <c r="BC25"/>
  <c r="BK25"/>
  <c r="CT25"/>
  <c r="CU25"/>
  <c r="CV25"/>
  <c r="CW25"/>
  <c r="CX25"/>
  <c r="CY25"/>
  <c r="CZ25"/>
  <c r="DA25"/>
  <c r="DB25"/>
  <c r="DC25"/>
  <c r="DD25"/>
  <c r="DG25"/>
  <c r="DJ25" s="1"/>
  <c r="B24"/>
  <c r="C24" s="1"/>
  <c r="D24" s="1"/>
  <c r="I24"/>
  <c r="DG24" s="1"/>
  <c r="DJ24" s="1"/>
  <c r="J24"/>
  <c r="L24"/>
  <c r="R24"/>
  <c r="S24" s="1"/>
  <c r="T24" s="1"/>
  <c r="V24"/>
  <c r="AP24"/>
  <c r="BA24"/>
  <c r="BC24"/>
  <c r="BF24" s="1"/>
  <c r="BK24"/>
  <c r="CT24"/>
  <c r="P24" s="1"/>
  <c r="CU24"/>
  <c r="CV24"/>
  <c r="CW24"/>
  <c r="CX24"/>
  <c r="CY24"/>
  <c r="CZ24"/>
  <c r="DA24"/>
  <c r="DB24"/>
  <c r="DC24"/>
  <c r="DD24"/>
  <c r="DD26"/>
  <c r="DC26"/>
  <c r="DB26"/>
  <c r="DA26"/>
  <c r="CZ26"/>
  <c r="CY26"/>
  <c r="CX26"/>
  <c r="CW26"/>
  <c r="CV26"/>
  <c r="CU26"/>
  <c r="CT26"/>
  <c r="DD23"/>
  <c r="DC23"/>
  <c r="DB23"/>
  <c r="DA23"/>
  <c r="CZ23"/>
  <c r="CY23"/>
  <c r="CX23"/>
  <c r="CW23"/>
  <c r="CV23"/>
  <c r="CU23"/>
  <c r="CT23"/>
  <c r="P23" s="1"/>
  <c r="BC23"/>
  <c r="BA23"/>
  <c r="BK23" s="1"/>
  <c r="AP23"/>
  <c r="AK23"/>
  <c r="V23"/>
  <c r="R23"/>
  <c r="S23" s="1"/>
  <c r="L23"/>
  <c r="J23"/>
  <c r="I23"/>
  <c r="B23"/>
  <c r="E23" s="1"/>
  <c r="B24" i="98"/>
  <c r="C24" s="1"/>
  <c r="D24" s="1"/>
  <c r="I24"/>
  <c r="DK24" s="1"/>
  <c r="J24"/>
  <c r="L24"/>
  <c r="R24"/>
  <c r="V24"/>
  <c r="AO24"/>
  <c r="AP24" s="1"/>
  <c r="BC24"/>
  <c r="BF24"/>
  <c r="CT24"/>
  <c r="CU24"/>
  <c r="CV24"/>
  <c r="CW24"/>
  <c r="CX24"/>
  <c r="CY24"/>
  <c r="CZ24"/>
  <c r="DA24"/>
  <c r="DB24"/>
  <c r="DC24"/>
  <c r="DD24"/>
  <c r="B25"/>
  <c r="C25" s="1"/>
  <c r="D25" s="1"/>
  <c r="I25"/>
  <c r="DG25" s="1"/>
  <c r="DJ25" s="1"/>
  <c r="J25"/>
  <c r="L25"/>
  <c r="R25"/>
  <c r="V25"/>
  <c r="AO25"/>
  <c r="AP25" s="1"/>
  <c r="BA25"/>
  <c r="BC25"/>
  <c r="CT25"/>
  <c r="CU25"/>
  <c r="CV25"/>
  <c r="CW25"/>
  <c r="CX25"/>
  <c r="CY25"/>
  <c r="CZ25"/>
  <c r="DA25"/>
  <c r="DB25"/>
  <c r="DC25"/>
  <c r="DD25"/>
  <c r="S24" l="1"/>
  <c r="T24" s="1"/>
  <c r="W36" i="101"/>
  <c r="X36" s="1"/>
  <c r="W31"/>
  <c r="X31" s="1"/>
  <c r="F21"/>
  <c r="F27"/>
  <c r="W19"/>
  <c r="X19" s="1"/>
  <c r="W21"/>
  <c r="X21" s="1"/>
  <c r="W25"/>
  <c r="X25" s="1"/>
  <c r="W35"/>
  <c r="X35" s="1"/>
  <c r="S25" i="98"/>
  <c r="T25" s="1"/>
  <c r="W25" s="1"/>
  <c r="X25" s="1"/>
  <c r="W27" i="101"/>
  <c r="X27" s="1"/>
  <c r="F29"/>
  <c r="F25"/>
  <c r="W29"/>
  <c r="X29" s="1"/>
  <c r="W34"/>
  <c r="X34" s="1"/>
  <c r="F36"/>
  <c r="BB36"/>
  <c r="BE35"/>
  <c r="BB35"/>
  <c r="F34"/>
  <c r="BB34"/>
  <c r="BE33"/>
  <c r="BB33"/>
  <c r="CT39"/>
  <c r="BB27"/>
  <c r="BB31"/>
  <c r="BB29"/>
  <c r="AO44"/>
  <c r="BB21"/>
  <c r="BB25"/>
  <c r="BE22"/>
  <c r="BB19"/>
  <c r="BK18"/>
  <c r="Q18"/>
  <c r="BD18"/>
  <c r="BF18" s="1"/>
  <c r="AI18"/>
  <c r="M18"/>
  <c r="AK18"/>
  <c r="BE36"/>
  <c r="BE34"/>
  <c r="W32"/>
  <c r="X32" s="1"/>
  <c r="BE21"/>
  <c r="BE27"/>
  <c r="W28"/>
  <c r="X28" s="1"/>
  <c r="W26"/>
  <c r="X26" s="1"/>
  <c r="W23"/>
  <c r="X23" s="1"/>
  <c r="W20"/>
  <c r="X20" s="1"/>
  <c r="W18"/>
  <c r="X18" s="1"/>
  <c r="W17"/>
  <c r="X17" s="1"/>
  <c r="W16"/>
  <c r="X16" s="1"/>
  <c r="W15"/>
  <c r="X15" s="1"/>
  <c r="W14"/>
  <c r="X14" s="1"/>
  <c r="W13"/>
  <c r="X13" s="1"/>
  <c r="W12"/>
  <c r="X12" s="1"/>
  <c r="W11"/>
  <c r="X11" s="1"/>
  <c r="W10"/>
  <c r="X10" s="1"/>
  <c r="W9"/>
  <c r="X9" s="1"/>
  <c r="W8"/>
  <c r="X8" s="1"/>
  <c r="BE25"/>
  <c r="W30"/>
  <c r="X30" s="1"/>
  <c r="BE29"/>
  <c r="CV39"/>
  <c r="O39"/>
  <c r="CR39"/>
  <c r="S25" i="100"/>
  <c r="T25" s="1"/>
  <c r="H24"/>
  <c r="H25"/>
  <c r="E39" i="101"/>
  <c r="DG24" i="98"/>
  <c r="DJ24" s="1"/>
  <c r="H25"/>
  <c r="C39" i="101"/>
  <c r="CT40"/>
  <c r="BB7"/>
  <c r="BE36" i="100"/>
  <c r="BB36"/>
  <c r="BE35"/>
  <c r="F35"/>
  <c r="BB35"/>
  <c r="BB34"/>
  <c r="BE34"/>
  <c r="F34"/>
  <c r="BB33"/>
  <c r="BE33"/>
  <c r="DK38" i="101"/>
  <c r="BE30" i="100"/>
  <c r="BB30"/>
  <c r="S39" i="101"/>
  <c r="S41" s="1"/>
  <c r="BB32"/>
  <c r="BE32"/>
  <c r="F32"/>
  <c r="BB30"/>
  <c r="BE30"/>
  <c r="F30"/>
  <c r="BB28"/>
  <c r="BE28"/>
  <c r="F28"/>
  <c r="BB26"/>
  <c r="BE26"/>
  <c r="F26"/>
  <c r="BB23"/>
  <c r="F23"/>
  <c r="BE23"/>
  <c r="D38"/>
  <c r="BE7"/>
  <c r="BE20"/>
  <c r="F20"/>
  <c r="BB20"/>
  <c r="BE18"/>
  <c r="F18"/>
  <c r="BB18"/>
  <c r="BB17"/>
  <c r="BE17"/>
  <c r="F17"/>
  <c r="BB16"/>
  <c r="BE16"/>
  <c r="F16"/>
  <c r="BB15"/>
  <c r="BE15"/>
  <c r="F15"/>
  <c r="BB14"/>
  <c r="BE14"/>
  <c r="F14"/>
  <c r="BB13"/>
  <c r="BE13"/>
  <c r="F13"/>
  <c r="BB12"/>
  <c r="BE12"/>
  <c r="F12"/>
  <c r="BB11"/>
  <c r="BE11"/>
  <c r="F11"/>
  <c r="BB10"/>
  <c r="BE10"/>
  <c r="F10"/>
  <c r="BB9"/>
  <c r="BE9"/>
  <c r="F9"/>
  <c r="BB8"/>
  <c r="BE8"/>
  <c r="F8"/>
  <c r="AK22"/>
  <c r="W22"/>
  <c r="X22" s="1"/>
  <c r="F22"/>
  <c r="BD22"/>
  <c r="BF22" s="1"/>
  <c r="BK22"/>
  <c r="AZ22"/>
  <c r="AI22"/>
  <c r="M22"/>
  <c r="H22"/>
  <c r="BE24"/>
  <c r="BB24"/>
  <c r="BA38"/>
  <c r="AE39" s="1"/>
  <c r="BD7"/>
  <c r="AK7"/>
  <c r="W7"/>
  <c r="X7" s="1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AI7"/>
  <c r="M7"/>
  <c r="H7"/>
  <c r="BK7"/>
  <c r="F7"/>
  <c r="AP39"/>
  <c r="DG38"/>
  <c r="DI38" s="1"/>
  <c r="DJ7"/>
  <c r="DJ38" s="1"/>
  <c r="BK24"/>
  <c r="AK24"/>
  <c r="W24"/>
  <c r="X24" s="1"/>
  <c r="F24"/>
  <c r="AZ24"/>
  <c r="AI24"/>
  <c r="M24"/>
  <c r="H24"/>
  <c r="T38"/>
  <c r="BE32" i="100"/>
  <c r="BE31"/>
  <c r="DK25" i="98"/>
  <c r="BB29" i="100"/>
  <c r="BE29"/>
  <c r="F29"/>
  <c r="D28"/>
  <c r="E28"/>
  <c r="S28"/>
  <c r="T28" s="1"/>
  <c r="W28" s="1"/>
  <c r="X28" s="1"/>
  <c r="BK28"/>
  <c r="BD28"/>
  <c r="BF28" s="1"/>
  <c r="AZ28"/>
  <c r="AK28"/>
  <c r="AI28"/>
  <c r="AP28"/>
  <c r="D27"/>
  <c r="E27"/>
  <c r="S27"/>
  <c r="T27" s="1"/>
  <c r="W27" s="1"/>
  <c r="X27" s="1"/>
  <c r="BK27"/>
  <c r="AI27"/>
  <c r="AK27"/>
  <c r="BD27"/>
  <c r="BF27" s="1"/>
  <c r="AZ27"/>
  <c r="AP27"/>
  <c r="DK24"/>
  <c r="D26"/>
  <c r="E26"/>
  <c r="S26"/>
  <c r="T26" s="1"/>
  <c r="W26" s="1"/>
  <c r="X26" s="1"/>
  <c r="BK26"/>
  <c r="BD26"/>
  <c r="BF26" s="1"/>
  <c r="AZ26"/>
  <c r="AI26"/>
  <c r="AK26"/>
  <c r="M26"/>
  <c r="H26"/>
  <c r="AP26"/>
  <c r="BD25"/>
  <c r="BF25" s="1"/>
  <c r="AZ25"/>
  <c r="AK25"/>
  <c r="W25"/>
  <c r="X25" s="1"/>
  <c r="F25"/>
  <c r="AI25"/>
  <c r="M25"/>
  <c r="E25"/>
  <c r="BB25" s="1"/>
  <c r="AK24"/>
  <c r="W24"/>
  <c r="F24"/>
  <c r="AZ24"/>
  <c r="AI24"/>
  <c r="M24"/>
  <c r="E24"/>
  <c r="BE24" s="1"/>
  <c r="T23"/>
  <c r="W23" s="1"/>
  <c r="C23"/>
  <c r="D23" s="1"/>
  <c r="H23"/>
  <c r="M23"/>
  <c r="AI23"/>
  <c r="AZ23"/>
  <c r="BD23"/>
  <c r="BF23" s="1"/>
  <c r="AK25" i="98"/>
  <c r="F25"/>
  <c r="BA24"/>
  <c r="BK25"/>
  <c r="BD25"/>
  <c r="BF25" s="1"/>
  <c r="AZ25"/>
  <c r="AI25"/>
  <c r="M25"/>
  <c r="E25"/>
  <c r="BE25" s="1"/>
  <c r="E24"/>
  <c r="BE24" s="1"/>
  <c r="Q39" i="101" l="1"/>
  <c r="BE39"/>
  <c r="BD38"/>
  <c r="BD39" s="1"/>
  <c r="BF7"/>
  <c r="BF38" s="1"/>
  <c r="BF39" s="1"/>
  <c r="DH38"/>
  <c r="BB38"/>
  <c r="BB39" s="1"/>
  <c r="BK38"/>
  <c r="BL7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L24" s="1"/>
  <c r="BL25" s="1"/>
  <c r="BL26" s="1"/>
  <c r="BL27" s="1"/>
  <c r="BL28" s="1"/>
  <c r="BL29" s="1"/>
  <c r="BL30" s="1"/>
  <c r="BL31" s="1"/>
  <c r="BL32" s="1"/>
  <c r="BL33" s="1"/>
  <c r="BL34" s="1"/>
  <c r="BL35" s="1"/>
  <c r="BL36" s="1"/>
  <c r="BL37" s="1"/>
  <c r="BB48" s="1"/>
  <c r="BB51" s="1"/>
  <c r="M39"/>
  <c r="BA39"/>
  <c r="AZ39" s="1"/>
  <c r="AK39"/>
  <c r="AI39"/>
  <c r="W39"/>
  <c r="W41" s="1"/>
  <c r="H39"/>
  <c r="F39"/>
  <c r="F41" s="1"/>
  <c r="AA39"/>
  <c r="BE28" i="100"/>
  <c r="BB27"/>
  <c r="F28"/>
  <c r="BB28"/>
  <c r="BE27"/>
  <c r="F27"/>
  <c r="BB26"/>
  <c r="BE26"/>
  <c r="F26"/>
  <c r="BE25"/>
  <c r="BB24"/>
  <c r="BB23"/>
  <c r="BE23"/>
  <c r="F23"/>
  <c r="BB24" i="98"/>
  <c r="BB25"/>
  <c r="H24"/>
  <c r="M24"/>
  <c r="AI24"/>
  <c r="AZ24"/>
  <c r="F24"/>
  <c r="W24"/>
  <c r="X24" s="1"/>
  <c r="AK24"/>
  <c r="BK24"/>
  <c r="X39" i="101" l="1"/>
  <c r="BC22" i="100"/>
  <c r="BA22"/>
  <c r="V22"/>
  <c r="R22"/>
  <c r="S22" s="1"/>
  <c r="L22"/>
  <c r="J22"/>
  <c r="I22"/>
  <c r="B22"/>
  <c r="C22" s="1"/>
  <c r="BC21"/>
  <c r="BA21"/>
  <c r="V21"/>
  <c r="R21"/>
  <c r="L21"/>
  <c r="J21"/>
  <c r="I21"/>
  <c r="DK21" s="1"/>
  <c r="B21"/>
  <c r="C21" s="1"/>
  <c r="B20"/>
  <c r="C20" s="1"/>
  <c r="D20" s="1"/>
  <c r="I20"/>
  <c r="DK20" s="1"/>
  <c r="J20"/>
  <c r="L20"/>
  <c r="R20"/>
  <c r="S20" s="1"/>
  <c r="T20" s="1"/>
  <c r="V20"/>
  <c r="AP20"/>
  <c r="BA20"/>
  <c r="BC20"/>
  <c r="BK20"/>
  <c r="CT20"/>
  <c r="P20" s="1"/>
  <c r="CU20"/>
  <c r="CV20"/>
  <c r="CW20"/>
  <c r="CX20"/>
  <c r="CY20"/>
  <c r="CZ20"/>
  <c r="DA20"/>
  <c r="DB20"/>
  <c r="DC20"/>
  <c r="DD20"/>
  <c r="DG20"/>
  <c r="DJ20" s="1"/>
  <c r="B19"/>
  <c r="C19" s="1"/>
  <c r="D19" s="1"/>
  <c r="I19"/>
  <c r="DK19" s="1"/>
  <c r="J19"/>
  <c r="L19"/>
  <c r="R19"/>
  <c r="S19" s="1"/>
  <c r="T19" s="1"/>
  <c r="V19"/>
  <c r="AP19"/>
  <c r="BA19"/>
  <c r="BC19"/>
  <c r="BD19"/>
  <c r="BF19"/>
  <c r="BK19"/>
  <c r="CT19"/>
  <c r="P19" s="1"/>
  <c r="CU19"/>
  <c r="CV19"/>
  <c r="CW19"/>
  <c r="CX19"/>
  <c r="CY19"/>
  <c r="CZ19"/>
  <c r="DA19"/>
  <c r="DB19"/>
  <c r="DC19"/>
  <c r="DD19"/>
  <c r="B18"/>
  <c r="C18" s="1"/>
  <c r="D18" s="1"/>
  <c r="I18"/>
  <c r="DK18" s="1"/>
  <c r="J18"/>
  <c r="L18"/>
  <c r="R18"/>
  <c r="S18" s="1"/>
  <c r="T18" s="1"/>
  <c r="V18"/>
  <c r="AP18"/>
  <c r="BA18"/>
  <c r="BC18"/>
  <c r="BK18"/>
  <c r="CT18"/>
  <c r="P18" s="1"/>
  <c r="CU18"/>
  <c r="CV18"/>
  <c r="CW18"/>
  <c r="CX18"/>
  <c r="CY18"/>
  <c r="CZ18"/>
  <c r="DA18"/>
  <c r="DB18"/>
  <c r="DC18"/>
  <c r="DD18"/>
  <c r="DG18"/>
  <c r="DJ18" s="1"/>
  <c r="B17"/>
  <c r="C17" s="1"/>
  <c r="D17" s="1"/>
  <c r="I17"/>
  <c r="DK17" s="1"/>
  <c r="J17"/>
  <c r="L17"/>
  <c r="R17"/>
  <c r="S17" s="1"/>
  <c r="T17" s="1"/>
  <c r="V17"/>
  <c r="AP17"/>
  <c r="BA17"/>
  <c r="BC17"/>
  <c r="BD17"/>
  <c r="BF17"/>
  <c r="BK17"/>
  <c r="CT17"/>
  <c r="P17" s="1"/>
  <c r="CU17"/>
  <c r="CV17"/>
  <c r="CW17"/>
  <c r="CX17"/>
  <c r="CY17"/>
  <c r="CZ17"/>
  <c r="DA17"/>
  <c r="DB17"/>
  <c r="DC17"/>
  <c r="DD17"/>
  <c r="DG17"/>
  <c r="DJ17" s="1"/>
  <c r="B16"/>
  <c r="C16" s="1"/>
  <c r="D16" s="1"/>
  <c r="I16"/>
  <c r="DK16" s="1"/>
  <c r="J16"/>
  <c r="L16"/>
  <c r="R16"/>
  <c r="S16" s="1"/>
  <c r="T16" s="1"/>
  <c r="V16"/>
  <c r="AP16"/>
  <c r="BA16"/>
  <c r="BC16"/>
  <c r="BD16"/>
  <c r="BF16"/>
  <c r="BK16"/>
  <c r="CT16"/>
  <c r="P16" s="1"/>
  <c r="CU16"/>
  <c r="CV16"/>
  <c r="CW16"/>
  <c r="CX16"/>
  <c r="CY16"/>
  <c r="CZ16"/>
  <c r="DA16"/>
  <c r="DB16"/>
  <c r="DC16"/>
  <c r="DD16"/>
  <c r="DG16"/>
  <c r="DJ16" s="1"/>
  <c r="BF59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A39" s="1"/>
  <c r="BR38"/>
  <c r="CG39" s="1"/>
  <c r="BQ38"/>
  <c r="BY39" s="1"/>
  <c r="BP38"/>
  <c r="CE39" s="1"/>
  <c r="BO38"/>
  <c r="BW39" s="1"/>
  <c r="BN38"/>
  <c r="CC39" s="1"/>
  <c r="BM38"/>
  <c r="BU39" s="1"/>
  <c r="BI38"/>
  <c r="AY38"/>
  <c r="AY39" s="1"/>
  <c r="AX38"/>
  <c r="AX39" s="1"/>
  <c r="AW38"/>
  <c r="AW39" s="1"/>
  <c r="AV38"/>
  <c r="AV41" s="1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K37"/>
  <c r="DD36"/>
  <c r="DC36"/>
  <c r="DB36"/>
  <c r="DA36"/>
  <c r="CZ36"/>
  <c r="CY36"/>
  <c r="CX36"/>
  <c r="CW36"/>
  <c r="CV36"/>
  <c r="CU36"/>
  <c r="CT36"/>
  <c r="DK36"/>
  <c r="DK35"/>
  <c r="DD34"/>
  <c r="DC34"/>
  <c r="DB34"/>
  <c r="DA34"/>
  <c r="CZ34"/>
  <c r="CY34"/>
  <c r="CX34"/>
  <c r="CW34"/>
  <c r="CV34"/>
  <c r="CU34"/>
  <c r="CT34"/>
  <c r="DK34"/>
  <c r="DD33"/>
  <c r="DC33"/>
  <c r="DB33"/>
  <c r="DA33"/>
  <c r="CZ33"/>
  <c r="CY33"/>
  <c r="CX33"/>
  <c r="CW33"/>
  <c r="CV33"/>
  <c r="M33" s="1"/>
  <c r="CU33"/>
  <c r="CT33"/>
  <c r="DK33"/>
  <c r="DK30"/>
  <c r="DD29"/>
  <c r="DC29"/>
  <c r="DB29"/>
  <c r="DA29"/>
  <c r="CZ29"/>
  <c r="CY29"/>
  <c r="CX29"/>
  <c r="CW29"/>
  <c r="CV29"/>
  <c r="CU29"/>
  <c r="CT29"/>
  <c r="DK29"/>
  <c r="DD28"/>
  <c r="DC28"/>
  <c r="DB28"/>
  <c r="DA28"/>
  <c r="CZ28"/>
  <c r="CY28"/>
  <c r="CX28"/>
  <c r="CW28"/>
  <c r="CV28"/>
  <c r="CU28"/>
  <c r="CT28"/>
  <c r="DK28"/>
  <c r="DD27"/>
  <c r="DC27"/>
  <c r="DB27"/>
  <c r="DA27"/>
  <c r="CZ27"/>
  <c r="CY27"/>
  <c r="CX27"/>
  <c r="CW27"/>
  <c r="CV27"/>
  <c r="M27" s="1"/>
  <c r="CU27"/>
  <c r="CT27"/>
  <c r="DK27"/>
  <c r="DK26"/>
  <c r="DK23"/>
  <c r="DD22"/>
  <c r="DC22"/>
  <c r="DB22"/>
  <c r="DA22"/>
  <c r="CZ22"/>
  <c r="CY22"/>
  <c r="CX22"/>
  <c r="CW22"/>
  <c r="CV22"/>
  <c r="CU22"/>
  <c r="CT22"/>
  <c r="P22" s="1"/>
  <c r="DD21"/>
  <c r="DC21"/>
  <c r="DB21"/>
  <c r="DA21"/>
  <c r="CZ21"/>
  <c r="CY21"/>
  <c r="CX21"/>
  <c r="CW21"/>
  <c r="CV21"/>
  <c r="CU21"/>
  <c r="CT21"/>
  <c r="P21" s="1"/>
  <c r="DD15"/>
  <c r="DC15"/>
  <c r="DB15"/>
  <c r="DA15"/>
  <c r="CZ15"/>
  <c r="CY15"/>
  <c r="CX15"/>
  <c r="CW15"/>
  <c r="CV15"/>
  <c r="CU15"/>
  <c r="CT15"/>
  <c r="P15" s="1"/>
  <c r="BI15"/>
  <c r="BC15"/>
  <c r="AP15"/>
  <c r="V15"/>
  <c r="R15"/>
  <c r="L15"/>
  <c r="J15"/>
  <c r="I15"/>
  <c r="DG15" s="1"/>
  <c r="DJ15" s="1"/>
  <c r="B15"/>
  <c r="DD14"/>
  <c r="DC14"/>
  <c r="DB14"/>
  <c r="DA14"/>
  <c r="CZ14"/>
  <c r="CY14"/>
  <c r="CX14"/>
  <c r="CW14"/>
  <c r="CV14"/>
  <c r="CU14"/>
  <c r="CT14"/>
  <c r="P14" s="1"/>
  <c r="BI14"/>
  <c r="BC14"/>
  <c r="AP14"/>
  <c r="V14"/>
  <c r="R14"/>
  <c r="L14"/>
  <c r="J14"/>
  <c r="I14"/>
  <c r="DK14" s="1"/>
  <c r="B14"/>
  <c r="C14" s="1"/>
  <c r="DD13"/>
  <c r="DC13"/>
  <c r="DB13"/>
  <c r="DA13"/>
  <c r="CZ13"/>
  <c r="CY13"/>
  <c r="CX13"/>
  <c r="CW13"/>
  <c r="CV13"/>
  <c r="CU13"/>
  <c r="CT13"/>
  <c r="P13" s="1"/>
  <c r="BI13"/>
  <c r="BC13"/>
  <c r="AP13"/>
  <c r="V13"/>
  <c r="R13"/>
  <c r="L13"/>
  <c r="J13"/>
  <c r="I13"/>
  <c r="DG13" s="1"/>
  <c r="DJ13" s="1"/>
  <c r="B13"/>
  <c r="DD12"/>
  <c r="DC12"/>
  <c r="DB12"/>
  <c r="DA12"/>
  <c r="CZ12"/>
  <c r="CY12"/>
  <c r="CX12"/>
  <c r="CW12"/>
  <c r="CV12"/>
  <c r="CU12"/>
  <c r="CT12"/>
  <c r="P12" s="1"/>
  <c r="BI12"/>
  <c r="BC12"/>
  <c r="AP12"/>
  <c r="V12"/>
  <c r="R12"/>
  <c r="S12" s="1"/>
  <c r="L12"/>
  <c r="J12"/>
  <c r="I12"/>
  <c r="DK12" s="1"/>
  <c r="B12"/>
  <c r="C12" s="1"/>
  <c r="DD11"/>
  <c r="DC11"/>
  <c r="DB11"/>
  <c r="DA11"/>
  <c r="CZ11"/>
  <c r="CY11"/>
  <c r="CX11"/>
  <c r="CW11"/>
  <c r="CV11"/>
  <c r="CU11"/>
  <c r="CT11"/>
  <c r="P11" s="1"/>
  <c r="BI11"/>
  <c r="BC11"/>
  <c r="AP11"/>
  <c r="V11"/>
  <c r="R11"/>
  <c r="L11"/>
  <c r="J11"/>
  <c r="I11"/>
  <c r="DG11" s="1"/>
  <c r="DJ11" s="1"/>
  <c r="B11"/>
  <c r="DD10"/>
  <c r="DC10"/>
  <c r="DB10"/>
  <c r="DA10"/>
  <c r="CZ10"/>
  <c r="CY10"/>
  <c r="CX10"/>
  <c r="CW10"/>
  <c r="CV10"/>
  <c r="CU10"/>
  <c r="CT10"/>
  <c r="P10" s="1"/>
  <c r="BI10"/>
  <c r="BC10"/>
  <c r="AP10"/>
  <c r="V10"/>
  <c r="R10"/>
  <c r="L10"/>
  <c r="J10"/>
  <c r="I10"/>
  <c r="DK10" s="1"/>
  <c r="B10"/>
  <c r="C10" s="1"/>
  <c r="DD9"/>
  <c r="DC9"/>
  <c r="DB9"/>
  <c r="DA9"/>
  <c r="CZ9"/>
  <c r="CY9"/>
  <c r="CX9"/>
  <c r="CW9"/>
  <c r="CV9"/>
  <c r="CU9"/>
  <c r="CT9"/>
  <c r="P9" s="1"/>
  <c r="BI9"/>
  <c r="BC9"/>
  <c r="AP9"/>
  <c r="V9"/>
  <c r="R9"/>
  <c r="L9"/>
  <c r="J9"/>
  <c r="I9"/>
  <c r="DG9" s="1"/>
  <c r="DJ9" s="1"/>
  <c r="B9"/>
  <c r="DD8"/>
  <c r="DC8"/>
  <c r="DB8"/>
  <c r="DA8"/>
  <c r="CZ8"/>
  <c r="CY8"/>
  <c r="CX8"/>
  <c r="CW8"/>
  <c r="CV8"/>
  <c r="CU8"/>
  <c r="CT8"/>
  <c r="P8" s="1"/>
  <c r="BI8"/>
  <c r="BC8"/>
  <c r="AP8"/>
  <c r="V8"/>
  <c r="R8"/>
  <c r="L8"/>
  <c r="J8"/>
  <c r="I8"/>
  <c r="DK8" s="1"/>
  <c r="B8"/>
  <c r="DD7"/>
  <c r="DD38" s="1"/>
  <c r="DC7"/>
  <c r="DC38" s="1"/>
  <c r="DB7"/>
  <c r="DB38" s="1"/>
  <c r="DA7"/>
  <c r="DA38" s="1"/>
  <c r="CZ7"/>
  <c r="CZ38" s="1"/>
  <c r="CY7"/>
  <c r="CY38" s="1"/>
  <c r="CX7"/>
  <c r="CX38" s="1"/>
  <c r="CW7"/>
  <c r="CW38" s="1"/>
  <c r="CV7"/>
  <c r="CV38" s="1"/>
  <c r="CU7"/>
  <c r="CU38" s="1"/>
  <c r="CT7"/>
  <c r="BI7"/>
  <c r="BJ7" s="1"/>
  <c r="BJ8" s="1"/>
  <c r="BJ9" s="1"/>
  <c r="BJ10" s="1"/>
  <c r="BJ11" s="1"/>
  <c r="BJ12" s="1"/>
  <c r="BJ13" s="1"/>
  <c r="BJ14" s="1"/>
  <c r="BJ15" s="1"/>
  <c r="BC7"/>
  <c r="BC38" s="1"/>
  <c r="BC39" s="1"/>
  <c r="AO38"/>
  <c r="V7"/>
  <c r="V38" s="1"/>
  <c r="V39" s="1"/>
  <c r="R7"/>
  <c r="L7"/>
  <c r="J7"/>
  <c r="I7"/>
  <c r="B7"/>
  <c r="C7" s="1"/>
  <c r="DG19" l="1"/>
  <c r="DJ19" s="1"/>
  <c r="CT38"/>
  <c r="P7"/>
  <c r="P38" s="1"/>
  <c r="BI37"/>
  <c r="BI36"/>
  <c r="BI35"/>
  <c r="BI33"/>
  <c r="BI30"/>
  <c r="BI34"/>
  <c r="BI32"/>
  <c r="BI31"/>
  <c r="BI29"/>
  <c r="BI28"/>
  <c r="BI26"/>
  <c r="BI24"/>
  <c r="BI23"/>
  <c r="BI27"/>
  <c r="BI25"/>
  <c r="M28"/>
  <c r="M29"/>
  <c r="BI16"/>
  <c r="BJ16" s="1"/>
  <c r="BI17"/>
  <c r="BI18"/>
  <c r="BI19"/>
  <c r="BI20"/>
  <c r="BI22"/>
  <c r="S10"/>
  <c r="T10" s="1"/>
  <c r="S14"/>
  <c r="T14" s="1"/>
  <c r="M34"/>
  <c r="H16"/>
  <c r="H17"/>
  <c r="H18"/>
  <c r="H19"/>
  <c r="H20"/>
  <c r="S21"/>
  <c r="T21" s="1"/>
  <c r="W21" s="1"/>
  <c r="BI21"/>
  <c r="M36"/>
  <c r="H36"/>
  <c r="H34"/>
  <c r="H33"/>
  <c r="H29"/>
  <c r="H28"/>
  <c r="H27"/>
  <c r="I38"/>
  <c r="I39" s="1"/>
  <c r="I41" s="1"/>
  <c r="L38"/>
  <c r="L39" s="1"/>
  <c r="D22"/>
  <c r="E22"/>
  <c r="T22"/>
  <c r="W22" s="1"/>
  <c r="BK22"/>
  <c r="BD22"/>
  <c r="BF22" s="1"/>
  <c r="AZ22"/>
  <c r="AI22"/>
  <c r="M22"/>
  <c r="H22"/>
  <c r="AK22"/>
  <c r="AP22"/>
  <c r="D21"/>
  <c r="F21" s="1"/>
  <c r="E21"/>
  <c r="BK21"/>
  <c r="BD21"/>
  <c r="BF21" s="1"/>
  <c r="AZ21"/>
  <c r="AI21"/>
  <c r="M21"/>
  <c r="H21"/>
  <c r="AK21"/>
  <c r="AP21"/>
  <c r="DK11"/>
  <c r="DG8"/>
  <c r="DJ8" s="1"/>
  <c r="DK9"/>
  <c r="E8"/>
  <c r="E9"/>
  <c r="DG10"/>
  <c r="DJ10" s="1"/>
  <c r="E11"/>
  <c r="DG12"/>
  <c r="DJ12" s="1"/>
  <c r="E13"/>
  <c r="DK13"/>
  <c r="DG14"/>
  <c r="DJ14" s="1"/>
  <c r="E15"/>
  <c r="DK15"/>
  <c r="DG7"/>
  <c r="DJ7" s="1"/>
  <c r="B38"/>
  <c r="B39" s="1"/>
  <c r="E7"/>
  <c r="J38"/>
  <c r="J39" s="1"/>
  <c r="N38"/>
  <c r="DK7"/>
  <c r="C8"/>
  <c r="D8" s="1"/>
  <c r="S8"/>
  <c r="T8" s="1"/>
  <c r="C9"/>
  <c r="D9" s="1"/>
  <c r="S9"/>
  <c r="T9" s="1"/>
  <c r="D10"/>
  <c r="E10"/>
  <c r="C11"/>
  <c r="D11" s="1"/>
  <c r="S11"/>
  <c r="T11" s="1"/>
  <c r="D12"/>
  <c r="E12"/>
  <c r="T12"/>
  <c r="C13"/>
  <c r="D13" s="1"/>
  <c r="S13"/>
  <c r="T13" s="1"/>
  <c r="D14"/>
  <c r="E14"/>
  <c r="C15"/>
  <c r="D15" s="1"/>
  <c r="S15"/>
  <c r="T15" s="1"/>
  <c r="BD20"/>
  <c r="BF20" s="1"/>
  <c r="AZ20"/>
  <c r="AK20"/>
  <c r="W20"/>
  <c r="F20"/>
  <c r="AI20"/>
  <c r="M20"/>
  <c r="E20"/>
  <c r="BB20" s="1"/>
  <c r="DA39"/>
  <c r="AZ19"/>
  <c r="AK19"/>
  <c r="W19"/>
  <c r="F19"/>
  <c r="AI19"/>
  <c r="M19"/>
  <c r="E19"/>
  <c r="BB19" s="1"/>
  <c r="BD18"/>
  <c r="BF18" s="1"/>
  <c r="AZ18"/>
  <c r="AK18"/>
  <c r="W18"/>
  <c r="F18"/>
  <c r="AI18"/>
  <c r="M18"/>
  <c r="E18"/>
  <c r="BB18" s="1"/>
  <c r="AK17"/>
  <c r="W17"/>
  <c r="F17"/>
  <c r="AI17"/>
  <c r="M17"/>
  <c r="E17"/>
  <c r="BE17" s="1"/>
  <c r="AK16"/>
  <c r="W16"/>
  <c r="F16"/>
  <c r="AI16"/>
  <c r="M16"/>
  <c r="E16"/>
  <c r="BE16" s="1"/>
  <c r="AO44"/>
  <c r="AO39"/>
  <c r="BA7"/>
  <c r="BA9"/>
  <c r="BA10"/>
  <c r="BA11"/>
  <c r="BA12"/>
  <c r="BA13"/>
  <c r="BA14"/>
  <c r="BA15"/>
  <c r="R38"/>
  <c r="R39" s="1"/>
  <c r="DK22"/>
  <c r="DG22"/>
  <c r="DJ22" s="1"/>
  <c r="S7"/>
  <c r="BA8"/>
  <c r="D7"/>
  <c r="AP7"/>
  <c r="CT39"/>
  <c r="CV39"/>
  <c r="DG21"/>
  <c r="DJ21" s="1"/>
  <c r="DG23"/>
  <c r="DJ23" s="1"/>
  <c r="DG26"/>
  <c r="DJ26" s="1"/>
  <c r="DG28"/>
  <c r="DJ28" s="1"/>
  <c r="DG30"/>
  <c r="DJ30" s="1"/>
  <c r="DG34"/>
  <c r="DJ34" s="1"/>
  <c r="DG36"/>
  <c r="DJ36" s="1"/>
  <c r="BV39"/>
  <c r="BX39"/>
  <c r="BZ39"/>
  <c r="CB39"/>
  <c r="CD39"/>
  <c r="CF39"/>
  <c r="CH39"/>
  <c r="J45"/>
  <c r="DG27"/>
  <c r="DJ27" s="1"/>
  <c r="DG29"/>
  <c r="DJ29" s="1"/>
  <c r="DG33"/>
  <c r="DJ33" s="1"/>
  <c r="DG35"/>
  <c r="DJ35" s="1"/>
  <c r="DG37"/>
  <c r="DJ37" s="1"/>
  <c r="AV39"/>
  <c r="BF59" i="98"/>
  <c r="AO7"/>
  <c r="BA7" s="1"/>
  <c r="AO8"/>
  <c r="AO9"/>
  <c r="AO10"/>
  <c r="AO11"/>
  <c r="AO12"/>
  <c r="AO13"/>
  <c r="AO14"/>
  <c r="AO15"/>
  <c r="AO16"/>
  <c r="AO17"/>
  <c r="AO18"/>
  <c r="AO19"/>
  <c r="AO20"/>
  <c r="AO21"/>
  <c r="AO22"/>
  <c r="AO23"/>
  <c r="AO26"/>
  <c r="AO27"/>
  <c r="AO28"/>
  <c r="AO29"/>
  <c r="AO30"/>
  <c r="AO31"/>
  <c r="AO32"/>
  <c r="AO33"/>
  <c r="AO34"/>
  <c r="AO35"/>
  <c r="AO36"/>
  <c r="I36" i="99"/>
  <c r="DB36" s="1"/>
  <c r="DE36" s="1"/>
  <c r="J36"/>
  <c r="N36"/>
  <c r="O36"/>
  <c r="AM36"/>
  <c r="AX36"/>
  <c r="AZ36"/>
  <c r="BE36"/>
  <c r="BF36"/>
  <c r="BG36"/>
  <c r="BH36"/>
  <c r="BI36"/>
  <c r="CP36"/>
  <c r="CQ36"/>
  <c r="CR36"/>
  <c r="CT36"/>
  <c r="CU36"/>
  <c r="CV36"/>
  <c r="CW36"/>
  <c r="CX36"/>
  <c r="CZ36"/>
  <c r="DJ36"/>
  <c r="BM36" s="1"/>
  <c r="DL36"/>
  <c r="CI36" s="1"/>
  <c r="I35"/>
  <c r="DB35" s="1"/>
  <c r="DE35" s="1"/>
  <c r="J35"/>
  <c r="N35"/>
  <c r="O35"/>
  <c r="AM35"/>
  <c r="AX35"/>
  <c r="AZ35"/>
  <c r="BE35"/>
  <c r="BF35"/>
  <c r="BG35"/>
  <c r="BH35"/>
  <c r="BI35"/>
  <c r="CP35"/>
  <c r="CQ35"/>
  <c r="CR35"/>
  <c r="CT35"/>
  <c r="CU35"/>
  <c r="CV35"/>
  <c r="CW35"/>
  <c r="CX35"/>
  <c r="CZ35"/>
  <c r="DJ35"/>
  <c r="BM35" s="1"/>
  <c r="DL35"/>
  <c r="CI35" s="1"/>
  <c r="I34"/>
  <c r="DB34" s="1"/>
  <c r="DE34" s="1"/>
  <c r="J34"/>
  <c r="N34"/>
  <c r="O34"/>
  <c r="AM34"/>
  <c r="AX34"/>
  <c r="AZ34"/>
  <c r="BE34"/>
  <c r="BF34"/>
  <c r="BG34"/>
  <c r="BH34"/>
  <c r="BI34"/>
  <c r="CP34"/>
  <c r="CQ34"/>
  <c r="CR34"/>
  <c r="CT34"/>
  <c r="CU34"/>
  <c r="CV34"/>
  <c r="CW34"/>
  <c r="CX34"/>
  <c r="CZ34"/>
  <c r="DJ34"/>
  <c r="BM34" s="1"/>
  <c r="DL34"/>
  <c r="CI34" s="1"/>
  <c r="I33"/>
  <c r="DB33" s="1"/>
  <c r="DE33" s="1"/>
  <c r="J33"/>
  <c r="N33"/>
  <c r="O33"/>
  <c r="AM33"/>
  <c r="AX33"/>
  <c r="AZ33"/>
  <c r="BE33"/>
  <c r="BF33"/>
  <c r="BG33"/>
  <c r="BH33"/>
  <c r="BI33"/>
  <c r="CP33"/>
  <c r="CQ33"/>
  <c r="CR33"/>
  <c r="CT33"/>
  <c r="CU33"/>
  <c r="CV33"/>
  <c r="CW33"/>
  <c r="CX33"/>
  <c r="CZ33"/>
  <c r="DJ33"/>
  <c r="BM33" s="1"/>
  <c r="DL33"/>
  <c r="CI33" s="1"/>
  <c r="I32"/>
  <c r="DB32" s="1"/>
  <c r="DE32" s="1"/>
  <c r="J32"/>
  <c r="N32"/>
  <c r="O32"/>
  <c r="AM32"/>
  <c r="AX32"/>
  <c r="AZ32"/>
  <c r="BE32"/>
  <c r="BF32"/>
  <c r="BG32" s="1"/>
  <c r="BH32"/>
  <c r="CP32"/>
  <c r="CQ32"/>
  <c r="CR32"/>
  <c r="CT32"/>
  <c r="CU32"/>
  <c r="CV32"/>
  <c r="CW32"/>
  <c r="CX32"/>
  <c r="CZ32"/>
  <c r="DJ32"/>
  <c r="BM32" s="1"/>
  <c r="DL32"/>
  <c r="CI32" s="1"/>
  <c r="I31"/>
  <c r="DB31" s="1"/>
  <c r="DE31" s="1"/>
  <c r="J31"/>
  <c r="N31"/>
  <c r="O31"/>
  <c r="AM31"/>
  <c r="AX31"/>
  <c r="AZ31"/>
  <c r="BE31"/>
  <c r="BF31"/>
  <c r="BG31"/>
  <c r="BH31"/>
  <c r="BI31"/>
  <c r="CP31"/>
  <c r="CQ31"/>
  <c r="CR31"/>
  <c r="CT31"/>
  <c r="CU31"/>
  <c r="CV31"/>
  <c r="CW31"/>
  <c r="CX31"/>
  <c r="CZ31"/>
  <c r="DJ31"/>
  <c r="BM31" s="1"/>
  <c r="DL31"/>
  <c r="CI31" s="1"/>
  <c r="I30"/>
  <c r="DF30" s="1"/>
  <c r="J30"/>
  <c r="N30"/>
  <c r="O30"/>
  <c r="AM30"/>
  <c r="AX30"/>
  <c r="AZ30"/>
  <c r="BE30"/>
  <c r="BF30"/>
  <c r="BG30" s="1"/>
  <c r="BH30"/>
  <c r="BI30"/>
  <c r="CP30"/>
  <c r="CQ30"/>
  <c r="CR30"/>
  <c r="CT30"/>
  <c r="CU30"/>
  <c r="CV30"/>
  <c r="CW30"/>
  <c r="CX30"/>
  <c r="CZ30"/>
  <c r="DB30"/>
  <c r="DE30" s="1"/>
  <c r="DJ30"/>
  <c r="BM30" s="1"/>
  <c r="DL30"/>
  <c r="CI30" s="1"/>
  <c r="I29"/>
  <c r="DB29" s="1"/>
  <c r="DE29" s="1"/>
  <c r="J29"/>
  <c r="N29"/>
  <c r="O29"/>
  <c r="AM29"/>
  <c r="AX29"/>
  <c r="AZ29"/>
  <c r="BE29"/>
  <c r="BF29"/>
  <c r="BG29" s="1"/>
  <c r="BH29"/>
  <c r="BI29" s="1"/>
  <c r="CP29"/>
  <c r="CQ29"/>
  <c r="CR29"/>
  <c r="CT29"/>
  <c r="CU29"/>
  <c r="CV29"/>
  <c r="CW29"/>
  <c r="CX29"/>
  <c r="CZ29"/>
  <c r="DJ29"/>
  <c r="BM29" s="1"/>
  <c r="DL29"/>
  <c r="CI29" s="1"/>
  <c r="I28"/>
  <c r="DB28" s="1"/>
  <c r="DE28" s="1"/>
  <c r="J28"/>
  <c r="N28"/>
  <c r="O28"/>
  <c r="AM28"/>
  <c r="AX28"/>
  <c r="AZ28"/>
  <c r="BE28"/>
  <c r="BF28"/>
  <c r="BG28" s="1"/>
  <c r="BH28"/>
  <c r="BI28" s="1"/>
  <c r="CP28"/>
  <c r="CQ28"/>
  <c r="CR28"/>
  <c r="CT28"/>
  <c r="CU28"/>
  <c r="CV28"/>
  <c r="CW28"/>
  <c r="CX28"/>
  <c r="CZ28"/>
  <c r="DJ28"/>
  <c r="BM28" s="1"/>
  <c r="DL28"/>
  <c r="CI28" s="1"/>
  <c r="I27"/>
  <c r="DB27" s="1"/>
  <c r="DE27" s="1"/>
  <c r="J27"/>
  <c r="N27"/>
  <c r="O27"/>
  <c r="AM27"/>
  <c r="AX27"/>
  <c r="AZ27"/>
  <c r="BE27"/>
  <c r="BF27"/>
  <c r="BG27"/>
  <c r="BH27"/>
  <c r="BI27"/>
  <c r="CQ27"/>
  <c r="CR27"/>
  <c r="CS27"/>
  <c r="CT27"/>
  <c r="CU27"/>
  <c r="CV27"/>
  <c r="CW27"/>
  <c r="CX27"/>
  <c r="CZ27"/>
  <c r="DJ27"/>
  <c r="BJ27" s="1"/>
  <c r="DL27"/>
  <c r="CI27" s="1"/>
  <c r="I26"/>
  <c r="DB26" s="1"/>
  <c r="DE26" s="1"/>
  <c r="J26"/>
  <c r="N26"/>
  <c r="O26"/>
  <c r="AM26"/>
  <c r="AX26"/>
  <c r="AZ26"/>
  <c r="BE26"/>
  <c r="BF26"/>
  <c r="BG26"/>
  <c r="BH26"/>
  <c r="BI26"/>
  <c r="CQ26"/>
  <c r="CR26"/>
  <c r="CS26"/>
  <c r="CT26"/>
  <c r="CU26"/>
  <c r="CV26"/>
  <c r="CW26"/>
  <c r="CX26"/>
  <c r="CZ26"/>
  <c r="DJ26"/>
  <c r="BJ26" s="1"/>
  <c r="DL26"/>
  <c r="CI26" s="1"/>
  <c r="I25"/>
  <c r="DB25" s="1"/>
  <c r="DE25" s="1"/>
  <c r="J25"/>
  <c r="N25"/>
  <c r="O25"/>
  <c r="AM25"/>
  <c r="AX25"/>
  <c r="AZ25"/>
  <c r="BE25"/>
  <c r="BF25"/>
  <c r="BG25"/>
  <c r="BH25"/>
  <c r="BI25"/>
  <c r="CQ25"/>
  <c r="CR25"/>
  <c r="CS25"/>
  <c r="CT25"/>
  <c r="CU25"/>
  <c r="CV25"/>
  <c r="CW25"/>
  <c r="CX25"/>
  <c r="CZ25"/>
  <c r="DJ25"/>
  <c r="BJ25" s="1"/>
  <c r="DL25"/>
  <c r="CI25" s="1"/>
  <c r="I24"/>
  <c r="DB24" s="1"/>
  <c r="DE24" s="1"/>
  <c r="J24"/>
  <c r="N24"/>
  <c r="O24"/>
  <c r="AM24"/>
  <c r="AX24"/>
  <c r="AZ24"/>
  <c r="BC24"/>
  <c r="BF24"/>
  <c r="BG24" s="1"/>
  <c r="BH24"/>
  <c r="CQ24"/>
  <c r="CR24"/>
  <c r="CS24"/>
  <c r="CT24"/>
  <c r="CU24"/>
  <c r="CV24"/>
  <c r="CW24"/>
  <c r="CX24"/>
  <c r="CZ24"/>
  <c r="DJ24"/>
  <c r="BJ24" s="1"/>
  <c r="DL24"/>
  <c r="CI24" s="1"/>
  <c r="I23"/>
  <c r="DB23" s="1"/>
  <c r="DE23" s="1"/>
  <c r="J23"/>
  <c r="N23"/>
  <c r="O23"/>
  <c r="AM23"/>
  <c r="AX23"/>
  <c r="AZ23"/>
  <c r="BE23"/>
  <c r="BF23"/>
  <c r="BG23"/>
  <c r="BH23"/>
  <c r="BI23"/>
  <c r="CQ23"/>
  <c r="CR23"/>
  <c r="CS23"/>
  <c r="CT23"/>
  <c r="CU23"/>
  <c r="CV23"/>
  <c r="CW23"/>
  <c r="CX23"/>
  <c r="CZ23"/>
  <c r="DJ23"/>
  <c r="BJ23" s="1"/>
  <c r="DL23"/>
  <c r="CI23" s="1"/>
  <c r="I22"/>
  <c r="DF22" s="1"/>
  <c r="J22"/>
  <c r="N22"/>
  <c r="O22"/>
  <c r="AM22"/>
  <c r="AX22"/>
  <c r="AZ22"/>
  <c r="BE22"/>
  <c r="BF22"/>
  <c r="BG22" s="1"/>
  <c r="BH22"/>
  <c r="BI22"/>
  <c r="CQ22"/>
  <c r="CR22"/>
  <c r="CS22"/>
  <c r="CT22"/>
  <c r="CU22"/>
  <c r="CV22"/>
  <c r="CW22"/>
  <c r="CX22"/>
  <c r="CZ22"/>
  <c r="DB22"/>
  <c r="DE22" s="1"/>
  <c r="DJ22"/>
  <c r="BJ22" s="1"/>
  <c r="DL22"/>
  <c r="CI22" s="1"/>
  <c r="I21"/>
  <c r="DB21" s="1"/>
  <c r="DE21" s="1"/>
  <c r="J21"/>
  <c r="N21"/>
  <c r="O21"/>
  <c r="AM21"/>
  <c r="AX21"/>
  <c r="AZ21"/>
  <c r="BE21"/>
  <c r="BF21"/>
  <c r="BG21"/>
  <c r="BH21"/>
  <c r="BI21"/>
  <c r="CQ21"/>
  <c r="CR21"/>
  <c r="CS21"/>
  <c r="CT21"/>
  <c r="CU21"/>
  <c r="CV21"/>
  <c r="CW21"/>
  <c r="CX21"/>
  <c r="CZ21"/>
  <c r="DJ21"/>
  <c r="BJ21" s="1"/>
  <c r="DL21"/>
  <c r="CI21" s="1"/>
  <c r="I20"/>
  <c r="DB20" s="1"/>
  <c r="DE20" s="1"/>
  <c r="J20"/>
  <c r="N20"/>
  <c r="O20"/>
  <c r="AM20"/>
  <c r="AX20"/>
  <c r="AZ20"/>
  <c r="BE20"/>
  <c r="BF20"/>
  <c r="BG20"/>
  <c r="BH20"/>
  <c r="BI20"/>
  <c r="CQ20"/>
  <c r="CR20"/>
  <c r="CS20"/>
  <c r="CT20"/>
  <c r="CU20"/>
  <c r="CV20"/>
  <c r="CW20"/>
  <c r="CX20"/>
  <c r="CZ20"/>
  <c r="DJ20"/>
  <c r="BJ20" s="1"/>
  <c r="DL20"/>
  <c r="CI20" s="1"/>
  <c r="I19"/>
  <c r="DB19" s="1"/>
  <c r="DE19" s="1"/>
  <c r="J19"/>
  <c r="N19"/>
  <c r="O19"/>
  <c r="AM19"/>
  <c r="AX19"/>
  <c r="AZ19"/>
  <c r="BE19"/>
  <c r="BF19"/>
  <c r="BG19"/>
  <c r="BH19"/>
  <c r="BI19"/>
  <c r="CQ19"/>
  <c r="CR19"/>
  <c r="CS19"/>
  <c r="CT19"/>
  <c r="CU19"/>
  <c r="CV19"/>
  <c r="CW19"/>
  <c r="CX19"/>
  <c r="CZ19"/>
  <c r="DJ19"/>
  <c r="BJ19" s="1"/>
  <c r="DL19"/>
  <c r="CI19" s="1"/>
  <c r="I18"/>
  <c r="DB18" s="1"/>
  <c r="DE18" s="1"/>
  <c r="J18"/>
  <c r="N18"/>
  <c r="O18"/>
  <c r="AM18"/>
  <c r="AX18"/>
  <c r="AZ18"/>
  <c r="BE18"/>
  <c r="BF18"/>
  <c r="BG18"/>
  <c r="BH18"/>
  <c r="BI18"/>
  <c r="CQ18"/>
  <c r="CR18"/>
  <c r="CS18"/>
  <c r="CT18"/>
  <c r="CU18"/>
  <c r="CV18"/>
  <c r="CW18"/>
  <c r="CX18"/>
  <c r="CZ18"/>
  <c r="DJ18"/>
  <c r="BJ18" s="1"/>
  <c r="DL18"/>
  <c r="CI18" s="1"/>
  <c r="I17"/>
  <c r="DF17" s="1"/>
  <c r="J17"/>
  <c r="N17"/>
  <c r="O17"/>
  <c r="AF17"/>
  <c r="AM17"/>
  <c r="AX17"/>
  <c r="AZ17"/>
  <c r="BA17"/>
  <c r="BC17"/>
  <c r="BE17"/>
  <c r="BF17"/>
  <c r="BG17" s="1"/>
  <c r="BH17"/>
  <c r="CQ17"/>
  <c r="CR17"/>
  <c r="CS17"/>
  <c r="CT17"/>
  <c r="CU17"/>
  <c r="CV17"/>
  <c r="CW17"/>
  <c r="CX17"/>
  <c r="CZ17"/>
  <c r="DB17"/>
  <c r="DE17" s="1"/>
  <c r="DJ17"/>
  <c r="BJ17" s="1"/>
  <c r="DL17"/>
  <c r="CI17" s="1"/>
  <c r="I16"/>
  <c r="DF16" s="1"/>
  <c r="J16"/>
  <c r="N16"/>
  <c r="O16"/>
  <c r="AF16"/>
  <c r="AM16"/>
  <c r="AX16"/>
  <c r="AZ16"/>
  <c r="BA16"/>
  <c r="BC16"/>
  <c r="BE16"/>
  <c r="BF16"/>
  <c r="BG16" s="1"/>
  <c r="BH16"/>
  <c r="CQ16"/>
  <c r="CR16"/>
  <c r="CS16"/>
  <c r="CT16"/>
  <c r="CU16"/>
  <c r="CV16"/>
  <c r="CW16"/>
  <c r="CX16"/>
  <c r="CZ16"/>
  <c r="DB16"/>
  <c r="DE16" s="1"/>
  <c r="DJ16"/>
  <c r="BJ16" s="1"/>
  <c r="DL16"/>
  <c r="CI16" s="1"/>
  <c r="I15"/>
  <c r="DB15" s="1"/>
  <c r="DE15" s="1"/>
  <c r="J15"/>
  <c r="N15"/>
  <c r="O15"/>
  <c r="AM15"/>
  <c r="AX15"/>
  <c r="AZ15"/>
  <c r="BA15"/>
  <c r="BC15"/>
  <c r="BE15"/>
  <c r="BF15"/>
  <c r="BG15" s="1"/>
  <c r="BH15"/>
  <c r="CQ15"/>
  <c r="CR15"/>
  <c r="CS15"/>
  <c r="CT15"/>
  <c r="CU15"/>
  <c r="CV15"/>
  <c r="CW15"/>
  <c r="CX15"/>
  <c r="CZ15"/>
  <c r="DJ15"/>
  <c r="BJ15" s="1"/>
  <c r="DL15"/>
  <c r="CI15" s="1"/>
  <c r="I14"/>
  <c r="DB14" s="1"/>
  <c r="DE14" s="1"/>
  <c r="J14"/>
  <c r="N14"/>
  <c r="O14"/>
  <c r="AM14"/>
  <c r="AX14"/>
  <c r="AZ14"/>
  <c r="BA14"/>
  <c r="BC14"/>
  <c r="BE14"/>
  <c r="BF14"/>
  <c r="BG14" s="1"/>
  <c r="BH14"/>
  <c r="CQ14"/>
  <c r="CR14"/>
  <c r="CS14"/>
  <c r="CT14"/>
  <c r="CU14"/>
  <c r="CV14"/>
  <c r="CW14"/>
  <c r="CX14"/>
  <c r="CZ14"/>
  <c r="DJ14"/>
  <c r="BJ14" s="1"/>
  <c r="DL14"/>
  <c r="CI14" s="1"/>
  <c r="I13"/>
  <c r="DB13" s="1"/>
  <c r="DE13" s="1"/>
  <c r="J13"/>
  <c r="N13"/>
  <c r="O13"/>
  <c r="AM13"/>
  <c r="AX13"/>
  <c r="AZ13"/>
  <c r="BA13"/>
  <c r="BC13"/>
  <c r="BE13"/>
  <c r="BF13"/>
  <c r="BG13" s="1"/>
  <c r="BH13"/>
  <c r="CQ13"/>
  <c r="CR13"/>
  <c r="CS13"/>
  <c r="CT13"/>
  <c r="CU13"/>
  <c r="CV13"/>
  <c r="CW13"/>
  <c r="CX13"/>
  <c r="CZ13"/>
  <c r="DJ13"/>
  <c r="BJ13" s="1"/>
  <c r="DL13"/>
  <c r="CI13" s="1"/>
  <c r="I12"/>
  <c r="DF12" s="1"/>
  <c r="J12"/>
  <c r="N12"/>
  <c r="O12"/>
  <c r="AF12"/>
  <c r="AM12"/>
  <c r="AX12"/>
  <c r="AZ12"/>
  <c r="BA12"/>
  <c r="BC12"/>
  <c r="BE12"/>
  <c r="BF12"/>
  <c r="BG12" s="1"/>
  <c r="BH12"/>
  <c r="CQ12"/>
  <c r="CR12"/>
  <c r="CS12"/>
  <c r="CT12"/>
  <c r="CU12"/>
  <c r="CV12"/>
  <c r="CW12"/>
  <c r="CX12"/>
  <c r="CZ12"/>
  <c r="DB12"/>
  <c r="DE12" s="1"/>
  <c r="DJ12"/>
  <c r="BJ12" s="1"/>
  <c r="DL12"/>
  <c r="CI12" s="1"/>
  <c r="I11"/>
  <c r="DF11" s="1"/>
  <c r="J11"/>
  <c r="N11"/>
  <c r="O11"/>
  <c r="AF11"/>
  <c r="AM11"/>
  <c r="AX11"/>
  <c r="AZ11"/>
  <c r="BA11"/>
  <c r="BC11"/>
  <c r="BE11"/>
  <c r="BF11"/>
  <c r="BG11" s="1"/>
  <c r="BH11"/>
  <c r="CQ11"/>
  <c r="CR11"/>
  <c r="CS11"/>
  <c r="CT11"/>
  <c r="CU11"/>
  <c r="CV11"/>
  <c r="CW11"/>
  <c r="CX11"/>
  <c r="CZ11"/>
  <c r="DB11"/>
  <c r="DE11" s="1"/>
  <c r="DJ11"/>
  <c r="BJ11" s="1"/>
  <c r="DL11"/>
  <c r="CI11" s="1"/>
  <c r="I10"/>
  <c r="DF10" s="1"/>
  <c r="J10"/>
  <c r="N10"/>
  <c r="O10"/>
  <c r="AF10"/>
  <c r="AM10"/>
  <c r="AX10"/>
  <c r="AZ10"/>
  <c r="BA10"/>
  <c r="BC10"/>
  <c r="BE10"/>
  <c r="BF10"/>
  <c r="BG10" s="1"/>
  <c r="BH10"/>
  <c r="CQ10"/>
  <c r="CR10"/>
  <c r="CS10"/>
  <c r="CT10"/>
  <c r="CU10"/>
  <c r="CV10"/>
  <c r="CW10"/>
  <c r="CX10"/>
  <c r="CZ10"/>
  <c r="DJ10"/>
  <c r="BJ10" s="1"/>
  <c r="DL10"/>
  <c r="CI10" s="1"/>
  <c r="I9"/>
  <c r="DB9" s="1"/>
  <c r="DE9" s="1"/>
  <c r="J9"/>
  <c r="N9"/>
  <c r="O9"/>
  <c r="AM9"/>
  <c r="AX9"/>
  <c r="AZ9"/>
  <c r="BA9"/>
  <c r="BC9"/>
  <c r="BE9"/>
  <c r="BF9"/>
  <c r="BG9" s="1"/>
  <c r="BH9"/>
  <c r="CQ9"/>
  <c r="CR9"/>
  <c r="CS9"/>
  <c r="CT9"/>
  <c r="CU9"/>
  <c r="CV9"/>
  <c r="CW9"/>
  <c r="CX9"/>
  <c r="CZ9"/>
  <c r="DJ9"/>
  <c r="BJ9" s="1"/>
  <c r="DL9"/>
  <c r="CI9" s="1"/>
  <c r="CI8"/>
  <c r="CI7"/>
  <c r="CY7" s="1"/>
  <c r="DL8"/>
  <c r="DL7"/>
  <c r="B8"/>
  <c r="B7"/>
  <c r="C7" s="1"/>
  <c r="BJ8"/>
  <c r="BJ7"/>
  <c r="CP7" s="1"/>
  <c r="DJ8"/>
  <c r="DJ7"/>
  <c r="AS46"/>
  <c r="AS43"/>
  <c r="AA41"/>
  <c r="BD39"/>
  <c r="AR39"/>
  <c r="AP39"/>
  <c r="AO39"/>
  <c r="AN39"/>
  <c r="AD39"/>
  <c r="AC39"/>
  <c r="Z39"/>
  <c r="Z41" s="1"/>
  <c r="Y39"/>
  <c r="CJ38"/>
  <c r="CN39" s="1"/>
  <c r="CH38"/>
  <c r="CL39" s="1"/>
  <c r="CG38"/>
  <c r="CK39" s="1"/>
  <c r="BQ38"/>
  <c r="CF39" s="1"/>
  <c r="BP38"/>
  <c r="BX39" s="1"/>
  <c r="BO38"/>
  <c r="CD39" s="1"/>
  <c r="BN38"/>
  <c r="BV39" s="1"/>
  <c r="BL38"/>
  <c r="BT39" s="1"/>
  <c r="BK38"/>
  <c r="BZ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AZ37"/>
  <c r="AY37"/>
  <c r="AX37"/>
  <c r="BH37" s="1"/>
  <c r="AM37"/>
  <c r="AF37"/>
  <c r="T37"/>
  <c r="P37"/>
  <c r="O37"/>
  <c r="N37"/>
  <c r="M37"/>
  <c r="L37"/>
  <c r="J37"/>
  <c r="I37"/>
  <c r="DF37" s="1"/>
  <c r="H37"/>
  <c r="F37"/>
  <c r="B37"/>
  <c r="C37" s="1"/>
  <c r="CZ8"/>
  <c r="CY8"/>
  <c r="CX8"/>
  <c r="CW8"/>
  <c r="CV8"/>
  <c r="CU8"/>
  <c r="CT8"/>
  <c r="CS8"/>
  <c r="CR8"/>
  <c r="CQ8"/>
  <c r="CP8"/>
  <c r="BF8"/>
  <c r="AZ8"/>
  <c r="AX8"/>
  <c r="AH8" s="1"/>
  <c r="AM8"/>
  <c r="T8"/>
  <c r="O8"/>
  <c r="N8"/>
  <c r="J8"/>
  <c r="I8"/>
  <c r="DF8" s="1"/>
  <c r="CZ7"/>
  <c r="CZ38" s="1"/>
  <c r="CX7"/>
  <c r="CX38" s="1"/>
  <c r="CW7"/>
  <c r="CV7"/>
  <c r="CV38" s="1"/>
  <c r="CU7"/>
  <c r="CT7"/>
  <c r="CT38" s="1"/>
  <c r="CS7"/>
  <c r="CR7"/>
  <c r="CQ7"/>
  <c r="BH7"/>
  <c r="BF7"/>
  <c r="BI7" s="1"/>
  <c r="BA7"/>
  <c r="BC7" s="1"/>
  <c r="AZ7"/>
  <c r="AX7"/>
  <c r="AM7"/>
  <c r="AH7"/>
  <c r="AF7"/>
  <c r="T7"/>
  <c r="O7"/>
  <c r="N7"/>
  <c r="M7"/>
  <c r="J7"/>
  <c r="I7"/>
  <c r="BO38" i="96"/>
  <c r="BW39"/>
  <c r="DB10" i="99" l="1"/>
  <c r="DE10" s="1"/>
  <c r="BJ17" i="100"/>
  <c r="BJ18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N39"/>
  <c r="CR39"/>
  <c r="BE22"/>
  <c r="BB22"/>
  <c r="F22"/>
  <c r="BE21"/>
  <c r="BB21"/>
  <c r="BB11"/>
  <c r="BB8"/>
  <c r="BB15"/>
  <c r="BB14"/>
  <c r="BB12"/>
  <c r="BB10"/>
  <c r="BB13"/>
  <c r="BB9"/>
  <c r="S39"/>
  <c r="S41" s="1"/>
  <c r="T7"/>
  <c r="T38" s="1"/>
  <c r="DK38"/>
  <c r="BE20"/>
  <c r="BE19"/>
  <c r="BE18"/>
  <c r="BB17"/>
  <c r="BB16"/>
  <c r="E39"/>
  <c r="C39"/>
  <c r="BK8"/>
  <c r="BD8"/>
  <c r="BF8" s="1"/>
  <c r="AK8"/>
  <c r="W8"/>
  <c r="F8"/>
  <c r="AI8"/>
  <c r="M8"/>
  <c r="H8"/>
  <c r="BK14"/>
  <c r="BD14"/>
  <c r="BF14" s="1"/>
  <c r="AK14"/>
  <c r="W14"/>
  <c r="F14"/>
  <c r="AI14"/>
  <c r="M14"/>
  <c r="H14"/>
  <c r="BK12"/>
  <c r="BD12"/>
  <c r="BF12" s="1"/>
  <c r="AK12"/>
  <c r="W12"/>
  <c r="F12"/>
  <c r="AI12"/>
  <c r="M12"/>
  <c r="H12"/>
  <c r="BK10"/>
  <c r="BD10"/>
  <c r="BF10" s="1"/>
  <c r="AK10"/>
  <c r="W10"/>
  <c r="F10"/>
  <c r="AI10"/>
  <c r="M10"/>
  <c r="H10"/>
  <c r="AP39"/>
  <c r="D38"/>
  <c r="BB7"/>
  <c r="BE7"/>
  <c r="BK15"/>
  <c r="BD15"/>
  <c r="BF15" s="1"/>
  <c r="AK15"/>
  <c r="W15"/>
  <c r="F15"/>
  <c r="AI15"/>
  <c r="M15"/>
  <c r="H15"/>
  <c r="BK13"/>
  <c r="BD13"/>
  <c r="BF13" s="1"/>
  <c r="AK13"/>
  <c r="W13"/>
  <c r="F13"/>
  <c r="AI13"/>
  <c r="M13"/>
  <c r="H13"/>
  <c r="BK11"/>
  <c r="BD11"/>
  <c r="BF11" s="1"/>
  <c r="AK11"/>
  <c r="W11"/>
  <c r="F11"/>
  <c r="AI11"/>
  <c r="M11"/>
  <c r="H11"/>
  <c r="BK9"/>
  <c r="BD9"/>
  <c r="BF9" s="1"/>
  <c r="AK9"/>
  <c r="W9"/>
  <c r="F9"/>
  <c r="AI9"/>
  <c r="M9"/>
  <c r="H9"/>
  <c r="BA38"/>
  <c r="AE39" s="1"/>
  <c r="BK7"/>
  <c r="BD7"/>
  <c r="AK7"/>
  <c r="F7"/>
  <c r="BH7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AI7"/>
  <c r="M7"/>
  <c r="H7"/>
  <c r="DJ38"/>
  <c r="CT40"/>
  <c r="DG38"/>
  <c r="DH38" s="1"/>
  <c r="BE15"/>
  <c r="BE13"/>
  <c r="BE11"/>
  <c r="BE14"/>
  <c r="BE12"/>
  <c r="BE10"/>
  <c r="BE9"/>
  <c r="BE8"/>
  <c r="DF26" i="99"/>
  <c r="DF35"/>
  <c r="DF9"/>
  <c r="DF18"/>
  <c r="DF21"/>
  <c r="DF14"/>
  <c r="DF13"/>
  <c r="DF29"/>
  <c r="DF33"/>
  <c r="DF19"/>
  <c r="DF23"/>
  <c r="DF24"/>
  <c r="DF27"/>
  <c r="DF31"/>
  <c r="DF36"/>
  <c r="DF15"/>
  <c r="DF20"/>
  <c r="DF25"/>
  <c r="DF28"/>
  <c r="DF32"/>
  <c r="DF34"/>
  <c r="J38"/>
  <c r="J39" s="1"/>
  <c r="T36"/>
  <c r="Q36" s="1"/>
  <c r="R36" s="1"/>
  <c r="CY36"/>
  <c r="CS36"/>
  <c r="B36"/>
  <c r="H36"/>
  <c r="BA36"/>
  <c r="BC36" s="1"/>
  <c r="AW36"/>
  <c r="AH36"/>
  <c r="U36"/>
  <c r="M36"/>
  <c r="AF36"/>
  <c r="CS35"/>
  <c r="B35"/>
  <c r="T35"/>
  <c r="Q35" s="1"/>
  <c r="R35" s="1"/>
  <c r="CY35"/>
  <c r="H35"/>
  <c r="BA35"/>
  <c r="BC35" s="1"/>
  <c r="AW35"/>
  <c r="AH35"/>
  <c r="U35"/>
  <c r="M35"/>
  <c r="AF35"/>
  <c r="T34"/>
  <c r="Q34" s="1"/>
  <c r="R34" s="1"/>
  <c r="CY34"/>
  <c r="CS34"/>
  <c r="B34"/>
  <c r="H34"/>
  <c r="BA34"/>
  <c r="BC34" s="1"/>
  <c r="AW34"/>
  <c r="AH34"/>
  <c r="U34"/>
  <c r="M34"/>
  <c r="AF34"/>
  <c r="CS33"/>
  <c r="B33"/>
  <c r="T33"/>
  <c r="Q33" s="1"/>
  <c r="R33" s="1"/>
  <c r="CY33"/>
  <c r="H33"/>
  <c r="BA33"/>
  <c r="BC33" s="1"/>
  <c r="AW33"/>
  <c r="AH33"/>
  <c r="U33"/>
  <c r="M33"/>
  <c r="AF33"/>
  <c r="CS32"/>
  <c r="B32"/>
  <c r="T32"/>
  <c r="Q32" s="1"/>
  <c r="R32" s="1"/>
  <c r="CY32"/>
  <c r="H32"/>
  <c r="BA32"/>
  <c r="BC32" s="1"/>
  <c r="AW32"/>
  <c r="AH32"/>
  <c r="U32"/>
  <c r="M32"/>
  <c r="BI32"/>
  <c r="AF32"/>
  <c r="T31"/>
  <c r="Q31" s="1"/>
  <c r="R31" s="1"/>
  <c r="CY31"/>
  <c r="CS31"/>
  <c r="H31" s="1"/>
  <c r="B31"/>
  <c r="BA31"/>
  <c r="BC31" s="1"/>
  <c r="AW31"/>
  <c r="AH31"/>
  <c r="U31"/>
  <c r="M31"/>
  <c r="AF31"/>
  <c r="CS30"/>
  <c r="B30"/>
  <c r="T30"/>
  <c r="Q30" s="1"/>
  <c r="R30" s="1"/>
  <c r="CY30"/>
  <c r="H30"/>
  <c r="BA30"/>
  <c r="BC30" s="1"/>
  <c r="AW30"/>
  <c r="AH30"/>
  <c r="U30"/>
  <c r="M30"/>
  <c r="AF30"/>
  <c r="CS29"/>
  <c r="B29"/>
  <c r="T29"/>
  <c r="Q29" s="1"/>
  <c r="R29" s="1"/>
  <c r="CY29"/>
  <c r="H29"/>
  <c r="BA29"/>
  <c r="BC29" s="1"/>
  <c r="AW29"/>
  <c r="AH29"/>
  <c r="U29"/>
  <c r="M29"/>
  <c r="AF29"/>
  <c r="CS28"/>
  <c r="B28"/>
  <c r="T28"/>
  <c r="Q28" s="1"/>
  <c r="R28" s="1"/>
  <c r="CY28"/>
  <c r="H28"/>
  <c r="BA28"/>
  <c r="BC28" s="1"/>
  <c r="AW28"/>
  <c r="AH28"/>
  <c r="U28"/>
  <c r="M28"/>
  <c r="AF28"/>
  <c r="B27"/>
  <c r="CP27"/>
  <c r="T27"/>
  <c r="Q27" s="1"/>
  <c r="R27" s="1"/>
  <c r="CY27"/>
  <c r="H27"/>
  <c r="BA27"/>
  <c r="BC27" s="1"/>
  <c r="AW27"/>
  <c r="AH27"/>
  <c r="U27"/>
  <c r="M27"/>
  <c r="AF27"/>
  <c r="T26"/>
  <c r="Q26" s="1"/>
  <c r="R26" s="1"/>
  <c r="CY26"/>
  <c r="B26"/>
  <c r="CP26"/>
  <c r="H26"/>
  <c r="BA26"/>
  <c r="BC26" s="1"/>
  <c r="AW26"/>
  <c r="AH26"/>
  <c r="U26"/>
  <c r="M26"/>
  <c r="AF26"/>
  <c r="T25"/>
  <c r="Q25" s="1"/>
  <c r="R25" s="1"/>
  <c r="CY25"/>
  <c r="B25"/>
  <c r="CP25"/>
  <c r="H25"/>
  <c r="BA25"/>
  <c r="BC25" s="1"/>
  <c r="AW25"/>
  <c r="AH25"/>
  <c r="U25"/>
  <c r="M25"/>
  <c r="AF25"/>
  <c r="CP24"/>
  <c r="B24"/>
  <c r="T24"/>
  <c r="Q24" s="1"/>
  <c r="R24" s="1"/>
  <c r="CY24"/>
  <c r="H24"/>
  <c r="BI24"/>
  <c r="BE24"/>
  <c r="AW24"/>
  <c r="AH24"/>
  <c r="U24"/>
  <c r="M24"/>
  <c r="AF24"/>
  <c r="T23"/>
  <c r="Q23" s="1"/>
  <c r="R23" s="1"/>
  <c r="CY23"/>
  <c r="B23"/>
  <c r="CP23"/>
  <c r="H23"/>
  <c r="BA23"/>
  <c r="BC23" s="1"/>
  <c r="AW23"/>
  <c r="AH23"/>
  <c r="U23"/>
  <c r="M23"/>
  <c r="AF23"/>
  <c r="T22"/>
  <c r="Q22" s="1"/>
  <c r="R22" s="1"/>
  <c r="CY22"/>
  <c r="B22"/>
  <c r="CP22"/>
  <c r="H22"/>
  <c r="BA22"/>
  <c r="BC22" s="1"/>
  <c r="AW22"/>
  <c r="AH22"/>
  <c r="U22"/>
  <c r="M22"/>
  <c r="AF22"/>
  <c r="T21"/>
  <c r="Q21" s="1"/>
  <c r="R21" s="1"/>
  <c r="CY21"/>
  <c r="B21"/>
  <c r="CP21"/>
  <c r="H21"/>
  <c r="BA21"/>
  <c r="BC21" s="1"/>
  <c r="AW21"/>
  <c r="AH21"/>
  <c r="U21"/>
  <c r="M21"/>
  <c r="AF21"/>
  <c r="B20"/>
  <c r="CP20"/>
  <c r="T20"/>
  <c r="Q20" s="1"/>
  <c r="R20" s="1"/>
  <c r="CY20"/>
  <c r="H20"/>
  <c r="BA20"/>
  <c r="BC20" s="1"/>
  <c r="AW20"/>
  <c r="AH20"/>
  <c r="U20"/>
  <c r="M20"/>
  <c r="AF20"/>
  <c r="T19"/>
  <c r="Q19" s="1"/>
  <c r="R19" s="1"/>
  <c r="CY19"/>
  <c r="B19"/>
  <c r="CP19"/>
  <c r="H19" s="1"/>
  <c r="BA19"/>
  <c r="BC19" s="1"/>
  <c r="AW19"/>
  <c r="AH19"/>
  <c r="U19"/>
  <c r="M19"/>
  <c r="AF19"/>
  <c r="T18"/>
  <c r="Q18" s="1"/>
  <c r="R18" s="1"/>
  <c r="CY18"/>
  <c r="B18"/>
  <c r="CP18"/>
  <c r="H18"/>
  <c r="BA18"/>
  <c r="BC18" s="1"/>
  <c r="AW18"/>
  <c r="AH18"/>
  <c r="U18"/>
  <c r="M18"/>
  <c r="AF18"/>
  <c r="T17"/>
  <c r="Q17" s="1"/>
  <c r="R17" s="1"/>
  <c r="CY17"/>
  <c r="CP17"/>
  <c r="H17" s="1"/>
  <c r="B17"/>
  <c r="BI17"/>
  <c r="AH17"/>
  <c r="U17"/>
  <c r="M17"/>
  <c r="T16"/>
  <c r="Q16" s="1"/>
  <c r="R16" s="1"/>
  <c r="CY16"/>
  <c r="CP16"/>
  <c r="H16" s="1"/>
  <c r="B16"/>
  <c r="BI16"/>
  <c r="AH16"/>
  <c r="U16"/>
  <c r="M16"/>
  <c r="CP15"/>
  <c r="B15"/>
  <c r="T15"/>
  <c r="Q15" s="1"/>
  <c r="R15" s="1"/>
  <c r="CY15"/>
  <c r="H15"/>
  <c r="BI15"/>
  <c r="AH15"/>
  <c r="U15"/>
  <c r="M15"/>
  <c r="AF15"/>
  <c r="CP14"/>
  <c r="B14"/>
  <c r="T14"/>
  <c r="Q14" s="1"/>
  <c r="R14" s="1"/>
  <c r="CY14"/>
  <c r="H14"/>
  <c r="BI14"/>
  <c r="AH14"/>
  <c r="U14"/>
  <c r="M14"/>
  <c r="AF14"/>
  <c r="CP13"/>
  <c r="B13"/>
  <c r="T13"/>
  <c r="Q13" s="1"/>
  <c r="R13" s="1"/>
  <c r="CY13"/>
  <c r="H13"/>
  <c r="BI13"/>
  <c r="AH13"/>
  <c r="U13"/>
  <c r="M13"/>
  <c r="AF13"/>
  <c r="T12"/>
  <c r="Q12" s="1"/>
  <c r="R12" s="1"/>
  <c r="CY12"/>
  <c r="H12"/>
  <c r="CP12"/>
  <c r="B12"/>
  <c r="BI12"/>
  <c r="AH12"/>
  <c r="U12"/>
  <c r="M12"/>
  <c r="T11"/>
  <c r="Q11" s="1"/>
  <c r="R11" s="1"/>
  <c r="CY11"/>
  <c r="CP11"/>
  <c r="H11" s="1"/>
  <c r="B11"/>
  <c r="BI11"/>
  <c r="AH11"/>
  <c r="U11"/>
  <c r="M11"/>
  <c r="BJ38"/>
  <c r="BR39" s="1"/>
  <c r="T10"/>
  <c r="Q10" s="1"/>
  <c r="R10" s="1"/>
  <c r="CY10"/>
  <c r="CP10"/>
  <c r="H10" s="1"/>
  <c r="B10"/>
  <c r="BI10"/>
  <c r="AH10"/>
  <c r="U10"/>
  <c r="M10"/>
  <c r="BM38"/>
  <c r="CB39" s="1"/>
  <c r="CP9"/>
  <c r="B9"/>
  <c r="T9"/>
  <c r="Q9" s="1"/>
  <c r="R9" s="1"/>
  <c r="CY9"/>
  <c r="H9"/>
  <c r="BI9"/>
  <c r="AH9"/>
  <c r="U9"/>
  <c r="M9"/>
  <c r="AF9"/>
  <c r="J45"/>
  <c r="O38"/>
  <c r="O39" s="1"/>
  <c r="CY38"/>
  <c r="CI38"/>
  <c r="CM39" s="1"/>
  <c r="D37"/>
  <c r="E37"/>
  <c r="Q37"/>
  <c r="R37" s="1"/>
  <c r="CP38"/>
  <c r="H7"/>
  <c r="E7"/>
  <c r="CR38"/>
  <c r="P38"/>
  <c r="P39" s="1"/>
  <c r="AX38"/>
  <c r="AB39" s="1"/>
  <c r="B38"/>
  <c r="B39" s="1"/>
  <c r="D7"/>
  <c r="I38"/>
  <c r="I39" s="1"/>
  <c r="I41" s="1"/>
  <c r="L38"/>
  <c r="L39" s="1"/>
  <c r="N38"/>
  <c r="N39" s="1"/>
  <c r="AZ38"/>
  <c r="AZ39" s="1"/>
  <c r="BE7"/>
  <c r="BE8" s="1"/>
  <c r="BE37" s="1"/>
  <c r="BG7"/>
  <c r="BG8" s="1"/>
  <c r="CQ38"/>
  <c r="CP39" s="1"/>
  <c r="CS38"/>
  <c r="CU38"/>
  <c r="CW38"/>
  <c r="DB7"/>
  <c r="DF7"/>
  <c r="C8"/>
  <c r="D8" s="1"/>
  <c r="E8"/>
  <c r="H8"/>
  <c r="M8"/>
  <c r="Q8"/>
  <c r="R8" s="1"/>
  <c r="U8" s="1"/>
  <c r="AF8"/>
  <c r="BA8"/>
  <c r="BC8" s="1"/>
  <c r="BH8"/>
  <c r="BI8" s="1"/>
  <c r="Q7"/>
  <c r="DB8"/>
  <c r="DE8" s="1"/>
  <c r="U37"/>
  <c r="AH37"/>
  <c r="AW37"/>
  <c r="BA37"/>
  <c r="BC37" s="1"/>
  <c r="BS39"/>
  <c r="BU39"/>
  <c r="BW39"/>
  <c r="BY39"/>
  <c r="CA39"/>
  <c r="CC39"/>
  <c r="CE39"/>
  <c r="DB37"/>
  <c r="DE37" s="1"/>
  <c r="AS39"/>
  <c r="AM39" s="1"/>
  <c r="AS41"/>
  <c r="R8" i="98"/>
  <c r="R9"/>
  <c r="R10"/>
  <c r="R11"/>
  <c r="R12"/>
  <c r="R13"/>
  <c r="R14"/>
  <c r="R15"/>
  <c r="R16"/>
  <c r="R17"/>
  <c r="R18"/>
  <c r="R19"/>
  <c r="R20"/>
  <c r="R21"/>
  <c r="R22"/>
  <c r="R23"/>
  <c r="R26"/>
  <c r="R27"/>
  <c r="R28"/>
  <c r="R29"/>
  <c r="R30"/>
  <c r="R31"/>
  <c r="R32"/>
  <c r="R33"/>
  <c r="R34"/>
  <c r="R35"/>
  <c r="R36"/>
  <c r="R37"/>
  <c r="R7"/>
  <c r="L8"/>
  <c r="L9"/>
  <c r="L10"/>
  <c r="L11"/>
  <c r="L12"/>
  <c r="L13"/>
  <c r="L14"/>
  <c r="L15"/>
  <c r="L16"/>
  <c r="L17"/>
  <c r="L18"/>
  <c r="L19"/>
  <c r="L20"/>
  <c r="L21"/>
  <c r="L22"/>
  <c r="L23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6"/>
  <c r="J27"/>
  <c r="J28"/>
  <c r="J29"/>
  <c r="J30"/>
  <c r="J31"/>
  <c r="J32"/>
  <c r="J33"/>
  <c r="J34"/>
  <c r="J35"/>
  <c r="J36"/>
  <c r="J37"/>
  <c r="J7"/>
  <c r="B8"/>
  <c r="B9"/>
  <c r="C9" s="1"/>
  <c r="D9" s="1"/>
  <c r="B10"/>
  <c r="B11"/>
  <c r="C11" s="1"/>
  <c r="D11" s="1"/>
  <c r="B12"/>
  <c r="B13"/>
  <c r="E13" s="1"/>
  <c r="B14"/>
  <c r="B15"/>
  <c r="E15" s="1"/>
  <c r="B16"/>
  <c r="B17"/>
  <c r="E17" s="1"/>
  <c r="B18"/>
  <c r="B19"/>
  <c r="C19" s="1"/>
  <c r="B20"/>
  <c r="C20" s="1"/>
  <c r="B21"/>
  <c r="E21" s="1"/>
  <c r="B22"/>
  <c r="E22" s="1"/>
  <c r="B23"/>
  <c r="C23" s="1"/>
  <c r="D23" s="1"/>
  <c r="B26"/>
  <c r="E26" s="1"/>
  <c r="B27"/>
  <c r="E27" s="1"/>
  <c r="B28"/>
  <c r="E28" s="1"/>
  <c r="B29"/>
  <c r="E29" s="1"/>
  <c r="B30"/>
  <c r="E30" s="1"/>
  <c r="B31"/>
  <c r="E31" s="1"/>
  <c r="B32"/>
  <c r="E32" s="1"/>
  <c r="B33"/>
  <c r="E33" s="1"/>
  <c r="B34"/>
  <c r="E34" s="1"/>
  <c r="B35"/>
  <c r="E35" s="1"/>
  <c r="B36"/>
  <c r="E36" s="1"/>
  <c r="B37"/>
  <c r="E37" s="1"/>
  <c r="B7"/>
  <c r="AV46"/>
  <c r="AV43"/>
  <c r="AD41"/>
  <c r="BG39"/>
  <c r="AU39"/>
  <c r="AS39"/>
  <c r="AR39"/>
  <c r="AQ39"/>
  <c r="AG39"/>
  <c r="AF39"/>
  <c r="AC39"/>
  <c r="AC41" s="1"/>
  <c r="AB39"/>
  <c r="CM38"/>
  <c r="CQ39" s="1"/>
  <c r="CL38"/>
  <c r="CP39" s="1"/>
  <c r="CK38"/>
  <c r="CO39" s="1"/>
  <c r="CJ38"/>
  <c r="CN39" s="1"/>
  <c r="BT38"/>
  <c r="CI39" s="1"/>
  <c r="BS38"/>
  <c r="CA39" s="1"/>
  <c r="BR38"/>
  <c r="CG39" s="1"/>
  <c r="BQ38"/>
  <c r="BY39" s="1"/>
  <c r="BP38"/>
  <c r="CE39" s="1"/>
  <c r="BO38"/>
  <c r="BW39" s="1"/>
  <c r="BN38"/>
  <c r="CC39" s="1"/>
  <c r="BM38"/>
  <c r="BU39" s="1"/>
  <c r="BI38"/>
  <c r="AY38"/>
  <c r="AY39" s="1"/>
  <c r="AX38"/>
  <c r="AX39" s="1"/>
  <c r="AW38"/>
  <c r="AW39" s="1"/>
  <c r="AV38"/>
  <c r="AN38"/>
  <c r="AN39" s="1"/>
  <c r="AM38"/>
  <c r="AL38"/>
  <c r="AL39" s="1"/>
  <c r="AJ38"/>
  <c r="AJ39" s="1"/>
  <c r="AH38"/>
  <c r="AH39" s="1"/>
  <c r="AG38"/>
  <c r="Z38"/>
  <c r="Z39" s="1"/>
  <c r="Y38"/>
  <c r="Y39" s="1"/>
  <c r="U38"/>
  <c r="U39" s="1"/>
  <c r="K38"/>
  <c r="K39" s="1"/>
  <c r="G38"/>
  <c r="G39" s="1"/>
  <c r="G41" s="1"/>
  <c r="DD37"/>
  <c r="DC37"/>
  <c r="DB37"/>
  <c r="DA37"/>
  <c r="CZ37"/>
  <c r="CY37"/>
  <c r="CX37"/>
  <c r="CW37"/>
  <c r="CV37"/>
  <c r="CU37"/>
  <c r="CT37"/>
  <c r="BI37"/>
  <c r="BC37"/>
  <c r="BA37"/>
  <c r="BK37" s="1"/>
  <c r="AP37"/>
  <c r="AI37"/>
  <c r="V37"/>
  <c r="I37"/>
  <c r="DK37" s="1"/>
  <c r="DD36"/>
  <c r="DC36"/>
  <c r="DB36"/>
  <c r="DA36"/>
  <c r="CZ36"/>
  <c r="CY36"/>
  <c r="CX36"/>
  <c r="CW36"/>
  <c r="CV36"/>
  <c r="CU36"/>
  <c r="CT36"/>
  <c r="BI36"/>
  <c r="BC36"/>
  <c r="BA36"/>
  <c r="BK36" s="1"/>
  <c r="AP36"/>
  <c r="AI36"/>
  <c r="V36"/>
  <c r="I36"/>
  <c r="DK36" s="1"/>
  <c r="DD35"/>
  <c r="DC35"/>
  <c r="DB35"/>
  <c r="DA35"/>
  <c r="CZ35"/>
  <c r="CY35"/>
  <c r="CX35"/>
  <c r="CW35"/>
  <c r="CV35"/>
  <c r="CU35"/>
  <c r="CT35"/>
  <c r="BI35"/>
  <c r="BC35"/>
  <c r="BA35"/>
  <c r="BK35" s="1"/>
  <c r="AP35"/>
  <c r="AI35"/>
  <c r="V35"/>
  <c r="M35"/>
  <c r="I35"/>
  <c r="DK35" s="1"/>
  <c r="H35"/>
  <c r="DD34"/>
  <c r="DC34"/>
  <c r="DB34"/>
  <c r="DA34"/>
  <c r="CZ34"/>
  <c r="CY34"/>
  <c r="CX34"/>
  <c r="CW34"/>
  <c r="CV34"/>
  <c r="CU34"/>
  <c r="CT34"/>
  <c r="BI34"/>
  <c r="BC34"/>
  <c r="BA34"/>
  <c r="AZ34" s="1"/>
  <c r="AP34"/>
  <c r="AI34"/>
  <c r="V34"/>
  <c r="I34"/>
  <c r="DK34" s="1"/>
  <c r="DD33"/>
  <c r="DC33"/>
  <c r="DB33"/>
  <c r="DA33"/>
  <c r="CZ33"/>
  <c r="CY33"/>
  <c r="CX33"/>
  <c r="CW33"/>
  <c r="CV33"/>
  <c r="CU33"/>
  <c r="CT33"/>
  <c r="BI33"/>
  <c r="BC33"/>
  <c r="BA33"/>
  <c r="BK33" s="1"/>
  <c r="AP33"/>
  <c r="AI33"/>
  <c r="V33"/>
  <c r="I33"/>
  <c r="DK33" s="1"/>
  <c r="DD32"/>
  <c r="DC32"/>
  <c r="DB32"/>
  <c r="DA32"/>
  <c r="CZ32"/>
  <c r="CY32"/>
  <c r="CX32"/>
  <c r="CW32"/>
  <c r="CV32"/>
  <c r="CU32"/>
  <c r="CT32"/>
  <c r="BI32"/>
  <c r="BC32"/>
  <c r="BA32"/>
  <c r="AZ32" s="1"/>
  <c r="AP32"/>
  <c r="AI32"/>
  <c r="V32"/>
  <c r="I32"/>
  <c r="DK32" s="1"/>
  <c r="DD31"/>
  <c r="DC31"/>
  <c r="DB31"/>
  <c r="DA31"/>
  <c r="CZ31"/>
  <c r="CY31"/>
  <c r="CX31"/>
  <c r="CW31"/>
  <c r="CV31"/>
  <c r="CU31"/>
  <c r="CT31"/>
  <c r="BI31"/>
  <c r="BC31"/>
  <c r="BA31"/>
  <c r="BK31" s="1"/>
  <c r="AP31"/>
  <c r="AI31"/>
  <c r="V31"/>
  <c r="I31"/>
  <c r="DK31" s="1"/>
  <c r="DD30"/>
  <c r="DC30"/>
  <c r="DB30"/>
  <c r="DA30"/>
  <c r="CZ30"/>
  <c r="CY30"/>
  <c r="CX30"/>
  <c r="CW30"/>
  <c r="CV30"/>
  <c r="CU30"/>
  <c r="CT30"/>
  <c r="BI30"/>
  <c r="BC30"/>
  <c r="BA30"/>
  <c r="AP30"/>
  <c r="AI30"/>
  <c r="V30"/>
  <c r="I30"/>
  <c r="DK30" s="1"/>
  <c r="DD29"/>
  <c r="DC29"/>
  <c r="DB29"/>
  <c r="DA29"/>
  <c r="CZ29"/>
  <c r="CY29"/>
  <c r="CX29"/>
  <c r="CW29"/>
  <c r="CV29"/>
  <c r="CU29"/>
  <c r="CT29"/>
  <c r="BI29"/>
  <c r="BC29"/>
  <c r="BA29"/>
  <c r="BK29" s="1"/>
  <c r="AP29"/>
  <c r="AI29"/>
  <c r="V29"/>
  <c r="I29"/>
  <c r="DK29" s="1"/>
  <c r="DD28"/>
  <c r="DC28"/>
  <c r="DB28"/>
  <c r="DA28"/>
  <c r="CZ28"/>
  <c r="CY28"/>
  <c r="CX28"/>
  <c r="CW28"/>
  <c r="CV28"/>
  <c r="CU28"/>
  <c r="CT28"/>
  <c r="BI28"/>
  <c r="BC28"/>
  <c r="BA28"/>
  <c r="AZ28" s="1"/>
  <c r="AP28"/>
  <c r="AI28"/>
  <c r="V28"/>
  <c r="I28"/>
  <c r="DK28" s="1"/>
  <c r="DD27"/>
  <c r="DC27"/>
  <c r="DB27"/>
  <c r="DA27"/>
  <c r="CZ27"/>
  <c r="CY27"/>
  <c r="CX27"/>
  <c r="CW27"/>
  <c r="CV27"/>
  <c r="CU27"/>
  <c r="CT27"/>
  <c r="BI27"/>
  <c r="BC27"/>
  <c r="BA27"/>
  <c r="BK27" s="1"/>
  <c r="AP27"/>
  <c r="AI27"/>
  <c r="V27"/>
  <c r="I27"/>
  <c r="DK27" s="1"/>
  <c r="DD26"/>
  <c r="DC26"/>
  <c r="DB26"/>
  <c r="DA26"/>
  <c r="CZ26"/>
  <c r="CY26"/>
  <c r="CX26"/>
  <c r="CW26"/>
  <c r="CV26"/>
  <c r="CU26"/>
  <c r="CT26"/>
  <c r="BI26"/>
  <c r="BC26"/>
  <c r="BA26"/>
  <c r="AZ26" s="1"/>
  <c r="AP26"/>
  <c r="AI26"/>
  <c r="V26"/>
  <c r="I26"/>
  <c r="DK26" s="1"/>
  <c r="DD23"/>
  <c r="DC23"/>
  <c r="DB23"/>
  <c r="DA23"/>
  <c r="CZ23"/>
  <c r="CY23"/>
  <c r="CX23"/>
  <c r="CW23"/>
  <c r="CV23"/>
  <c r="CU23"/>
  <c r="CT23"/>
  <c r="BI23"/>
  <c r="BC23"/>
  <c r="BA23"/>
  <c r="BK23" s="1"/>
  <c r="AP23"/>
  <c r="AI23"/>
  <c r="V23"/>
  <c r="M23"/>
  <c r="I23"/>
  <c r="DK23" s="1"/>
  <c r="H23"/>
  <c r="DD22"/>
  <c r="DC22"/>
  <c r="DB22"/>
  <c r="DA22"/>
  <c r="CZ22"/>
  <c r="CY22"/>
  <c r="CX22"/>
  <c r="CW22"/>
  <c r="CV22"/>
  <c r="CU22"/>
  <c r="CT22"/>
  <c r="BI22"/>
  <c r="BC22"/>
  <c r="BA22"/>
  <c r="BK22" s="1"/>
  <c r="AP22"/>
  <c r="AI22"/>
  <c r="V22"/>
  <c r="I22"/>
  <c r="DK22" s="1"/>
  <c r="DD21"/>
  <c r="DC21"/>
  <c r="DB21"/>
  <c r="DA21"/>
  <c r="CZ21"/>
  <c r="CY21"/>
  <c r="CX21"/>
  <c r="CW21"/>
  <c r="CV21"/>
  <c r="CU21"/>
  <c r="CT21"/>
  <c r="BI21"/>
  <c r="BC21"/>
  <c r="BA21"/>
  <c r="M21" s="1"/>
  <c r="AP21"/>
  <c r="AI21"/>
  <c r="V21"/>
  <c r="I21"/>
  <c r="DK21" s="1"/>
  <c r="DD20"/>
  <c r="DC20"/>
  <c r="DB20"/>
  <c r="DA20"/>
  <c r="CZ20"/>
  <c r="CY20"/>
  <c r="CX20"/>
  <c r="CW20"/>
  <c r="CV20"/>
  <c r="CU20"/>
  <c r="CT20"/>
  <c r="BI20"/>
  <c r="BC20"/>
  <c r="BA20"/>
  <c r="M20" s="1"/>
  <c r="AP20"/>
  <c r="AI20"/>
  <c r="V20"/>
  <c r="I20"/>
  <c r="DG20" s="1"/>
  <c r="DJ20" s="1"/>
  <c r="DD19"/>
  <c r="DC19"/>
  <c r="DB19"/>
  <c r="DA19"/>
  <c r="CZ19"/>
  <c r="CY19"/>
  <c r="CX19"/>
  <c r="CW19"/>
  <c r="CV19"/>
  <c r="CU19"/>
  <c r="CT19"/>
  <c r="BI19"/>
  <c r="BC19"/>
  <c r="BA19"/>
  <c r="M19" s="1"/>
  <c r="AP19"/>
  <c r="AI19"/>
  <c r="V19"/>
  <c r="I19"/>
  <c r="DK19" s="1"/>
  <c r="DD18"/>
  <c r="DC18"/>
  <c r="DB18"/>
  <c r="DA18"/>
  <c r="CZ18"/>
  <c r="CY18"/>
  <c r="CX18"/>
  <c r="CW18"/>
  <c r="CV18"/>
  <c r="CU18"/>
  <c r="CT18"/>
  <c r="BI18"/>
  <c r="BC18"/>
  <c r="BA18"/>
  <c r="BK18" s="1"/>
  <c r="AP18"/>
  <c r="AI18"/>
  <c r="V18"/>
  <c r="I18"/>
  <c r="DK18" s="1"/>
  <c r="DD17"/>
  <c r="DC17"/>
  <c r="DB17"/>
  <c r="DA17"/>
  <c r="CZ17"/>
  <c r="CY17"/>
  <c r="CX17"/>
  <c r="CW17"/>
  <c r="CV17"/>
  <c r="CU17"/>
  <c r="CT17"/>
  <c r="BI17"/>
  <c r="BC17"/>
  <c r="BA17"/>
  <c r="BK17" s="1"/>
  <c r="AP17"/>
  <c r="AK17"/>
  <c r="V17"/>
  <c r="I17"/>
  <c r="DK17" s="1"/>
  <c r="DD16"/>
  <c r="DC16"/>
  <c r="DB16"/>
  <c r="DA16"/>
  <c r="CZ16"/>
  <c r="CY16"/>
  <c r="CX16"/>
  <c r="CW16"/>
  <c r="CV16"/>
  <c r="CU16"/>
  <c r="CT16"/>
  <c r="BI16"/>
  <c r="BC16"/>
  <c r="BA16"/>
  <c r="BK16" s="1"/>
  <c r="AP16"/>
  <c r="AK16"/>
  <c r="V16"/>
  <c r="I16"/>
  <c r="DK16" s="1"/>
  <c r="DD15"/>
  <c r="DC15"/>
  <c r="DB15"/>
  <c r="DA15"/>
  <c r="CZ15"/>
  <c r="CY15"/>
  <c r="CX15"/>
  <c r="CW15"/>
  <c r="CV15"/>
  <c r="CU15"/>
  <c r="CT15"/>
  <c r="BI15"/>
  <c r="BC15"/>
  <c r="BA15"/>
  <c r="AI15" s="1"/>
  <c r="AP15"/>
  <c r="AK15"/>
  <c r="V15"/>
  <c r="I15"/>
  <c r="DK15" s="1"/>
  <c r="DD14"/>
  <c r="DC14"/>
  <c r="DB14"/>
  <c r="DA14"/>
  <c r="CZ14"/>
  <c r="CY14"/>
  <c r="CX14"/>
  <c r="CW14"/>
  <c r="CV14"/>
  <c r="CU14"/>
  <c r="CT14"/>
  <c r="BI14"/>
  <c r="BC14"/>
  <c r="BA14"/>
  <c r="BK14" s="1"/>
  <c r="AP14"/>
  <c r="AK14"/>
  <c r="V14"/>
  <c r="I14"/>
  <c r="DK14" s="1"/>
  <c r="DD13"/>
  <c r="DC13"/>
  <c r="DB13"/>
  <c r="DA13"/>
  <c r="CZ13"/>
  <c r="CY13"/>
  <c r="CX13"/>
  <c r="CW13"/>
  <c r="CV13"/>
  <c r="CU13"/>
  <c r="CT13"/>
  <c r="BI13"/>
  <c r="BC13"/>
  <c r="BA13"/>
  <c r="BK13" s="1"/>
  <c r="AP13"/>
  <c r="AK13"/>
  <c r="AI13"/>
  <c r="V13"/>
  <c r="M13"/>
  <c r="I13"/>
  <c r="DK13" s="1"/>
  <c r="DD12"/>
  <c r="DC12"/>
  <c r="DB12"/>
  <c r="DA12"/>
  <c r="CZ12"/>
  <c r="CY12"/>
  <c r="CX12"/>
  <c r="CW12"/>
  <c r="CV12"/>
  <c r="CU12"/>
  <c r="CT12"/>
  <c r="BI12"/>
  <c r="BC12"/>
  <c r="BA12"/>
  <c r="BK12" s="1"/>
  <c r="AP12"/>
  <c r="AK12"/>
  <c r="V12"/>
  <c r="I12"/>
  <c r="DK12" s="1"/>
  <c r="DD11"/>
  <c r="DC11"/>
  <c r="DB11"/>
  <c r="DA11"/>
  <c r="CZ11"/>
  <c r="CY11"/>
  <c r="CX11"/>
  <c r="CW11"/>
  <c r="CV11"/>
  <c r="CU11"/>
  <c r="CT11"/>
  <c r="BI11"/>
  <c r="BC11"/>
  <c r="BA11"/>
  <c r="AI11" s="1"/>
  <c r="AP11"/>
  <c r="AK11"/>
  <c r="V11"/>
  <c r="I11"/>
  <c r="DK11" s="1"/>
  <c r="DD10"/>
  <c r="DC10"/>
  <c r="DB10"/>
  <c r="DA10"/>
  <c r="CZ10"/>
  <c r="CY10"/>
  <c r="CX10"/>
  <c r="CW10"/>
  <c r="CV10"/>
  <c r="CU10"/>
  <c r="CT10"/>
  <c r="BI10"/>
  <c r="BC10"/>
  <c r="BA10"/>
  <c r="BK10" s="1"/>
  <c r="AP10"/>
  <c r="AK10"/>
  <c r="V10"/>
  <c r="I10"/>
  <c r="DK10" s="1"/>
  <c r="DD9"/>
  <c r="DC9"/>
  <c r="DB9"/>
  <c r="DA9"/>
  <c r="CZ9"/>
  <c r="CY9"/>
  <c r="CX9"/>
  <c r="CW9"/>
  <c r="CV9"/>
  <c r="CU9"/>
  <c r="CT9"/>
  <c r="BI9"/>
  <c r="BC9"/>
  <c r="BA9"/>
  <c r="BK9" s="1"/>
  <c r="AP9"/>
  <c r="AK9"/>
  <c r="V9"/>
  <c r="I9"/>
  <c r="DK9" s="1"/>
  <c r="H9"/>
  <c r="DD8"/>
  <c r="DC8"/>
  <c r="DB8"/>
  <c r="DA8"/>
  <c r="CZ8"/>
  <c r="CY8"/>
  <c r="CX8"/>
  <c r="CW8"/>
  <c r="CV8"/>
  <c r="CU8"/>
  <c r="CT8"/>
  <c r="BI8"/>
  <c r="BC8"/>
  <c r="BA8"/>
  <c r="BK8" s="1"/>
  <c r="AP8"/>
  <c r="AK8"/>
  <c r="V8"/>
  <c r="I8"/>
  <c r="DK8" s="1"/>
  <c r="DD7"/>
  <c r="DD38" s="1"/>
  <c r="DC7"/>
  <c r="DB7"/>
  <c r="DA7"/>
  <c r="CZ7"/>
  <c r="CZ38" s="1"/>
  <c r="CY7"/>
  <c r="CX7"/>
  <c r="CW7"/>
  <c r="CV7"/>
  <c r="CV38" s="1"/>
  <c r="CU7"/>
  <c r="CT7"/>
  <c r="CT38" s="1"/>
  <c r="BI7"/>
  <c r="BC7"/>
  <c r="V7"/>
  <c r="I7"/>
  <c r="AM33" i="96"/>
  <c r="I37" i="97"/>
  <c r="DB37" s="1"/>
  <c r="DE37" s="1"/>
  <c r="J37"/>
  <c r="N37"/>
  <c r="O37"/>
  <c r="AM37"/>
  <c r="AX37"/>
  <c r="BH37" s="1"/>
  <c r="BI37" s="1"/>
  <c r="AZ37"/>
  <c r="BE37"/>
  <c r="BF37"/>
  <c r="BG37"/>
  <c r="CQ37"/>
  <c r="CR37"/>
  <c r="CS37"/>
  <c r="CT37"/>
  <c r="CU37"/>
  <c r="CV37"/>
  <c r="CW37"/>
  <c r="CX37"/>
  <c r="CZ37"/>
  <c r="DK37"/>
  <c r="BJ37" s="1"/>
  <c r="DM37"/>
  <c r="CI37" s="1"/>
  <c r="I36"/>
  <c r="DB36" s="1"/>
  <c r="DE36" s="1"/>
  <c r="J36"/>
  <c r="N36"/>
  <c r="O36"/>
  <c r="AM36"/>
  <c r="AX36"/>
  <c r="AZ36"/>
  <c r="BE36"/>
  <c r="BF36"/>
  <c r="BG36"/>
  <c r="BH36"/>
  <c r="BI36"/>
  <c r="CQ36"/>
  <c r="CR36"/>
  <c r="CS36"/>
  <c r="CT36"/>
  <c r="CU36"/>
  <c r="CV36"/>
  <c r="CW36"/>
  <c r="CX36"/>
  <c r="CZ36"/>
  <c r="DK36"/>
  <c r="BJ36" s="1"/>
  <c r="DM36"/>
  <c r="CI36" s="1"/>
  <c r="I35"/>
  <c r="DB35" s="1"/>
  <c r="DE35" s="1"/>
  <c r="J35"/>
  <c r="N35"/>
  <c r="O35"/>
  <c r="AM35"/>
  <c r="AX35"/>
  <c r="AZ35"/>
  <c r="BE35"/>
  <c r="BF35"/>
  <c r="BG35"/>
  <c r="BH35"/>
  <c r="BI35"/>
  <c r="CQ35"/>
  <c r="CR35"/>
  <c r="CS35"/>
  <c r="CT35"/>
  <c r="CU35"/>
  <c r="CV35"/>
  <c r="CW35"/>
  <c r="CX35"/>
  <c r="CZ35"/>
  <c r="DK35"/>
  <c r="BJ35" s="1"/>
  <c r="DM35"/>
  <c r="CI35" s="1"/>
  <c r="I34"/>
  <c r="DB34" s="1"/>
  <c r="DE34" s="1"/>
  <c r="J34"/>
  <c r="N34"/>
  <c r="O34"/>
  <c r="AM34"/>
  <c r="AX34"/>
  <c r="AZ34"/>
  <c r="BE34"/>
  <c r="BF34"/>
  <c r="BG34"/>
  <c r="BH34"/>
  <c r="BI34"/>
  <c r="CQ34"/>
  <c r="CR34"/>
  <c r="CS34"/>
  <c r="CT34"/>
  <c r="CU34"/>
  <c r="CV34"/>
  <c r="CW34"/>
  <c r="CX34"/>
  <c r="CZ34"/>
  <c r="DK34"/>
  <c r="BJ34" s="1"/>
  <c r="DM34"/>
  <c r="CI34" s="1"/>
  <c r="I33"/>
  <c r="DB33" s="1"/>
  <c r="DE33" s="1"/>
  <c r="J33"/>
  <c r="N33"/>
  <c r="O33"/>
  <c r="AM33"/>
  <c r="AX33"/>
  <c r="AZ33"/>
  <c r="BE33"/>
  <c r="BF33"/>
  <c r="BG33" s="1"/>
  <c r="BH33"/>
  <c r="BI33" s="1"/>
  <c r="CQ33"/>
  <c r="CR33"/>
  <c r="CS33"/>
  <c r="CT33"/>
  <c r="CU33"/>
  <c r="CV33"/>
  <c r="CW33"/>
  <c r="CX33"/>
  <c r="CZ33"/>
  <c r="DK33"/>
  <c r="BJ33" s="1"/>
  <c r="DM33"/>
  <c r="CI33" s="1"/>
  <c r="I32"/>
  <c r="DB32" s="1"/>
  <c r="DE32" s="1"/>
  <c r="J32"/>
  <c r="N32"/>
  <c r="O32"/>
  <c r="AM32"/>
  <c r="AX32"/>
  <c r="AZ32"/>
  <c r="BE32"/>
  <c r="BF32"/>
  <c r="BG32"/>
  <c r="BH32"/>
  <c r="BI32"/>
  <c r="CQ32"/>
  <c r="CR32"/>
  <c r="CS32"/>
  <c r="CT32"/>
  <c r="CU32"/>
  <c r="CV32"/>
  <c r="CW32"/>
  <c r="CX32"/>
  <c r="CZ32"/>
  <c r="DK32"/>
  <c r="BJ32" s="1"/>
  <c r="DM32"/>
  <c r="CI32" s="1"/>
  <c r="I31"/>
  <c r="DB31" s="1"/>
  <c r="DE31" s="1"/>
  <c r="J31"/>
  <c r="N31"/>
  <c r="O31"/>
  <c r="AM31"/>
  <c r="AX31"/>
  <c r="AZ31"/>
  <c r="BE31"/>
  <c r="BF31"/>
  <c r="BG31" s="1"/>
  <c r="BH31"/>
  <c r="BI31" s="1"/>
  <c r="CQ31"/>
  <c r="CR31"/>
  <c r="CS31"/>
  <c r="CT31"/>
  <c r="CU31"/>
  <c r="CV31"/>
  <c r="CW31"/>
  <c r="CX31"/>
  <c r="CZ31"/>
  <c r="DK31"/>
  <c r="BJ31" s="1"/>
  <c r="DM31"/>
  <c r="CI31" s="1"/>
  <c r="I30"/>
  <c r="DB30" s="1"/>
  <c r="DE30" s="1"/>
  <c r="J30"/>
  <c r="N30"/>
  <c r="O30"/>
  <c r="AM30"/>
  <c r="AX30"/>
  <c r="AZ30"/>
  <c r="BE30"/>
  <c r="BF30"/>
  <c r="BG30"/>
  <c r="BH30"/>
  <c r="BI30"/>
  <c r="CQ30"/>
  <c r="CR30"/>
  <c r="CS30"/>
  <c r="CT30"/>
  <c r="CU30"/>
  <c r="CV30"/>
  <c r="CW30"/>
  <c r="CX30"/>
  <c r="CZ30"/>
  <c r="DK30"/>
  <c r="BJ30" s="1"/>
  <c r="DM30"/>
  <c r="CI30" s="1"/>
  <c r="I29"/>
  <c r="DB29" s="1"/>
  <c r="DE29" s="1"/>
  <c r="J29"/>
  <c r="N29"/>
  <c r="O29"/>
  <c r="AM29"/>
  <c r="AX29"/>
  <c r="AZ29"/>
  <c r="BE29"/>
  <c r="BF29"/>
  <c r="BG29"/>
  <c r="BH29"/>
  <c r="BI29"/>
  <c r="CQ29"/>
  <c r="CR29"/>
  <c r="CS29"/>
  <c r="CT29"/>
  <c r="CU29"/>
  <c r="CV29"/>
  <c r="CW29"/>
  <c r="CX29"/>
  <c r="CZ29"/>
  <c r="DK29"/>
  <c r="BJ29" s="1"/>
  <c r="DM29"/>
  <c r="CI29" s="1"/>
  <c r="I28"/>
  <c r="DB28" s="1"/>
  <c r="DE28" s="1"/>
  <c r="J28"/>
  <c r="N28"/>
  <c r="O28"/>
  <c r="AM28"/>
  <c r="AX28"/>
  <c r="AZ28"/>
  <c r="BE28"/>
  <c r="BF28"/>
  <c r="BG28" s="1"/>
  <c r="BH28"/>
  <c r="CQ28"/>
  <c r="CR28"/>
  <c r="CS28"/>
  <c r="CT28"/>
  <c r="CU28"/>
  <c r="CV28"/>
  <c r="CW28"/>
  <c r="CX28"/>
  <c r="CZ28"/>
  <c r="DK28"/>
  <c r="BJ28" s="1"/>
  <c r="DM28"/>
  <c r="CI28" s="1"/>
  <c r="I27"/>
  <c r="DB27" s="1"/>
  <c r="DE27" s="1"/>
  <c r="J27"/>
  <c r="N27"/>
  <c r="O27"/>
  <c r="AM27"/>
  <c r="AX27"/>
  <c r="AZ27"/>
  <c r="BE27"/>
  <c r="BF27"/>
  <c r="BG27"/>
  <c r="BH27"/>
  <c r="BI27"/>
  <c r="CQ27"/>
  <c r="CR27"/>
  <c r="CS27"/>
  <c r="CT27"/>
  <c r="CU27"/>
  <c r="CV27"/>
  <c r="CW27"/>
  <c r="CX27"/>
  <c r="CZ27"/>
  <c r="DK27"/>
  <c r="BJ27" s="1"/>
  <c r="DM27"/>
  <c r="CI27" s="1"/>
  <c r="I26"/>
  <c r="DB26" s="1"/>
  <c r="DE26" s="1"/>
  <c r="J26"/>
  <c r="N26"/>
  <c r="O26"/>
  <c r="AM26"/>
  <c r="AX26"/>
  <c r="AZ26"/>
  <c r="BE26"/>
  <c r="BF26"/>
  <c r="BG26" s="1"/>
  <c r="BH26"/>
  <c r="CQ26"/>
  <c r="CR26"/>
  <c r="CS26"/>
  <c r="CT26"/>
  <c r="CU26"/>
  <c r="CV26"/>
  <c r="CW26"/>
  <c r="CX26"/>
  <c r="CZ26"/>
  <c r="DK26"/>
  <c r="BJ26" s="1"/>
  <c r="DM26"/>
  <c r="CI26" s="1"/>
  <c r="I25"/>
  <c r="DB25" s="1"/>
  <c r="DE25" s="1"/>
  <c r="J25"/>
  <c r="N25"/>
  <c r="O25"/>
  <c r="AM25"/>
  <c r="AX25"/>
  <c r="AZ25"/>
  <c r="BE25"/>
  <c r="BF25"/>
  <c r="BG25"/>
  <c r="BH25"/>
  <c r="BI25"/>
  <c r="CQ25"/>
  <c r="CR25"/>
  <c r="CS25"/>
  <c r="CT25"/>
  <c r="CU25"/>
  <c r="CV25"/>
  <c r="CW25"/>
  <c r="CX25"/>
  <c r="CZ25"/>
  <c r="DK25"/>
  <c r="BJ25" s="1"/>
  <c r="DM25"/>
  <c r="CI25" s="1"/>
  <c r="I24"/>
  <c r="DB24" s="1"/>
  <c r="DE24" s="1"/>
  <c r="J24"/>
  <c r="N24"/>
  <c r="O24"/>
  <c r="AM24"/>
  <c r="AX24"/>
  <c r="AZ24"/>
  <c r="BC24"/>
  <c r="BF24"/>
  <c r="BG24" s="1"/>
  <c r="BH24"/>
  <c r="CQ24"/>
  <c r="CR24"/>
  <c r="CS24"/>
  <c r="CT24"/>
  <c r="CU24"/>
  <c r="CV24"/>
  <c r="CW24"/>
  <c r="CX24"/>
  <c r="CZ24"/>
  <c r="DK24"/>
  <c r="BJ24" s="1"/>
  <c r="DM24"/>
  <c r="CI24" s="1"/>
  <c r="I23"/>
  <c r="DB23" s="1"/>
  <c r="DE23" s="1"/>
  <c r="J23"/>
  <c r="N23"/>
  <c r="O23"/>
  <c r="AM23"/>
  <c r="AX23"/>
  <c r="AZ23"/>
  <c r="BE23"/>
  <c r="BF23"/>
  <c r="BG23"/>
  <c r="BH23"/>
  <c r="BI23"/>
  <c r="CQ23"/>
  <c r="CR23"/>
  <c r="CS23"/>
  <c r="CT23"/>
  <c r="CU23"/>
  <c r="CV23"/>
  <c r="CW23"/>
  <c r="CX23"/>
  <c r="CZ23"/>
  <c r="DK23"/>
  <c r="BJ23" s="1"/>
  <c r="DM23"/>
  <c r="CI23" s="1"/>
  <c r="I22"/>
  <c r="DB22" s="1"/>
  <c r="DE22" s="1"/>
  <c r="J22"/>
  <c r="N22"/>
  <c r="O22"/>
  <c r="AM22"/>
  <c r="AX22"/>
  <c r="AZ22"/>
  <c r="BE22"/>
  <c r="BF22"/>
  <c r="BG22" s="1"/>
  <c r="BH22"/>
  <c r="CQ22"/>
  <c r="CR22"/>
  <c r="CS22"/>
  <c r="CT22"/>
  <c r="CU22"/>
  <c r="CV22"/>
  <c r="CW22"/>
  <c r="CX22"/>
  <c r="CZ22"/>
  <c r="DK22"/>
  <c r="BJ22" s="1"/>
  <c r="DM22"/>
  <c r="CI22" s="1"/>
  <c r="I21"/>
  <c r="DB21" s="1"/>
  <c r="DE21" s="1"/>
  <c r="J21"/>
  <c r="N21"/>
  <c r="O21"/>
  <c r="AM21"/>
  <c r="AX21"/>
  <c r="AZ21"/>
  <c r="BE21"/>
  <c r="BF21"/>
  <c r="BG21" s="1"/>
  <c r="BH21"/>
  <c r="CQ21"/>
  <c r="CR21"/>
  <c r="CS21"/>
  <c r="CT21"/>
  <c r="CU21"/>
  <c r="CV21"/>
  <c r="CW21"/>
  <c r="CX21"/>
  <c r="CZ21"/>
  <c r="DK21"/>
  <c r="BJ21" s="1"/>
  <c r="DM21"/>
  <c r="CI21" s="1"/>
  <c r="I20"/>
  <c r="DB20" s="1"/>
  <c r="DE20" s="1"/>
  <c r="J20"/>
  <c r="N20"/>
  <c r="O20"/>
  <c r="AM20"/>
  <c r="AX20"/>
  <c r="AZ20"/>
  <c r="BE20"/>
  <c r="BF20"/>
  <c r="BG20"/>
  <c r="BH20"/>
  <c r="BI20"/>
  <c r="CQ20"/>
  <c r="CR20"/>
  <c r="CS20"/>
  <c r="CT20"/>
  <c r="CU20"/>
  <c r="CV20"/>
  <c r="CW20"/>
  <c r="CX20"/>
  <c r="CZ20"/>
  <c r="DK20"/>
  <c r="BJ20" s="1"/>
  <c r="DM20"/>
  <c r="CI20" s="1"/>
  <c r="I19"/>
  <c r="DF19" s="1"/>
  <c r="J19"/>
  <c r="N19"/>
  <c r="O19"/>
  <c r="AM19"/>
  <c r="AX19"/>
  <c r="AZ19"/>
  <c r="BE19"/>
  <c r="BF19"/>
  <c r="BG19" s="1"/>
  <c r="BH19"/>
  <c r="BI19"/>
  <c r="CQ19"/>
  <c r="CR19"/>
  <c r="CS19"/>
  <c r="CT19"/>
  <c r="CU19"/>
  <c r="CV19"/>
  <c r="CW19"/>
  <c r="CX19"/>
  <c r="CZ19"/>
  <c r="DB19"/>
  <c r="DE19" s="1"/>
  <c r="DK19"/>
  <c r="BJ19" s="1"/>
  <c r="DM19"/>
  <c r="CI19" s="1"/>
  <c r="I18"/>
  <c r="DB18" s="1"/>
  <c r="DE18" s="1"/>
  <c r="J18"/>
  <c r="N18"/>
  <c r="O18"/>
  <c r="AM18"/>
  <c r="AX18"/>
  <c r="AZ18"/>
  <c r="BE18"/>
  <c r="BF18"/>
  <c r="BG18"/>
  <c r="BH18"/>
  <c r="BI18"/>
  <c r="CQ18"/>
  <c r="CR18"/>
  <c r="CS18"/>
  <c r="CT18"/>
  <c r="CU18"/>
  <c r="CV18"/>
  <c r="CW18"/>
  <c r="CX18"/>
  <c r="CZ18"/>
  <c r="DK18"/>
  <c r="BJ18" s="1"/>
  <c r="DM18"/>
  <c r="CI18" s="1"/>
  <c r="I17"/>
  <c r="DF17" s="1"/>
  <c r="J17"/>
  <c r="N17"/>
  <c r="O17"/>
  <c r="AF17"/>
  <c r="AM17"/>
  <c r="AX17"/>
  <c r="AZ17"/>
  <c r="BA17"/>
  <c r="BC17"/>
  <c r="BE17"/>
  <c r="BF17"/>
  <c r="BG17" s="1"/>
  <c r="BH17"/>
  <c r="CQ17"/>
  <c r="CR17"/>
  <c r="CS17"/>
  <c r="CT17"/>
  <c r="CU17"/>
  <c r="CV17"/>
  <c r="CW17"/>
  <c r="CX17"/>
  <c r="CZ17"/>
  <c r="DB17"/>
  <c r="DE17" s="1"/>
  <c r="DK17"/>
  <c r="BJ17" s="1"/>
  <c r="DM17"/>
  <c r="CI17" s="1"/>
  <c r="I16"/>
  <c r="DF16" s="1"/>
  <c r="J16"/>
  <c r="N16"/>
  <c r="O16"/>
  <c r="AF16"/>
  <c r="AM16"/>
  <c r="AX16"/>
  <c r="AZ16"/>
  <c r="BA16"/>
  <c r="BC16"/>
  <c r="BE16"/>
  <c r="BF16"/>
  <c r="BG16" s="1"/>
  <c r="BH16"/>
  <c r="CQ16"/>
  <c r="CR16"/>
  <c r="CS16"/>
  <c r="CT16"/>
  <c r="CU16"/>
  <c r="CV16"/>
  <c r="CW16"/>
  <c r="CX16"/>
  <c r="CZ16"/>
  <c r="DB16"/>
  <c r="DE16" s="1"/>
  <c r="DK16"/>
  <c r="BJ16" s="1"/>
  <c r="DM16"/>
  <c r="CI16" s="1"/>
  <c r="I15"/>
  <c r="DF15" s="1"/>
  <c r="J15"/>
  <c r="N15"/>
  <c r="O15"/>
  <c r="AF15"/>
  <c r="AM15"/>
  <c r="AX15"/>
  <c r="AZ15"/>
  <c r="BA15"/>
  <c r="BC15"/>
  <c r="BE15"/>
  <c r="BF15"/>
  <c r="BG15" s="1"/>
  <c r="BH15"/>
  <c r="CQ15"/>
  <c r="CR15"/>
  <c r="CS15"/>
  <c r="CT15"/>
  <c r="CU15"/>
  <c r="CV15"/>
  <c r="CW15"/>
  <c r="CX15"/>
  <c r="CZ15"/>
  <c r="DB15"/>
  <c r="DE15" s="1"/>
  <c r="DK15"/>
  <c r="BJ15" s="1"/>
  <c r="DM15"/>
  <c r="CI15" s="1"/>
  <c r="I14"/>
  <c r="DB14" s="1"/>
  <c r="DE14" s="1"/>
  <c r="J14"/>
  <c r="N14"/>
  <c r="O14"/>
  <c r="AM14"/>
  <c r="AX14"/>
  <c r="AZ14"/>
  <c r="BA14"/>
  <c r="BC14"/>
  <c r="BE14"/>
  <c r="BF14"/>
  <c r="BG14" s="1"/>
  <c r="BH14"/>
  <c r="CQ14"/>
  <c r="CR14"/>
  <c r="CS14"/>
  <c r="CT14"/>
  <c r="CU14"/>
  <c r="CV14"/>
  <c r="CW14"/>
  <c r="CX14"/>
  <c r="CZ14"/>
  <c r="DK14"/>
  <c r="BJ14" s="1"/>
  <c r="DM14"/>
  <c r="CI14" s="1"/>
  <c r="I13"/>
  <c r="DB13" s="1"/>
  <c r="DE13" s="1"/>
  <c r="J13"/>
  <c r="N13"/>
  <c r="O13"/>
  <c r="AM13"/>
  <c r="AX13"/>
  <c r="AZ13"/>
  <c r="BA13"/>
  <c r="BC13"/>
  <c r="BE13"/>
  <c r="BF13"/>
  <c r="BG13" s="1"/>
  <c r="BH13"/>
  <c r="CQ13"/>
  <c r="CR13"/>
  <c r="CS13"/>
  <c r="CT13"/>
  <c r="CU13"/>
  <c r="CV13"/>
  <c r="CW13"/>
  <c r="CX13"/>
  <c r="CZ13"/>
  <c r="DK13"/>
  <c r="BJ13" s="1"/>
  <c r="DM13"/>
  <c r="CI13" s="1"/>
  <c r="I12"/>
  <c r="DF12" s="1"/>
  <c r="J12"/>
  <c r="N12"/>
  <c r="O12"/>
  <c r="AF12"/>
  <c r="AM12"/>
  <c r="AX12"/>
  <c r="AZ12"/>
  <c r="BA12"/>
  <c r="BC12"/>
  <c r="BE12"/>
  <c r="BF12"/>
  <c r="BG12" s="1"/>
  <c r="BH12"/>
  <c r="CQ12"/>
  <c r="CR12"/>
  <c r="CS12"/>
  <c r="CT12"/>
  <c r="CU12"/>
  <c r="CV12"/>
  <c r="CW12"/>
  <c r="CX12"/>
  <c r="CZ12"/>
  <c r="DB12"/>
  <c r="DE12" s="1"/>
  <c r="DK12"/>
  <c r="BJ12" s="1"/>
  <c r="DM12"/>
  <c r="CI12" s="1"/>
  <c r="I11"/>
  <c r="DF11" s="1"/>
  <c r="J11"/>
  <c r="N11"/>
  <c r="O11"/>
  <c r="AF11"/>
  <c r="AM11"/>
  <c r="AX11"/>
  <c r="AZ11"/>
  <c r="BA11"/>
  <c r="BC11"/>
  <c r="BE11"/>
  <c r="BF11"/>
  <c r="BG11" s="1"/>
  <c r="BH11"/>
  <c r="CQ11"/>
  <c r="CR11"/>
  <c r="CS11"/>
  <c r="CT11"/>
  <c r="CU11"/>
  <c r="CV11"/>
  <c r="CW11"/>
  <c r="CX11"/>
  <c r="CZ11"/>
  <c r="DB11"/>
  <c r="DE11" s="1"/>
  <c r="DK11"/>
  <c r="BJ11" s="1"/>
  <c r="DM11"/>
  <c r="CI11" s="1"/>
  <c r="I10"/>
  <c r="DF10" s="1"/>
  <c r="J10"/>
  <c r="N10"/>
  <c r="O10"/>
  <c r="AF10"/>
  <c r="AM10"/>
  <c r="AX10"/>
  <c r="AZ10"/>
  <c r="BA10"/>
  <c r="BC10"/>
  <c r="BE10"/>
  <c r="BF10"/>
  <c r="BG10" s="1"/>
  <c r="BH10"/>
  <c r="CQ10"/>
  <c r="CR10"/>
  <c r="CS10"/>
  <c r="CT10"/>
  <c r="CU10"/>
  <c r="CV10"/>
  <c r="CW10"/>
  <c r="CX10"/>
  <c r="CZ10"/>
  <c r="DB10"/>
  <c r="DE10" s="1"/>
  <c r="DK10"/>
  <c r="BJ10" s="1"/>
  <c r="DM10"/>
  <c r="CI10" s="1"/>
  <c r="I9"/>
  <c r="DF9" s="1"/>
  <c r="J9"/>
  <c r="N9"/>
  <c r="O9"/>
  <c r="AF9"/>
  <c r="AM9"/>
  <c r="AX9"/>
  <c r="AZ9"/>
  <c r="BA9"/>
  <c r="BC9"/>
  <c r="BE9"/>
  <c r="BF9"/>
  <c r="BG9" s="1"/>
  <c r="BH9"/>
  <c r="CQ9"/>
  <c r="CR9"/>
  <c r="CS9"/>
  <c r="CT9"/>
  <c r="CU9"/>
  <c r="CV9"/>
  <c r="CW9"/>
  <c r="CX9"/>
  <c r="CZ9"/>
  <c r="DB9"/>
  <c r="DE9" s="1"/>
  <c r="DK9"/>
  <c r="BJ9" s="1"/>
  <c r="DM9"/>
  <c r="CI9" s="1"/>
  <c r="CI8"/>
  <c r="CI7"/>
  <c r="DM8"/>
  <c r="DM7"/>
  <c r="DK8"/>
  <c r="DK7"/>
  <c r="Q39" i="100" l="1"/>
  <c r="C7" i="98"/>
  <c r="D7" s="1"/>
  <c r="H13"/>
  <c r="AK33"/>
  <c r="AZ33"/>
  <c r="M33"/>
  <c r="S31"/>
  <c r="T31" s="1"/>
  <c r="S27"/>
  <c r="S19"/>
  <c r="T19" s="1"/>
  <c r="S17"/>
  <c r="T17" s="1"/>
  <c r="S15"/>
  <c r="T15" s="1"/>
  <c r="S13"/>
  <c r="T13" s="1"/>
  <c r="S11"/>
  <c r="T11" s="1"/>
  <c r="S9"/>
  <c r="T9" s="1"/>
  <c r="BI24"/>
  <c r="BI25"/>
  <c r="S28"/>
  <c r="T28" s="1"/>
  <c r="S26"/>
  <c r="T26" s="1"/>
  <c r="C37"/>
  <c r="D37" s="1"/>
  <c r="H37"/>
  <c r="S37"/>
  <c r="T37" s="1"/>
  <c r="S36"/>
  <c r="T36" s="1"/>
  <c r="S35"/>
  <c r="T35" s="1"/>
  <c r="S34"/>
  <c r="T34" s="1"/>
  <c r="S33"/>
  <c r="T33" s="1"/>
  <c r="S32"/>
  <c r="T32" s="1"/>
  <c r="AK31"/>
  <c r="AZ31"/>
  <c r="M31"/>
  <c r="H31"/>
  <c r="AZ30"/>
  <c r="S30"/>
  <c r="T30" s="1"/>
  <c r="S29"/>
  <c r="T29" s="1"/>
  <c r="AK29"/>
  <c r="AZ29"/>
  <c r="M29"/>
  <c r="H29"/>
  <c r="AK27"/>
  <c r="AZ27"/>
  <c r="M27"/>
  <c r="H27"/>
  <c r="W7" i="100"/>
  <c r="S23" i="98"/>
  <c r="T23" s="1"/>
  <c r="S22"/>
  <c r="T22" s="1"/>
  <c r="H21"/>
  <c r="BB38" i="100"/>
  <c r="BK38"/>
  <c r="BL7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L24" s="1"/>
  <c r="BL25" s="1"/>
  <c r="BL26" s="1"/>
  <c r="BL27" s="1"/>
  <c r="BL28" s="1"/>
  <c r="BL29" s="1"/>
  <c r="BL30" s="1"/>
  <c r="BL31" s="1"/>
  <c r="BL32" s="1"/>
  <c r="BL33" s="1"/>
  <c r="BL34" s="1"/>
  <c r="BL35" s="1"/>
  <c r="BL36" s="1"/>
  <c r="BL37" s="1"/>
  <c r="DI38"/>
  <c r="BD38"/>
  <c r="BD39" s="1"/>
  <c r="BF7"/>
  <c r="BF38" s="1"/>
  <c r="BF39" s="1"/>
  <c r="M39"/>
  <c r="BE39"/>
  <c r="BA39"/>
  <c r="AZ39" s="1"/>
  <c r="AK39"/>
  <c r="AI39"/>
  <c r="W39"/>
  <c r="W41" s="1"/>
  <c r="H39"/>
  <c r="F39"/>
  <c r="F41" s="1"/>
  <c r="BB48"/>
  <c r="BB51" s="1"/>
  <c r="AA39"/>
  <c r="H19" i="98"/>
  <c r="V38"/>
  <c r="V39" s="1"/>
  <c r="CX38"/>
  <c r="H22"/>
  <c r="M22"/>
  <c r="AK35"/>
  <c r="AZ35"/>
  <c r="H36"/>
  <c r="M36"/>
  <c r="AK36"/>
  <c r="AZ36"/>
  <c r="BD36"/>
  <c r="BF36" s="1"/>
  <c r="M37"/>
  <c r="DB38"/>
  <c r="E9"/>
  <c r="BE9" s="1"/>
  <c r="E11"/>
  <c r="BB11" s="1"/>
  <c r="DF38" i="99"/>
  <c r="BB37"/>
  <c r="C36"/>
  <c r="E36"/>
  <c r="D36"/>
  <c r="C35"/>
  <c r="E35"/>
  <c r="D35"/>
  <c r="C34"/>
  <c r="E34"/>
  <c r="D34"/>
  <c r="C33"/>
  <c r="E33"/>
  <c r="D33"/>
  <c r="C32"/>
  <c r="E32"/>
  <c r="D32"/>
  <c r="C31"/>
  <c r="E31"/>
  <c r="D31"/>
  <c r="C30"/>
  <c r="E30"/>
  <c r="D30"/>
  <c r="C29"/>
  <c r="E29"/>
  <c r="D29"/>
  <c r="C28"/>
  <c r="E28"/>
  <c r="D28"/>
  <c r="C27"/>
  <c r="E27"/>
  <c r="D27"/>
  <c r="BI37"/>
  <c r="AY48" s="1"/>
  <c r="AY51" s="1"/>
  <c r="C26"/>
  <c r="E26"/>
  <c r="D26"/>
  <c r="C25"/>
  <c r="E25"/>
  <c r="D25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BG37"/>
  <c r="C9"/>
  <c r="E9"/>
  <c r="D9"/>
  <c r="CR39"/>
  <c r="CP40" s="1"/>
  <c r="Q39"/>
  <c r="Q41" s="1"/>
  <c r="T38"/>
  <c r="T39" s="1"/>
  <c r="C15" i="98"/>
  <c r="D15" s="1"/>
  <c r="C21"/>
  <c r="D21" s="1"/>
  <c r="E39" i="99"/>
  <c r="C39"/>
  <c r="BB8"/>
  <c r="AY8"/>
  <c r="F8"/>
  <c r="BC38"/>
  <c r="BC39" s="1"/>
  <c r="DB38"/>
  <c r="DC38" s="1"/>
  <c r="DE7"/>
  <c r="DE38" s="1"/>
  <c r="BA38"/>
  <c r="BA39" s="1"/>
  <c r="CW39"/>
  <c r="BH38"/>
  <c r="BB7"/>
  <c r="F7"/>
  <c r="AY7"/>
  <c r="M39"/>
  <c r="AX39"/>
  <c r="AW39" s="1"/>
  <c r="AH39"/>
  <c r="AF39"/>
  <c r="H39"/>
  <c r="R7"/>
  <c r="X39"/>
  <c r="C13" i="98"/>
  <c r="D13" s="1"/>
  <c r="E23"/>
  <c r="BE23" s="1"/>
  <c r="E7"/>
  <c r="E20"/>
  <c r="C22"/>
  <c r="D22" s="1"/>
  <c r="C17"/>
  <c r="D17" s="1"/>
  <c r="E19"/>
  <c r="S21"/>
  <c r="T21" s="1"/>
  <c r="O38"/>
  <c r="S20"/>
  <c r="T20" s="1"/>
  <c r="J45"/>
  <c r="S7"/>
  <c r="T7" s="1"/>
  <c r="DG22"/>
  <c r="DJ22" s="1"/>
  <c r="DG19"/>
  <c r="DJ19" s="1"/>
  <c r="DG23"/>
  <c r="DJ23" s="1"/>
  <c r="DK20"/>
  <c r="DG21"/>
  <c r="DJ21" s="1"/>
  <c r="H33"/>
  <c r="M9"/>
  <c r="AI9"/>
  <c r="H17"/>
  <c r="M17"/>
  <c r="AI17"/>
  <c r="BD11"/>
  <c r="BK11"/>
  <c r="BD15"/>
  <c r="BK15"/>
  <c r="BD18"/>
  <c r="BF18" s="1"/>
  <c r="BD26"/>
  <c r="BF26" s="1"/>
  <c r="BK26"/>
  <c r="BD28"/>
  <c r="BF28" s="1"/>
  <c r="BK28"/>
  <c r="BD30"/>
  <c r="BF30" s="1"/>
  <c r="BK30"/>
  <c r="BD32"/>
  <c r="BF32" s="1"/>
  <c r="BK32"/>
  <c r="BD34"/>
  <c r="BF34" s="1"/>
  <c r="BK34"/>
  <c r="BD35"/>
  <c r="BF35" s="1"/>
  <c r="BD9"/>
  <c r="BF9" s="1"/>
  <c r="H11"/>
  <c r="M11"/>
  <c r="BD13"/>
  <c r="BF13" s="1"/>
  <c r="H15"/>
  <c r="M15"/>
  <c r="BD17"/>
  <c r="H18"/>
  <c r="M18"/>
  <c r="AK18"/>
  <c r="AZ18"/>
  <c r="H20"/>
  <c r="AK26"/>
  <c r="M26"/>
  <c r="H26"/>
  <c r="BD27"/>
  <c r="AK28"/>
  <c r="M28"/>
  <c r="H28"/>
  <c r="BD29"/>
  <c r="AK30"/>
  <c r="M30"/>
  <c r="H30"/>
  <c r="BD31"/>
  <c r="AK32"/>
  <c r="M32"/>
  <c r="H32"/>
  <c r="BD33"/>
  <c r="AK34"/>
  <c r="M34"/>
  <c r="H34"/>
  <c r="BF11"/>
  <c r="BF15"/>
  <c r="BF17"/>
  <c r="BF27"/>
  <c r="BF29"/>
  <c r="BF31"/>
  <c r="BF33"/>
  <c r="J38"/>
  <c r="J39" s="1"/>
  <c r="F9"/>
  <c r="F11"/>
  <c r="R38"/>
  <c r="BK20"/>
  <c r="BD20"/>
  <c r="AZ20"/>
  <c r="AK20"/>
  <c r="B38"/>
  <c r="B39" s="1"/>
  <c r="I38"/>
  <c r="I39" s="1"/>
  <c r="I41" s="1"/>
  <c r="L38"/>
  <c r="L39" s="1"/>
  <c r="N38"/>
  <c r="N39" s="1"/>
  <c r="BC38"/>
  <c r="BC39" s="1"/>
  <c r="BJ7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CU38"/>
  <c r="CT39" s="1"/>
  <c r="CW38"/>
  <c r="CY38"/>
  <c r="DA38"/>
  <c r="DC38"/>
  <c r="DG7"/>
  <c r="DK7"/>
  <c r="C8"/>
  <c r="D8" s="1"/>
  <c r="E8"/>
  <c r="H8"/>
  <c r="M8"/>
  <c r="S8"/>
  <c r="AI8"/>
  <c r="BD8"/>
  <c r="BF8" s="1"/>
  <c r="DG9"/>
  <c r="DJ9" s="1"/>
  <c r="C10"/>
  <c r="D10" s="1"/>
  <c r="E10"/>
  <c r="H10"/>
  <c r="M10"/>
  <c r="S10"/>
  <c r="T10" s="1"/>
  <c r="AI10"/>
  <c r="BD10"/>
  <c r="BF10" s="1"/>
  <c r="DG11"/>
  <c r="DJ11" s="1"/>
  <c r="C12"/>
  <c r="D12" s="1"/>
  <c r="E12"/>
  <c r="H12"/>
  <c r="M12"/>
  <c r="S12"/>
  <c r="T12" s="1"/>
  <c r="AI12"/>
  <c r="BD12"/>
  <c r="BF12" s="1"/>
  <c r="DG13"/>
  <c r="DJ13" s="1"/>
  <c r="C14"/>
  <c r="D14" s="1"/>
  <c r="E14"/>
  <c r="H14"/>
  <c r="M14"/>
  <c r="S14"/>
  <c r="T14" s="1"/>
  <c r="AI14"/>
  <c r="BD14"/>
  <c r="BF14" s="1"/>
  <c r="DG15"/>
  <c r="DJ15" s="1"/>
  <c r="C16"/>
  <c r="D16" s="1"/>
  <c r="E16"/>
  <c r="H16"/>
  <c r="M16"/>
  <c r="S16"/>
  <c r="T16" s="1"/>
  <c r="AI16"/>
  <c r="BD16"/>
  <c r="BF16" s="1"/>
  <c r="DG17"/>
  <c r="DJ17" s="1"/>
  <c r="C18"/>
  <c r="D18" s="1"/>
  <c r="E18"/>
  <c r="S18"/>
  <c r="T18" s="1"/>
  <c r="DG18"/>
  <c r="DJ18" s="1"/>
  <c r="D19"/>
  <c r="BK19"/>
  <c r="BD19"/>
  <c r="BF19" s="1"/>
  <c r="AZ19"/>
  <c r="AK19"/>
  <c r="BK21"/>
  <c r="BD21"/>
  <c r="BF21" s="1"/>
  <c r="AZ21"/>
  <c r="AK21"/>
  <c r="DG8"/>
  <c r="DJ8" s="1"/>
  <c r="DG10"/>
  <c r="DJ10" s="1"/>
  <c r="DG12"/>
  <c r="DJ12" s="1"/>
  <c r="DG14"/>
  <c r="DJ14" s="1"/>
  <c r="DG16"/>
  <c r="DJ16" s="1"/>
  <c r="D20"/>
  <c r="BF20"/>
  <c r="T27"/>
  <c r="AK37"/>
  <c r="AZ37"/>
  <c r="BD37"/>
  <c r="BF37" s="1"/>
  <c r="BV39"/>
  <c r="BX39"/>
  <c r="BZ39"/>
  <c r="CB39"/>
  <c r="CD39"/>
  <c r="CF39"/>
  <c r="CH39"/>
  <c r="AK22"/>
  <c r="AZ22"/>
  <c r="BD22"/>
  <c r="F23"/>
  <c r="AK23"/>
  <c r="AZ23"/>
  <c r="BD23"/>
  <c r="BF23" s="1"/>
  <c r="C26"/>
  <c r="D26" s="1"/>
  <c r="DG26"/>
  <c r="DJ26" s="1"/>
  <c r="C27"/>
  <c r="D27" s="1"/>
  <c r="DG27"/>
  <c r="DJ27" s="1"/>
  <c r="C28"/>
  <c r="D28" s="1"/>
  <c r="DG28"/>
  <c r="DJ28" s="1"/>
  <c r="C29"/>
  <c r="D29" s="1"/>
  <c r="DG29"/>
  <c r="DJ29" s="1"/>
  <c r="C30"/>
  <c r="D30" s="1"/>
  <c r="DG30"/>
  <c r="DJ30" s="1"/>
  <c r="C31"/>
  <c r="D31" s="1"/>
  <c r="DG31"/>
  <c r="DJ31" s="1"/>
  <c r="C32"/>
  <c r="D32" s="1"/>
  <c r="DG32"/>
  <c r="DJ32" s="1"/>
  <c r="C33"/>
  <c r="D33" s="1"/>
  <c r="DG33"/>
  <c r="DJ33" s="1"/>
  <c r="C34"/>
  <c r="D34" s="1"/>
  <c r="DG34"/>
  <c r="DJ34" s="1"/>
  <c r="C35"/>
  <c r="D35" s="1"/>
  <c r="DG35"/>
  <c r="DJ35" s="1"/>
  <c r="C36"/>
  <c r="D36" s="1"/>
  <c r="DG36"/>
  <c r="DJ36" s="1"/>
  <c r="DG37"/>
  <c r="DJ37" s="1"/>
  <c r="AV39"/>
  <c r="AV41"/>
  <c r="DF14" i="97"/>
  <c r="DF18"/>
  <c r="DF33"/>
  <c r="DF25"/>
  <c r="DF23"/>
  <c r="DF29"/>
  <c r="DF27"/>
  <c r="DF31"/>
  <c r="DF20"/>
  <c r="DF21"/>
  <c r="DF34"/>
  <c r="DF35"/>
  <c r="DF36"/>
  <c r="DF37"/>
  <c r="DF13"/>
  <c r="DF26"/>
  <c r="DF22"/>
  <c r="DF28"/>
  <c r="DF30"/>
  <c r="DF32"/>
  <c r="DF24"/>
  <c r="T37"/>
  <c r="Q37" s="1"/>
  <c r="R37" s="1"/>
  <c r="CY37"/>
  <c r="B37"/>
  <c r="CP37"/>
  <c r="H37" s="1"/>
  <c r="BA37"/>
  <c r="BC37" s="1"/>
  <c r="AW37"/>
  <c r="AH37"/>
  <c r="U37"/>
  <c r="M37"/>
  <c r="AF37"/>
  <c r="T36"/>
  <c r="Q36" s="1"/>
  <c r="R36" s="1"/>
  <c r="CY36"/>
  <c r="B36"/>
  <c r="CP36"/>
  <c r="H36"/>
  <c r="BA36"/>
  <c r="BC36" s="1"/>
  <c r="AW36"/>
  <c r="AH36"/>
  <c r="U36"/>
  <c r="M36"/>
  <c r="AF36"/>
  <c r="T35"/>
  <c r="Q35" s="1"/>
  <c r="R35" s="1"/>
  <c r="CY35"/>
  <c r="B35"/>
  <c r="CP35"/>
  <c r="H35" s="1"/>
  <c r="BA35"/>
  <c r="BC35" s="1"/>
  <c r="AW35"/>
  <c r="AH35"/>
  <c r="U35"/>
  <c r="M35"/>
  <c r="AF35"/>
  <c r="T34"/>
  <c r="Q34" s="1"/>
  <c r="R34" s="1"/>
  <c r="CY34"/>
  <c r="B34"/>
  <c r="CP34"/>
  <c r="H34"/>
  <c r="BA34"/>
  <c r="BC34" s="1"/>
  <c r="AW34"/>
  <c r="AH34"/>
  <c r="U34"/>
  <c r="M34"/>
  <c r="AF34"/>
  <c r="T33"/>
  <c r="Q33" s="1"/>
  <c r="R33" s="1"/>
  <c r="CY33"/>
  <c r="B33"/>
  <c r="CP33"/>
  <c r="H33"/>
  <c r="BA33"/>
  <c r="BC33" s="1"/>
  <c r="AW33"/>
  <c r="AH33"/>
  <c r="U33"/>
  <c r="M33"/>
  <c r="AF33"/>
  <c r="T32"/>
  <c r="Q32" s="1"/>
  <c r="R32" s="1"/>
  <c r="CY32"/>
  <c r="B32"/>
  <c r="CP32"/>
  <c r="H32"/>
  <c r="BA32"/>
  <c r="BC32" s="1"/>
  <c r="AW32"/>
  <c r="AH32"/>
  <c r="U32"/>
  <c r="M32"/>
  <c r="AF32"/>
  <c r="T31"/>
  <c r="Q31" s="1"/>
  <c r="R31" s="1"/>
  <c r="CY31"/>
  <c r="B31"/>
  <c r="CP31"/>
  <c r="H31"/>
  <c r="BA31"/>
  <c r="BC31" s="1"/>
  <c r="AW31"/>
  <c r="AH31"/>
  <c r="U31"/>
  <c r="M31"/>
  <c r="AF31"/>
  <c r="T30"/>
  <c r="Q30" s="1"/>
  <c r="R30" s="1"/>
  <c r="CY30"/>
  <c r="B30"/>
  <c r="CP30"/>
  <c r="BC30"/>
  <c r="H30"/>
  <c r="BA30"/>
  <c r="AW30"/>
  <c r="AH30"/>
  <c r="U30"/>
  <c r="M30"/>
  <c r="AF30"/>
  <c r="T29"/>
  <c r="Q29" s="1"/>
  <c r="R29" s="1"/>
  <c r="CY29"/>
  <c r="B29"/>
  <c r="CP29"/>
  <c r="H29"/>
  <c r="BA29"/>
  <c r="BC29" s="1"/>
  <c r="AW29"/>
  <c r="AH29"/>
  <c r="U29"/>
  <c r="M29"/>
  <c r="AF29"/>
  <c r="B28"/>
  <c r="CP28"/>
  <c r="T28"/>
  <c r="Q28" s="1"/>
  <c r="R28" s="1"/>
  <c r="CY28"/>
  <c r="H28"/>
  <c r="BA28"/>
  <c r="BC28" s="1"/>
  <c r="AW28"/>
  <c r="AH28"/>
  <c r="U28"/>
  <c r="M28"/>
  <c r="BI28"/>
  <c r="AF28"/>
  <c r="T27"/>
  <c r="Q27" s="1"/>
  <c r="R27" s="1"/>
  <c r="CY27"/>
  <c r="B27"/>
  <c r="CP27"/>
  <c r="H27"/>
  <c r="BA27"/>
  <c r="BC27" s="1"/>
  <c r="AW27"/>
  <c r="AH27"/>
  <c r="U27"/>
  <c r="M27"/>
  <c r="AF27"/>
  <c r="T26"/>
  <c r="Q26" s="1"/>
  <c r="R26" s="1"/>
  <c r="CY26"/>
  <c r="B26"/>
  <c r="CP26"/>
  <c r="H26"/>
  <c r="BA26"/>
  <c r="BC26" s="1"/>
  <c r="AW26"/>
  <c r="AH26"/>
  <c r="U26"/>
  <c r="M26"/>
  <c r="BI26"/>
  <c r="AF26"/>
  <c r="T25"/>
  <c r="Q25" s="1"/>
  <c r="R25" s="1"/>
  <c r="CY25"/>
  <c r="B25"/>
  <c r="CP25"/>
  <c r="H25"/>
  <c r="BA25"/>
  <c r="BC25" s="1"/>
  <c r="AW25"/>
  <c r="AH25"/>
  <c r="U25"/>
  <c r="M25"/>
  <c r="AF25"/>
  <c r="CP24"/>
  <c r="B24"/>
  <c r="T24"/>
  <c r="Q24" s="1"/>
  <c r="R24" s="1"/>
  <c r="CY24"/>
  <c r="H24"/>
  <c r="BI24"/>
  <c r="BE24"/>
  <c r="AW24"/>
  <c r="AH24"/>
  <c r="U24"/>
  <c r="M24"/>
  <c r="AF24"/>
  <c r="T23"/>
  <c r="Q23" s="1"/>
  <c r="R23" s="1"/>
  <c r="CY23"/>
  <c r="B23"/>
  <c r="CP23"/>
  <c r="H23" s="1"/>
  <c r="BA23"/>
  <c r="BC23" s="1"/>
  <c r="AW23"/>
  <c r="AH23"/>
  <c r="U23"/>
  <c r="M23"/>
  <c r="AF23"/>
  <c r="T22"/>
  <c r="Q22" s="1"/>
  <c r="R22" s="1"/>
  <c r="CY22"/>
  <c r="B22"/>
  <c r="CP22"/>
  <c r="H22"/>
  <c r="BA22"/>
  <c r="BC22" s="1"/>
  <c r="AW22"/>
  <c r="AH22"/>
  <c r="U22"/>
  <c r="M22"/>
  <c r="BI22"/>
  <c r="AF22"/>
  <c r="T21"/>
  <c r="Q21" s="1"/>
  <c r="R21" s="1"/>
  <c r="CY21"/>
  <c r="B21"/>
  <c r="CP21"/>
  <c r="H21"/>
  <c r="BA21"/>
  <c r="BC21" s="1"/>
  <c r="AW21"/>
  <c r="AH21"/>
  <c r="U21"/>
  <c r="M21"/>
  <c r="BI21"/>
  <c r="AF21"/>
  <c r="T20"/>
  <c r="Q20" s="1"/>
  <c r="R20" s="1"/>
  <c r="CY20"/>
  <c r="B20"/>
  <c r="CP20"/>
  <c r="H20"/>
  <c r="BA20"/>
  <c r="BC20" s="1"/>
  <c r="AW20"/>
  <c r="AH20"/>
  <c r="U20"/>
  <c r="M20"/>
  <c r="AF20"/>
  <c r="B19"/>
  <c r="CP19"/>
  <c r="T19"/>
  <c r="Q19" s="1"/>
  <c r="R19" s="1"/>
  <c r="CY19"/>
  <c r="H19"/>
  <c r="BA19"/>
  <c r="BC19" s="1"/>
  <c r="AW19"/>
  <c r="AH19"/>
  <c r="U19"/>
  <c r="M19"/>
  <c r="AF19"/>
  <c r="T18"/>
  <c r="Q18" s="1"/>
  <c r="R18" s="1"/>
  <c r="CY18"/>
  <c r="B18"/>
  <c r="CP18"/>
  <c r="H18"/>
  <c r="BA18"/>
  <c r="BC18" s="1"/>
  <c r="AW18"/>
  <c r="AH18"/>
  <c r="U18"/>
  <c r="M18"/>
  <c r="AF18"/>
  <c r="T17"/>
  <c r="Q17" s="1"/>
  <c r="R17" s="1"/>
  <c r="CY17"/>
  <c r="H17"/>
  <c r="CP17"/>
  <c r="B17"/>
  <c r="BI17"/>
  <c r="AH17"/>
  <c r="U17"/>
  <c r="M17"/>
  <c r="T16"/>
  <c r="Q16" s="1"/>
  <c r="R16" s="1"/>
  <c r="CY16"/>
  <c r="CP16"/>
  <c r="H16" s="1"/>
  <c r="B16"/>
  <c r="BI16"/>
  <c r="AH16"/>
  <c r="U16"/>
  <c r="M16"/>
  <c r="T15"/>
  <c r="Q15" s="1"/>
  <c r="R15" s="1"/>
  <c r="CY15"/>
  <c r="CP15"/>
  <c r="H15" s="1"/>
  <c r="B15"/>
  <c r="BI15"/>
  <c r="AH15"/>
  <c r="U15"/>
  <c r="M15"/>
  <c r="CP14"/>
  <c r="B14"/>
  <c r="T14"/>
  <c r="Q14" s="1"/>
  <c r="R14" s="1"/>
  <c r="CY14"/>
  <c r="H14"/>
  <c r="BI14"/>
  <c r="AH14"/>
  <c r="U14"/>
  <c r="M14"/>
  <c r="AF14"/>
  <c r="CP13"/>
  <c r="B13"/>
  <c r="T13"/>
  <c r="Q13" s="1"/>
  <c r="R13" s="1"/>
  <c r="CY13"/>
  <c r="H13"/>
  <c r="BI13"/>
  <c r="AH13"/>
  <c r="U13"/>
  <c r="M13"/>
  <c r="AF13"/>
  <c r="T12"/>
  <c r="Q12" s="1"/>
  <c r="R12" s="1"/>
  <c r="CY12"/>
  <c r="CP12"/>
  <c r="H12" s="1"/>
  <c r="B12"/>
  <c r="BI12"/>
  <c r="AH12"/>
  <c r="U12"/>
  <c r="M12"/>
  <c r="T11"/>
  <c r="Q11" s="1"/>
  <c r="R11" s="1"/>
  <c r="CY11"/>
  <c r="CP11"/>
  <c r="H11" s="1"/>
  <c r="B11"/>
  <c r="BI11"/>
  <c r="AH11"/>
  <c r="U11"/>
  <c r="M11"/>
  <c r="T10"/>
  <c r="Q10" s="1"/>
  <c r="R10" s="1"/>
  <c r="CY10"/>
  <c r="H10"/>
  <c r="CP10"/>
  <c r="B10"/>
  <c r="BI10"/>
  <c r="AH10"/>
  <c r="U10"/>
  <c r="M10"/>
  <c r="T9"/>
  <c r="Q9" s="1"/>
  <c r="R9" s="1"/>
  <c r="CY9"/>
  <c r="CP9"/>
  <c r="H9" s="1"/>
  <c r="B9"/>
  <c r="BI9"/>
  <c r="AH9"/>
  <c r="U9"/>
  <c r="M9"/>
  <c r="BJ8"/>
  <c r="B8" s="1"/>
  <c r="BJ7"/>
  <c r="AS46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8"/>
  <c r="CY8"/>
  <c r="CX8"/>
  <c r="CW8"/>
  <c r="CV8"/>
  <c r="CU8"/>
  <c r="CT8"/>
  <c r="CS8"/>
  <c r="CR8"/>
  <c r="CQ8"/>
  <c r="CP8"/>
  <c r="BF8"/>
  <c r="AZ8"/>
  <c r="AX8"/>
  <c r="BH8" s="1"/>
  <c r="AM8"/>
  <c r="AH8"/>
  <c r="T8"/>
  <c r="O8"/>
  <c r="N8"/>
  <c r="J8"/>
  <c r="I8"/>
  <c r="DF8" s="1"/>
  <c r="E8"/>
  <c r="CZ7"/>
  <c r="CZ38" s="1"/>
  <c r="CY7"/>
  <c r="CX7"/>
  <c r="CX38" s="1"/>
  <c r="CW7"/>
  <c r="CV7"/>
  <c r="CV38" s="1"/>
  <c r="CU7"/>
  <c r="CT7"/>
  <c r="CT38" s="1"/>
  <c r="CS7"/>
  <c r="CR7"/>
  <c r="CQ7"/>
  <c r="M7" s="1"/>
  <c r="CP7"/>
  <c r="BH7"/>
  <c r="BF7"/>
  <c r="BI7" s="1"/>
  <c r="BA7"/>
  <c r="AZ7"/>
  <c r="AX7"/>
  <c r="AM7"/>
  <c r="AH7"/>
  <c r="AF7"/>
  <c r="T7"/>
  <c r="T38" s="1"/>
  <c r="T39" s="1"/>
  <c r="Q7"/>
  <c r="O7"/>
  <c r="N7"/>
  <c r="J7"/>
  <c r="I7"/>
  <c r="P8" i="96"/>
  <c r="P9"/>
  <c r="Q9" s="1"/>
  <c r="P10"/>
  <c r="P11"/>
  <c r="P12"/>
  <c r="P13"/>
  <c r="Q13" s="1"/>
  <c r="P14"/>
  <c r="P15"/>
  <c r="P16"/>
  <c r="Q16" s="1"/>
  <c r="P17"/>
  <c r="P18"/>
  <c r="Q18" s="1"/>
  <c r="R18" s="1"/>
  <c r="P19"/>
  <c r="P20"/>
  <c r="P21"/>
  <c r="P22"/>
  <c r="P23"/>
  <c r="P24"/>
  <c r="P25"/>
  <c r="P26"/>
  <c r="P27"/>
  <c r="P28"/>
  <c r="P29"/>
  <c r="P30"/>
  <c r="P31"/>
  <c r="P32"/>
  <c r="Q32" s="1"/>
  <c r="P33"/>
  <c r="P34"/>
  <c r="Q34" s="1"/>
  <c r="P35"/>
  <c r="P36"/>
  <c r="P37"/>
  <c r="Q37" s="1"/>
  <c r="P7"/>
  <c r="Q7" s="1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B9"/>
  <c r="E9" s="1"/>
  <c r="B10"/>
  <c r="B11"/>
  <c r="E11" s="1"/>
  <c r="B12"/>
  <c r="B13"/>
  <c r="C13" s="1"/>
  <c r="B14"/>
  <c r="B15"/>
  <c r="C15" s="1"/>
  <c r="B16"/>
  <c r="B17"/>
  <c r="C17" s="1"/>
  <c r="B18"/>
  <c r="B19"/>
  <c r="B20"/>
  <c r="B21"/>
  <c r="B22"/>
  <c r="B23"/>
  <c r="B24"/>
  <c r="B25"/>
  <c r="E25" s="1"/>
  <c r="B26"/>
  <c r="C26" s="1"/>
  <c r="B27"/>
  <c r="E27" s="1"/>
  <c r="B28"/>
  <c r="E28" s="1"/>
  <c r="B29"/>
  <c r="E29" s="1"/>
  <c r="B30"/>
  <c r="C30" s="1"/>
  <c r="B31"/>
  <c r="E31" s="1"/>
  <c r="B32"/>
  <c r="E32" s="1"/>
  <c r="B33"/>
  <c r="E33" s="1"/>
  <c r="B34"/>
  <c r="E34" s="1"/>
  <c r="B35"/>
  <c r="E35" s="1"/>
  <c r="B36"/>
  <c r="E36" s="1"/>
  <c r="B37"/>
  <c r="E37" s="1"/>
  <c r="B7"/>
  <c r="C7" s="1"/>
  <c r="AS46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CD39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BA37"/>
  <c r="BC37" s="1"/>
  <c r="AZ37"/>
  <c r="AY37"/>
  <c r="AX37"/>
  <c r="BH37" s="1"/>
  <c r="AW37"/>
  <c r="AM37"/>
  <c r="AH37"/>
  <c r="AF37"/>
  <c r="U37"/>
  <c r="T37"/>
  <c r="N37"/>
  <c r="M37"/>
  <c r="I37"/>
  <c r="DF37" s="1"/>
  <c r="H37"/>
  <c r="F37"/>
  <c r="CZ36"/>
  <c r="CY36"/>
  <c r="CX36"/>
  <c r="CW36"/>
  <c r="CV36"/>
  <c r="CU36"/>
  <c r="CT36"/>
  <c r="CS36"/>
  <c r="CR36"/>
  <c r="CQ36"/>
  <c r="CP36"/>
  <c r="BF36"/>
  <c r="BA36"/>
  <c r="BC36" s="1"/>
  <c r="AZ36"/>
  <c r="AX36"/>
  <c r="BH36" s="1"/>
  <c r="AW36"/>
  <c r="AM36"/>
  <c r="AH36"/>
  <c r="AF36"/>
  <c r="T36"/>
  <c r="N36"/>
  <c r="M36"/>
  <c r="I36"/>
  <c r="DF36" s="1"/>
  <c r="H36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N35"/>
  <c r="I35"/>
  <c r="DF35" s="1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N34"/>
  <c r="I34"/>
  <c r="DF34" s="1"/>
  <c r="CZ33"/>
  <c r="CY33"/>
  <c r="CX33"/>
  <c r="CW33"/>
  <c r="CV33"/>
  <c r="CU33"/>
  <c r="CT33"/>
  <c r="CS33"/>
  <c r="CR33"/>
  <c r="CQ33"/>
  <c r="CP33"/>
  <c r="BF33"/>
  <c r="AZ33"/>
  <c r="AX33"/>
  <c r="BH33" s="1"/>
  <c r="T33"/>
  <c r="N33"/>
  <c r="I33"/>
  <c r="DF33" s="1"/>
  <c r="CZ32"/>
  <c r="CY32"/>
  <c r="CX32"/>
  <c r="CW32"/>
  <c r="CV32"/>
  <c r="CU32"/>
  <c r="CT32"/>
  <c r="CS32"/>
  <c r="CR32"/>
  <c r="CQ32"/>
  <c r="CP32"/>
  <c r="BF32"/>
  <c r="AZ32"/>
  <c r="AX32"/>
  <c r="BH32" s="1"/>
  <c r="AM32"/>
  <c r="AF32"/>
  <c r="T32"/>
  <c r="N32"/>
  <c r="I32"/>
  <c r="DF32" s="1"/>
  <c r="CZ31"/>
  <c r="CY31"/>
  <c r="CX31"/>
  <c r="CW31"/>
  <c r="CV31"/>
  <c r="CU31"/>
  <c r="CT31"/>
  <c r="CS31"/>
  <c r="CR31"/>
  <c r="CQ31"/>
  <c r="CP31"/>
  <c r="BF31"/>
  <c r="AZ31"/>
  <c r="AX31"/>
  <c r="BH31" s="1"/>
  <c r="AM31"/>
  <c r="T31"/>
  <c r="N31"/>
  <c r="I31"/>
  <c r="DF31" s="1"/>
  <c r="CZ30"/>
  <c r="CY30"/>
  <c r="CX30"/>
  <c r="CW30"/>
  <c r="CV30"/>
  <c r="CU30"/>
  <c r="CT30"/>
  <c r="CS30"/>
  <c r="CR30"/>
  <c r="CQ30"/>
  <c r="CP30"/>
  <c r="BF30"/>
  <c r="AZ30"/>
  <c r="AX30"/>
  <c r="BH30" s="1"/>
  <c r="AM30"/>
  <c r="T30"/>
  <c r="N30"/>
  <c r="I30"/>
  <c r="DF30" s="1"/>
  <c r="CZ29"/>
  <c r="CY29"/>
  <c r="CX29"/>
  <c r="CW29"/>
  <c r="CV29"/>
  <c r="CU29"/>
  <c r="CT29"/>
  <c r="CS29"/>
  <c r="CR29"/>
  <c r="CQ29"/>
  <c r="CP29"/>
  <c r="BF29"/>
  <c r="AZ29"/>
  <c r="AX29"/>
  <c r="BH29" s="1"/>
  <c r="AM29"/>
  <c r="AF29"/>
  <c r="T29"/>
  <c r="N29"/>
  <c r="M29"/>
  <c r="I29"/>
  <c r="DB29" s="1"/>
  <c r="DE29" s="1"/>
  <c r="H29"/>
  <c r="CZ28"/>
  <c r="CY28"/>
  <c r="CX28"/>
  <c r="CW28"/>
  <c r="CV28"/>
  <c r="CU28"/>
  <c r="CT28"/>
  <c r="CS28"/>
  <c r="CR28"/>
  <c r="CQ28"/>
  <c r="CP28"/>
  <c r="BF28"/>
  <c r="AZ28"/>
  <c r="AX28"/>
  <c r="BH28" s="1"/>
  <c r="AM28"/>
  <c r="T28"/>
  <c r="N28"/>
  <c r="I28"/>
  <c r="DF28" s="1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N27"/>
  <c r="I27"/>
  <c r="DF27" s="1"/>
  <c r="CZ26"/>
  <c r="CY26"/>
  <c r="CX26"/>
  <c r="CW26"/>
  <c r="CV26"/>
  <c r="CU26"/>
  <c r="CT26"/>
  <c r="CS26"/>
  <c r="CR26"/>
  <c r="CQ26"/>
  <c r="CP26"/>
  <c r="BF26"/>
  <c r="AZ26"/>
  <c r="AX26"/>
  <c r="BH26" s="1"/>
  <c r="AM26"/>
  <c r="T26"/>
  <c r="N26"/>
  <c r="I26"/>
  <c r="DB26" s="1"/>
  <c r="DE26" s="1"/>
  <c r="CZ25"/>
  <c r="CY25"/>
  <c r="CX25"/>
  <c r="CW25"/>
  <c r="CV25"/>
  <c r="CU25"/>
  <c r="CT25"/>
  <c r="CS25"/>
  <c r="CR25"/>
  <c r="CQ25"/>
  <c r="CP25"/>
  <c r="BF25"/>
  <c r="AZ25"/>
  <c r="AX25"/>
  <c r="AM25"/>
  <c r="AF25"/>
  <c r="T25"/>
  <c r="N25"/>
  <c r="I25"/>
  <c r="DB25" s="1"/>
  <c r="DE25" s="1"/>
  <c r="CZ24"/>
  <c r="CY24"/>
  <c r="CX24"/>
  <c r="CW24"/>
  <c r="CV24"/>
  <c r="CU24"/>
  <c r="CT24"/>
  <c r="CS24"/>
  <c r="CR24"/>
  <c r="CQ24"/>
  <c r="CP24"/>
  <c r="BF24"/>
  <c r="AZ24"/>
  <c r="BC24" s="1"/>
  <c r="AX24"/>
  <c r="BH24" s="1"/>
  <c r="AM24"/>
  <c r="AF24"/>
  <c r="T24"/>
  <c r="N24"/>
  <c r="I24"/>
  <c r="DF24" s="1"/>
  <c r="CZ23"/>
  <c r="CY23"/>
  <c r="CX23"/>
  <c r="CW23"/>
  <c r="CV23"/>
  <c r="CU23"/>
  <c r="CT23"/>
  <c r="CS23"/>
  <c r="CR23"/>
  <c r="CQ23"/>
  <c r="CP23"/>
  <c r="BF23"/>
  <c r="AZ23"/>
  <c r="AX23"/>
  <c r="BH23" s="1"/>
  <c r="AW23"/>
  <c r="AM23"/>
  <c r="AH23"/>
  <c r="AF23"/>
  <c r="T23"/>
  <c r="N23"/>
  <c r="I23"/>
  <c r="DF23" s="1"/>
  <c r="CZ22"/>
  <c r="CY22"/>
  <c r="CX22"/>
  <c r="CW22"/>
  <c r="CV22"/>
  <c r="CU22"/>
  <c r="CT22"/>
  <c r="CS22"/>
  <c r="CR22"/>
  <c r="CQ22"/>
  <c r="CP22"/>
  <c r="BF22"/>
  <c r="AZ22"/>
  <c r="AX22"/>
  <c r="AW22" s="1"/>
  <c r="AM22"/>
  <c r="T22"/>
  <c r="N22"/>
  <c r="I22"/>
  <c r="DF22" s="1"/>
  <c r="CZ21"/>
  <c r="CY21"/>
  <c r="CX21"/>
  <c r="CW21"/>
  <c r="CV21"/>
  <c r="CU21"/>
  <c r="CT21"/>
  <c r="CS21"/>
  <c r="CR21"/>
  <c r="CQ21"/>
  <c r="CP21"/>
  <c r="BF21"/>
  <c r="AZ21"/>
  <c r="AX21"/>
  <c r="BH21" s="1"/>
  <c r="AM21"/>
  <c r="AF21"/>
  <c r="T21"/>
  <c r="N21"/>
  <c r="I21"/>
  <c r="DF21" s="1"/>
  <c r="CZ20"/>
  <c r="CY20"/>
  <c r="CX20"/>
  <c r="CW20"/>
  <c r="CV20"/>
  <c r="CU20"/>
  <c r="CT20"/>
  <c r="CS20"/>
  <c r="CR20"/>
  <c r="CQ20"/>
  <c r="CP20"/>
  <c r="BF20"/>
  <c r="AZ20"/>
  <c r="AX20"/>
  <c r="AW20" s="1"/>
  <c r="AM20"/>
  <c r="AF20"/>
  <c r="T20"/>
  <c r="N20"/>
  <c r="I20"/>
  <c r="DF20" s="1"/>
  <c r="CZ19"/>
  <c r="CY19"/>
  <c r="CX19"/>
  <c r="CW19"/>
  <c r="CV19"/>
  <c r="CU19"/>
  <c r="CT19"/>
  <c r="CS19"/>
  <c r="CR19"/>
  <c r="CQ19"/>
  <c r="CP19"/>
  <c r="BF19"/>
  <c r="AZ19"/>
  <c r="AX19"/>
  <c r="BH19" s="1"/>
  <c r="AM19"/>
  <c r="AF19"/>
  <c r="T19"/>
  <c r="N19"/>
  <c r="I19"/>
  <c r="DF19" s="1"/>
  <c r="CZ18"/>
  <c r="CY18"/>
  <c r="CX18"/>
  <c r="CW18"/>
  <c r="CV18"/>
  <c r="CU18"/>
  <c r="CT18"/>
  <c r="CS18"/>
  <c r="CR18"/>
  <c r="CQ18"/>
  <c r="CP18"/>
  <c r="BF18"/>
  <c r="AZ18"/>
  <c r="AX18"/>
  <c r="AW18" s="1"/>
  <c r="AM18"/>
  <c r="T18"/>
  <c r="N18"/>
  <c r="I18"/>
  <c r="CZ17"/>
  <c r="CY17"/>
  <c r="CX17"/>
  <c r="CW17"/>
  <c r="CV17"/>
  <c r="CU17"/>
  <c r="CT17"/>
  <c r="CS17"/>
  <c r="CR17"/>
  <c r="CQ17"/>
  <c r="CP17"/>
  <c r="BF17"/>
  <c r="AZ17"/>
  <c r="AX17"/>
  <c r="AF17" s="1"/>
  <c r="AM17"/>
  <c r="T17"/>
  <c r="N17"/>
  <c r="I17"/>
  <c r="DF17" s="1"/>
  <c r="CZ16"/>
  <c r="CY16"/>
  <c r="CX16"/>
  <c r="CW16"/>
  <c r="CV16"/>
  <c r="CU16"/>
  <c r="CT16"/>
  <c r="CS16"/>
  <c r="CR16"/>
  <c r="CQ16"/>
  <c r="CP16"/>
  <c r="BF16"/>
  <c r="AZ16"/>
  <c r="AX16"/>
  <c r="AH16" s="1"/>
  <c r="AM16"/>
  <c r="T16"/>
  <c r="N16"/>
  <c r="I16"/>
  <c r="DB16" s="1"/>
  <c r="DE16" s="1"/>
  <c r="CZ15"/>
  <c r="CY15"/>
  <c r="CX15"/>
  <c r="CW15"/>
  <c r="CV15"/>
  <c r="CU15"/>
  <c r="CT15"/>
  <c r="CS15"/>
  <c r="CR15"/>
  <c r="M15" s="1"/>
  <c r="CQ15"/>
  <c r="CP15"/>
  <c r="H15" s="1"/>
  <c r="BF15"/>
  <c r="AZ15"/>
  <c r="AX15"/>
  <c r="BH15" s="1"/>
  <c r="AM15"/>
  <c r="AH15"/>
  <c r="AF15"/>
  <c r="T15"/>
  <c r="N15"/>
  <c r="I15"/>
  <c r="CZ14"/>
  <c r="CY14"/>
  <c r="CX14"/>
  <c r="CW14"/>
  <c r="CV14"/>
  <c r="CU14"/>
  <c r="CT14"/>
  <c r="CS14"/>
  <c r="CR14"/>
  <c r="CQ14"/>
  <c r="CP14"/>
  <c r="BF14"/>
  <c r="AZ14"/>
  <c r="AX14"/>
  <c r="BH14" s="1"/>
  <c r="AM14"/>
  <c r="T14"/>
  <c r="N14"/>
  <c r="I14"/>
  <c r="DF14" s="1"/>
  <c r="CZ13"/>
  <c r="CY13"/>
  <c r="CX13"/>
  <c r="CW13"/>
  <c r="CV13"/>
  <c r="CU13"/>
  <c r="CT13"/>
  <c r="CS13"/>
  <c r="CR13"/>
  <c r="CQ13"/>
  <c r="CP13"/>
  <c r="BF13"/>
  <c r="AZ13"/>
  <c r="AX13"/>
  <c r="BH13" s="1"/>
  <c r="AM13"/>
  <c r="AH13"/>
  <c r="T13"/>
  <c r="N13"/>
  <c r="I13"/>
  <c r="DF13" s="1"/>
  <c r="CZ12"/>
  <c r="CY12"/>
  <c r="CX12"/>
  <c r="CW12"/>
  <c r="CV12"/>
  <c r="CU12"/>
  <c r="CT12"/>
  <c r="CS12"/>
  <c r="CR12"/>
  <c r="CQ12"/>
  <c r="CP12"/>
  <c r="BF12"/>
  <c r="AZ12"/>
  <c r="AX12"/>
  <c r="BH12" s="1"/>
  <c r="AM12"/>
  <c r="T12"/>
  <c r="N12"/>
  <c r="I12"/>
  <c r="DF12" s="1"/>
  <c r="CZ11"/>
  <c r="CY11"/>
  <c r="CX11"/>
  <c r="CW11"/>
  <c r="CV11"/>
  <c r="CU11"/>
  <c r="CT11"/>
  <c r="CS11"/>
  <c r="CR11"/>
  <c r="CQ11"/>
  <c r="CP11"/>
  <c r="BF11"/>
  <c r="AZ11"/>
  <c r="AX11"/>
  <c r="BH11" s="1"/>
  <c r="AM11"/>
  <c r="AH11"/>
  <c r="T11"/>
  <c r="N11"/>
  <c r="I11"/>
  <c r="DF11" s="1"/>
  <c r="CZ10"/>
  <c r="CY10"/>
  <c r="CX10"/>
  <c r="CW10"/>
  <c r="CV10"/>
  <c r="CU10"/>
  <c r="CT10"/>
  <c r="CS10"/>
  <c r="CR10"/>
  <c r="CQ10"/>
  <c r="CP10"/>
  <c r="BF10"/>
  <c r="AZ10"/>
  <c r="AX10"/>
  <c r="BH10" s="1"/>
  <c r="AM10"/>
  <c r="AH10"/>
  <c r="T10"/>
  <c r="N10"/>
  <c r="I10"/>
  <c r="DF10" s="1"/>
  <c r="CZ9"/>
  <c r="CY9"/>
  <c r="CX9"/>
  <c r="CW9"/>
  <c r="CV9"/>
  <c r="CU9"/>
  <c r="CT9"/>
  <c r="CS9"/>
  <c r="CR9"/>
  <c r="CQ9"/>
  <c r="CP9"/>
  <c r="BF9"/>
  <c r="AZ9"/>
  <c r="AX9"/>
  <c r="BH9" s="1"/>
  <c r="AM9"/>
  <c r="AH9"/>
  <c r="T9"/>
  <c r="N9"/>
  <c r="I9"/>
  <c r="DF9" s="1"/>
  <c r="CZ8"/>
  <c r="CY8"/>
  <c r="CX8"/>
  <c r="CW8"/>
  <c r="CV8"/>
  <c r="CU8"/>
  <c r="CT8"/>
  <c r="CS8"/>
  <c r="CR8"/>
  <c r="CQ8"/>
  <c r="CP8"/>
  <c r="BF8"/>
  <c r="AZ8"/>
  <c r="AX8"/>
  <c r="BH8" s="1"/>
  <c r="AM8"/>
  <c r="T8"/>
  <c r="N8"/>
  <c r="I8"/>
  <c r="DF8" s="1"/>
  <c r="CZ7"/>
  <c r="CZ38" s="1"/>
  <c r="CY7"/>
  <c r="CX7"/>
  <c r="CW7"/>
  <c r="CV7"/>
  <c r="CV38" s="1"/>
  <c r="CU7"/>
  <c r="CT7"/>
  <c r="CS7"/>
  <c r="CR7"/>
  <c r="CQ7"/>
  <c r="CP7"/>
  <c r="BF7"/>
  <c r="AZ7"/>
  <c r="AX7"/>
  <c r="BH7" s="1"/>
  <c r="AM7"/>
  <c r="AH7"/>
  <c r="T7"/>
  <c r="N7"/>
  <c r="I7"/>
  <c r="O20" i="93"/>
  <c r="O21"/>
  <c r="O22"/>
  <c r="O23"/>
  <c r="O24"/>
  <c r="O25"/>
  <c r="O26"/>
  <c r="O27"/>
  <c r="O28"/>
  <c r="O29"/>
  <c r="O30"/>
  <c r="O31"/>
  <c r="CI30" i="95"/>
  <c r="CI31"/>
  <c r="CI32"/>
  <c r="CI33"/>
  <c r="CI34"/>
  <c r="CI35"/>
  <c r="CI36"/>
  <c r="CI29"/>
  <c r="T29" s="1"/>
  <c r="Q29" s="1"/>
  <c r="R29" s="1"/>
  <c r="CH8"/>
  <c r="CH9"/>
  <c r="CH10"/>
  <c r="CH11"/>
  <c r="CH12"/>
  <c r="CH13"/>
  <c r="CH14"/>
  <c r="CH15"/>
  <c r="CH16"/>
  <c r="CH17"/>
  <c r="CH18"/>
  <c r="CH19"/>
  <c r="CH20"/>
  <c r="CH21"/>
  <c r="CH22"/>
  <c r="CH23"/>
  <c r="CH24"/>
  <c r="CH25"/>
  <c r="CH26"/>
  <c r="CH7"/>
  <c r="CX7" s="1"/>
  <c r="DO36"/>
  <c r="DO30"/>
  <c r="DO31"/>
  <c r="DO32"/>
  <c r="DO33"/>
  <c r="DO34"/>
  <c r="DO35"/>
  <c r="DO29"/>
  <c r="DO8"/>
  <c r="DO9"/>
  <c r="DO10"/>
  <c r="DO11"/>
  <c r="DO12"/>
  <c r="DO13"/>
  <c r="DO14"/>
  <c r="DO15"/>
  <c r="DO16"/>
  <c r="DO17"/>
  <c r="DO18"/>
  <c r="DO19"/>
  <c r="DO20"/>
  <c r="DO21"/>
  <c r="DO22"/>
  <c r="DO23"/>
  <c r="DO24"/>
  <c r="DO25"/>
  <c r="DO26"/>
  <c r="DO27"/>
  <c r="DO28"/>
  <c r="DO7"/>
  <c r="I35"/>
  <c r="DB35" s="1"/>
  <c r="DE35" s="1"/>
  <c r="J35"/>
  <c r="N35"/>
  <c r="O35"/>
  <c r="Q35"/>
  <c r="R35" s="1"/>
  <c r="T35"/>
  <c r="AZ35"/>
  <c r="BF35"/>
  <c r="BG35" s="1"/>
  <c r="BJ35"/>
  <c r="CP35" s="1"/>
  <c r="CQ35"/>
  <c r="CR35"/>
  <c r="CS35"/>
  <c r="CT35"/>
  <c r="CU35"/>
  <c r="CV35"/>
  <c r="CW35"/>
  <c r="CX35"/>
  <c r="CY35"/>
  <c r="CZ35"/>
  <c r="DI35"/>
  <c r="AS35" s="1"/>
  <c r="DK35"/>
  <c r="V35" s="1"/>
  <c r="DM35"/>
  <c r="I36"/>
  <c r="DF36" s="1"/>
  <c r="J36"/>
  <c r="N36"/>
  <c r="O36"/>
  <c r="T36"/>
  <c r="AZ36"/>
  <c r="BF36"/>
  <c r="BG36" s="1"/>
  <c r="BJ36"/>
  <c r="CP36" s="1"/>
  <c r="CQ36"/>
  <c r="CR36"/>
  <c r="CS36"/>
  <c r="CT36"/>
  <c r="CU36"/>
  <c r="CV36"/>
  <c r="CW36"/>
  <c r="CX36"/>
  <c r="CY36"/>
  <c r="CZ36"/>
  <c r="DB36"/>
  <c r="DE36" s="1"/>
  <c r="DI36"/>
  <c r="AS36" s="1"/>
  <c r="DK36"/>
  <c r="V36" s="1"/>
  <c r="DM36"/>
  <c r="I34"/>
  <c r="DB34" s="1"/>
  <c r="DE34" s="1"/>
  <c r="J34"/>
  <c r="N34"/>
  <c r="O34"/>
  <c r="T34"/>
  <c r="AZ34"/>
  <c r="BF34"/>
  <c r="BG34" s="1"/>
  <c r="CQ34"/>
  <c r="CR34"/>
  <c r="CS34"/>
  <c r="CT34"/>
  <c r="CU34"/>
  <c r="CV34"/>
  <c r="CW34"/>
  <c r="CX34"/>
  <c r="CY34"/>
  <c r="CZ34"/>
  <c r="DI34"/>
  <c r="AS34" s="1"/>
  <c r="DK34"/>
  <c r="V34" s="1"/>
  <c r="DM34"/>
  <c r="BJ34" s="1"/>
  <c r="I32"/>
  <c r="DF32" s="1"/>
  <c r="J32"/>
  <c r="N32"/>
  <c r="O32"/>
  <c r="T32"/>
  <c r="AZ32"/>
  <c r="BF32"/>
  <c r="BG32" s="1"/>
  <c r="BJ32"/>
  <c r="CP32" s="1"/>
  <c r="CQ32"/>
  <c r="CR32"/>
  <c r="CS32"/>
  <c r="CT32"/>
  <c r="CU32"/>
  <c r="CV32"/>
  <c r="CW32"/>
  <c r="CX32"/>
  <c r="CY32"/>
  <c r="CZ32"/>
  <c r="DB32"/>
  <c r="DE32" s="1"/>
  <c r="DI32"/>
  <c r="AS32" s="1"/>
  <c r="DK32"/>
  <c r="V32" s="1"/>
  <c r="DM32"/>
  <c r="I33"/>
  <c r="DB33" s="1"/>
  <c r="DE33" s="1"/>
  <c r="J33"/>
  <c r="N33"/>
  <c r="O33"/>
  <c r="Q33"/>
  <c r="R33" s="1"/>
  <c r="T33"/>
  <c r="AZ33"/>
  <c r="BF33"/>
  <c r="BG33" s="1"/>
  <c r="BJ33"/>
  <c r="CP33" s="1"/>
  <c r="CQ33"/>
  <c r="CR33"/>
  <c r="CS33"/>
  <c r="CT33"/>
  <c r="CU33"/>
  <c r="CV33"/>
  <c r="CW33"/>
  <c r="CX33"/>
  <c r="CY33"/>
  <c r="CZ33"/>
  <c r="DI33"/>
  <c r="AS33" s="1"/>
  <c r="DK33"/>
  <c r="V33" s="1"/>
  <c r="DM33"/>
  <c r="I31"/>
  <c r="DB31" s="1"/>
  <c r="DE31" s="1"/>
  <c r="J31"/>
  <c r="N31"/>
  <c r="O31"/>
  <c r="T31"/>
  <c r="AZ31"/>
  <c r="BF31"/>
  <c r="BG31" s="1"/>
  <c r="CQ31"/>
  <c r="CR31"/>
  <c r="CS31"/>
  <c r="CT31"/>
  <c r="CU31"/>
  <c r="CV31"/>
  <c r="CW31"/>
  <c r="CX31"/>
  <c r="CY31"/>
  <c r="CZ31"/>
  <c r="DI31"/>
  <c r="AS31" s="1"/>
  <c r="DK31"/>
  <c r="V31" s="1"/>
  <c r="DM31"/>
  <c r="BJ31" s="1"/>
  <c r="I30"/>
  <c r="DB30" s="1"/>
  <c r="DE30" s="1"/>
  <c r="J30"/>
  <c r="N30"/>
  <c r="O30"/>
  <c r="T30"/>
  <c r="Q30" s="1"/>
  <c r="R30" s="1"/>
  <c r="AZ30"/>
  <c r="BF30"/>
  <c r="BG30" s="1"/>
  <c r="CQ30"/>
  <c r="CR30"/>
  <c r="CS30"/>
  <c r="CT30"/>
  <c r="CU30"/>
  <c r="CV30"/>
  <c r="CW30"/>
  <c r="CX30"/>
  <c r="CY30"/>
  <c r="CZ30"/>
  <c r="DI30"/>
  <c r="AS30" s="1"/>
  <c r="DK30"/>
  <c r="V30" s="1"/>
  <c r="DM30"/>
  <c r="BJ30" s="1"/>
  <c r="I29"/>
  <c r="DF29" s="1"/>
  <c r="J29"/>
  <c r="N29"/>
  <c r="O29"/>
  <c r="AZ29"/>
  <c r="BF29"/>
  <c r="BG29" s="1"/>
  <c r="CQ29"/>
  <c r="CR29"/>
  <c r="CS29"/>
  <c r="CT29"/>
  <c r="CU29"/>
  <c r="CV29"/>
  <c r="CW29"/>
  <c r="CX29"/>
  <c r="CY29"/>
  <c r="CZ29"/>
  <c r="DI29"/>
  <c r="AS29" s="1"/>
  <c r="DK29"/>
  <c r="V29" s="1"/>
  <c r="DM29"/>
  <c r="BJ29" s="1"/>
  <c r="I28"/>
  <c r="DB28" s="1"/>
  <c r="DE28" s="1"/>
  <c r="J28"/>
  <c r="N28"/>
  <c r="O28"/>
  <c r="T28"/>
  <c r="AZ28"/>
  <c r="BF28"/>
  <c r="BG28" s="1"/>
  <c r="CQ28"/>
  <c r="CR28"/>
  <c r="CS28"/>
  <c r="CT28"/>
  <c r="CU28"/>
  <c r="CV28"/>
  <c r="CW28"/>
  <c r="CX28"/>
  <c r="CY28"/>
  <c r="CZ28"/>
  <c r="DI28"/>
  <c r="AS28" s="1"/>
  <c r="DK28"/>
  <c r="V28" s="1"/>
  <c r="DM28"/>
  <c r="BJ28" s="1"/>
  <c r="I27"/>
  <c r="DB27" s="1"/>
  <c r="DE27" s="1"/>
  <c r="J27"/>
  <c r="N27"/>
  <c r="O27"/>
  <c r="T27"/>
  <c r="AZ27"/>
  <c r="BF27"/>
  <c r="BG27" s="1"/>
  <c r="CQ27"/>
  <c r="CR27"/>
  <c r="CS27"/>
  <c r="CT27"/>
  <c r="CU27"/>
  <c r="CV27"/>
  <c r="CW27"/>
  <c r="CX27"/>
  <c r="CY27"/>
  <c r="CZ27"/>
  <c r="DI27"/>
  <c r="AS27" s="1"/>
  <c r="DK27"/>
  <c r="V27" s="1"/>
  <c r="DM27"/>
  <c r="BJ27" s="1"/>
  <c r="I26"/>
  <c r="DF26" s="1"/>
  <c r="J26"/>
  <c r="N26"/>
  <c r="O26"/>
  <c r="T26"/>
  <c r="AZ26"/>
  <c r="BF26"/>
  <c r="BG26" s="1"/>
  <c r="BJ26"/>
  <c r="CP26" s="1"/>
  <c r="CQ26"/>
  <c r="CR26"/>
  <c r="CS26"/>
  <c r="CT26"/>
  <c r="CU26"/>
  <c r="CV26"/>
  <c r="CW26"/>
  <c r="CX26"/>
  <c r="CY26"/>
  <c r="CZ26"/>
  <c r="DB26"/>
  <c r="DE26" s="1"/>
  <c r="DI26"/>
  <c r="AS26" s="1"/>
  <c r="DK26"/>
  <c r="V26" s="1"/>
  <c r="DM26"/>
  <c r="I25"/>
  <c r="DB25" s="1"/>
  <c r="DE25" s="1"/>
  <c r="J25"/>
  <c r="N25"/>
  <c r="O25"/>
  <c r="Q25"/>
  <c r="R25" s="1"/>
  <c r="T25"/>
  <c r="AZ25"/>
  <c r="BF25"/>
  <c r="BG25" s="1"/>
  <c r="BJ25"/>
  <c r="CP25" s="1"/>
  <c r="CQ25"/>
  <c r="CR25"/>
  <c r="CS25"/>
  <c r="CT25"/>
  <c r="CU25"/>
  <c r="CV25"/>
  <c r="CW25"/>
  <c r="CX25"/>
  <c r="CY25"/>
  <c r="CZ25"/>
  <c r="DI25"/>
  <c r="AS25" s="1"/>
  <c r="DK25"/>
  <c r="V25" s="1"/>
  <c r="DM25"/>
  <c r="I24"/>
  <c r="DB24" s="1"/>
  <c r="DE24" s="1"/>
  <c r="J24"/>
  <c r="N24"/>
  <c r="O24"/>
  <c r="T24"/>
  <c r="AZ24"/>
  <c r="BC24"/>
  <c r="BF24"/>
  <c r="BG24" s="1"/>
  <c r="BJ24"/>
  <c r="B24" s="1"/>
  <c r="CQ24"/>
  <c r="CR24"/>
  <c r="CS24"/>
  <c r="CT24"/>
  <c r="CU24"/>
  <c r="CV24"/>
  <c r="CW24"/>
  <c r="CX24"/>
  <c r="CY24"/>
  <c r="CZ24"/>
  <c r="DI24"/>
  <c r="AS24" s="1"/>
  <c r="DK24"/>
  <c r="V24" s="1"/>
  <c r="DM24"/>
  <c r="I23"/>
  <c r="DB23" s="1"/>
  <c r="DE23" s="1"/>
  <c r="J23"/>
  <c r="N23"/>
  <c r="O23"/>
  <c r="T23"/>
  <c r="Q23" s="1"/>
  <c r="R23" s="1"/>
  <c r="AZ23"/>
  <c r="BF23"/>
  <c r="BG23" s="1"/>
  <c r="CQ23"/>
  <c r="CR23"/>
  <c r="CS23"/>
  <c r="CT23"/>
  <c r="CU23"/>
  <c r="CV23"/>
  <c r="CW23"/>
  <c r="CX23"/>
  <c r="CY23"/>
  <c r="CZ23"/>
  <c r="DI23"/>
  <c r="AS23" s="1"/>
  <c r="DK23"/>
  <c r="V23" s="1"/>
  <c r="DM23"/>
  <c r="BJ23" s="1"/>
  <c r="I22"/>
  <c r="DB22" s="1"/>
  <c r="DE22" s="1"/>
  <c r="J22"/>
  <c r="N22"/>
  <c r="O22"/>
  <c r="T22"/>
  <c r="AZ22"/>
  <c r="BF22"/>
  <c r="BG22" s="1"/>
  <c r="CQ22"/>
  <c r="CR22"/>
  <c r="CS22"/>
  <c r="CT22"/>
  <c r="CU22"/>
  <c r="CV22"/>
  <c r="CW22"/>
  <c r="CX22"/>
  <c r="CY22"/>
  <c r="CZ22"/>
  <c r="DI22"/>
  <c r="AS22" s="1"/>
  <c r="DK22"/>
  <c r="V22" s="1"/>
  <c r="DM22"/>
  <c r="BJ22" s="1"/>
  <c r="I21"/>
  <c r="DF21" s="1"/>
  <c r="J21"/>
  <c r="N21"/>
  <c r="O21"/>
  <c r="T21"/>
  <c r="AZ21"/>
  <c r="BF21"/>
  <c r="BG21" s="1"/>
  <c r="BJ21"/>
  <c r="CP21" s="1"/>
  <c r="CQ21"/>
  <c r="CR21"/>
  <c r="CS21"/>
  <c r="CT21"/>
  <c r="CU21"/>
  <c r="CV21"/>
  <c r="CW21"/>
  <c r="CX21"/>
  <c r="CY21"/>
  <c r="CZ21"/>
  <c r="DB21"/>
  <c r="DE21" s="1"/>
  <c r="DI21"/>
  <c r="AS21" s="1"/>
  <c r="DK21"/>
  <c r="V21" s="1"/>
  <c r="DM21"/>
  <c r="I20"/>
  <c r="DF20" s="1"/>
  <c r="J20"/>
  <c r="N20"/>
  <c r="O20"/>
  <c r="Q20"/>
  <c r="R20" s="1"/>
  <c r="T20"/>
  <c r="AZ20"/>
  <c r="BF20"/>
  <c r="BG20" s="1"/>
  <c r="CQ20"/>
  <c r="CR20"/>
  <c r="CS20"/>
  <c r="CT20"/>
  <c r="CU20"/>
  <c r="CV20"/>
  <c r="CW20"/>
  <c r="CX20"/>
  <c r="CY20"/>
  <c r="CZ20"/>
  <c r="DB20"/>
  <c r="DE20" s="1"/>
  <c r="DI20"/>
  <c r="AS20" s="1"/>
  <c r="DK20"/>
  <c r="V20" s="1"/>
  <c r="DM20"/>
  <c r="BJ20" s="1"/>
  <c r="I19"/>
  <c r="DF19" s="1"/>
  <c r="J19"/>
  <c r="N19"/>
  <c r="O19"/>
  <c r="Q19"/>
  <c r="R19" s="1"/>
  <c r="T19"/>
  <c r="AZ19"/>
  <c r="BF19"/>
  <c r="BG19" s="1"/>
  <c r="CQ19"/>
  <c r="CR19"/>
  <c r="CS19"/>
  <c r="CT19"/>
  <c r="CU19"/>
  <c r="CV19"/>
  <c r="CW19"/>
  <c r="CX19"/>
  <c r="CY19"/>
  <c r="CZ19"/>
  <c r="DB19"/>
  <c r="DE19" s="1"/>
  <c r="DI19"/>
  <c r="AS19" s="1"/>
  <c r="DK19"/>
  <c r="V19" s="1"/>
  <c r="DM19"/>
  <c r="BJ19" s="1"/>
  <c r="I18"/>
  <c r="DF18" s="1"/>
  <c r="J18"/>
  <c r="N18"/>
  <c r="O18"/>
  <c r="Q18"/>
  <c r="R18" s="1"/>
  <c r="T18"/>
  <c r="AZ18"/>
  <c r="BF18"/>
  <c r="BG18" s="1"/>
  <c r="CQ18"/>
  <c r="CR18"/>
  <c r="CS18"/>
  <c r="CT18"/>
  <c r="CU18"/>
  <c r="CV18"/>
  <c r="CW18"/>
  <c r="CX18"/>
  <c r="CY18"/>
  <c r="CZ18"/>
  <c r="DB18"/>
  <c r="DE18" s="1"/>
  <c r="DI18"/>
  <c r="AS18" s="1"/>
  <c r="DK18"/>
  <c r="V18" s="1"/>
  <c r="DM18"/>
  <c r="BJ18" s="1"/>
  <c r="I17"/>
  <c r="DF17" s="1"/>
  <c r="J17"/>
  <c r="N17"/>
  <c r="O17"/>
  <c r="Q17"/>
  <c r="R17" s="1"/>
  <c r="T17"/>
  <c r="AZ17"/>
  <c r="BF17"/>
  <c r="BG17" s="1"/>
  <c r="CQ17"/>
  <c r="CR17"/>
  <c r="CS17"/>
  <c r="CT17"/>
  <c r="CU17"/>
  <c r="CV17"/>
  <c r="CW17"/>
  <c r="CX17"/>
  <c r="CY17"/>
  <c r="CZ17"/>
  <c r="DB17"/>
  <c r="DE17" s="1"/>
  <c r="DI17"/>
  <c r="AS17" s="1"/>
  <c r="DK17"/>
  <c r="V17" s="1"/>
  <c r="DM17"/>
  <c r="BJ17" s="1"/>
  <c r="I16"/>
  <c r="DF16" s="1"/>
  <c r="J16"/>
  <c r="N16"/>
  <c r="O16"/>
  <c r="Q16"/>
  <c r="R16" s="1"/>
  <c r="T16"/>
  <c r="AZ16"/>
  <c r="BF16"/>
  <c r="BG16" s="1"/>
  <c r="CQ16"/>
  <c r="CR16"/>
  <c r="CS16"/>
  <c r="CT16"/>
  <c r="CU16"/>
  <c r="CV16"/>
  <c r="CW16"/>
  <c r="CX16"/>
  <c r="CY16"/>
  <c r="CZ16"/>
  <c r="DB16"/>
  <c r="DE16" s="1"/>
  <c r="DI16"/>
  <c r="AS16" s="1"/>
  <c r="DK16"/>
  <c r="V16" s="1"/>
  <c r="DM16"/>
  <c r="BJ16" s="1"/>
  <c r="I15"/>
  <c r="DF15" s="1"/>
  <c r="J15"/>
  <c r="N15"/>
  <c r="O15"/>
  <c r="Q15"/>
  <c r="R15" s="1"/>
  <c r="T15"/>
  <c r="AZ15"/>
  <c r="BF15"/>
  <c r="BG15" s="1"/>
  <c r="CQ15"/>
  <c r="CR15"/>
  <c r="CS15"/>
  <c r="CT15"/>
  <c r="CU15"/>
  <c r="CV15"/>
  <c r="CW15"/>
  <c r="CX15"/>
  <c r="CY15"/>
  <c r="CZ15"/>
  <c r="DB15"/>
  <c r="DE15" s="1"/>
  <c r="DI15"/>
  <c r="AS15" s="1"/>
  <c r="DK15"/>
  <c r="V15" s="1"/>
  <c r="DM15"/>
  <c r="BJ15" s="1"/>
  <c r="I14"/>
  <c r="DF14" s="1"/>
  <c r="J14"/>
  <c r="N14"/>
  <c r="O14"/>
  <c r="Q14"/>
  <c r="R14" s="1"/>
  <c r="T14"/>
  <c r="AZ14"/>
  <c r="BF14"/>
  <c r="BG14" s="1"/>
  <c r="CQ14"/>
  <c r="CR14"/>
  <c r="CS14"/>
  <c r="CT14"/>
  <c r="CU14"/>
  <c r="CV14"/>
  <c r="CW14"/>
  <c r="CX14"/>
  <c r="CY14"/>
  <c r="CZ14"/>
  <c r="DI14"/>
  <c r="AS14" s="1"/>
  <c r="DK14"/>
  <c r="V14" s="1"/>
  <c r="DM14"/>
  <c r="BJ14" s="1"/>
  <c r="I13"/>
  <c r="DF13" s="1"/>
  <c r="J13"/>
  <c r="N13"/>
  <c r="O13"/>
  <c r="Q13"/>
  <c r="R13" s="1"/>
  <c r="T13"/>
  <c r="AZ13"/>
  <c r="BF13"/>
  <c r="BG13" s="1"/>
  <c r="CQ13"/>
  <c r="CR13"/>
  <c r="CS13"/>
  <c r="CT13"/>
  <c r="CU13"/>
  <c r="CV13"/>
  <c r="CW13"/>
  <c r="CX13"/>
  <c r="CY13"/>
  <c r="CZ13"/>
  <c r="DB13"/>
  <c r="DE13" s="1"/>
  <c r="DI13"/>
  <c r="AS13" s="1"/>
  <c r="DK13"/>
  <c r="V13" s="1"/>
  <c r="DM13"/>
  <c r="BJ13" s="1"/>
  <c r="I12"/>
  <c r="DF12" s="1"/>
  <c r="J12"/>
  <c r="N12"/>
  <c r="O12"/>
  <c r="Q12"/>
  <c r="R12" s="1"/>
  <c r="T12"/>
  <c r="AZ12"/>
  <c r="BF12"/>
  <c r="BG12" s="1"/>
  <c r="CQ12"/>
  <c r="CR12"/>
  <c r="CS12"/>
  <c r="CT12"/>
  <c r="CU12"/>
  <c r="CV12"/>
  <c r="CW12"/>
  <c r="CX12"/>
  <c r="CY12"/>
  <c r="CZ12"/>
  <c r="DB12"/>
  <c r="DE12" s="1"/>
  <c r="DI12"/>
  <c r="AS12" s="1"/>
  <c r="DK12"/>
  <c r="V12" s="1"/>
  <c r="DM12"/>
  <c r="BJ12" s="1"/>
  <c r="I11"/>
  <c r="DF11" s="1"/>
  <c r="J11"/>
  <c r="N11"/>
  <c r="O11"/>
  <c r="Q11"/>
  <c r="R11" s="1"/>
  <c r="T11"/>
  <c r="AZ11"/>
  <c r="BF11"/>
  <c r="BG11" s="1"/>
  <c r="CQ11"/>
  <c r="CR11"/>
  <c r="CS11"/>
  <c r="CT11"/>
  <c r="CU11"/>
  <c r="CV11"/>
  <c r="CW11"/>
  <c r="CX11"/>
  <c r="CY11"/>
  <c r="CZ11"/>
  <c r="DB11"/>
  <c r="DE11" s="1"/>
  <c r="DI11"/>
  <c r="AS11" s="1"/>
  <c r="DK11"/>
  <c r="V11" s="1"/>
  <c r="DM11"/>
  <c r="BJ11" s="1"/>
  <c r="I10"/>
  <c r="DB10" s="1"/>
  <c r="DE10" s="1"/>
  <c r="J10"/>
  <c r="N10"/>
  <c r="O10"/>
  <c r="T10"/>
  <c r="AZ10"/>
  <c r="BF10"/>
  <c r="BG10" s="1"/>
  <c r="CQ10"/>
  <c r="CR10"/>
  <c r="CS10"/>
  <c r="CT10"/>
  <c r="CU10"/>
  <c r="CV10"/>
  <c r="CW10"/>
  <c r="CX10"/>
  <c r="CY10"/>
  <c r="CZ10"/>
  <c r="DI10"/>
  <c r="AS10" s="1"/>
  <c r="DK10"/>
  <c r="V10" s="1"/>
  <c r="DM10"/>
  <c r="BJ10" s="1"/>
  <c r="I9"/>
  <c r="DF9" s="1"/>
  <c r="J9"/>
  <c r="N9"/>
  <c r="O9"/>
  <c r="T9"/>
  <c r="V9"/>
  <c r="AZ9"/>
  <c r="BF9"/>
  <c r="BG9" s="1"/>
  <c r="CQ9"/>
  <c r="CR9"/>
  <c r="CS9"/>
  <c r="CT9"/>
  <c r="CU9"/>
  <c r="CV9"/>
  <c r="CW9"/>
  <c r="CX9"/>
  <c r="CY9"/>
  <c r="CZ9"/>
  <c r="DB9"/>
  <c r="DE9" s="1"/>
  <c r="DI9"/>
  <c r="AS9" s="1"/>
  <c r="DM9"/>
  <c r="BJ9" s="1"/>
  <c r="B8"/>
  <c r="B7"/>
  <c r="E7" s="1"/>
  <c r="BJ8"/>
  <c r="BJ7"/>
  <c r="DM8"/>
  <c r="DM7"/>
  <c r="V8"/>
  <c r="V7"/>
  <c r="DK8"/>
  <c r="DK7"/>
  <c r="DI8"/>
  <c r="DI7"/>
  <c r="AS8"/>
  <c r="AS7"/>
  <c r="AS46"/>
  <c r="AS43"/>
  <c r="AA41"/>
  <c r="BD39"/>
  <c r="AR39"/>
  <c r="AP39"/>
  <c r="AO39"/>
  <c r="AN39"/>
  <c r="AD39"/>
  <c r="AC39"/>
  <c r="Z39"/>
  <c r="Z41" s="1"/>
  <c r="Y39"/>
  <c r="CJ38"/>
  <c r="CN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F38"/>
  <c r="AV38"/>
  <c r="AV39" s="1"/>
  <c r="AU38"/>
  <c r="AU39" s="1"/>
  <c r="AT38"/>
  <c r="AT39" s="1"/>
  <c r="AL38"/>
  <c r="AL39" s="1"/>
  <c r="AK38"/>
  <c r="AK39" s="1"/>
  <c r="AJ38"/>
  <c r="AI38"/>
  <c r="AI39" s="1"/>
  <c r="AG38"/>
  <c r="AG39" s="1"/>
  <c r="AE38"/>
  <c r="AE39" s="1"/>
  <c r="AD38"/>
  <c r="W38"/>
  <c r="W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AZ37"/>
  <c r="AY37"/>
  <c r="AX37"/>
  <c r="BH37" s="1"/>
  <c r="AM37"/>
  <c r="AF37"/>
  <c r="T37"/>
  <c r="P37"/>
  <c r="Q37" s="1"/>
  <c r="O37"/>
  <c r="N37"/>
  <c r="M37"/>
  <c r="L37"/>
  <c r="J37"/>
  <c r="I37"/>
  <c r="DF37" s="1"/>
  <c r="H37"/>
  <c r="F37"/>
  <c r="B37"/>
  <c r="C37" s="1"/>
  <c r="CZ8"/>
  <c r="CY8"/>
  <c r="CX8"/>
  <c r="CW8"/>
  <c r="CV8"/>
  <c r="CU8"/>
  <c r="CT8"/>
  <c r="CS8"/>
  <c r="CR8"/>
  <c r="CQ8"/>
  <c r="CP8"/>
  <c r="BF8"/>
  <c r="AZ8"/>
  <c r="AX8"/>
  <c r="BH8" s="1"/>
  <c r="AM8"/>
  <c r="AH8"/>
  <c r="T8"/>
  <c r="O8"/>
  <c r="N8"/>
  <c r="J8"/>
  <c r="I8"/>
  <c r="DF8" s="1"/>
  <c r="E8"/>
  <c r="CZ7"/>
  <c r="CZ38" s="1"/>
  <c r="CY7"/>
  <c r="CW7"/>
  <c r="CV7"/>
  <c r="CV38" s="1"/>
  <c r="CU7"/>
  <c r="CT7"/>
  <c r="CT38" s="1"/>
  <c r="CS7"/>
  <c r="CR7"/>
  <c r="CR38" s="1"/>
  <c r="CQ7"/>
  <c r="BF7"/>
  <c r="AZ7"/>
  <c r="O7"/>
  <c r="N7"/>
  <c r="J7"/>
  <c r="I7"/>
  <c r="U18" i="96" l="1"/>
  <c r="R39" i="98"/>
  <c r="DB29" i="95"/>
  <c r="DE29" s="1"/>
  <c r="W7" i="98"/>
  <c r="X7" s="1"/>
  <c r="W20"/>
  <c r="X20" s="1"/>
  <c r="W21"/>
  <c r="X21" s="1"/>
  <c r="BE17"/>
  <c r="BE15"/>
  <c r="W23"/>
  <c r="X23" s="1"/>
  <c r="W29"/>
  <c r="X29" s="1"/>
  <c r="W33"/>
  <c r="X33" s="1"/>
  <c r="W35"/>
  <c r="X35" s="1"/>
  <c r="W37"/>
  <c r="X37" s="1"/>
  <c r="W28"/>
  <c r="X28" s="1"/>
  <c r="W11"/>
  <c r="X11" s="1"/>
  <c r="W15"/>
  <c r="X15" s="1"/>
  <c r="W19"/>
  <c r="X19" s="1"/>
  <c r="W31"/>
  <c r="X31" s="1"/>
  <c r="BB36"/>
  <c r="W27"/>
  <c r="X27" s="1"/>
  <c r="F19"/>
  <c r="W18"/>
  <c r="X18" s="1"/>
  <c r="W16"/>
  <c r="X16" s="1"/>
  <c r="W14"/>
  <c r="X14" s="1"/>
  <c r="W12"/>
  <c r="X12" s="1"/>
  <c r="W10"/>
  <c r="X10" s="1"/>
  <c r="BE22"/>
  <c r="BE13"/>
  <c r="F21"/>
  <c r="W22"/>
  <c r="X22" s="1"/>
  <c r="W30"/>
  <c r="X30" s="1"/>
  <c r="W32"/>
  <c r="X32" s="1"/>
  <c r="W34"/>
  <c r="X34" s="1"/>
  <c r="W36"/>
  <c r="X36" s="1"/>
  <c r="W26"/>
  <c r="X26" s="1"/>
  <c r="W9"/>
  <c r="X9" s="1"/>
  <c r="W13"/>
  <c r="X13" s="1"/>
  <c r="W17"/>
  <c r="X17" s="1"/>
  <c r="F7"/>
  <c r="X39" i="100"/>
  <c r="BB39"/>
  <c r="BB37" i="98"/>
  <c r="F37"/>
  <c r="Q39"/>
  <c r="O39"/>
  <c r="CR39"/>
  <c r="BJ24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F15"/>
  <c r="BE37"/>
  <c r="BE36"/>
  <c r="F36"/>
  <c r="BE35"/>
  <c r="BB35"/>
  <c r="F35"/>
  <c r="BB17"/>
  <c r="BB9"/>
  <c r="BB23"/>
  <c r="F22"/>
  <c r="BB22"/>
  <c r="F17"/>
  <c r="BB15"/>
  <c r="BE11"/>
  <c r="F13"/>
  <c r="BB13"/>
  <c r="BB36" i="99"/>
  <c r="AY36"/>
  <c r="F36"/>
  <c r="BB35"/>
  <c r="AY35"/>
  <c r="F35"/>
  <c r="BB34"/>
  <c r="AY34"/>
  <c r="F34"/>
  <c r="BB33"/>
  <c r="AY33"/>
  <c r="AY38" s="1"/>
  <c r="AY39" s="1"/>
  <c r="F33"/>
  <c r="BB32"/>
  <c r="AY32"/>
  <c r="F32"/>
  <c r="BB31"/>
  <c r="AY31"/>
  <c r="F31"/>
  <c r="BB30"/>
  <c r="AY30"/>
  <c r="F30"/>
  <c r="BB29"/>
  <c r="AY29"/>
  <c r="F29"/>
  <c r="BB28"/>
  <c r="AY28"/>
  <c r="F28"/>
  <c r="BB27"/>
  <c r="AY27"/>
  <c r="F27"/>
  <c r="BB26"/>
  <c r="AY26"/>
  <c r="F26"/>
  <c r="BB25"/>
  <c r="AY25"/>
  <c r="F25"/>
  <c r="AY24"/>
  <c r="BB24"/>
  <c r="F24"/>
  <c r="BB23"/>
  <c r="AY23"/>
  <c r="F23"/>
  <c r="BB22"/>
  <c r="AY22"/>
  <c r="F22"/>
  <c r="BB21"/>
  <c r="AY21"/>
  <c r="F21"/>
  <c r="BB20"/>
  <c r="AY20"/>
  <c r="F20"/>
  <c r="BB19"/>
  <c r="AY19"/>
  <c r="F19"/>
  <c r="BB18"/>
  <c r="AY18"/>
  <c r="F18"/>
  <c r="AY17"/>
  <c r="BB17"/>
  <c r="F17"/>
  <c r="AY16"/>
  <c r="BB16"/>
  <c r="F16"/>
  <c r="DD38"/>
  <c r="AY15"/>
  <c r="BB15"/>
  <c r="F15"/>
  <c r="AY14"/>
  <c r="BB14"/>
  <c r="F14"/>
  <c r="AY13"/>
  <c r="BB13"/>
  <c r="F13"/>
  <c r="AY12"/>
  <c r="BB12"/>
  <c r="F12"/>
  <c r="AY11"/>
  <c r="BB11"/>
  <c r="F11"/>
  <c r="AY10"/>
  <c r="BB10"/>
  <c r="F10"/>
  <c r="D38"/>
  <c r="BB39" s="1"/>
  <c r="AY9"/>
  <c r="BB9"/>
  <c r="F9"/>
  <c r="R38"/>
  <c r="U39" s="1"/>
  <c r="U41" s="1"/>
  <c r="U7"/>
  <c r="DK38" i="98"/>
  <c r="CV39"/>
  <c r="CT40" s="1"/>
  <c r="Q36" i="96"/>
  <c r="R36" s="1"/>
  <c r="C28"/>
  <c r="D28" s="1"/>
  <c r="H35"/>
  <c r="M35"/>
  <c r="AH35"/>
  <c r="AW35"/>
  <c r="BA35"/>
  <c r="BC35" s="1"/>
  <c r="Q35"/>
  <c r="R35" s="1"/>
  <c r="S39" i="98"/>
  <c r="S41" s="1"/>
  <c r="E39"/>
  <c r="C39"/>
  <c r="BE34"/>
  <c r="BB34"/>
  <c r="F34"/>
  <c r="BE33"/>
  <c r="BB33"/>
  <c r="F33"/>
  <c r="BE32"/>
  <c r="BB32"/>
  <c r="F32"/>
  <c r="BE31"/>
  <c r="BB31"/>
  <c r="F31"/>
  <c r="BE30"/>
  <c r="BB30"/>
  <c r="F30"/>
  <c r="BE29"/>
  <c r="BB29"/>
  <c r="F29"/>
  <c r="BE28"/>
  <c r="BB28"/>
  <c r="F28"/>
  <c r="BE27"/>
  <c r="BB27"/>
  <c r="F27"/>
  <c r="BE26"/>
  <c r="BB26"/>
  <c r="F26"/>
  <c r="BB18"/>
  <c r="F18"/>
  <c r="BE18"/>
  <c r="BE16"/>
  <c r="F16"/>
  <c r="BB16"/>
  <c r="BE14"/>
  <c r="F14"/>
  <c r="BB14"/>
  <c r="BE12"/>
  <c r="F12"/>
  <c r="BB12"/>
  <c r="BE10"/>
  <c r="F10"/>
  <c r="BB10"/>
  <c r="BE8"/>
  <c r="F8"/>
  <c r="BB8"/>
  <c r="BB19"/>
  <c r="BE19"/>
  <c r="DG38"/>
  <c r="DI38" s="1"/>
  <c r="DJ7"/>
  <c r="DJ38" s="1"/>
  <c r="BF22"/>
  <c r="DA39"/>
  <c r="T8"/>
  <c r="BB20"/>
  <c r="BE20"/>
  <c r="BB21"/>
  <c r="BE21"/>
  <c r="D38"/>
  <c r="BB7"/>
  <c r="F20"/>
  <c r="CX38" i="96"/>
  <c r="H34"/>
  <c r="M34"/>
  <c r="AH34"/>
  <c r="AW34"/>
  <c r="BA34"/>
  <c r="BC34" s="1"/>
  <c r="Q33"/>
  <c r="R33" s="1"/>
  <c r="AF33"/>
  <c r="Q27"/>
  <c r="R27" s="1"/>
  <c r="C29"/>
  <c r="D29" s="1"/>
  <c r="C31"/>
  <c r="D31" s="1"/>
  <c r="H32"/>
  <c r="M32"/>
  <c r="H27"/>
  <c r="M27"/>
  <c r="BH25"/>
  <c r="H25"/>
  <c r="M25"/>
  <c r="AH21"/>
  <c r="AW21"/>
  <c r="AH19"/>
  <c r="AW19"/>
  <c r="Q15"/>
  <c r="R15" s="1"/>
  <c r="H13"/>
  <c r="M13"/>
  <c r="CT38"/>
  <c r="CR38"/>
  <c r="CP38"/>
  <c r="H11"/>
  <c r="M11"/>
  <c r="Q11"/>
  <c r="R11" s="1"/>
  <c r="C11"/>
  <c r="AF11"/>
  <c r="C9"/>
  <c r="E13"/>
  <c r="E15"/>
  <c r="Q25"/>
  <c r="R25" s="1"/>
  <c r="AZ38"/>
  <c r="AZ39" s="1"/>
  <c r="E17"/>
  <c r="C25"/>
  <c r="D25" s="1"/>
  <c r="C27"/>
  <c r="D27" s="1"/>
  <c r="Q29"/>
  <c r="R29" s="1"/>
  <c r="Q31"/>
  <c r="R31" s="1"/>
  <c r="C37" i="97"/>
  <c r="E37"/>
  <c r="D37"/>
  <c r="C36"/>
  <c r="E36"/>
  <c r="D36"/>
  <c r="C35"/>
  <c r="E35"/>
  <c r="D35"/>
  <c r="C34"/>
  <c r="E34"/>
  <c r="D34"/>
  <c r="C33"/>
  <c r="E33"/>
  <c r="D33"/>
  <c r="C32"/>
  <c r="E32"/>
  <c r="D32"/>
  <c r="C31"/>
  <c r="E31"/>
  <c r="D31"/>
  <c r="C30"/>
  <c r="E30"/>
  <c r="D30"/>
  <c r="C29"/>
  <c r="E29"/>
  <c r="D29"/>
  <c r="C28"/>
  <c r="E28"/>
  <c r="D28"/>
  <c r="C27"/>
  <c r="E27"/>
  <c r="D27"/>
  <c r="C26"/>
  <c r="E26"/>
  <c r="D26"/>
  <c r="C25"/>
  <c r="E25"/>
  <c r="D25"/>
  <c r="C24"/>
  <c r="E24"/>
  <c r="D24"/>
  <c r="C23"/>
  <c r="E23"/>
  <c r="D23"/>
  <c r="C22"/>
  <c r="E22"/>
  <c r="D22"/>
  <c r="C21"/>
  <c r="E21"/>
  <c r="D21"/>
  <c r="C20"/>
  <c r="E20"/>
  <c r="D20"/>
  <c r="C19"/>
  <c r="E19"/>
  <c r="D19"/>
  <c r="C18"/>
  <c r="E18"/>
  <c r="D18"/>
  <c r="C17"/>
  <c r="E17"/>
  <c r="D17"/>
  <c r="C16"/>
  <c r="E16"/>
  <c r="D16"/>
  <c r="C15"/>
  <c r="E15"/>
  <c r="D15"/>
  <c r="C14"/>
  <c r="E14"/>
  <c r="D14"/>
  <c r="C13"/>
  <c r="E13"/>
  <c r="D13"/>
  <c r="C12"/>
  <c r="E12"/>
  <c r="D12"/>
  <c r="C11"/>
  <c r="E11"/>
  <c r="D11"/>
  <c r="C10"/>
  <c r="E10"/>
  <c r="D10"/>
  <c r="C9"/>
  <c r="E9"/>
  <c r="D9"/>
  <c r="J45"/>
  <c r="Q8"/>
  <c r="BJ38"/>
  <c r="BR39" s="1"/>
  <c r="B7"/>
  <c r="E7" s="1"/>
  <c r="J38"/>
  <c r="J39" s="1"/>
  <c r="O38"/>
  <c r="O39" s="1"/>
  <c r="CP38"/>
  <c r="C7"/>
  <c r="H7"/>
  <c r="CR38"/>
  <c r="BI8"/>
  <c r="P38"/>
  <c r="P39" s="1"/>
  <c r="AX38"/>
  <c r="BC7"/>
  <c r="BH38"/>
  <c r="R8"/>
  <c r="U8" s="1"/>
  <c r="DB8"/>
  <c r="DE8" s="1"/>
  <c r="B38"/>
  <c r="B39" s="1"/>
  <c r="D7"/>
  <c r="I38"/>
  <c r="I39" s="1"/>
  <c r="I41" s="1"/>
  <c r="L38"/>
  <c r="L39" s="1"/>
  <c r="N38"/>
  <c r="N39" s="1"/>
  <c r="R7"/>
  <c r="AZ38"/>
  <c r="AZ39" s="1"/>
  <c r="BE7"/>
  <c r="BE8" s="1"/>
  <c r="BG7"/>
  <c r="BG8" s="1"/>
  <c r="CQ38"/>
  <c r="CS38"/>
  <c r="CU38"/>
  <c r="CW38"/>
  <c r="CY38"/>
  <c r="DB7"/>
  <c r="DF7"/>
  <c r="C8"/>
  <c r="D8" s="1"/>
  <c r="H8"/>
  <c r="M8"/>
  <c r="AF8"/>
  <c r="BA8"/>
  <c r="BA38" s="1"/>
  <c r="BA39" s="1"/>
  <c r="BS39"/>
  <c r="BU39"/>
  <c r="BW39"/>
  <c r="CA39"/>
  <c r="CC39"/>
  <c r="CE39"/>
  <c r="AS39"/>
  <c r="AM39" s="1"/>
  <c r="AS41"/>
  <c r="E26" i="96"/>
  <c r="E30"/>
  <c r="H9"/>
  <c r="M9"/>
  <c r="AF9"/>
  <c r="J45"/>
  <c r="AF7"/>
  <c r="Q17"/>
  <c r="R17" s="1"/>
  <c r="L38"/>
  <c r="L39" s="1"/>
  <c r="I38"/>
  <c r="I39" s="1"/>
  <c r="I41" s="1"/>
  <c r="B38"/>
  <c r="B39" s="1"/>
  <c r="Q28"/>
  <c r="R28" s="1"/>
  <c r="J38"/>
  <c r="J39" s="1"/>
  <c r="E7"/>
  <c r="Q26"/>
  <c r="R26" s="1"/>
  <c r="Q30"/>
  <c r="R30" s="1"/>
  <c r="O38"/>
  <c r="O39" s="1"/>
  <c r="N38"/>
  <c r="N39" s="1"/>
  <c r="DF25"/>
  <c r="DF26"/>
  <c r="DB27"/>
  <c r="DE27" s="1"/>
  <c r="DB28"/>
  <c r="DE28" s="1"/>
  <c r="DF29"/>
  <c r="M23"/>
  <c r="AH32"/>
  <c r="AW32"/>
  <c r="BA32"/>
  <c r="BC32" s="1"/>
  <c r="AF13"/>
  <c r="M19"/>
  <c r="M21"/>
  <c r="BI7"/>
  <c r="BI8" s="1"/>
  <c r="BI9" s="1"/>
  <c r="BI10" s="1"/>
  <c r="BI11" s="1"/>
  <c r="BI12" s="1"/>
  <c r="BI13" s="1"/>
  <c r="BI14" s="1"/>
  <c r="BI15" s="1"/>
  <c r="AH8"/>
  <c r="AH17"/>
  <c r="BA17"/>
  <c r="M17"/>
  <c r="BH18"/>
  <c r="BA20"/>
  <c r="BC20" s="1"/>
  <c r="AF22"/>
  <c r="BA22"/>
  <c r="BC22" s="1"/>
  <c r="AF30"/>
  <c r="AH12"/>
  <c r="AH14"/>
  <c r="BH17"/>
  <c r="H17"/>
  <c r="AF18"/>
  <c r="BA18"/>
  <c r="BC18" s="1"/>
  <c r="BH20"/>
  <c r="BH22"/>
  <c r="M24"/>
  <c r="AF26"/>
  <c r="AF28"/>
  <c r="AF31"/>
  <c r="BA7"/>
  <c r="M7"/>
  <c r="BA9"/>
  <c r="BA11"/>
  <c r="BA13"/>
  <c r="BA15"/>
  <c r="AH18"/>
  <c r="M18"/>
  <c r="BA19"/>
  <c r="AH20"/>
  <c r="M20"/>
  <c r="BA21"/>
  <c r="AH22"/>
  <c r="M22"/>
  <c r="BA23"/>
  <c r="AH24"/>
  <c r="AW24"/>
  <c r="H26"/>
  <c r="M26"/>
  <c r="H28"/>
  <c r="M28"/>
  <c r="H30"/>
  <c r="M30"/>
  <c r="H31"/>
  <c r="M31"/>
  <c r="H33"/>
  <c r="M33"/>
  <c r="AH33"/>
  <c r="AW33"/>
  <c r="BA33"/>
  <c r="BC33" s="1"/>
  <c r="BC17"/>
  <c r="BC9"/>
  <c r="BC11"/>
  <c r="BC13"/>
  <c r="BC15"/>
  <c r="BC19"/>
  <c r="BC21"/>
  <c r="BC23"/>
  <c r="T38"/>
  <c r="T39" s="1"/>
  <c r="D9"/>
  <c r="R9"/>
  <c r="D11"/>
  <c r="D13"/>
  <c r="R13"/>
  <c r="D15"/>
  <c r="H24"/>
  <c r="H18"/>
  <c r="H19"/>
  <c r="H20"/>
  <c r="H21"/>
  <c r="H22"/>
  <c r="H23"/>
  <c r="D26"/>
  <c r="D30"/>
  <c r="H7"/>
  <c r="P38"/>
  <c r="P39" s="1"/>
  <c r="AX38"/>
  <c r="AB39" s="1"/>
  <c r="DF15"/>
  <c r="DB15"/>
  <c r="DE15" s="1"/>
  <c r="E18"/>
  <c r="C18"/>
  <c r="D18" s="1"/>
  <c r="D7"/>
  <c r="R7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BG7"/>
  <c r="BG8" s="1"/>
  <c r="BG9" s="1"/>
  <c r="BG10" s="1"/>
  <c r="BG11" s="1"/>
  <c r="BG12" s="1"/>
  <c r="BG13" s="1"/>
  <c r="BG14" s="1"/>
  <c r="BG15" s="1"/>
  <c r="BG16" s="1"/>
  <c r="BG17" s="1"/>
  <c r="BG18" s="1"/>
  <c r="BG19" s="1"/>
  <c r="BG20" s="1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CQ38"/>
  <c r="CS38"/>
  <c r="CU38"/>
  <c r="CW38"/>
  <c r="CY38"/>
  <c r="DB7"/>
  <c r="DF7"/>
  <c r="C8"/>
  <c r="D8" s="1"/>
  <c r="E8"/>
  <c r="H8"/>
  <c r="M8"/>
  <c r="Q8"/>
  <c r="R8" s="1"/>
  <c r="AF8"/>
  <c r="BA8"/>
  <c r="BC8" s="1"/>
  <c r="DB9"/>
  <c r="DE9" s="1"/>
  <c r="C10"/>
  <c r="D10" s="1"/>
  <c r="E10"/>
  <c r="H10"/>
  <c r="M10"/>
  <c r="Q10"/>
  <c r="R10" s="1"/>
  <c r="AF10"/>
  <c r="BA10"/>
  <c r="BC10" s="1"/>
  <c r="DB11"/>
  <c r="DE11" s="1"/>
  <c r="C12"/>
  <c r="D12" s="1"/>
  <c r="E12"/>
  <c r="H12"/>
  <c r="M12"/>
  <c r="Q12"/>
  <c r="R12" s="1"/>
  <c r="AF12"/>
  <c r="BA12"/>
  <c r="BC12" s="1"/>
  <c r="DB13"/>
  <c r="DE13" s="1"/>
  <c r="C14"/>
  <c r="D14" s="1"/>
  <c r="E14"/>
  <c r="H14"/>
  <c r="M14"/>
  <c r="Q14"/>
  <c r="R14" s="1"/>
  <c r="AF14"/>
  <c r="BA14"/>
  <c r="BC14" s="1"/>
  <c r="R16"/>
  <c r="DF16"/>
  <c r="E16"/>
  <c r="C16"/>
  <c r="D16" s="1"/>
  <c r="BH16"/>
  <c r="BA16"/>
  <c r="BC16" s="1"/>
  <c r="AF16"/>
  <c r="M16"/>
  <c r="H16"/>
  <c r="DF18"/>
  <c r="DB18"/>
  <c r="DE18" s="1"/>
  <c r="BC7"/>
  <c r="DB8"/>
  <c r="DE8" s="1"/>
  <c r="DB10"/>
  <c r="DE10" s="1"/>
  <c r="DB12"/>
  <c r="DE12" s="1"/>
  <c r="DB14"/>
  <c r="DE14" s="1"/>
  <c r="D17"/>
  <c r="DB17"/>
  <c r="DE17" s="1"/>
  <c r="C19"/>
  <c r="D19" s="1"/>
  <c r="E19"/>
  <c r="Q19"/>
  <c r="R19" s="1"/>
  <c r="DB19"/>
  <c r="DE19" s="1"/>
  <c r="C20"/>
  <c r="D20" s="1"/>
  <c r="E20"/>
  <c r="Q20"/>
  <c r="R20" s="1"/>
  <c r="DB20"/>
  <c r="DE20" s="1"/>
  <c r="C21"/>
  <c r="D21" s="1"/>
  <c r="E21"/>
  <c r="Q21"/>
  <c r="R21" s="1"/>
  <c r="DB21"/>
  <c r="DE21" s="1"/>
  <c r="C22"/>
  <c r="D22" s="1"/>
  <c r="E22"/>
  <c r="Q22"/>
  <c r="R22" s="1"/>
  <c r="DB22"/>
  <c r="DE22" s="1"/>
  <c r="C23"/>
  <c r="D23" s="1"/>
  <c r="E23"/>
  <c r="Q23"/>
  <c r="R23" s="1"/>
  <c r="DB23"/>
  <c r="DE23" s="1"/>
  <c r="C24"/>
  <c r="D24" s="1"/>
  <c r="E24"/>
  <c r="Q24"/>
  <c r="R24" s="1"/>
  <c r="AH25"/>
  <c r="AW25"/>
  <c r="BA25"/>
  <c r="AH26"/>
  <c r="AW26"/>
  <c r="BA26"/>
  <c r="BC26" s="1"/>
  <c r="AH27"/>
  <c r="AW27"/>
  <c r="BA27"/>
  <c r="BC27" s="1"/>
  <c r="AH28"/>
  <c r="AW28"/>
  <c r="BA28"/>
  <c r="BC28" s="1"/>
  <c r="AH29"/>
  <c r="AW29"/>
  <c r="BA29"/>
  <c r="BC29" s="1"/>
  <c r="F30"/>
  <c r="AH30"/>
  <c r="AW30"/>
  <c r="BA30"/>
  <c r="BC30" s="1"/>
  <c r="AH31"/>
  <c r="AW31"/>
  <c r="BA31"/>
  <c r="BC31" s="1"/>
  <c r="R32"/>
  <c r="R34"/>
  <c r="R37"/>
  <c r="BS39"/>
  <c r="BU39"/>
  <c r="BY39"/>
  <c r="CA39"/>
  <c r="CC39"/>
  <c r="CE39"/>
  <c r="DB24"/>
  <c r="DE24" s="1"/>
  <c r="DB30"/>
  <c r="DE30" s="1"/>
  <c r="DB31"/>
  <c r="DE31" s="1"/>
  <c r="C32"/>
  <c r="D32" s="1"/>
  <c r="DB32"/>
  <c r="DE32" s="1"/>
  <c r="C33"/>
  <c r="D33" s="1"/>
  <c r="DB33"/>
  <c r="DE33" s="1"/>
  <c r="C34"/>
  <c r="D34" s="1"/>
  <c r="DB34"/>
  <c r="DE34" s="1"/>
  <c r="C35"/>
  <c r="D35" s="1"/>
  <c r="DB35"/>
  <c r="DE35" s="1"/>
  <c r="C36"/>
  <c r="D36" s="1"/>
  <c r="DB36"/>
  <c r="DE36" s="1"/>
  <c r="C37"/>
  <c r="D37" s="1"/>
  <c r="DB37"/>
  <c r="DE37" s="1"/>
  <c r="AS39"/>
  <c r="AM39" s="1"/>
  <c r="AS41"/>
  <c r="O38" i="95"/>
  <c r="O39" s="1"/>
  <c r="DB14"/>
  <c r="DE14" s="1"/>
  <c r="DF35"/>
  <c r="DF22"/>
  <c r="DF24"/>
  <c r="DF10"/>
  <c r="DF23"/>
  <c r="DF25"/>
  <c r="DF27"/>
  <c r="DF31"/>
  <c r="DF28"/>
  <c r="DF30"/>
  <c r="DF33"/>
  <c r="DF34"/>
  <c r="Q36"/>
  <c r="R36" s="1"/>
  <c r="Q34"/>
  <c r="R34" s="1"/>
  <c r="CI38"/>
  <c r="CM39" s="1"/>
  <c r="CX38"/>
  <c r="T7"/>
  <c r="T38" s="1"/>
  <c r="T39" s="1"/>
  <c r="Q8"/>
  <c r="Q9"/>
  <c r="R9" s="1"/>
  <c r="Q10"/>
  <c r="R10" s="1"/>
  <c r="Q21"/>
  <c r="R21" s="1"/>
  <c r="Q22"/>
  <c r="R22" s="1"/>
  <c r="Q24"/>
  <c r="R24" s="1"/>
  <c r="Q26"/>
  <c r="R26" s="1"/>
  <c r="Q27"/>
  <c r="R27" s="1"/>
  <c r="Q28"/>
  <c r="R28" s="1"/>
  <c r="Q31"/>
  <c r="R31" s="1"/>
  <c r="Q32"/>
  <c r="R32" s="1"/>
  <c r="AX35"/>
  <c r="AM35"/>
  <c r="AX36"/>
  <c r="AM36"/>
  <c r="B36"/>
  <c r="B35"/>
  <c r="CP34"/>
  <c r="B34"/>
  <c r="AX34"/>
  <c r="AM34"/>
  <c r="AX32"/>
  <c r="AM32"/>
  <c r="AX33"/>
  <c r="AM33"/>
  <c r="B33"/>
  <c r="B32"/>
  <c r="CP31"/>
  <c r="B31"/>
  <c r="AX31"/>
  <c r="AM31"/>
  <c r="CP30"/>
  <c r="B30"/>
  <c r="AX30"/>
  <c r="AM30"/>
  <c r="CP29"/>
  <c r="B29"/>
  <c r="AX29"/>
  <c r="AM29"/>
  <c r="CP28"/>
  <c r="B28"/>
  <c r="AX28"/>
  <c r="AM28"/>
  <c r="CP27"/>
  <c r="B27"/>
  <c r="AX27"/>
  <c r="AM27"/>
  <c r="AX26"/>
  <c r="AM26"/>
  <c r="B26"/>
  <c r="AX25"/>
  <c r="AM25"/>
  <c r="B25"/>
  <c r="C24"/>
  <c r="E24"/>
  <c r="D24"/>
  <c r="AX24"/>
  <c r="AM24"/>
  <c r="CP24"/>
  <c r="CP23"/>
  <c r="B23"/>
  <c r="AX23"/>
  <c r="AM23"/>
  <c r="CP22"/>
  <c r="B22"/>
  <c r="AX22"/>
  <c r="AM22"/>
  <c r="AX21"/>
  <c r="AM21"/>
  <c r="B21"/>
  <c r="CP38"/>
  <c r="CP20"/>
  <c r="B20"/>
  <c r="AX20"/>
  <c r="AM20"/>
  <c r="CP19"/>
  <c r="B19"/>
  <c r="AX19"/>
  <c r="AM19"/>
  <c r="CP18"/>
  <c r="B18"/>
  <c r="AX18"/>
  <c r="AM18"/>
  <c r="B17"/>
  <c r="CP17"/>
  <c r="AM17"/>
  <c r="AX17"/>
  <c r="B16"/>
  <c r="CP16"/>
  <c r="AM16"/>
  <c r="AX16"/>
  <c r="B15"/>
  <c r="CP15"/>
  <c r="AM15"/>
  <c r="AX15"/>
  <c r="B14"/>
  <c r="CP14"/>
  <c r="AM14"/>
  <c r="AX14"/>
  <c r="B13"/>
  <c r="CP13"/>
  <c r="AM13"/>
  <c r="AX13"/>
  <c r="B12"/>
  <c r="CP12"/>
  <c r="AM12"/>
  <c r="AX12"/>
  <c r="B11"/>
  <c r="CP11"/>
  <c r="AM11"/>
  <c r="AX11"/>
  <c r="V38"/>
  <c r="V39" s="1"/>
  <c r="B10"/>
  <c r="CP10"/>
  <c r="AM10"/>
  <c r="AX10"/>
  <c r="AM9"/>
  <c r="AX9"/>
  <c r="B9"/>
  <c r="CP9"/>
  <c r="BJ38"/>
  <c r="BR39" s="1"/>
  <c r="C7"/>
  <c r="D7" s="1"/>
  <c r="CP7"/>
  <c r="J38"/>
  <c r="J39" s="1"/>
  <c r="D37"/>
  <c r="E37"/>
  <c r="R37"/>
  <c r="AS38"/>
  <c r="J45" s="1"/>
  <c r="AM7"/>
  <c r="AX7"/>
  <c r="R8"/>
  <c r="U8" s="1"/>
  <c r="DB8"/>
  <c r="DE8" s="1"/>
  <c r="P38"/>
  <c r="P39" s="1"/>
  <c r="B38"/>
  <c r="B39" s="1"/>
  <c r="I38"/>
  <c r="I39" s="1"/>
  <c r="I41" s="1"/>
  <c r="L38"/>
  <c r="L39" s="1"/>
  <c r="N38"/>
  <c r="N39" s="1"/>
  <c r="AZ38"/>
  <c r="AZ39" s="1"/>
  <c r="BE7"/>
  <c r="BE8" s="1"/>
  <c r="BG7"/>
  <c r="BG8" s="1"/>
  <c r="CQ38"/>
  <c r="CS38"/>
  <c r="CU38"/>
  <c r="CW38"/>
  <c r="CY38"/>
  <c r="DB7"/>
  <c r="DF7"/>
  <c r="C8"/>
  <c r="D8" s="1"/>
  <c r="H8"/>
  <c r="M8"/>
  <c r="AF8"/>
  <c r="BA8"/>
  <c r="U37"/>
  <c r="AH37"/>
  <c r="AW37"/>
  <c r="BA37"/>
  <c r="BC37" s="1"/>
  <c r="BS39"/>
  <c r="BU39"/>
  <c r="BW39"/>
  <c r="BY39"/>
  <c r="CA39"/>
  <c r="CC39"/>
  <c r="CE39"/>
  <c r="DB37"/>
  <c r="DE37" s="1"/>
  <c r="O8" i="93"/>
  <c r="O9"/>
  <c r="O10"/>
  <c r="O11"/>
  <c r="O12"/>
  <c r="O13"/>
  <c r="O14"/>
  <c r="O15"/>
  <c r="O16"/>
  <c r="O17"/>
  <c r="O18"/>
  <c r="O19"/>
  <c r="O32"/>
  <c r="O33"/>
  <c r="O34"/>
  <c r="O35"/>
  <c r="O36"/>
  <c r="O37"/>
  <c r="O7"/>
  <c r="P8"/>
  <c r="P9"/>
  <c r="Q9" s="1"/>
  <c r="P10"/>
  <c r="P11"/>
  <c r="Q11" s="1"/>
  <c r="P12"/>
  <c r="P13"/>
  <c r="P14"/>
  <c r="P15"/>
  <c r="P16"/>
  <c r="P17"/>
  <c r="P18"/>
  <c r="P19"/>
  <c r="P20"/>
  <c r="P21"/>
  <c r="P22"/>
  <c r="P23"/>
  <c r="P24"/>
  <c r="P25"/>
  <c r="P26"/>
  <c r="Q26" s="1"/>
  <c r="P27"/>
  <c r="Q27" s="1"/>
  <c r="P28"/>
  <c r="Q28" s="1"/>
  <c r="P29"/>
  <c r="P30"/>
  <c r="Q30" s="1"/>
  <c r="P31"/>
  <c r="P32"/>
  <c r="Q32" s="1"/>
  <c r="P33"/>
  <c r="P34"/>
  <c r="P35"/>
  <c r="P36"/>
  <c r="P37"/>
  <c r="P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37"/>
  <c r="C37" s="1"/>
  <c r="B8"/>
  <c r="B9"/>
  <c r="E9" s="1"/>
  <c r="B10"/>
  <c r="B11"/>
  <c r="E11" s="1"/>
  <c r="B12"/>
  <c r="B13"/>
  <c r="E13" s="1"/>
  <c r="B14"/>
  <c r="B15"/>
  <c r="E15" s="1"/>
  <c r="B16"/>
  <c r="B17"/>
  <c r="B18"/>
  <c r="B19"/>
  <c r="B20"/>
  <c r="B21"/>
  <c r="B22"/>
  <c r="B23"/>
  <c r="B24"/>
  <c r="B25"/>
  <c r="B26"/>
  <c r="C26" s="1"/>
  <c r="B27"/>
  <c r="C27" s="1"/>
  <c r="B28"/>
  <c r="C28" s="1"/>
  <c r="B29"/>
  <c r="C29" s="1"/>
  <c r="B30"/>
  <c r="C30" s="1"/>
  <c r="B31"/>
  <c r="C31" s="1"/>
  <c r="B32"/>
  <c r="C32" s="1"/>
  <c r="B33"/>
  <c r="C33" s="1"/>
  <c r="B34"/>
  <c r="B35"/>
  <c r="C35" s="1"/>
  <c r="B36"/>
  <c r="B7"/>
  <c r="AS46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AZ37"/>
  <c r="AX37"/>
  <c r="BH37" s="1"/>
  <c r="AM37"/>
  <c r="AF37"/>
  <c r="T37"/>
  <c r="N37"/>
  <c r="M37"/>
  <c r="I37"/>
  <c r="DF37" s="1"/>
  <c r="H37"/>
  <c r="CZ36"/>
  <c r="CY36"/>
  <c r="CX36"/>
  <c r="CW36"/>
  <c r="CV36"/>
  <c r="CU36"/>
  <c r="CT36"/>
  <c r="CS36"/>
  <c r="CR36"/>
  <c r="CQ36"/>
  <c r="CP36"/>
  <c r="BF36"/>
  <c r="AZ36"/>
  <c r="AX36"/>
  <c r="BH36" s="1"/>
  <c r="AM36"/>
  <c r="AH36"/>
  <c r="T36"/>
  <c r="N36"/>
  <c r="I36"/>
  <c r="DF36" s="1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N35"/>
  <c r="M35"/>
  <c r="I35"/>
  <c r="DF35" s="1"/>
  <c r="H35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N34"/>
  <c r="M34"/>
  <c r="I34"/>
  <c r="DF34" s="1"/>
  <c r="H34"/>
  <c r="CZ33"/>
  <c r="CY33"/>
  <c r="CX33"/>
  <c r="CW33"/>
  <c r="CV33"/>
  <c r="CU33"/>
  <c r="CT33"/>
  <c r="CS33"/>
  <c r="CR33"/>
  <c r="M33" s="1"/>
  <c r="CQ33"/>
  <c r="CP33"/>
  <c r="H33" s="1"/>
  <c r="BF33"/>
  <c r="AZ33"/>
  <c r="AX33"/>
  <c r="BH33" s="1"/>
  <c r="AM33"/>
  <c r="AF33"/>
  <c r="T33"/>
  <c r="N33"/>
  <c r="I33"/>
  <c r="DF33" s="1"/>
  <c r="CZ32"/>
  <c r="CY32"/>
  <c r="CX32"/>
  <c r="CW32"/>
  <c r="CV32"/>
  <c r="CU32"/>
  <c r="CT32"/>
  <c r="CS32"/>
  <c r="CR32"/>
  <c r="CQ32"/>
  <c r="CP32"/>
  <c r="BF32"/>
  <c r="AZ32"/>
  <c r="AX32"/>
  <c r="BH32" s="1"/>
  <c r="AM32"/>
  <c r="AF32"/>
  <c r="T32"/>
  <c r="N32"/>
  <c r="I32"/>
  <c r="DF32" s="1"/>
  <c r="CZ31"/>
  <c r="CY31"/>
  <c r="CX31"/>
  <c r="CW31"/>
  <c r="CV31"/>
  <c r="CU31"/>
  <c r="CT31"/>
  <c r="CS31"/>
  <c r="CR31"/>
  <c r="CQ31"/>
  <c r="CP31"/>
  <c r="BF31"/>
  <c r="AZ31"/>
  <c r="AX31"/>
  <c r="BH31" s="1"/>
  <c r="AM31"/>
  <c r="AF31"/>
  <c r="T31"/>
  <c r="N31"/>
  <c r="I31"/>
  <c r="DF31" s="1"/>
  <c r="CZ30"/>
  <c r="CY30"/>
  <c r="CX30"/>
  <c r="CW30"/>
  <c r="CV30"/>
  <c r="CU30"/>
  <c r="CT30"/>
  <c r="CS30"/>
  <c r="CR30"/>
  <c r="CQ30"/>
  <c r="CP30"/>
  <c r="BF30"/>
  <c r="AZ30"/>
  <c r="AX30"/>
  <c r="BH30" s="1"/>
  <c r="AM30"/>
  <c r="AF30"/>
  <c r="T30"/>
  <c r="N30"/>
  <c r="I30"/>
  <c r="DF30" s="1"/>
  <c r="CZ29"/>
  <c r="CY29"/>
  <c r="CX29"/>
  <c r="CW29"/>
  <c r="CV29"/>
  <c r="CU29"/>
  <c r="CT29"/>
  <c r="CS29"/>
  <c r="CR29"/>
  <c r="CQ29"/>
  <c r="CP29"/>
  <c r="BF29"/>
  <c r="AZ29"/>
  <c r="AX29"/>
  <c r="BH29" s="1"/>
  <c r="AM29"/>
  <c r="AF29"/>
  <c r="T29"/>
  <c r="N29"/>
  <c r="I29"/>
  <c r="DF29" s="1"/>
  <c r="CZ28"/>
  <c r="CY28"/>
  <c r="CX28"/>
  <c r="CW28"/>
  <c r="CV28"/>
  <c r="CU28"/>
  <c r="CT28"/>
  <c r="CS28"/>
  <c r="CR28"/>
  <c r="CQ28"/>
  <c r="CP28"/>
  <c r="BF28"/>
  <c r="AZ28"/>
  <c r="AX28"/>
  <c r="BH28" s="1"/>
  <c r="AM28"/>
  <c r="AF28"/>
  <c r="T28"/>
  <c r="N28"/>
  <c r="I28"/>
  <c r="DF28" s="1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N27"/>
  <c r="I27"/>
  <c r="DF27" s="1"/>
  <c r="CZ26"/>
  <c r="CY26"/>
  <c r="CX26"/>
  <c r="CW26"/>
  <c r="CV26"/>
  <c r="CU26"/>
  <c r="CT26"/>
  <c r="CS26"/>
  <c r="CR26"/>
  <c r="CQ26"/>
  <c r="CP26"/>
  <c r="BF26"/>
  <c r="AZ26"/>
  <c r="AX26"/>
  <c r="BH26" s="1"/>
  <c r="AM26"/>
  <c r="AF26"/>
  <c r="T26"/>
  <c r="N26"/>
  <c r="I26"/>
  <c r="DF26" s="1"/>
  <c r="CZ25"/>
  <c r="CY25"/>
  <c r="CX25"/>
  <c r="CW25"/>
  <c r="CV25"/>
  <c r="CU25"/>
  <c r="CT25"/>
  <c r="CS25"/>
  <c r="CR25"/>
  <c r="CQ25"/>
  <c r="CP25"/>
  <c r="BF25"/>
  <c r="AZ25"/>
  <c r="AX25"/>
  <c r="BH25" s="1"/>
  <c r="AM25"/>
  <c r="AF25"/>
  <c r="T25"/>
  <c r="N25"/>
  <c r="I25"/>
  <c r="DF25" s="1"/>
  <c r="CZ24"/>
  <c r="CY24"/>
  <c r="CX24"/>
  <c r="CW24"/>
  <c r="CV24"/>
  <c r="CU24"/>
  <c r="CT24"/>
  <c r="CS24"/>
  <c r="CR24"/>
  <c r="CQ24"/>
  <c r="CP24"/>
  <c r="BF24"/>
  <c r="AZ24"/>
  <c r="BC24" s="1"/>
  <c r="AX24"/>
  <c r="BH24" s="1"/>
  <c r="AM24"/>
  <c r="AF24"/>
  <c r="T24"/>
  <c r="N24"/>
  <c r="I24"/>
  <c r="DF24" s="1"/>
  <c r="CZ23"/>
  <c r="CY23"/>
  <c r="CX23"/>
  <c r="CW23"/>
  <c r="CV23"/>
  <c r="CU23"/>
  <c r="CT23"/>
  <c r="CS23"/>
  <c r="CR23"/>
  <c r="CQ23"/>
  <c r="CP23"/>
  <c r="BF23"/>
  <c r="AZ23"/>
  <c r="AX23"/>
  <c r="BH23" s="1"/>
  <c r="AM23"/>
  <c r="AF23"/>
  <c r="T23"/>
  <c r="N23"/>
  <c r="I23"/>
  <c r="DF23" s="1"/>
  <c r="CZ22"/>
  <c r="CY22"/>
  <c r="CX22"/>
  <c r="CW22"/>
  <c r="CV22"/>
  <c r="CU22"/>
  <c r="CT22"/>
  <c r="CS22"/>
  <c r="CR22"/>
  <c r="CQ22"/>
  <c r="CP22"/>
  <c r="BF22"/>
  <c r="AZ22"/>
  <c r="AX22"/>
  <c r="BH22" s="1"/>
  <c r="AM22"/>
  <c r="AF22"/>
  <c r="T22"/>
  <c r="N22"/>
  <c r="I22"/>
  <c r="DF22" s="1"/>
  <c r="CZ21"/>
  <c r="CY21"/>
  <c r="CX21"/>
  <c r="CW21"/>
  <c r="CV21"/>
  <c r="CU21"/>
  <c r="CT21"/>
  <c r="CS21"/>
  <c r="CR21"/>
  <c r="CQ21"/>
  <c r="CP21"/>
  <c r="BF21"/>
  <c r="AZ21"/>
  <c r="AX21"/>
  <c r="BH21" s="1"/>
  <c r="AM21"/>
  <c r="AF21"/>
  <c r="T21"/>
  <c r="N21"/>
  <c r="I21"/>
  <c r="DF21" s="1"/>
  <c r="CZ20"/>
  <c r="CY20"/>
  <c r="CX20"/>
  <c r="CW20"/>
  <c r="CV20"/>
  <c r="CU20"/>
  <c r="CT20"/>
  <c r="CS20"/>
  <c r="CR20"/>
  <c r="CQ20"/>
  <c r="CP20"/>
  <c r="BF20"/>
  <c r="AZ20"/>
  <c r="AX20"/>
  <c r="AW20" s="1"/>
  <c r="AM20"/>
  <c r="AF20"/>
  <c r="T20"/>
  <c r="N20"/>
  <c r="I20"/>
  <c r="DF20" s="1"/>
  <c r="CZ19"/>
  <c r="CY19"/>
  <c r="CX19"/>
  <c r="CW19"/>
  <c r="CV19"/>
  <c r="CU19"/>
  <c r="CT19"/>
  <c r="CS19"/>
  <c r="CR19"/>
  <c r="CQ19"/>
  <c r="CP19"/>
  <c r="BF19"/>
  <c r="AZ19"/>
  <c r="AX19"/>
  <c r="AW19" s="1"/>
  <c r="AM19"/>
  <c r="AF19"/>
  <c r="T19"/>
  <c r="N19"/>
  <c r="I19"/>
  <c r="DF19" s="1"/>
  <c r="CZ18"/>
  <c r="CY18"/>
  <c r="CX18"/>
  <c r="CW18"/>
  <c r="CV18"/>
  <c r="CU18"/>
  <c r="CT18"/>
  <c r="CS18"/>
  <c r="CR18"/>
  <c r="CQ18"/>
  <c r="CP18"/>
  <c r="BF18"/>
  <c r="AZ18"/>
  <c r="AX18"/>
  <c r="AW18" s="1"/>
  <c r="AM18"/>
  <c r="AF18"/>
  <c r="T18"/>
  <c r="N18"/>
  <c r="I18"/>
  <c r="DF18" s="1"/>
  <c r="CZ17"/>
  <c r="CY17"/>
  <c r="CX17"/>
  <c r="CW17"/>
  <c r="CV17"/>
  <c r="CU17"/>
  <c r="CT17"/>
  <c r="CS17"/>
  <c r="CR17"/>
  <c r="CQ17"/>
  <c r="CP17"/>
  <c r="BF17"/>
  <c r="AZ17"/>
  <c r="AX17"/>
  <c r="AF17" s="1"/>
  <c r="AM17"/>
  <c r="AH17"/>
  <c r="T17"/>
  <c r="N17"/>
  <c r="I17"/>
  <c r="DF17" s="1"/>
  <c r="CZ16"/>
  <c r="CY16"/>
  <c r="CX16"/>
  <c r="CW16"/>
  <c r="CV16"/>
  <c r="CU16"/>
  <c r="CT16"/>
  <c r="CS16"/>
  <c r="CR16"/>
  <c r="CQ16"/>
  <c r="CP16"/>
  <c r="BF16"/>
  <c r="AZ16"/>
  <c r="AX16"/>
  <c r="AF16" s="1"/>
  <c r="AM16"/>
  <c r="AH16"/>
  <c r="T16"/>
  <c r="N16"/>
  <c r="I16"/>
  <c r="DF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AH15"/>
  <c r="T15"/>
  <c r="N15"/>
  <c r="I15"/>
  <c r="DF15" s="1"/>
  <c r="CZ14"/>
  <c r="CY14"/>
  <c r="CX14"/>
  <c r="CW14"/>
  <c r="CV14"/>
  <c r="CU14"/>
  <c r="CT14"/>
  <c r="CS14"/>
  <c r="CR14"/>
  <c r="CQ14"/>
  <c r="CP14"/>
  <c r="BF14"/>
  <c r="AZ14"/>
  <c r="AX14"/>
  <c r="AF14" s="1"/>
  <c r="AM14"/>
  <c r="AH14"/>
  <c r="T14"/>
  <c r="N14"/>
  <c r="I14"/>
  <c r="DF14" s="1"/>
  <c r="CZ13"/>
  <c r="CY13"/>
  <c r="CX13"/>
  <c r="CW13"/>
  <c r="CV13"/>
  <c r="CU13"/>
  <c r="CT13"/>
  <c r="CS13"/>
  <c r="CR13"/>
  <c r="CQ13"/>
  <c r="CP13"/>
  <c r="BF13"/>
  <c r="AZ13"/>
  <c r="AX13"/>
  <c r="BH13" s="1"/>
  <c r="AM13"/>
  <c r="AH13"/>
  <c r="T13"/>
  <c r="N13"/>
  <c r="I13"/>
  <c r="DF13" s="1"/>
  <c r="CZ12"/>
  <c r="CY12"/>
  <c r="CX12"/>
  <c r="CW12"/>
  <c r="CV12"/>
  <c r="CU12"/>
  <c r="CT12"/>
  <c r="CS12"/>
  <c r="CR12"/>
  <c r="CQ12"/>
  <c r="CP12"/>
  <c r="BF12"/>
  <c r="AZ12"/>
  <c r="AX12"/>
  <c r="BH12" s="1"/>
  <c r="AM12"/>
  <c r="AH12"/>
  <c r="T12"/>
  <c r="N12"/>
  <c r="I12"/>
  <c r="DF12" s="1"/>
  <c r="CZ11"/>
  <c r="CY11"/>
  <c r="CX11"/>
  <c r="CW11"/>
  <c r="CV11"/>
  <c r="CU11"/>
  <c r="CT11"/>
  <c r="CS11"/>
  <c r="CR11"/>
  <c r="CQ11"/>
  <c r="CP11"/>
  <c r="BF11"/>
  <c r="AZ11"/>
  <c r="AX11"/>
  <c r="BH11" s="1"/>
  <c r="AM11"/>
  <c r="AH11"/>
  <c r="T11"/>
  <c r="N11"/>
  <c r="I11"/>
  <c r="DF11" s="1"/>
  <c r="CZ10"/>
  <c r="CY10"/>
  <c r="CX10"/>
  <c r="CW10"/>
  <c r="CV10"/>
  <c r="CU10"/>
  <c r="CT10"/>
  <c r="CS10"/>
  <c r="CR10"/>
  <c r="CQ10"/>
  <c r="CP10"/>
  <c r="BF10"/>
  <c r="AZ10"/>
  <c r="AX10"/>
  <c r="AF10" s="1"/>
  <c r="AM10"/>
  <c r="AH10"/>
  <c r="T10"/>
  <c r="N10"/>
  <c r="I10"/>
  <c r="DF10" s="1"/>
  <c r="CZ9"/>
  <c r="CY9"/>
  <c r="CX9"/>
  <c r="CW9"/>
  <c r="CV9"/>
  <c r="CU9"/>
  <c r="CT9"/>
  <c r="CS9"/>
  <c r="CR9"/>
  <c r="CQ9"/>
  <c r="CP9"/>
  <c r="BF9"/>
  <c r="AZ9"/>
  <c r="AX9"/>
  <c r="BH9" s="1"/>
  <c r="AM9"/>
  <c r="AH9"/>
  <c r="T9"/>
  <c r="N9"/>
  <c r="I9"/>
  <c r="DF9" s="1"/>
  <c r="CZ8"/>
  <c r="CY8"/>
  <c r="CX8"/>
  <c r="CW8"/>
  <c r="CV8"/>
  <c r="CU8"/>
  <c r="CT8"/>
  <c r="CS8"/>
  <c r="CR8"/>
  <c r="CQ8"/>
  <c r="CP8"/>
  <c r="BF8"/>
  <c r="AZ8"/>
  <c r="AX8"/>
  <c r="BH8" s="1"/>
  <c r="AM8"/>
  <c r="AH8"/>
  <c r="T8"/>
  <c r="N8"/>
  <c r="I8"/>
  <c r="DF8" s="1"/>
  <c r="CZ7"/>
  <c r="CY7"/>
  <c r="CX7"/>
  <c r="CW7"/>
  <c r="CW38" s="1"/>
  <c r="CV7"/>
  <c r="CU7"/>
  <c r="CT7"/>
  <c r="CS7"/>
  <c r="CS38" s="1"/>
  <c r="CR7"/>
  <c r="CQ7"/>
  <c r="CP7"/>
  <c r="BF7"/>
  <c r="BG7" s="1"/>
  <c r="AZ7"/>
  <c r="AX7"/>
  <c r="AM7"/>
  <c r="AH7"/>
  <c r="T7"/>
  <c r="N7"/>
  <c r="I7"/>
  <c r="AS46" i="92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J45" s="1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AZ37"/>
  <c r="AX37"/>
  <c r="BH37" s="1"/>
  <c r="AM37"/>
  <c r="AF37"/>
  <c r="T37"/>
  <c r="P37"/>
  <c r="O37"/>
  <c r="N37"/>
  <c r="M37"/>
  <c r="L37"/>
  <c r="J37"/>
  <c r="I37"/>
  <c r="DF37" s="1"/>
  <c r="H37"/>
  <c r="E37"/>
  <c r="C37"/>
  <c r="B37"/>
  <c r="D37" s="1"/>
  <c r="CZ36"/>
  <c r="CY36"/>
  <c r="CX36"/>
  <c r="CW36"/>
  <c r="CV36"/>
  <c r="CU36"/>
  <c r="CT36"/>
  <c r="CS36"/>
  <c r="CR36"/>
  <c r="CQ36"/>
  <c r="CP36"/>
  <c r="BF36"/>
  <c r="AZ36"/>
  <c r="AX36"/>
  <c r="BH36" s="1"/>
  <c r="AM36"/>
  <c r="AF36"/>
  <c r="T36"/>
  <c r="P36"/>
  <c r="Q36" s="1"/>
  <c r="O36"/>
  <c r="N36"/>
  <c r="M36"/>
  <c r="L36"/>
  <c r="J36"/>
  <c r="I36"/>
  <c r="DF36" s="1"/>
  <c r="H36"/>
  <c r="E36"/>
  <c r="C36"/>
  <c r="B36"/>
  <c r="D36" s="1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P35"/>
  <c r="O35"/>
  <c r="N35"/>
  <c r="M35"/>
  <c r="L35"/>
  <c r="J35"/>
  <c r="I35"/>
  <c r="DF35" s="1"/>
  <c r="H35"/>
  <c r="E35"/>
  <c r="C35"/>
  <c r="B35"/>
  <c r="D35" s="1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P34"/>
  <c r="Q34" s="1"/>
  <c r="O34"/>
  <c r="N34"/>
  <c r="M34"/>
  <c r="L34"/>
  <c r="J34"/>
  <c r="I34"/>
  <c r="DF34" s="1"/>
  <c r="H34"/>
  <c r="E34"/>
  <c r="C34"/>
  <c r="B34"/>
  <c r="D34" s="1"/>
  <c r="CZ33"/>
  <c r="CY33"/>
  <c r="CX33"/>
  <c r="CW33"/>
  <c r="CV33"/>
  <c r="CU33"/>
  <c r="CT33"/>
  <c r="CS33"/>
  <c r="CR33"/>
  <c r="CQ33"/>
  <c r="CP33"/>
  <c r="BF33"/>
  <c r="AZ33"/>
  <c r="AX33"/>
  <c r="BH33" s="1"/>
  <c r="AM33"/>
  <c r="AF33"/>
  <c r="T33"/>
  <c r="P33"/>
  <c r="O33"/>
  <c r="N33"/>
  <c r="M33"/>
  <c r="L33"/>
  <c r="J33"/>
  <c r="I33"/>
  <c r="DB33" s="1"/>
  <c r="DE33" s="1"/>
  <c r="H33"/>
  <c r="E33"/>
  <c r="C33"/>
  <c r="B33"/>
  <c r="D33" s="1"/>
  <c r="CZ32"/>
  <c r="CY32"/>
  <c r="CX32"/>
  <c r="CW32"/>
  <c r="CV32"/>
  <c r="CU32"/>
  <c r="CT32"/>
  <c r="CS32"/>
  <c r="CR32"/>
  <c r="CQ32"/>
  <c r="CP32"/>
  <c r="BF32"/>
  <c r="AZ32"/>
  <c r="AX32"/>
  <c r="BH32" s="1"/>
  <c r="AM32"/>
  <c r="AF32"/>
  <c r="T32"/>
  <c r="P32"/>
  <c r="Q32" s="1"/>
  <c r="O32"/>
  <c r="N32"/>
  <c r="M32"/>
  <c r="L32"/>
  <c r="J32"/>
  <c r="I32"/>
  <c r="DF32" s="1"/>
  <c r="H32"/>
  <c r="E32"/>
  <c r="C32"/>
  <c r="B32"/>
  <c r="D32" s="1"/>
  <c r="CZ31"/>
  <c r="CY31"/>
  <c r="CX31"/>
  <c r="CW31"/>
  <c r="CV31"/>
  <c r="CU31"/>
  <c r="CT31"/>
  <c r="CS31"/>
  <c r="CR31"/>
  <c r="CQ31"/>
  <c r="CP31"/>
  <c r="BF31"/>
  <c r="AZ31"/>
  <c r="AX31"/>
  <c r="BH31" s="1"/>
  <c r="AM31"/>
  <c r="AF31"/>
  <c r="T31"/>
  <c r="P31"/>
  <c r="O31"/>
  <c r="N31"/>
  <c r="M31"/>
  <c r="L31"/>
  <c r="J31"/>
  <c r="I31"/>
  <c r="DB31" s="1"/>
  <c r="DE31" s="1"/>
  <c r="H31"/>
  <c r="E31"/>
  <c r="C31"/>
  <c r="B31"/>
  <c r="D31" s="1"/>
  <c r="CZ30"/>
  <c r="CY30"/>
  <c r="CX30"/>
  <c r="CW30"/>
  <c r="CV30"/>
  <c r="CU30"/>
  <c r="CT30"/>
  <c r="CS30"/>
  <c r="CR30"/>
  <c r="CQ30"/>
  <c r="CP30"/>
  <c r="BF30"/>
  <c r="AZ30"/>
  <c r="AX30"/>
  <c r="BH30" s="1"/>
  <c r="AM30"/>
  <c r="AF30"/>
  <c r="T30"/>
  <c r="P30"/>
  <c r="Q30" s="1"/>
  <c r="O30"/>
  <c r="N30"/>
  <c r="M30"/>
  <c r="L30"/>
  <c r="J30"/>
  <c r="I30"/>
  <c r="DF30" s="1"/>
  <c r="H30"/>
  <c r="E30"/>
  <c r="C30"/>
  <c r="B30"/>
  <c r="D30" s="1"/>
  <c r="CZ29"/>
  <c r="CY29"/>
  <c r="CX29"/>
  <c r="CW29"/>
  <c r="CV29"/>
  <c r="CU29"/>
  <c r="CT29"/>
  <c r="CS29"/>
  <c r="CR29"/>
  <c r="CQ29"/>
  <c r="CP29"/>
  <c r="BF29"/>
  <c r="AZ29"/>
  <c r="AX29"/>
  <c r="BH29" s="1"/>
  <c r="AM29"/>
  <c r="AF29"/>
  <c r="T29"/>
  <c r="P29"/>
  <c r="O29"/>
  <c r="N29"/>
  <c r="M29"/>
  <c r="L29"/>
  <c r="J29"/>
  <c r="I29"/>
  <c r="DB29" s="1"/>
  <c r="DE29" s="1"/>
  <c r="H29"/>
  <c r="E29"/>
  <c r="C29"/>
  <c r="B29"/>
  <c r="D29" s="1"/>
  <c r="CZ28"/>
  <c r="CY28"/>
  <c r="CX28"/>
  <c r="CW28"/>
  <c r="CV28"/>
  <c r="CU28"/>
  <c r="CT28"/>
  <c r="CS28"/>
  <c r="CR28"/>
  <c r="CQ28"/>
  <c r="CP28"/>
  <c r="BF28"/>
  <c r="AZ28"/>
  <c r="AX28"/>
  <c r="BH28" s="1"/>
  <c r="AM28"/>
  <c r="AF28"/>
  <c r="T28"/>
  <c r="P28"/>
  <c r="Q28" s="1"/>
  <c r="O28"/>
  <c r="N28"/>
  <c r="M28"/>
  <c r="L28"/>
  <c r="J28"/>
  <c r="I28"/>
  <c r="DF28" s="1"/>
  <c r="H28"/>
  <c r="E28"/>
  <c r="C28"/>
  <c r="B28"/>
  <c r="D28" s="1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P27"/>
  <c r="O27"/>
  <c r="N27"/>
  <c r="M27"/>
  <c r="L27"/>
  <c r="J27"/>
  <c r="I27"/>
  <c r="DB27" s="1"/>
  <c r="DE27" s="1"/>
  <c r="H27"/>
  <c r="E27"/>
  <c r="C27"/>
  <c r="B27"/>
  <c r="D27" s="1"/>
  <c r="CZ26"/>
  <c r="CY26"/>
  <c r="CX26"/>
  <c r="CW26"/>
  <c r="CV26"/>
  <c r="CU26"/>
  <c r="CT26"/>
  <c r="CS26"/>
  <c r="CR26"/>
  <c r="CQ26"/>
  <c r="CP26"/>
  <c r="BF26"/>
  <c r="AZ26"/>
  <c r="AX26"/>
  <c r="BH26" s="1"/>
  <c r="AM26"/>
  <c r="AF26"/>
  <c r="T26"/>
  <c r="P26"/>
  <c r="Q26" s="1"/>
  <c r="O26"/>
  <c r="N26"/>
  <c r="M26"/>
  <c r="L26"/>
  <c r="J26"/>
  <c r="I26"/>
  <c r="DF26" s="1"/>
  <c r="H26"/>
  <c r="E26"/>
  <c r="C26"/>
  <c r="B26"/>
  <c r="D26" s="1"/>
  <c r="CZ25"/>
  <c r="CY25"/>
  <c r="CX25"/>
  <c r="CW25"/>
  <c r="CV25"/>
  <c r="CU25"/>
  <c r="CT25"/>
  <c r="CS25"/>
  <c r="CR25"/>
  <c r="CQ25"/>
  <c r="CP25"/>
  <c r="BF25"/>
  <c r="AZ25"/>
  <c r="AX25"/>
  <c r="BH25" s="1"/>
  <c r="AM25"/>
  <c r="AF25"/>
  <c r="T25"/>
  <c r="P25"/>
  <c r="O25"/>
  <c r="N25"/>
  <c r="M25"/>
  <c r="L25"/>
  <c r="J25"/>
  <c r="I25"/>
  <c r="DB25" s="1"/>
  <c r="DE25" s="1"/>
  <c r="H25"/>
  <c r="E25"/>
  <c r="C25"/>
  <c r="B25"/>
  <c r="D25" s="1"/>
  <c r="CZ24"/>
  <c r="CY24"/>
  <c r="CX24"/>
  <c r="CW24"/>
  <c r="CV24"/>
  <c r="CU24"/>
  <c r="CT24"/>
  <c r="CS24"/>
  <c r="H24" s="1"/>
  <c r="CR24"/>
  <c r="CQ24"/>
  <c r="M24" s="1"/>
  <c r="CP24"/>
  <c r="BF24"/>
  <c r="AZ24"/>
  <c r="BC24" s="1"/>
  <c r="AX24"/>
  <c r="BH24" s="1"/>
  <c r="AW24"/>
  <c r="AM24"/>
  <c r="AH24"/>
  <c r="AF24"/>
  <c r="T24"/>
  <c r="P24"/>
  <c r="O24"/>
  <c r="N24"/>
  <c r="L24"/>
  <c r="J24"/>
  <c r="I24"/>
  <c r="DF24" s="1"/>
  <c r="B24"/>
  <c r="CZ23"/>
  <c r="CY23"/>
  <c r="CX23"/>
  <c r="CW23"/>
  <c r="CV23"/>
  <c r="H23" s="1"/>
  <c r="CU23"/>
  <c r="CT23"/>
  <c r="CS23"/>
  <c r="CR23"/>
  <c r="M23" s="1"/>
  <c r="CQ23"/>
  <c r="CP23"/>
  <c r="BH23"/>
  <c r="BF23"/>
  <c r="BC23"/>
  <c r="BA23"/>
  <c r="AZ23"/>
  <c r="AX23"/>
  <c r="AW23"/>
  <c r="AM23"/>
  <c r="AH23"/>
  <c r="AF23"/>
  <c r="T23"/>
  <c r="P23"/>
  <c r="Q23" s="1"/>
  <c r="O23"/>
  <c r="N23"/>
  <c r="L23"/>
  <c r="J23"/>
  <c r="I23"/>
  <c r="B23"/>
  <c r="CZ22"/>
  <c r="CY22"/>
  <c r="CX22"/>
  <c r="CW22"/>
  <c r="CV22"/>
  <c r="CU22"/>
  <c r="CT22"/>
  <c r="CS22"/>
  <c r="CR22"/>
  <c r="M22" s="1"/>
  <c r="CQ22"/>
  <c r="CP22"/>
  <c r="BH22"/>
  <c r="BF22"/>
  <c r="BA22"/>
  <c r="BC22" s="1"/>
  <c r="AZ22"/>
  <c r="AX22"/>
  <c r="AW22"/>
  <c r="AM22"/>
  <c r="AH22"/>
  <c r="AF22"/>
  <c r="T22"/>
  <c r="P22"/>
  <c r="Q22" s="1"/>
  <c r="O22"/>
  <c r="N22"/>
  <c r="L22"/>
  <c r="J22"/>
  <c r="I22"/>
  <c r="B22"/>
  <c r="CZ21"/>
  <c r="CY21"/>
  <c r="CX21"/>
  <c r="CW21"/>
  <c r="CV21"/>
  <c r="CU21"/>
  <c r="CT21"/>
  <c r="CS21"/>
  <c r="CR21"/>
  <c r="M21" s="1"/>
  <c r="CQ21"/>
  <c r="CP21"/>
  <c r="BH21"/>
  <c r="BF21"/>
  <c r="BC21"/>
  <c r="BA21"/>
  <c r="AZ21"/>
  <c r="AX21"/>
  <c r="AW21"/>
  <c r="AM21"/>
  <c r="AH21"/>
  <c r="AF21"/>
  <c r="T21"/>
  <c r="P21"/>
  <c r="Q21" s="1"/>
  <c r="O21"/>
  <c r="N21"/>
  <c r="L21"/>
  <c r="J21"/>
  <c r="I21"/>
  <c r="B21"/>
  <c r="CZ20"/>
  <c r="CY20"/>
  <c r="CX20"/>
  <c r="CW20"/>
  <c r="CV20"/>
  <c r="CU20"/>
  <c r="CT20"/>
  <c r="CS20"/>
  <c r="CR20"/>
  <c r="M20" s="1"/>
  <c r="CQ20"/>
  <c r="CP20"/>
  <c r="BH20"/>
  <c r="BF20"/>
  <c r="BA20"/>
  <c r="BC20" s="1"/>
  <c r="AZ20"/>
  <c r="AX20"/>
  <c r="AW20"/>
  <c r="AM20"/>
  <c r="AH20"/>
  <c r="AF20"/>
  <c r="T20"/>
  <c r="P20"/>
  <c r="Q20" s="1"/>
  <c r="O20"/>
  <c r="N20"/>
  <c r="L20"/>
  <c r="J20"/>
  <c r="I20"/>
  <c r="B20"/>
  <c r="CZ19"/>
  <c r="CY19"/>
  <c r="CX19"/>
  <c r="CW19"/>
  <c r="CV19"/>
  <c r="CU19"/>
  <c r="CT19"/>
  <c r="CS19"/>
  <c r="CR19"/>
  <c r="M19" s="1"/>
  <c r="CQ19"/>
  <c r="CP19"/>
  <c r="BH19"/>
  <c r="BF19"/>
  <c r="BC19"/>
  <c r="BA19"/>
  <c r="AZ19"/>
  <c r="AX19"/>
  <c r="AW19"/>
  <c r="AM19"/>
  <c r="AH19"/>
  <c r="AF19"/>
  <c r="T19"/>
  <c r="P19"/>
  <c r="Q19" s="1"/>
  <c r="O19"/>
  <c r="N19"/>
  <c r="L19"/>
  <c r="J19"/>
  <c r="I19"/>
  <c r="H19"/>
  <c r="E19"/>
  <c r="C19"/>
  <c r="B19"/>
  <c r="D19" s="1"/>
  <c r="CZ18"/>
  <c r="CY18"/>
  <c r="CX18"/>
  <c r="CW18"/>
  <c r="CV18"/>
  <c r="CU18"/>
  <c r="CT18"/>
  <c r="CS18"/>
  <c r="CR18"/>
  <c r="CQ18"/>
  <c r="CP18"/>
  <c r="BF18"/>
  <c r="AZ18"/>
  <c r="AX18"/>
  <c r="BH18" s="1"/>
  <c r="AM18"/>
  <c r="AF18"/>
  <c r="T18"/>
  <c r="P18"/>
  <c r="Q18" s="1"/>
  <c r="O18"/>
  <c r="N18"/>
  <c r="M18"/>
  <c r="L18"/>
  <c r="J18"/>
  <c r="I18"/>
  <c r="DF18" s="1"/>
  <c r="H18"/>
  <c r="E18"/>
  <c r="C18"/>
  <c r="B18"/>
  <c r="D18" s="1"/>
  <c r="CZ17"/>
  <c r="CY17"/>
  <c r="CX17"/>
  <c r="CW17"/>
  <c r="CV17"/>
  <c r="CU17"/>
  <c r="CT17"/>
  <c r="CS17"/>
  <c r="CR17"/>
  <c r="CQ17"/>
  <c r="CP17"/>
  <c r="BF17"/>
  <c r="AZ17"/>
  <c r="AX17"/>
  <c r="BH17" s="1"/>
  <c r="AM17"/>
  <c r="AH17"/>
  <c r="T17"/>
  <c r="P17"/>
  <c r="O17"/>
  <c r="N17"/>
  <c r="L17"/>
  <c r="J17"/>
  <c r="I17"/>
  <c r="DF17" s="1"/>
  <c r="B17"/>
  <c r="CZ16"/>
  <c r="CY16"/>
  <c r="CX16"/>
  <c r="CW16"/>
  <c r="CV16"/>
  <c r="CU16"/>
  <c r="CT16"/>
  <c r="CS16"/>
  <c r="CR16"/>
  <c r="CQ16"/>
  <c r="CP16"/>
  <c r="BH16"/>
  <c r="BF16"/>
  <c r="BA16"/>
  <c r="BC16" s="1"/>
  <c r="AZ16"/>
  <c r="AX16"/>
  <c r="AM16"/>
  <c r="AH16"/>
  <c r="AF16"/>
  <c r="T16"/>
  <c r="P16"/>
  <c r="Q16" s="1"/>
  <c r="O16"/>
  <c r="N16"/>
  <c r="M16"/>
  <c r="L16"/>
  <c r="J16"/>
  <c r="I16"/>
  <c r="DF16" s="1"/>
  <c r="H16"/>
  <c r="E16"/>
  <c r="C16"/>
  <c r="B16"/>
  <c r="D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AH15"/>
  <c r="T15"/>
  <c r="P15"/>
  <c r="O15"/>
  <c r="N15"/>
  <c r="L15"/>
  <c r="J15"/>
  <c r="I15"/>
  <c r="DF15" s="1"/>
  <c r="B15"/>
  <c r="CZ14"/>
  <c r="CY14"/>
  <c r="CX14"/>
  <c r="CW14"/>
  <c r="CV14"/>
  <c r="CU14"/>
  <c r="CT14"/>
  <c r="CS14"/>
  <c r="CR14"/>
  <c r="CQ14"/>
  <c r="CP14"/>
  <c r="BH14"/>
  <c r="BF14"/>
  <c r="BA14"/>
  <c r="BC14" s="1"/>
  <c r="AZ14"/>
  <c r="AX14"/>
  <c r="AM14"/>
  <c r="AH14"/>
  <c r="AF14"/>
  <c r="T14"/>
  <c r="P14"/>
  <c r="Q14" s="1"/>
  <c r="O14"/>
  <c r="N14"/>
  <c r="M14"/>
  <c r="L14"/>
  <c r="J14"/>
  <c r="I14"/>
  <c r="DF14" s="1"/>
  <c r="H14"/>
  <c r="E14"/>
  <c r="C14"/>
  <c r="B14"/>
  <c r="D14" s="1"/>
  <c r="CZ13"/>
  <c r="CY13"/>
  <c r="CX13"/>
  <c r="CW13"/>
  <c r="CV13"/>
  <c r="CU13"/>
  <c r="CT13"/>
  <c r="CS13"/>
  <c r="CR13"/>
  <c r="CQ13"/>
  <c r="CP13"/>
  <c r="BF13"/>
  <c r="AZ13"/>
  <c r="AX13"/>
  <c r="BH13" s="1"/>
  <c r="AM13"/>
  <c r="AH13"/>
  <c r="T13"/>
  <c r="P13"/>
  <c r="O13"/>
  <c r="N13"/>
  <c r="L13"/>
  <c r="J13"/>
  <c r="I13"/>
  <c r="DF13" s="1"/>
  <c r="B13"/>
  <c r="CZ12"/>
  <c r="CY12"/>
  <c r="CX12"/>
  <c r="CW12"/>
  <c r="CV12"/>
  <c r="CU12"/>
  <c r="CT12"/>
  <c r="CS12"/>
  <c r="CR12"/>
  <c r="CQ12"/>
  <c r="CP12"/>
  <c r="BH12"/>
  <c r="BF12"/>
  <c r="BA12"/>
  <c r="BC12" s="1"/>
  <c r="AZ12"/>
  <c r="AX12"/>
  <c r="AM12"/>
  <c r="AH12"/>
  <c r="AF12"/>
  <c r="T12"/>
  <c r="P12"/>
  <c r="Q12" s="1"/>
  <c r="O12"/>
  <c r="N12"/>
  <c r="M12"/>
  <c r="L12"/>
  <c r="J12"/>
  <c r="I12"/>
  <c r="DF12" s="1"/>
  <c r="H12"/>
  <c r="E12"/>
  <c r="C12"/>
  <c r="B12"/>
  <c r="D12" s="1"/>
  <c r="CZ11"/>
  <c r="CY11"/>
  <c r="CX11"/>
  <c r="CW11"/>
  <c r="CV11"/>
  <c r="CU11"/>
  <c r="CT11"/>
  <c r="CS11"/>
  <c r="CR11"/>
  <c r="CQ11"/>
  <c r="CP11"/>
  <c r="BF11"/>
  <c r="AZ11"/>
  <c r="AX11"/>
  <c r="BH11" s="1"/>
  <c r="AM11"/>
  <c r="AH11"/>
  <c r="T11"/>
  <c r="P11"/>
  <c r="O11"/>
  <c r="N11"/>
  <c r="L11"/>
  <c r="J11"/>
  <c r="I11"/>
  <c r="DF11" s="1"/>
  <c r="B11"/>
  <c r="CZ10"/>
  <c r="CY10"/>
  <c r="CX10"/>
  <c r="CW10"/>
  <c r="CV10"/>
  <c r="CU10"/>
  <c r="CT10"/>
  <c r="CS10"/>
  <c r="CR10"/>
  <c r="CQ10"/>
  <c r="CP10"/>
  <c r="BH10"/>
  <c r="BF10"/>
  <c r="BA10"/>
  <c r="BC10" s="1"/>
  <c r="AZ10"/>
  <c r="AX10"/>
  <c r="AM10"/>
  <c r="AH10"/>
  <c r="AF10"/>
  <c r="T10"/>
  <c r="P10"/>
  <c r="Q10" s="1"/>
  <c r="O10"/>
  <c r="N10"/>
  <c r="M10"/>
  <c r="L10"/>
  <c r="J10"/>
  <c r="I10"/>
  <c r="DF10" s="1"/>
  <c r="H10"/>
  <c r="E10"/>
  <c r="C10"/>
  <c r="B10"/>
  <c r="D10" s="1"/>
  <c r="CZ9"/>
  <c r="CY9"/>
  <c r="CX9"/>
  <c r="CW9"/>
  <c r="CV9"/>
  <c r="CU9"/>
  <c r="CT9"/>
  <c r="CS9"/>
  <c r="CR9"/>
  <c r="CQ9"/>
  <c r="CP9"/>
  <c r="BF9"/>
  <c r="AZ9"/>
  <c r="AX9"/>
  <c r="BH9" s="1"/>
  <c r="AM9"/>
  <c r="AH9"/>
  <c r="T9"/>
  <c r="P9"/>
  <c r="O9"/>
  <c r="N9"/>
  <c r="L9"/>
  <c r="J9"/>
  <c r="I9"/>
  <c r="DF9" s="1"/>
  <c r="B9"/>
  <c r="CZ8"/>
  <c r="CY8"/>
  <c r="CX8"/>
  <c r="CW8"/>
  <c r="CV8"/>
  <c r="CU8"/>
  <c r="CT8"/>
  <c r="CS8"/>
  <c r="CR8"/>
  <c r="CQ8"/>
  <c r="CP8"/>
  <c r="BH8"/>
  <c r="BF8"/>
  <c r="BG8" s="1"/>
  <c r="BG9" s="1"/>
  <c r="BA8"/>
  <c r="BC8" s="1"/>
  <c r="AZ8"/>
  <c r="AX8"/>
  <c r="AM8"/>
  <c r="AH8"/>
  <c r="AF8"/>
  <c r="T8"/>
  <c r="P8"/>
  <c r="Q8" s="1"/>
  <c r="O8"/>
  <c r="N8"/>
  <c r="M8"/>
  <c r="L8"/>
  <c r="J8"/>
  <c r="I8"/>
  <c r="DF8" s="1"/>
  <c r="H8"/>
  <c r="E8"/>
  <c r="C8"/>
  <c r="B8"/>
  <c r="D8" s="1"/>
  <c r="CZ7"/>
  <c r="CY7"/>
  <c r="CY38" s="1"/>
  <c r="CX7"/>
  <c r="CW7"/>
  <c r="CW38" s="1"/>
  <c r="CV7"/>
  <c r="CU7"/>
  <c r="CU38" s="1"/>
  <c r="CT7"/>
  <c r="CS7"/>
  <c r="CS38" s="1"/>
  <c r="CR7"/>
  <c r="CQ7"/>
  <c r="CQ38" s="1"/>
  <c r="CP7"/>
  <c r="BG7"/>
  <c r="BF7"/>
  <c r="AZ7"/>
  <c r="AZ38" s="1"/>
  <c r="AZ39" s="1"/>
  <c r="AX7"/>
  <c r="BH7" s="1"/>
  <c r="AM7"/>
  <c r="AH7"/>
  <c r="T7"/>
  <c r="P7"/>
  <c r="Q7" s="1"/>
  <c r="O7"/>
  <c r="N7"/>
  <c r="L7"/>
  <c r="L38" s="1"/>
  <c r="L39" s="1"/>
  <c r="J7"/>
  <c r="I7"/>
  <c r="B7"/>
  <c r="B38" s="1"/>
  <c r="B39" s="1"/>
  <c r="U34" i="96" l="1"/>
  <c r="U24"/>
  <c r="U23"/>
  <c r="U22"/>
  <c r="U21"/>
  <c r="U20"/>
  <c r="U19"/>
  <c r="U16"/>
  <c r="U13"/>
  <c r="U30"/>
  <c r="U28"/>
  <c r="U17"/>
  <c r="U29"/>
  <c r="F39" i="98"/>
  <c r="U35" i="96"/>
  <c r="U32"/>
  <c r="U14"/>
  <c r="U12"/>
  <c r="U10"/>
  <c r="U8"/>
  <c r="U9"/>
  <c r="U26"/>
  <c r="U31"/>
  <c r="U25"/>
  <c r="U11"/>
  <c r="U15"/>
  <c r="U27"/>
  <c r="U33"/>
  <c r="U36"/>
  <c r="BB11"/>
  <c r="BB9"/>
  <c r="BB25"/>
  <c r="BB29"/>
  <c r="BB28"/>
  <c r="BB37"/>
  <c r="AY35"/>
  <c r="F33"/>
  <c r="AY32"/>
  <c r="F27"/>
  <c r="AY31"/>
  <c r="W8" i="98"/>
  <c r="X8" s="1"/>
  <c r="T38"/>
  <c r="F39" i="99"/>
  <c r="F41" s="1"/>
  <c r="BB36" i="96"/>
  <c r="AY36"/>
  <c r="F36"/>
  <c r="CP39"/>
  <c r="BB35"/>
  <c r="F35"/>
  <c r="BB38" i="98"/>
  <c r="BB39" s="1"/>
  <c r="DH38"/>
  <c r="F29" i="96"/>
  <c r="AY29"/>
  <c r="BB34"/>
  <c r="AY34"/>
  <c r="F34"/>
  <c r="BB15"/>
  <c r="BB33"/>
  <c r="AY33"/>
  <c r="BB31"/>
  <c r="AY26"/>
  <c r="F26"/>
  <c r="F31"/>
  <c r="AY27"/>
  <c r="AY30"/>
  <c r="BB32"/>
  <c r="F32"/>
  <c r="F28"/>
  <c r="AY28"/>
  <c r="BB27"/>
  <c r="F15"/>
  <c r="AY15"/>
  <c r="F25"/>
  <c r="AY25"/>
  <c r="AY13"/>
  <c r="CR39"/>
  <c r="CP40" s="1"/>
  <c r="F13"/>
  <c r="AY11"/>
  <c r="BB26"/>
  <c r="BB13"/>
  <c r="F11"/>
  <c r="F9"/>
  <c r="BB37" i="97"/>
  <c r="AY37"/>
  <c r="F37"/>
  <c r="BB36"/>
  <c r="AY36"/>
  <c r="F36"/>
  <c r="BB35"/>
  <c r="AY35"/>
  <c r="F35"/>
  <c r="BB34"/>
  <c r="AY34"/>
  <c r="F34"/>
  <c r="BB33"/>
  <c r="AY33"/>
  <c r="F33"/>
  <c r="BB32"/>
  <c r="AY32"/>
  <c r="F32"/>
  <c r="BB31"/>
  <c r="AY31"/>
  <c r="F31"/>
  <c r="BB30"/>
  <c r="AY30"/>
  <c r="F30"/>
  <c r="BB29"/>
  <c r="AY29"/>
  <c r="F29"/>
  <c r="BB28"/>
  <c r="AY28"/>
  <c r="F28"/>
  <c r="BB27"/>
  <c r="AY27"/>
  <c r="F27"/>
  <c r="BB26"/>
  <c r="AY26"/>
  <c r="F26"/>
  <c r="BB25"/>
  <c r="AY25"/>
  <c r="F25"/>
  <c r="AY24"/>
  <c r="BB24"/>
  <c r="F24"/>
  <c r="BB23"/>
  <c r="AY23"/>
  <c r="F23"/>
  <c r="BB22"/>
  <c r="AY22"/>
  <c r="F22"/>
  <c r="BB21"/>
  <c r="AY21"/>
  <c r="F21"/>
  <c r="BB20"/>
  <c r="AY20"/>
  <c r="F20"/>
  <c r="BB19"/>
  <c r="AY19"/>
  <c r="F19"/>
  <c r="BB18"/>
  <c r="AY18"/>
  <c r="F18"/>
  <c r="AY17"/>
  <c r="BB17"/>
  <c r="F17"/>
  <c r="AY16"/>
  <c r="BB16"/>
  <c r="F16"/>
  <c r="AY15"/>
  <c r="BB15"/>
  <c r="F15"/>
  <c r="AY14"/>
  <c r="BB14"/>
  <c r="F14"/>
  <c r="AY13"/>
  <c r="BB13"/>
  <c r="F13"/>
  <c r="AY12"/>
  <c r="BB12"/>
  <c r="F12"/>
  <c r="BY39"/>
  <c r="E39" s="1"/>
  <c r="AY11"/>
  <c r="BB11"/>
  <c r="F11"/>
  <c r="AY48"/>
  <c r="AY51" s="1"/>
  <c r="AY10"/>
  <c r="BB10"/>
  <c r="F10"/>
  <c r="AY9"/>
  <c r="BB9"/>
  <c r="F9"/>
  <c r="CR39"/>
  <c r="C39"/>
  <c r="AY9" i="96"/>
  <c r="BB30"/>
  <c r="CP39" i="97"/>
  <c r="AY8"/>
  <c r="BB8"/>
  <c r="F8"/>
  <c r="R38"/>
  <c r="U7"/>
  <c r="D38"/>
  <c r="BB7"/>
  <c r="F7"/>
  <c r="AY7"/>
  <c r="M39"/>
  <c r="AX39"/>
  <c r="AW39" s="1"/>
  <c r="AH39"/>
  <c r="AF39"/>
  <c r="U39"/>
  <c r="U41" s="1"/>
  <c r="H39"/>
  <c r="F39"/>
  <c r="F41" s="1"/>
  <c r="DF38"/>
  <c r="X39"/>
  <c r="Q39"/>
  <c r="Q41" s="1"/>
  <c r="BC8"/>
  <c r="BC38" s="1"/>
  <c r="BC39" s="1"/>
  <c r="DB38"/>
  <c r="DC38" s="1"/>
  <c r="DE7"/>
  <c r="DE38" s="1"/>
  <c r="CW39"/>
  <c r="AB39"/>
  <c r="Q36" i="93"/>
  <c r="R36" s="1"/>
  <c r="H36"/>
  <c r="M36"/>
  <c r="AF36"/>
  <c r="DB26" i="92"/>
  <c r="DE26" s="1"/>
  <c r="DB28"/>
  <c r="DE28" s="1"/>
  <c r="DB30"/>
  <c r="DE30" s="1"/>
  <c r="DB32"/>
  <c r="DE32" s="1"/>
  <c r="DB34"/>
  <c r="DE34" s="1"/>
  <c r="N38"/>
  <c r="N39" s="1"/>
  <c r="DF25"/>
  <c r="DF27"/>
  <c r="DF29"/>
  <c r="DF31"/>
  <c r="DF33"/>
  <c r="I38"/>
  <c r="I39" s="1"/>
  <c r="I41" s="1"/>
  <c r="R8"/>
  <c r="U8" s="1"/>
  <c r="R10"/>
  <c r="U10" s="1"/>
  <c r="R12"/>
  <c r="U12" s="1"/>
  <c r="R14"/>
  <c r="U14" s="1"/>
  <c r="R16"/>
  <c r="U16" s="1"/>
  <c r="R18"/>
  <c r="U18" s="1"/>
  <c r="R20"/>
  <c r="U20" s="1"/>
  <c r="R22"/>
  <c r="U22" s="1"/>
  <c r="Q25"/>
  <c r="R25" s="1"/>
  <c r="U25" s="1"/>
  <c r="R26"/>
  <c r="U26" s="1"/>
  <c r="Q27"/>
  <c r="R27" s="1"/>
  <c r="U27" s="1"/>
  <c r="R28"/>
  <c r="U28" s="1"/>
  <c r="Q29"/>
  <c r="R29" s="1"/>
  <c r="U29" s="1"/>
  <c r="R30"/>
  <c r="U30" s="1"/>
  <c r="Q31"/>
  <c r="R31" s="1"/>
  <c r="U31" s="1"/>
  <c r="R32"/>
  <c r="U32" s="1"/>
  <c r="Q33"/>
  <c r="R33" s="1"/>
  <c r="U33" s="1"/>
  <c r="R34"/>
  <c r="U34" s="1"/>
  <c r="Q35"/>
  <c r="R35" s="1"/>
  <c r="U35" s="1"/>
  <c r="R36"/>
  <c r="U36" s="1"/>
  <c r="Q37"/>
  <c r="R37" s="1"/>
  <c r="U37" s="1"/>
  <c r="Q34" i="93"/>
  <c r="R34" s="1"/>
  <c r="H32"/>
  <c r="M32"/>
  <c r="BH38" i="96"/>
  <c r="BA38"/>
  <c r="BA39" s="1"/>
  <c r="E39"/>
  <c r="C39"/>
  <c r="BB24"/>
  <c r="AY24"/>
  <c r="F24"/>
  <c r="AY23"/>
  <c r="F23"/>
  <c r="BB23"/>
  <c r="AY22"/>
  <c r="F22"/>
  <c r="BB22"/>
  <c r="AY21"/>
  <c r="F21"/>
  <c r="BB21"/>
  <c r="AY20"/>
  <c r="F20"/>
  <c r="BB20"/>
  <c r="AY19"/>
  <c r="F19"/>
  <c r="BB19"/>
  <c r="AY16"/>
  <c r="BB16"/>
  <c r="F16"/>
  <c r="BB14"/>
  <c r="F14"/>
  <c r="AY14"/>
  <c r="BB12"/>
  <c r="F12"/>
  <c r="AY12"/>
  <c r="BB10"/>
  <c r="F10"/>
  <c r="AY10"/>
  <c r="BB8"/>
  <c r="F8"/>
  <c r="AY8"/>
  <c r="BB17"/>
  <c r="F17"/>
  <c r="AY17"/>
  <c r="D38"/>
  <c r="AY7"/>
  <c r="BB7"/>
  <c r="F7"/>
  <c r="BB18"/>
  <c r="AY18"/>
  <c r="F18"/>
  <c r="M39"/>
  <c r="AX39"/>
  <c r="AW39" s="1"/>
  <c r="AH39"/>
  <c r="AF39"/>
  <c r="H39"/>
  <c r="BC25"/>
  <c r="BC38" s="1"/>
  <c r="BC39" s="1"/>
  <c r="DF38"/>
  <c r="X39"/>
  <c r="Q39"/>
  <c r="Q41" s="1"/>
  <c r="BI16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AY48" s="1"/>
  <c r="AY51" s="1"/>
  <c r="DB38"/>
  <c r="DC38" s="1"/>
  <c r="DE7"/>
  <c r="DE38" s="1"/>
  <c r="R38"/>
  <c r="U7"/>
  <c r="CW39"/>
  <c r="H31" i="93"/>
  <c r="M31"/>
  <c r="Q31"/>
  <c r="R31" s="1"/>
  <c r="H30"/>
  <c r="M30"/>
  <c r="Q29"/>
  <c r="R29" s="1"/>
  <c r="H29"/>
  <c r="M29"/>
  <c r="H28"/>
  <c r="M28"/>
  <c r="H27"/>
  <c r="M27"/>
  <c r="H26"/>
  <c r="M26"/>
  <c r="H25"/>
  <c r="M25"/>
  <c r="H24"/>
  <c r="M24"/>
  <c r="AH24"/>
  <c r="AW24"/>
  <c r="H23"/>
  <c r="M23"/>
  <c r="AH23"/>
  <c r="AW23"/>
  <c r="BA23"/>
  <c r="BC23" s="1"/>
  <c r="H22"/>
  <c r="M22"/>
  <c r="AH22"/>
  <c r="AW22"/>
  <c r="BA22"/>
  <c r="BC22" s="1"/>
  <c r="CU38"/>
  <c r="Q15"/>
  <c r="R15" s="1"/>
  <c r="AZ38"/>
  <c r="AZ39" s="1"/>
  <c r="Q13"/>
  <c r="R13" s="1"/>
  <c r="Q7" i="95"/>
  <c r="R7" s="1"/>
  <c r="R38" s="1"/>
  <c r="U39" s="1"/>
  <c r="U41" s="1"/>
  <c r="C36"/>
  <c r="E36"/>
  <c r="D36"/>
  <c r="H36"/>
  <c r="M36"/>
  <c r="AH36"/>
  <c r="F36"/>
  <c r="U36"/>
  <c r="AF36"/>
  <c r="AW36"/>
  <c r="BA36"/>
  <c r="BC36" s="1"/>
  <c r="BH36"/>
  <c r="H35"/>
  <c r="M35"/>
  <c r="AH35"/>
  <c r="BE35"/>
  <c r="BE36" s="1"/>
  <c r="U35"/>
  <c r="AF35"/>
  <c r="AW35"/>
  <c r="BA35"/>
  <c r="BC35" s="1"/>
  <c r="BH35"/>
  <c r="BI35" s="1"/>
  <c r="BI36" s="1"/>
  <c r="C35"/>
  <c r="E35"/>
  <c r="D35"/>
  <c r="H34"/>
  <c r="M34"/>
  <c r="AH34"/>
  <c r="BE34"/>
  <c r="U34"/>
  <c r="AF34"/>
  <c r="AW34"/>
  <c r="BA34"/>
  <c r="BC34" s="1"/>
  <c r="BH34"/>
  <c r="BI34" s="1"/>
  <c r="C34"/>
  <c r="E34"/>
  <c r="D34"/>
  <c r="C33"/>
  <c r="E33"/>
  <c r="D33"/>
  <c r="H32"/>
  <c r="M32"/>
  <c r="AH32"/>
  <c r="BE32"/>
  <c r="BE33" s="1"/>
  <c r="U32"/>
  <c r="AF32"/>
  <c r="AW32"/>
  <c r="BA32"/>
  <c r="BC32" s="1"/>
  <c r="BH32"/>
  <c r="BI32" s="1"/>
  <c r="C32"/>
  <c r="E32"/>
  <c r="D32"/>
  <c r="H33"/>
  <c r="M33"/>
  <c r="AH33"/>
  <c r="F33"/>
  <c r="U33"/>
  <c r="AF33"/>
  <c r="AW33"/>
  <c r="BA33"/>
  <c r="BC33" s="1"/>
  <c r="BH33"/>
  <c r="H31"/>
  <c r="M31"/>
  <c r="AH31"/>
  <c r="BE31"/>
  <c r="U31"/>
  <c r="AF31"/>
  <c r="AW31"/>
  <c r="BA31"/>
  <c r="BC31" s="1"/>
  <c r="BH31"/>
  <c r="BI31" s="1"/>
  <c r="C31"/>
  <c r="E31"/>
  <c r="D31"/>
  <c r="H30"/>
  <c r="M30"/>
  <c r="AH30"/>
  <c r="BE30"/>
  <c r="U30"/>
  <c r="AF30"/>
  <c r="AW30"/>
  <c r="BA30"/>
  <c r="BC30" s="1"/>
  <c r="BH30"/>
  <c r="BI30" s="1"/>
  <c r="C30"/>
  <c r="E30"/>
  <c r="D30"/>
  <c r="H29"/>
  <c r="M29"/>
  <c r="AH29"/>
  <c r="BE29"/>
  <c r="U29"/>
  <c r="AF29"/>
  <c r="AW29"/>
  <c r="BA29"/>
  <c r="BC29" s="1"/>
  <c r="BH29"/>
  <c r="BI29" s="1"/>
  <c r="C29"/>
  <c r="E29"/>
  <c r="D29"/>
  <c r="C28"/>
  <c r="E28"/>
  <c r="D28"/>
  <c r="H28"/>
  <c r="M28"/>
  <c r="AH28"/>
  <c r="BE28"/>
  <c r="F28"/>
  <c r="U28"/>
  <c r="AF28"/>
  <c r="AW28"/>
  <c r="BA28"/>
  <c r="BC28" s="1"/>
  <c r="BH28"/>
  <c r="BI28" s="1"/>
  <c r="H27"/>
  <c r="M27"/>
  <c r="AH27"/>
  <c r="BE27"/>
  <c r="U27"/>
  <c r="AF27"/>
  <c r="AW27"/>
  <c r="BA27"/>
  <c r="BC27" s="1"/>
  <c r="BH27"/>
  <c r="BI27" s="1"/>
  <c r="C27"/>
  <c r="E27"/>
  <c r="D27"/>
  <c r="C26"/>
  <c r="E26"/>
  <c r="D26"/>
  <c r="H26"/>
  <c r="M26"/>
  <c r="AH26"/>
  <c r="BE26"/>
  <c r="F26"/>
  <c r="U26"/>
  <c r="AF26"/>
  <c r="AW26"/>
  <c r="BA26"/>
  <c r="BC26" s="1"/>
  <c r="BH26"/>
  <c r="BI26" s="1"/>
  <c r="H25"/>
  <c r="M25"/>
  <c r="AH25"/>
  <c r="BE25"/>
  <c r="U25"/>
  <c r="AF25"/>
  <c r="AW25"/>
  <c r="BA25"/>
  <c r="BC25" s="1"/>
  <c r="BH25"/>
  <c r="BI25" s="1"/>
  <c r="C25"/>
  <c r="E25"/>
  <c r="D25"/>
  <c r="F25" s="1"/>
  <c r="AY24"/>
  <c r="BB24"/>
  <c r="H24"/>
  <c r="M24"/>
  <c r="AH24"/>
  <c r="BH24"/>
  <c r="BI24" s="1"/>
  <c r="F24"/>
  <c r="U24"/>
  <c r="AF24"/>
  <c r="AW24"/>
  <c r="BE24"/>
  <c r="H23"/>
  <c r="M23"/>
  <c r="AH23"/>
  <c r="BE23"/>
  <c r="U23"/>
  <c r="AF23"/>
  <c r="AW23"/>
  <c r="BA23"/>
  <c r="BC23" s="1"/>
  <c r="BH23"/>
  <c r="BI23" s="1"/>
  <c r="C23"/>
  <c r="E23"/>
  <c r="D23"/>
  <c r="H22"/>
  <c r="M22"/>
  <c r="AH22"/>
  <c r="BE22"/>
  <c r="U22"/>
  <c r="AF22"/>
  <c r="AW22"/>
  <c r="BA22"/>
  <c r="BC22" s="1"/>
  <c r="BH22"/>
  <c r="BI22" s="1"/>
  <c r="C22"/>
  <c r="E22"/>
  <c r="D22"/>
  <c r="C21"/>
  <c r="E21"/>
  <c r="D21"/>
  <c r="H21"/>
  <c r="M21"/>
  <c r="AH21"/>
  <c r="BE21"/>
  <c r="F21"/>
  <c r="U21"/>
  <c r="AF21"/>
  <c r="AW21"/>
  <c r="BA21"/>
  <c r="BC21" s="1"/>
  <c r="BH21"/>
  <c r="BI21" s="1"/>
  <c r="CW39"/>
  <c r="CR39"/>
  <c r="C20"/>
  <c r="E20"/>
  <c r="D20"/>
  <c r="H20"/>
  <c r="M20"/>
  <c r="AH20"/>
  <c r="BE20"/>
  <c r="F20"/>
  <c r="U20"/>
  <c r="AF20"/>
  <c r="AW20"/>
  <c r="BA20"/>
  <c r="BC20" s="1"/>
  <c r="BH20"/>
  <c r="BI20" s="1"/>
  <c r="AS41"/>
  <c r="AX38"/>
  <c r="AX39" s="1"/>
  <c r="AW39" s="1"/>
  <c r="C19"/>
  <c r="E19"/>
  <c r="D19"/>
  <c r="H19"/>
  <c r="M19"/>
  <c r="AH19"/>
  <c r="BE19"/>
  <c r="F19"/>
  <c r="U19"/>
  <c r="AF19"/>
  <c r="AW19"/>
  <c r="BA19"/>
  <c r="BC19" s="1"/>
  <c r="BH19"/>
  <c r="BI19" s="1"/>
  <c r="H18"/>
  <c r="M18"/>
  <c r="AH18"/>
  <c r="BE18"/>
  <c r="U18"/>
  <c r="AF18"/>
  <c r="AW18"/>
  <c r="BA18"/>
  <c r="BC18" s="1"/>
  <c r="BH18"/>
  <c r="BI18" s="1"/>
  <c r="C18"/>
  <c r="E18"/>
  <c r="D18"/>
  <c r="C17"/>
  <c r="E17"/>
  <c r="D17"/>
  <c r="H17"/>
  <c r="M17"/>
  <c r="AH17"/>
  <c r="BA17"/>
  <c r="BC17" s="1"/>
  <c r="BH17"/>
  <c r="BI17" s="1"/>
  <c r="F17"/>
  <c r="U17"/>
  <c r="AF17"/>
  <c r="BE17"/>
  <c r="C16"/>
  <c r="E16"/>
  <c r="D16"/>
  <c r="H16"/>
  <c r="M16"/>
  <c r="AH16"/>
  <c r="BA16"/>
  <c r="BC16" s="1"/>
  <c r="BH16"/>
  <c r="BI16" s="1"/>
  <c r="F16"/>
  <c r="U16"/>
  <c r="AF16"/>
  <c r="BE16"/>
  <c r="C15"/>
  <c r="E15"/>
  <c r="D15"/>
  <c r="H15"/>
  <c r="M15"/>
  <c r="AH15"/>
  <c r="BA15"/>
  <c r="BC15" s="1"/>
  <c r="BH15"/>
  <c r="BI15" s="1"/>
  <c r="F15"/>
  <c r="U15"/>
  <c r="AF15"/>
  <c r="BE15"/>
  <c r="C14"/>
  <c r="E14"/>
  <c r="D14"/>
  <c r="H14"/>
  <c r="M14"/>
  <c r="AH14"/>
  <c r="BA14"/>
  <c r="BC14" s="1"/>
  <c r="BH14"/>
  <c r="BI14" s="1"/>
  <c r="F14"/>
  <c r="U14"/>
  <c r="AF14"/>
  <c r="BE14"/>
  <c r="C13"/>
  <c r="E13"/>
  <c r="D13"/>
  <c r="H13"/>
  <c r="M13"/>
  <c r="AH13"/>
  <c r="BA13"/>
  <c r="BC13" s="1"/>
  <c r="BH13"/>
  <c r="BI13" s="1"/>
  <c r="F13"/>
  <c r="U13"/>
  <c r="AF13"/>
  <c r="BE13"/>
  <c r="H12"/>
  <c r="M12"/>
  <c r="AH12"/>
  <c r="BA12"/>
  <c r="BC12" s="1"/>
  <c r="BH12"/>
  <c r="BI12" s="1"/>
  <c r="U12"/>
  <c r="AF12"/>
  <c r="BE12"/>
  <c r="C12"/>
  <c r="E12"/>
  <c r="D12"/>
  <c r="H11"/>
  <c r="M11"/>
  <c r="AH11"/>
  <c r="BA11"/>
  <c r="BC11" s="1"/>
  <c r="BH11"/>
  <c r="BI11" s="1"/>
  <c r="U11"/>
  <c r="AF11"/>
  <c r="BE11"/>
  <c r="C11"/>
  <c r="E11"/>
  <c r="D11"/>
  <c r="C10"/>
  <c r="E10"/>
  <c r="D10"/>
  <c r="BG37"/>
  <c r="H10"/>
  <c r="M10"/>
  <c r="AH10"/>
  <c r="BA10"/>
  <c r="BC10" s="1"/>
  <c r="BH10"/>
  <c r="BI10" s="1"/>
  <c r="F10"/>
  <c r="U10"/>
  <c r="AF10"/>
  <c r="BE10"/>
  <c r="C9"/>
  <c r="E9"/>
  <c r="D9"/>
  <c r="H9"/>
  <c r="M9"/>
  <c r="AH9"/>
  <c r="BA9"/>
  <c r="BC9" s="1"/>
  <c r="BH9"/>
  <c r="BI9" s="1"/>
  <c r="F9"/>
  <c r="U9"/>
  <c r="AF9"/>
  <c r="BE9"/>
  <c r="BE37"/>
  <c r="CP39"/>
  <c r="CP40" s="1"/>
  <c r="E39"/>
  <c r="C39"/>
  <c r="DF38"/>
  <c r="BB37"/>
  <c r="AS39"/>
  <c r="AM39" s="1"/>
  <c r="BH7"/>
  <c r="BA7"/>
  <c r="BC7" s="1"/>
  <c r="AH7"/>
  <c r="M7"/>
  <c r="H7"/>
  <c r="AF7"/>
  <c r="AY8"/>
  <c r="F8"/>
  <c r="BB8"/>
  <c r="DB38"/>
  <c r="DC38" s="1"/>
  <c r="DE7"/>
  <c r="DE38" s="1"/>
  <c r="M39"/>
  <c r="AH39"/>
  <c r="H39"/>
  <c r="BC8"/>
  <c r="BC38" s="1"/>
  <c r="BC39" s="1"/>
  <c r="U7"/>
  <c r="BB7"/>
  <c r="F7"/>
  <c r="AY7"/>
  <c r="CY38" i="93"/>
  <c r="CQ38"/>
  <c r="BG8"/>
  <c r="BG9" s="1"/>
  <c r="H8"/>
  <c r="M8"/>
  <c r="AF8"/>
  <c r="H16"/>
  <c r="M16"/>
  <c r="H12"/>
  <c r="M12"/>
  <c r="AF12"/>
  <c r="BA10"/>
  <c r="BC10" s="1"/>
  <c r="BH10"/>
  <c r="BA14"/>
  <c r="BC14" s="1"/>
  <c r="BH14"/>
  <c r="BA17"/>
  <c r="BC17" s="1"/>
  <c r="BH17"/>
  <c r="BA18"/>
  <c r="BC18" s="1"/>
  <c r="BH18"/>
  <c r="BA19"/>
  <c r="BC19" s="1"/>
  <c r="BH19"/>
  <c r="BA20"/>
  <c r="BC20" s="1"/>
  <c r="BH20"/>
  <c r="BA8"/>
  <c r="BC8" s="1"/>
  <c r="H10"/>
  <c r="M10"/>
  <c r="BA12"/>
  <c r="H14"/>
  <c r="M14"/>
  <c r="H17"/>
  <c r="M17"/>
  <c r="AH18"/>
  <c r="H18"/>
  <c r="M18"/>
  <c r="AH19"/>
  <c r="M19"/>
  <c r="H19"/>
  <c r="AH20"/>
  <c r="M20"/>
  <c r="H20"/>
  <c r="H21"/>
  <c r="M21"/>
  <c r="AH21"/>
  <c r="AW21"/>
  <c r="BA21"/>
  <c r="BC21" s="1"/>
  <c r="BC12"/>
  <c r="J45"/>
  <c r="I38"/>
  <c r="I39" s="1"/>
  <c r="I41" s="1"/>
  <c r="L38"/>
  <c r="L39" s="1"/>
  <c r="E8"/>
  <c r="E10"/>
  <c r="E12"/>
  <c r="E14"/>
  <c r="E16"/>
  <c r="E17"/>
  <c r="E25"/>
  <c r="DB25"/>
  <c r="DE25" s="1"/>
  <c r="D26"/>
  <c r="E26"/>
  <c r="R26"/>
  <c r="DB26"/>
  <c r="DE26" s="1"/>
  <c r="D27"/>
  <c r="E27"/>
  <c r="R27"/>
  <c r="DB27"/>
  <c r="DE27" s="1"/>
  <c r="E34"/>
  <c r="E36"/>
  <c r="B38"/>
  <c r="B39" s="1"/>
  <c r="N38"/>
  <c r="N39" s="1"/>
  <c r="C8"/>
  <c r="D8" s="1"/>
  <c r="Q8"/>
  <c r="R8" s="1"/>
  <c r="C10"/>
  <c r="D10" s="1"/>
  <c r="Q10"/>
  <c r="R10" s="1"/>
  <c r="C12"/>
  <c r="D12" s="1"/>
  <c r="Q12"/>
  <c r="R12" s="1"/>
  <c r="C14"/>
  <c r="D14" s="1"/>
  <c r="Q14"/>
  <c r="R14" s="1"/>
  <c r="C16"/>
  <c r="D16" s="1"/>
  <c r="Q16"/>
  <c r="R16" s="1"/>
  <c r="C17"/>
  <c r="D17" s="1"/>
  <c r="Q17"/>
  <c r="R17" s="1"/>
  <c r="C25"/>
  <c r="D25" s="1"/>
  <c r="Q25"/>
  <c r="R25" s="1"/>
  <c r="D28"/>
  <c r="E28"/>
  <c r="R28"/>
  <c r="D29"/>
  <c r="E29"/>
  <c r="D30"/>
  <c r="E30"/>
  <c r="R30"/>
  <c r="D31"/>
  <c r="E31"/>
  <c r="D32"/>
  <c r="E32"/>
  <c r="R32"/>
  <c r="D33"/>
  <c r="E33"/>
  <c r="Q33"/>
  <c r="R33" s="1"/>
  <c r="C34"/>
  <c r="D34" s="1"/>
  <c r="D35"/>
  <c r="E35"/>
  <c r="Q35"/>
  <c r="R35" s="1"/>
  <c r="C36"/>
  <c r="D36" s="1"/>
  <c r="D37"/>
  <c r="E37"/>
  <c r="Q37"/>
  <c r="R37" s="1"/>
  <c r="BG10"/>
  <c r="BG11" s="1"/>
  <c r="BG12" s="1"/>
  <c r="BG13" s="1"/>
  <c r="BG14" s="1"/>
  <c r="BG15" s="1"/>
  <c r="BG16" s="1"/>
  <c r="BG17" s="1"/>
  <c r="BG18" s="1"/>
  <c r="BG19" s="1"/>
  <c r="BG20" s="1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P38"/>
  <c r="P39" s="1"/>
  <c r="AX38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DB7"/>
  <c r="DF7"/>
  <c r="DF38" s="1"/>
  <c r="R9"/>
  <c r="DB9"/>
  <c r="DE9" s="1"/>
  <c r="R11"/>
  <c r="DB11"/>
  <c r="DE11" s="1"/>
  <c r="DB13"/>
  <c r="DE13" s="1"/>
  <c r="DB15"/>
  <c r="DE15" s="1"/>
  <c r="DB16"/>
  <c r="DE16" s="1"/>
  <c r="BH16"/>
  <c r="BA16"/>
  <c r="BC16" s="1"/>
  <c r="C7"/>
  <c r="D7" s="1"/>
  <c r="E7"/>
  <c r="H7"/>
  <c r="J38"/>
  <c r="J39" s="1"/>
  <c r="M7"/>
  <c r="O38"/>
  <c r="O39" s="1"/>
  <c r="Q7"/>
  <c r="R7" s="1"/>
  <c r="T38"/>
  <c r="T39" s="1"/>
  <c r="AF7"/>
  <c r="BA7"/>
  <c r="BH7"/>
  <c r="CP38"/>
  <c r="CP39" s="1"/>
  <c r="CR38"/>
  <c r="CT38"/>
  <c r="CV38"/>
  <c r="CX38"/>
  <c r="CZ38"/>
  <c r="DB8"/>
  <c r="DE8" s="1"/>
  <c r="C9"/>
  <c r="D9" s="1"/>
  <c r="H9"/>
  <c r="M9"/>
  <c r="AF9"/>
  <c r="BA9"/>
  <c r="BC9" s="1"/>
  <c r="DB10"/>
  <c r="DE10" s="1"/>
  <c r="C11"/>
  <c r="D11" s="1"/>
  <c r="H11"/>
  <c r="M11"/>
  <c r="AF11"/>
  <c r="BA11"/>
  <c r="BC11" s="1"/>
  <c r="DB12"/>
  <c r="DE12" s="1"/>
  <c r="C13"/>
  <c r="D13" s="1"/>
  <c r="H13"/>
  <c r="M13"/>
  <c r="AF13"/>
  <c r="BA13"/>
  <c r="BC13" s="1"/>
  <c r="DB14"/>
  <c r="DE14" s="1"/>
  <c r="C15"/>
  <c r="D15" s="1"/>
  <c r="H15"/>
  <c r="M15"/>
  <c r="AF15"/>
  <c r="BA15"/>
  <c r="BC15" s="1"/>
  <c r="DB17"/>
  <c r="DE17" s="1"/>
  <c r="C18"/>
  <c r="D18" s="1"/>
  <c r="E18"/>
  <c r="Q18"/>
  <c r="R18" s="1"/>
  <c r="DB18"/>
  <c r="DE18" s="1"/>
  <c r="C19"/>
  <c r="D19" s="1"/>
  <c r="E19"/>
  <c r="Q19"/>
  <c r="R19" s="1"/>
  <c r="DB19"/>
  <c r="DE19" s="1"/>
  <c r="C20"/>
  <c r="D20" s="1"/>
  <c r="E20"/>
  <c r="Q20"/>
  <c r="R20" s="1"/>
  <c r="DB20"/>
  <c r="DE20" s="1"/>
  <c r="C21"/>
  <c r="D21" s="1"/>
  <c r="E21"/>
  <c r="Q21"/>
  <c r="R21" s="1"/>
  <c r="DB21"/>
  <c r="DE21" s="1"/>
  <c r="C22"/>
  <c r="D22" s="1"/>
  <c r="E22"/>
  <c r="Q22"/>
  <c r="R22" s="1"/>
  <c r="DB22"/>
  <c r="DE22" s="1"/>
  <c r="C23"/>
  <c r="D23" s="1"/>
  <c r="E23"/>
  <c r="Q23"/>
  <c r="R23" s="1"/>
  <c r="DB23"/>
  <c r="DE23" s="1"/>
  <c r="C24"/>
  <c r="D24" s="1"/>
  <c r="E24"/>
  <c r="Q24"/>
  <c r="R24" s="1"/>
  <c r="AH25"/>
  <c r="AW25"/>
  <c r="BA25"/>
  <c r="BC25" s="1"/>
  <c r="AH26"/>
  <c r="AW26"/>
  <c r="BA26"/>
  <c r="BC26" s="1"/>
  <c r="AH27"/>
  <c r="AW27"/>
  <c r="BA27"/>
  <c r="BC27" s="1"/>
  <c r="AH28"/>
  <c r="AW28"/>
  <c r="BA28"/>
  <c r="BC28" s="1"/>
  <c r="AH29"/>
  <c r="AW29"/>
  <c r="BA29"/>
  <c r="BC29" s="1"/>
  <c r="AH30"/>
  <c r="AW30"/>
  <c r="BA30"/>
  <c r="BC30" s="1"/>
  <c r="AH31"/>
  <c r="AW31"/>
  <c r="BA31"/>
  <c r="BC31" s="1"/>
  <c r="AH32"/>
  <c r="AW32"/>
  <c r="BA32"/>
  <c r="BC32" s="1"/>
  <c r="AH33"/>
  <c r="AW33"/>
  <c r="BA33"/>
  <c r="BC33" s="1"/>
  <c r="AH34"/>
  <c r="AW34"/>
  <c r="BA34"/>
  <c r="BC34" s="1"/>
  <c r="AH35"/>
  <c r="AW35"/>
  <c r="BA35"/>
  <c r="BC35" s="1"/>
  <c r="AW36"/>
  <c r="BA36"/>
  <c r="BC36" s="1"/>
  <c r="U37"/>
  <c r="AH37"/>
  <c r="AW37"/>
  <c r="BA37"/>
  <c r="BC37" s="1"/>
  <c r="BS39"/>
  <c r="BU39"/>
  <c r="BW39"/>
  <c r="BY39"/>
  <c r="CA39"/>
  <c r="CC39"/>
  <c r="CE39"/>
  <c r="DB24"/>
  <c r="DE24" s="1"/>
  <c r="DB28"/>
  <c r="DE28" s="1"/>
  <c r="DB29"/>
  <c r="DE29" s="1"/>
  <c r="DB30"/>
  <c r="DE30" s="1"/>
  <c r="DB31"/>
  <c r="DE31" s="1"/>
  <c r="DB32"/>
  <c r="DE32" s="1"/>
  <c r="DB33"/>
  <c r="DE33" s="1"/>
  <c r="DB34"/>
  <c r="DE34" s="1"/>
  <c r="DB35"/>
  <c r="DE35" s="1"/>
  <c r="DB36"/>
  <c r="DE36" s="1"/>
  <c r="DB37"/>
  <c r="DE37" s="1"/>
  <c r="AS39"/>
  <c r="AM39" s="1"/>
  <c r="AS41"/>
  <c r="AY8" i="92"/>
  <c r="BB8"/>
  <c r="F8"/>
  <c r="AY10"/>
  <c r="BB10"/>
  <c r="F10"/>
  <c r="AY12"/>
  <c r="BB12"/>
  <c r="F12"/>
  <c r="AY14"/>
  <c r="BB14"/>
  <c r="F14"/>
  <c r="AY16"/>
  <c r="BB16"/>
  <c r="F16"/>
  <c r="BB18"/>
  <c r="AY18"/>
  <c r="BH38"/>
  <c r="BI7"/>
  <c r="BI8" s="1"/>
  <c r="BI9" s="1"/>
  <c r="BI10" s="1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BB19"/>
  <c r="AY19"/>
  <c r="F19"/>
  <c r="BG10"/>
  <c r="BG11" s="1"/>
  <c r="BG12"/>
  <c r="BG13" s="1"/>
  <c r="BG14"/>
  <c r="BG15" s="1"/>
  <c r="BG16"/>
  <c r="BG17" s="1"/>
  <c r="BG18" s="1"/>
  <c r="DF19"/>
  <c r="DB19"/>
  <c r="DE19" s="1"/>
  <c r="E20"/>
  <c r="C20"/>
  <c r="D20" s="1"/>
  <c r="DF21"/>
  <c r="DB21"/>
  <c r="DE21" s="1"/>
  <c r="E22"/>
  <c r="C22"/>
  <c r="D22" s="1"/>
  <c r="DF23"/>
  <c r="DB23"/>
  <c r="DE23" s="1"/>
  <c r="BB26"/>
  <c r="AY26"/>
  <c r="BB28"/>
  <c r="AY28"/>
  <c r="BB30"/>
  <c r="AY30"/>
  <c r="BB32"/>
  <c r="AY32"/>
  <c r="BB34"/>
  <c r="AY34"/>
  <c r="BB36"/>
  <c r="AY36"/>
  <c r="C7"/>
  <c r="E7"/>
  <c r="H7"/>
  <c r="J38"/>
  <c r="J39" s="1"/>
  <c r="M7"/>
  <c r="O38"/>
  <c r="O39" s="1"/>
  <c r="T38"/>
  <c r="T39" s="1"/>
  <c r="AF7"/>
  <c r="BA7"/>
  <c r="BC7"/>
  <c r="CP38"/>
  <c r="CP39" s="1"/>
  <c r="CR38"/>
  <c r="CT38"/>
  <c r="CV38"/>
  <c r="CX38"/>
  <c r="CZ38"/>
  <c r="DB8"/>
  <c r="DE8" s="1"/>
  <c r="C9"/>
  <c r="D9" s="1"/>
  <c r="E9"/>
  <c r="H9"/>
  <c r="M9"/>
  <c r="Q9"/>
  <c r="R9" s="1"/>
  <c r="U9" s="1"/>
  <c r="AF9"/>
  <c r="BA9"/>
  <c r="BC9" s="1"/>
  <c r="DB10"/>
  <c r="DE10" s="1"/>
  <c r="C11"/>
  <c r="D11" s="1"/>
  <c r="E11"/>
  <c r="H11"/>
  <c r="M11"/>
  <c r="Q11"/>
  <c r="R11" s="1"/>
  <c r="U11" s="1"/>
  <c r="AF11"/>
  <c r="BA11"/>
  <c r="BC11" s="1"/>
  <c r="DB12"/>
  <c r="DE12" s="1"/>
  <c r="C13"/>
  <c r="D13" s="1"/>
  <c r="E13"/>
  <c r="H13"/>
  <c r="M13"/>
  <c r="Q13"/>
  <c r="R13" s="1"/>
  <c r="U13" s="1"/>
  <c r="AF13"/>
  <c r="BA13"/>
  <c r="BC13" s="1"/>
  <c r="DB14"/>
  <c r="DE14" s="1"/>
  <c r="C15"/>
  <c r="D15" s="1"/>
  <c r="E15"/>
  <c r="H15"/>
  <c r="M15"/>
  <c r="Q15"/>
  <c r="R15" s="1"/>
  <c r="U15" s="1"/>
  <c r="AF15"/>
  <c r="BA15"/>
  <c r="BC15" s="1"/>
  <c r="DB16"/>
  <c r="DE16" s="1"/>
  <c r="C17"/>
  <c r="D17" s="1"/>
  <c r="E17"/>
  <c r="H17"/>
  <c r="M17"/>
  <c r="Q17"/>
  <c r="R17" s="1"/>
  <c r="U17" s="1"/>
  <c r="AF17"/>
  <c r="BA17"/>
  <c r="BC17" s="1"/>
  <c r="F18"/>
  <c r="AH18"/>
  <c r="AW18"/>
  <c r="BA18"/>
  <c r="BC18" s="1"/>
  <c r="R19"/>
  <c r="U19" s="1"/>
  <c r="BG19"/>
  <c r="R21"/>
  <c r="U21" s="1"/>
  <c r="H21"/>
  <c r="R23"/>
  <c r="U23" s="1"/>
  <c r="P38"/>
  <c r="P39" s="1"/>
  <c r="AX38"/>
  <c r="DF20"/>
  <c r="DB20"/>
  <c r="DE20" s="1"/>
  <c r="E21"/>
  <c r="C21"/>
  <c r="D21" s="1"/>
  <c r="DF22"/>
  <c r="DB22"/>
  <c r="DE22" s="1"/>
  <c r="E23"/>
  <c r="C23"/>
  <c r="D23" s="1"/>
  <c r="BB25"/>
  <c r="AY25"/>
  <c r="BB27"/>
  <c r="AY27"/>
  <c r="BB29"/>
  <c r="AY29"/>
  <c r="BB31"/>
  <c r="AY31"/>
  <c r="BB33"/>
  <c r="AY33"/>
  <c r="BB35"/>
  <c r="AY35"/>
  <c r="BB37"/>
  <c r="AY37"/>
  <c r="F37"/>
  <c r="D7"/>
  <c r="R7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AY48" s="1"/>
  <c r="AY51" s="1"/>
  <c r="CW39"/>
  <c r="DB7"/>
  <c r="DF7"/>
  <c r="DB9"/>
  <c r="DE9" s="1"/>
  <c r="DB11"/>
  <c r="DE11" s="1"/>
  <c r="DB13"/>
  <c r="DE13" s="1"/>
  <c r="DB15"/>
  <c r="DE15" s="1"/>
  <c r="DB17"/>
  <c r="DE17" s="1"/>
  <c r="DB18"/>
  <c r="DE18" s="1"/>
  <c r="BG20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H20"/>
  <c r="H22"/>
  <c r="BC25"/>
  <c r="BC29"/>
  <c r="BC33"/>
  <c r="C24"/>
  <c r="D24" s="1"/>
  <c r="E24"/>
  <c r="Q24"/>
  <c r="R24" s="1"/>
  <c r="U24" s="1"/>
  <c r="F25"/>
  <c r="AH25"/>
  <c r="AW25"/>
  <c r="BA25"/>
  <c r="F26"/>
  <c r="AH26"/>
  <c r="AW26"/>
  <c r="BA26"/>
  <c r="BC26" s="1"/>
  <c r="F27"/>
  <c r="AH27"/>
  <c r="AW27"/>
  <c r="BA27"/>
  <c r="BC27" s="1"/>
  <c r="F28"/>
  <c r="AH28"/>
  <c r="AW28"/>
  <c r="BA28"/>
  <c r="BC28" s="1"/>
  <c r="F29"/>
  <c r="AH29"/>
  <c r="AW29"/>
  <c r="BA29"/>
  <c r="F30"/>
  <c r="AH30"/>
  <c r="AW30"/>
  <c r="BA30"/>
  <c r="BC30" s="1"/>
  <c r="F31"/>
  <c r="AH31"/>
  <c r="AW31"/>
  <c r="BA31"/>
  <c r="BC31" s="1"/>
  <c r="F32"/>
  <c r="AH32"/>
  <c r="AW32"/>
  <c r="BA32"/>
  <c r="BC32" s="1"/>
  <c r="F33"/>
  <c r="AH33"/>
  <c r="AW33"/>
  <c r="BA33"/>
  <c r="F34"/>
  <c r="AH34"/>
  <c r="AW34"/>
  <c r="BA34"/>
  <c r="BC34" s="1"/>
  <c r="F35"/>
  <c r="AH35"/>
  <c r="AW35"/>
  <c r="BA35"/>
  <c r="BC35" s="1"/>
  <c r="F36"/>
  <c r="AH36"/>
  <c r="AW36"/>
  <c r="BA36"/>
  <c r="BC36" s="1"/>
  <c r="AH37"/>
  <c r="AW37"/>
  <c r="BA37"/>
  <c r="BC37" s="1"/>
  <c r="BS39"/>
  <c r="C39" s="1"/>
  <c r="BU39"/>
  <c r="BW39"/>
  <c r="BY39"/>
  <c r="CA39"/>
  <c r="CC39"/>
  <c r="CE39"/>
  <c r="E39" s="1"/>
  <c r="DB24"/>
  <c r="DE24" s="1"/>
  <c r="DB35"/>
  <c r="DE35" s="1"/>
  <c r="DB36"/>
  <c r="DE36" s="1"/>
  <c r="DB37"/>
  <c r="DE37" s="1"/>
  <c r="AS39"/>
  <c r="AM39" s="1"/>
  <c r="AS41"/>
  <c r="U11" i="93" l="1"/>
  <c r="U9"/>
  <c r="U32"/>
  <c r="U28"/>
  <c r="U27"/>
  <c r="U26"/>
  <c r="U13"/>
  <c r="U15"/>
  <c r="U29"/>
  <c r="U39" i="96"/>
  <c r="U41" s="1"/>
  <c r="U34" i="93"/>
  <c r="U24"/>
  <c r="U23"/>
  <c r="U22"/>
  <c r="U21"/>
  <c r="U20"/>
  <c r="U19"/>
  <c r="U18"/>
  <c r="U35"/>
  <c r="U33"/>
  <c r="U30"/>
  <c r="U25"/>
  <c r="U17"/>
  <c r="U16"/>
  <c r="U14"/>
  <c r="U12"/>
  <c r="U10"/>
  <c r="U8"/>
  <c r="U31"/>
  <c r="U36"/>
  <c r="F30"/>
  <c r="F32"/>
  <c r="F31"/>
  <c r="F28"/>
  <c r="F25"/>
  <c r="F27"/>
  <c r="F26"/>
  <c r="F39" i="96"/>
  <c r="F41" s="1"/>
  <c r="AY36" i="93"/>
  <c r="CP40" i="97"/>
  <c r="DD38"/>
  <c r="BB39"/>
  <c r="AY38"/>
  <c r="AY39" s="1"/>
  <c r="F37" i="93"/>
  <c r="AY37"/>
  <c r="F36"/>
  <c r="F35"/>
  <c r="AY35"/>
  <c r="DF38" i="92"/>
  <c r="F34" i="93"/>
  <c r="AY34"/>
  <c r="F33"/>
  <c r="AY33"/>
  <c r="AY32"/>
  <c r="DD38" i="96"/>
  <c r="BB39"/>
  <c r="AY38"/>
  <c r="AY39" s="1"/>
  <c r="AY31" i="93"/>
  <c r="AY30"/>
  <c r="BB36"/>
  <c r="F29"/>
  <c r="AY29"/>
  <c r="BB34"/>
  <c r="AY28"/>
  <c r="AY27"/>
  <c r="AY24"/>
  <c r="AY26"/>
  <c r="BB25"/>
  <c r="AY25"/>
  <c r="F24"/>
  <c r="F23"/>
  <c r="AY23"/>
  <c r="F22"/>
  <c r="AY22"/>
  <c r="F21"/>
  <c r="AY21"/>
  <c r="Q39" i="95"/>
  <c r="Q41" s="1"/>
  <c r="BB35"/>
  <c r="AY35"/>
  <c r="BB36"/>
  <c r="AY36"/>
  <c r="F35"/>
  <c r="BB34"/>
  <c r="AY34"/>
  <c r="F34"/>
  <c r="BB32"/>
  <c r="AY32"/>
  <c r="BB33"/>
  <c r="AY33"/>
  <c r="F32"/>
  <c r="BI33"/>
  <c r="BB31"/>
  <c r="AY31"/>
  <c r="F31"/>
  <c r="BB30"/>
  <c r="AY30"/>
  <c r="F30"/>
  <c r="AB39"/>
  <c r="X39"/>
  <c r="AF39"/>
  <c r="DD38"/>
  <c r="BB29"/>
  <c r="AY29"/>
  <c r="F29"/>
  <c r="BB28"/>
  <c r="AY28"/>
  <c r="BB27"/>
  <c r="AY27"/>
  <c r="F27"/>
  <c r="BB26"/>
  <c r="AY26"/>
  <c r="BB25"/>
  <c r="AY25"/>
  <c r="BB23"/>
  <c r="AY23"/>
  <c r="F23"/>
  <c r="BB22"/>
  <c r="AY22"/>
  <c r="F22"/>
  <c r="BB21"/>
  <c r="AY21"/>
  <c r="BB20"/>
  <c r="AY20"/>
  <c r="BB19"/>
  <c r="AY19"/>
  <c r="BB18"/>
  <c r="AY18"/>
  <c r="F18"/>
  <c r="AY17"/>
  <c r="BB17"/>
  <c r="AY16"/>
  <c r="BB16"/>
  <c r="AY15"/>
  <c r="BB15"/>
  <c r="AY38"/>
  <c r="AY39" s="1"/>
  <c r="AY14"/>
  <c r="BB14"/>
  <c r="AY13"/>
  <c r="BB13"/>
  <c r="AY12"/>
  <c r="BB12"/>
  <c r="F12"/>
  <c r="AY11"/>
  <c r="BB11"/>
  <c r="F11"/>
  <c r="AY10"/>
  <c r="BB10"/>
  <c r="D38"/>
  <c r="F39" s="1"/>
  <c r="F41" s="1"/>
  <c r="AY9"/>
  <c r="BB9"/>
  <c r="BA38"/>
  <c r="BA39" s="1"/>
  <c r="BI7"/>
  <c r="BI8" s="1"/>
  <c r="BH38"/>
  <c r="CW39" i="93"/>
  <c r="BB27"/>
  <c r="BB26"/>
  <c r="E39"/>
  <c r="C39"/>
  <c r="F16"/>
  <c r="BB16"/>
  <c r="BB12"/>
  <c r="F12"/>
  <c r="BB8"/>
  <c r="F8"/>
  <c r="BB37"/>
  <c r="BB33"/>
  <c r="BB31"/>
  <c r="BB29"/>
  <c r="AY17"/>
  <c r="F17"/>
  <c r="BB17"/>
  <c r="F14"/>
  <c r="BB14"/>
  <c r="AY14"/>
  <c r="F10"/>
  <c r="BB10"/>
  <c r="AY10"/>
  <c r="BB24"/>
  <c r="BB23"/>
  <c r="BB22"/>
  <c r="BB21"/>
  <c r="AY16"/>
  <c r="AY12"/>
  <c r="AY8"/>
  <c r="BB35"/>
  <c r="BB32"/>
  <c r="BB30"/>
  <c r="BB28"/>
  <c r="AY20"/>
  <c r="F20"/>
  <c r="BB20"/>
  <c r="AY19"/>
  <c r="F19"/>
  <c r="BB19"/>
  <c r="AY18"/>
  <c r="F18"/>
  <c r="BB18"/>
  <c r="AY15"/>
  <c r="BB15"/>
  <c r="F15"/>
  <c r="AY13"/>
  <c r="BB13"/>
  <c r="F13"/>
  <c r="AY11"/>
  <c r="BB11"/>
  <c r="F11"/>
  <c r="AY9"/>
  <c r="BB9"/>
  <c r="F9"/>
  <c r="R38"/>
  <c r="U7"/>
  <c r="D38"/>
  <c r="AY7"/>
  <c r="BB7"/>
  <c r="F7"/>
  <c r="BH38"/>
  <c r="BI7"/>
  <c r="BI8" s="1"/>
  <c r="BI9" s="1"/>
  <c r="BI10" s="1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AY48" s="1"/>
  <c r="AY51" s="1"/>
  <c r="DB38"/>
  <c r="DC38" s="1"/>
  <c r="DE7"/>
  <c r="DE38" s="1"/>
  <c r="M39"/>
  <c r="AX39"/>
  <c r="AW39" s="1"/>
  <c r="AH39"/>
  <c r="AF39"/>
  <c r="U39"/>
  <c r="U41" s="1"/>
  <c r="H39"/>
  <c r="F39"/>
  <c r="F41" s="1"/>
  <c r="CR39"/>
  <c r="CP40" s="1"/>
  <c r="BA38"/>
  <c r="BA39" s="1"/>
  <c r="X39"/>
  <c r="Q39"/>
  <c r="Q41" s="1"/>
  <c r="BC7"/>
  <c r="BC38" s="1"/>
  <c r="BC39" s="1"/>
  <c r="AB39"/>
  <c r="BB24" i="92"/>
  <c r="AY24"/>
  <c r="F24"/>
  <c r="BB23"/>
  <c r="F23"/>
  <c r="AY23"/>
  <c r="BB21"/>
  <c r="F21"/>
  <c r="AY21"/>
  <c r="BB17"/>
  <c r="F17"/>
  <c r="AY17"/>
  <c r="BB15"/>
  <c r="F15"/>
  <c r="AY15"/>
  <c r="BB13"/>
  <c r="F13"/>
  <c r="AY13"/>
  <c r="BB11"/>
  <c r="F11"/>
  <c r="AY11"/>
  <c r="BB9"/>
  <c r="F9"/>
  <c r="AY9"/>
  <c r="DB38"/>
  <c r="DD38" s="1"/>
  <c r="DE7"/>
  <c r="DE38" s="1"/>
  <c r="D38"/>
  <c r="BB7"/>
  <c r="F7"/>
  <c r="AY7"/>
  <c r="M39"/>
  <c r="AX39"/>
  <c r="AW39" s="1"/>
  <c r="AH39"/>
  <c r="AF39"/>
  <c r="H39"/>
  <c r="F39"/>
  <c r="F41" s="1"/>
  <c r="X39"/>
  <c r="Q39"/>
  <c r="Q41" s="1"/>
  <c r="BA38"/>
  <c r="BA39" s="1"/>
  <c r="R38"/>
  <c r="U39" s="1"/>
  <c r="U41" s="1"/>
  <c r="U7"/>
  <c r="BB22"/>
  <c r="AY22"/>
  <c r="F22"/>
  <c r="BB20"/>
  <c r="AY20"/>
  <c r="F20"/>
  <c r="AB39"/>
  <c r="BB39" s="1"/>
  <c r="CR39"/>
  <c r="CP40" s="1"/>
  <c r="BC38"/>
  <c r="BC39" s="1"/>
  <c r="BB39" i="95" l="1"/>
  <c r="BI37"/>
  <c r="AY48" s="1"/>
  <c r="AY51" s="1"/>
  <c r="AY38" i="93"/>
  <c r="AY39" s="1"/>
  <c r="BB39"/>
  <c r="DD38"/>
  <c r="DC38" i="92"/>
  <c r="AY38"/>
  <c r="AY39" s="1"/>
  <c r="CP43" i="89" l="1"/>
  <c r="P8" i="91"/>
  <c r="P9"/>
  <c r="P10"/>
  <c r="Q10" s="1"/>
  <c r="R10" s="1"/>
  <c r="P11"/>
  <c r="P12"/>
  <c r="P13"/>
  <c r="P14"/>
  <c r="P15"/>
  <c r="P16"/>
  <c r="P17"/>
  <c r="Q17" s="1"/>
  <c r="P18"/>
  <c r="P19"/>
  <c r="P20"/>
  <c r="P21"/>
  <c r="Q21" s="1"/>
  <c r="R21" s="1"/>
  <c r="P22"/>
  <c r="P23"/>
  <c r="P24"/>
  <c r="P25"/>
  <c r="P26"/>
  <c r="P27"/>
  <c r="Q27" s="1"/>
  <c r="P28"/>
  <c r="P29"/>
  <c r="Q29" s="1"/>
  <c r="P30"/>
  <c r="P31"/>
  <c r="Q31" s="1"/>
  <c r="P32"/>
  <c r="P33"/>
  <c r="P34"/>
  <c r="P35"/>
  <c r="Q35" s="1"/>
  <c r="P36"/>
  <c r="P37"/>
  <c r="Q37" s="1"/>
  <c r="P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E8" s="1"/>
  <c r="B9"/>
  <c r="B10"/>
  <c r="C10" s="1"/>
  <c r="D10" s="1"/>
  <c r="B11"/>
  <c r="B12"/>
  <c r="E12" s="1"/>
  <c r="B13"/>
  <c r="B14"/>
  <c r="C14" s="1"/>
  <c r="D14" s="1"/>
  <c r="B15"/>
  <c r="B16"/>
  <c r="C16" s="1"/>
  <c r="D16" s="1"/>
  <c r="B17"/>
  <c r="B18"/>
  <c r="C18" s="1"/>
  <c r="D18" s="1"/>
  <c r="B19"/>
  <c r="E19" s="1"/>
  <c r="B20"/>
  <c r="C20" s="1"/>
  <c r="B21"/>
  <c r="E21" s="1"/>
  <c r="B22"/>
  <c r="C22" s="1"/>
  <c r="D22" s="1"/>
  <c r="B23"/>
  <c r="E23" s="1"/>
  <c r="B24"/>
  <c r="E24" s="1"/>
  <c r="B25"/>
  <c r="E25" s="1"/>
  <c r="B26"/>
  <c r="E26" s="1"/>
  <c r="B27"/>
  <c r="E27" s="1"/>
  <c r="B28"/>
  <c r="E28" s="1"/>
  <c r="B29"/>
  <c r="E29" s="1"/>
  <c r="B30"/>
  <c r="E30" s="1"/>
  <c r="B31"/>
  <c r="E31" s="1"/>
  <c r="B32"/>
  <c r="E32" s="1"/>
  <c r="B33"/>
  <c r="E33" s="1"/>
  <c r="B34"/>
  <c r="E34" s="1"/>
  <c r="B35"/>
  <c r="E35" s="1"/>
  <c r="B36"/>
  <c r="E36" s="1"/>
  <c r="B37"/>
  <c r="E37" s="1"/>
  <c r="B7"/>
  <c r="AS46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BA37"/>
  <c r="BC37" s="1"/>
  <c r="AZ37"/>
  <c r="AY37"/>
  <c r="AX37"/>
  <c r="BH37" s="1"/>
  <c r="AW37"/>
  <c r="AM37"/>
  <c r="AH37"/>
  <c r="AF37"/>
  <c r="U37"/>
  <c r="T37"/>
  <c r="N37"/>
  <c r="M37"/>
  <c r="I37"/>
  <c r="DF37" s="1"/>
  <c r="H37"/>
  <c r="F37"/>
  <c r="CZ36"/>
  <c r="CY36"/>
  <c r="CX36"/>
  <c r="CW36"/>
  <c r="CV36"/>
  <c r="CU36"/>
  <c r="CT36"/>
  <c r="CS36"/>
  <c r="CR36"/>
  <c r="CQ36"/>
  <c r="CP36"/>
  <c r="BF36"/>
  <c r="AZ36"/>
  <c r="AX36"/>
  <c r="BH36" s="1"/>
  <c r="AM36"/>
  <c r="AF36"/>
  <c r="T36"/>
  <c r="N36"/>
  <c r="I36"/>
  <c r="DF36" s="1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N35"/>
  <c r="I35"/>
  <c r="DF35" s="1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N34"/>
  <c r="I34"/>
  <c r="DF34" s="1"/>
  <c r="CZ33"/>
  <c r="CY33"/>
  <c r="CX33"/>
  <c r="CW33"/>
  <c r="CV33"/>
  <c r="CU33"/>
  <c r="CT33"/>
  <c r="CS33"/>
  <c r="CR33"/>
  <c r="CQ33"/>
  <c r="CP33"/>
  <c r="BF33"/>
  <c r="AZ33"/>
  <c r="AX33"/>
  <c r="BH33" s="1"/>
  <c r="AM33"/>
  <c r="AF33"/>
  <c r="T33"/>
  <c r="N33"/>
  <c r="I33"/>
  <c r="DF33" s="1"/>
  <c r="CZ32"/>
  <c r="CY32"/>
  <c r="CX32"/>
  <c r="CW32"/>
  <c r="CV32"/>
  <c r="CU32"/>
  <c r="CT32"/>
  <c r="CS32"/>
  <c r="CR32"/>
  <c r="CQ32"/>
  <c r="CP32"/>
  <c r="BF32"/>
  <c r="AZ32"/>
  <c r="AX32"/>
  <c r="BH32" s="1"/>
  <c r="AM32"/>
  <c r="AF32"/>
  <c r="T32"/>
  <c r="N32"/>
  <c r="I32"/>
  <c r="DF32" s="1"/>
  <c r="CZ31"/>
  <c r="CY31"/>
  <c r="CX31"/>
  <c r="CW31"/>
  <c r="CV31"/>
  <c r="CU31"/>
  <c r="CT31"/>
  <c r="CS31"/>
  <c r="CR31"/>
  <c r="CQ31"/>
  <c r="CP31"/>
  <c r="BF31"/>
  <c r="AZ31"/>
  <c r="AX31"/>
  <c r="BH31" s="1"/>
  <c r="AM31"/>
  <c r="AF31"/>
  <c r="T31"/>
  <c r="N31"/>
  <c r="I31"/>
  <c r="DF31" s="1"/>
  <c r="CZ30"/>
  <c r="CY30"/>
  <c r="CX30"/>
  <c r="CW30"/>
  <c r="CV30"/>
  <c r="CU30"/>
  <c r="CT30"/>
  <c r="CS30"/>
  <c r="CR30"/>
  <c r="CQ30"/>
  <c r="CP30"/>
  <c r="BF30"/>
  <c r="AZ30"/>
  <c r="AX30"/>
  <c r="BH30" s="1"/>
  <c r="AM30"/>
  <c r="AF30"/>
  <c r="T30"/>
  <c r="N30"/>
  <c r="I30"/>
  <c r="DF30" s="1"/>
  <c r="CZ29"/>
  <c r="CY29"/>
  <c r="CX29"/>
  <c r="CW29"/>
  <c r="CV29"/>
  <c r="CU29"/>
  <c r="CT29"/>
  <c r="CS29"/>
  <c r="CR29"/>
  <c r="CQ29"/>
  <c r="CP29"/>
  <c r="BH29"/>
  <c r="BF29"/>
  <c r="BA29"/>
  <c r="BC29" s="1"/>
  <c r="AZ29"/>
  <c r="AX29"/>
  <c r="AW29"/>
  <c r="AM29"/>
  <c r="AH29"/>
  <c r="AF29"/>
  <c r="T29"/>
  <c r="N29"/>
  <c r="M29"/>
  <c r="I29"/>
  <c r="DF29" s="1"/>
  <c r="H29"/>
  <c r="CZ28"/>
  <c r="CY28"/>
  <c r="CX28"/>
  <c r="CW28"/>
  <c r="CV28"/>
  <c r="CU28"/>
  <c r="CT28"/>
  <c r="CS28"/>
  <c r="CR28"/>
  <c r="CQ28"/>
  <c r="CP28"/>
  <c r="BF28"/>
  <c r="AZ28"/>
  <c r="AX28"/>
  <c r="AW28" s="1"/>
  <c r="AM28"/>
  <c r="AF28"/>
  <c r="T28"/>
  <c r="N28"/>
  <c r="I28"/>
  <c r="DF28" s="1"/>
  <c r="CZ27"/>
  <c r="CY27"/>
  <c r="CX27"/>
  <c r="CW27"/>
  <c r="CV27"/>
  <c r="CU27"/>
  <c r="CT27"/>
  <c r="CS27"/>
  <c r="CR27"/>
  <c r="CQ27"/>
  <c r="CP27"/>
  <c r="BF27"/>
  <c r="AZ27"/>
  <c r="AX27"/>
  <c r="BH27" s="1"/>
  <c r="AW27"/>
  <c r="AM27"/>
  <c r="AH27"/>
  <c r="AF27"/>
  <c r="T27"/>
  <c r="N27"/>
  <c r="M27"/>
  <c r="I27"/>
  <c r="DF27" s="1"/>
  <c r="H27"/>
  <c r="CZ26"/>
  <c r="CY26"/>
  <c r="CX26"/>
  <c r="CW26"/>
  <c r="CV26"/>
  <c r="CU26"/>
  <c r="CT26"/>
  <c r="CS26"/>
  <c r="CR26"/>
  <c r="CQ26"/>
  <c r="CP26"/>
  <c r="BF26"/>
  <c r="AZ26"/>
  <c r="AX26"/>
  <c r="AW26" s="1"/>
  <c r="AM26"/>
  <c r="AF26"/>
  <c r="T26"/>
  <c r="N26"/>
  <c r="I26"/>
  <c r="DF26" s="1"/>
  <c r="CZ25"/>
  <c r="CY25"/>
  <c r="CX25"/>
  <c r="CW25"/>
  <c r="CV25"/>
  <c r="CU25"/>
  <c r="CT25"/>
  <c r="CS25"/>
  <c r="CR25"/>
  <c r="CQ25"/>
  <c r="CP25"/>
  <c r="BF25"/>
  <c r="AZ25"/>
  <c r="AX25"/>
  <c r="BH25" s="1"/>
  <c r="AW25"/>
  <c r="AM25"/>
  <c r="AH25"/>
  <c r="AF25"/>
  <c r="T25"/>
  <c r="N25"/>
  <c r="M25"/>
  <c r="I25"/>
  <c r="DF25" s="1"/>
  <c r="H25"/>
  <c r="CZ24"/>
  <c r="CY24"/>
  <c r="CX24"/>
  <c r="CW24"/>
  <c r="CV24"/>
  <c r="CU24"/>
  <c r="CT24"/>
  <c r="CS24"/>
  <c r="CR24"/>
  <c r="CQ24"/>
  <c r="CP24"/>
  <c r="BF24"/>
  <c r="AZ24"/>
  <c r="BC24" s="1"/>
  <c r="AX24"/>
  <c r="AW24" s="1"/>
  <c r="AM24"/>
  <c r="AF24"/>
  <c r="T24"/>
  <c r="N24"/>
  <c r="I24"/>
  <c r="DF24" s="1"/>
  <c r="CZ23"/>
  <c r="CY23"/>
  <c r="CX23"/>
  <c r="CW23"/>
  <c r="CV23"/>
  <c r="CU23"/>
  <c r="CT23"/>
  <c r="CS23"/>
  <c r="CR23"/>
  <c r="CQ23"/>
  <c r="CP23"/>
  <c r="BF23"/>
  <c r="AZ23"/>
  <c r="AX23"/>
  <c r="BH23" s="1"/>
  <c r="AM23"/>
  <c r="AF23"/>
  <c r="T23"/>
  <c r="N23"/>
  <c r="M23"/>
  <c r="I23"/>
  <c r="DF23" s="1"/>
  <c r="H23"/>
  <c r="CZ22"/>
  <c r="CY22"/>
  <c r="CX22"/>
  <c r="CW22"/>
  <c r="CV22"/>
  <c r="CU22"/>
  <c r="CT22"/>
  <c r="CS22"/>
  <c r="CR22"/>
  <c r="CQ22"/>
  <c r="CP22"/>
  <c r="BF22"/>
  <c r="AZ22"/>
  <c r="AX22"/>
  <c r="BH22" s="1"/>
  <c r="AM22"/>
  <c r="AF22"/>
  <c r="T22"/>
  <c r="N22"/>
  <c r="I22"/>
  <c r="DF22" s="1"/>
  <c r="H22"/>
  <c r="CZ21"/>
  <c r="CY21"/>
  <c r="CX21"/>
  <c r="CW21"/>
  <c r="CV21"/>
  <c r="CU21"/>
  <c r="CT21"/>
  <c r="CS21"/>
  <c r="CR21"/>
  <c r="CQ21"/>
  <c r="CP21"/>
  <c r="BF21"/>
  <c r="AZ21"/>
  <c r="AX21"/>
  <c r="BH21" s="1"/>
  <c r="AM21"/>
  <c r="AF21"/>
  <c r="T21"/>
  <c r="N21"/>
  <c r="I21"/>
  <c r="DF21" s="1"/>
  <c r="CZ20"/>
  <c r="CY20"/>
  <c r="CX20"/>
  <c r="CW20"/>
  <c r="CV20"/>
  <c r="CU20"/>
  <c r="CT20"/>
  <c r="CS20"/>
  <c r="CR20"/>
  <c r="CQ20"/>
  <c r="CP20"/>
  <c r="BF20"/>
  <c r="AZ20"/>
  <c r="AX20"/>
  <c r="BH20" s="1"/>
  <c r="AM20"/>
  <c r="AF20"/>
  <c r="T20"/>
  <c r="N20"/>
  <c r="M20"/>
  <c r="I20"/>
  <c r="DF20" s="1"/>
  <c r="H20"/>
  <c r="CZ19"/>
  <c r="CY19"/>
  <c r="CX19"/>
  <c r="CW19"/>
  <c r="CV19"/>
  <c r="CU19"/>
  <c r="CT19"/>
  <c r="CS19"/>
  <c r="CR19"/>
  <c r="CQ19"/>
  <c r="CP19"/>
  <c r="BF19"/>
  <c r="AZ19"/>
  <c r="AX19"/>
  <c r="M19" s="1"/>
  <c r="AM19"/>
  <c r="AF19"/>
  <c r="T19"/>
  <c r="N19"/>
  <c r="I19"/>
  <c r="DF19" s="1"/>
  <c r="CZ18"/>
  <c r="CY18"/>
  <c r="CX18"/>
  <c r="CW18"/>
  <c r="CV18"/>
  <c r="CU18"/>
  <c r="CT18"/>
  <c r="CS18"/>
  <c r="CR18"/>
  <c r="CQ18"/>
  <c r="CP18"/>
  <c r="BF18"/>
  <c r="AZ18"/>
  <c r="AX18"/>
  <c r="M18" s="1"/>
  <c r="AM18"/>
  <c r="AF18"/>
  <c r="T18"/>
  <c r="N18"/>
  <c r="I18"/>
  <c r="DB18" s="1"/>
  <c r="DE18" s="1"/>
  <c r="CZ17"/>
  <c r="CY17"/>
  <c r="CX17"/>
  <c r="CW17"/>
  <c r="CV17"/>
  <c r="CU17"/>
  <c r="CT17"/>
  <c r="CS17"/>
  <c r="CR17"/>
  <c r="CQ17"/>
  <c r="CP17"/>
  <c r="BF17"/>
  <c r="AZ17"/>
  <c r="AX17"/>
  <c r="AM17"/>
  <c r="AH17"/>
  <c r="T17"/>
  <c r="N17"/>
  <c r="I17"/>
  <c r="DB17" s="1"/>
  <c r="DE17" s="1"/>
  <c r="CZ16"/>
  <c r="CY16"/>
  <c r="CX16"/>
  <c r="CW16"/>
  <c r="CV16"/>
  <c r="CU16"/>
  <c r="CT16"/>
  <c r="CS16"/>
  <c r="CR16"/>
  <c r="CQ16"/>
  <c r="CP16"/>
  <c r="BF16"/>
  <c r="AZ16"/>
  <c r="AX16"/>
  <c r="AF16" s="1"/>
  <c r="AM16"/>
  <c r="AH16"/>
  <c r="T16"/>
  <c r="N16"/>
  <c r="I16"/>
  <c r="DF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AH15"/>
  <c r="T15"/>
  <c r="N15"/>
  <c r="I15"/>
  <c r="DF15" s="1"/>
  <c r="CZ14"/>
  <c r="CY14"/>
  <c r="CX14"/>
  <c r="CW14"/>
  <c r="CV14"/>
  <c r="CU14"/>
  <c r="CT14"/>
  <c r="CS14"/>
  <c r="CR14"/>
  <c r="CQ14"/>
  <c r="CP14"/>
  <c r="H14" s="1"/>
  <c r="BF14"/>
  <c r="AZ14"/>
  <c r="AX14"/>
  <c r="BH14" s="1"/>
  <c r="AM14"/>
  <c r="AH14"/>
  <c r="AF14"/>
  <c r="T14"/>
  <c r="N14"/>
  <c r="M14"/>
  <c r="I14"/>
  <c r="DF14" s="1"/>
  <c r="CZ13"/>
  <c r="CY13"/>
  <c r="CX13"/>
  <c r="CW13"/>
  <c r="CV13"/>
  <c r="CU13"/>
  <c r="CT13"/>
  <c r="CS13"/>
  <c r="CR13"/>
  <c r="CQ13"/>
  <c r="CP13"/>
  <c r="BF13"/>
  <c r="AZ13"/>
  <c r="AX13"/>
  <c r="BH13" s="1"/>
  <c r="AM13"/>
  <c r="AH13"/>
  <c r="T13"/>
  <c r="N13"/>
  <c r="I13"/>
  <c r="DF13" s="1"/>
  <c r="CZ12"/>
  <c r="CY12"/>
  <c r="CX12"/>
  <c r="CW12"/>
  <c r="CV12"/>
  <c r="CU12"/>
  <c r="CT12"/>
  <c r="CS12"/>
  <c r="CR12"/>
  <c r="CQ12"/>
  <c r="CP12"/>
  <c r="BF12"/>
  <c r="AZ12"/>
  <c r="AX12"/>
  <c r="AF12" s="1"/>
  <c r="AM12"/>
  <c r="AH12"/>
  <c r="T12"/>
  <c r="N12"/>
  <c r="I12"/>
  <c r="DF12" s="1"/>
  <c r="CZ11"/>
  <c r="CY11"/>
  <c r="CX11"/>
  <c r="CW11"/>
  <c r="CV11"/>
  <c r="CU11"/>
  <c r="CT11"/>
  <c r="CS11"/>
  <c r="CR11"/>
  <c r="CQ11"/>
  <c r="CP11"/>
  <c r="BF11"/>
  <c r="AZ11"/>
  <c r="AX11"/>
  <c r="BH11" s="1"/>
  <c r="AM11"/>
  <c r="AH11"/>
  <c r="T11"/>
  <c r="N11"/>
  <c r="I11"/>
  <c r="DF11" s="1"/>
  <c r="CZ10"/>
  <c r="CY10"/>
  <c r="CX10"/>
  <c r="CW10"/>
  <c r="CV10"/>
  <c r="CU10"/>
  <c r="CT10"/>
  <c r="CS10"/>
  <c r="CR10"/>
  <c r="CQ10"/>
  <c r="CP10"/>
  <c r="BF10"/>
  <c r="AZ10"/>
  <c r="AX10"/>
  <c r="AF10" s="1"/>
  <c r="AM10"/>
  <c r="AH10"/>
  <c r="T10"/>
  <c r="N10"/>
  <c r="I10"/>
  <c r="DF10" s="1"/>
  <c r="CZ9"/>
  <c r="CY9"/>
  <c r="CX9"/>
  <c r="CW9"/>
  <c r="CV9"/>
  <c r="CU9"/>
  <c r="CT9"/>
  <c r="CS9"/>
  <c r="CR9"/>
  <c r="CQ9"/>
  <c r="CP9"/>
  <c r="BF9"/>
  <c r="AZ9"/>
  <c r="AX9"/>
  <c r="BH9" s="1"/>
  <c r="AM9"/>
  <c r="AH9"/>
  <c r="T9"/>
  <c r="N9"/>
  <c r="I9"/>
  <c r="DF9" s="1"/>
  <c r="CZ8"/>
  <c r="CY8"/>
  <c r="CX8"/>
  <c r="CW8"/>
  <c r="CV8"/>
  <c r="CU8"/>
  <c r="CT8"/>
  <c r="CS8"/>
  <c r="CR8"/>
  <c r="CQ8"/>
  <c r="CP8"/>
  <c r="BF8"/>
  <c r="AZ8"/>
  <c r="AX8"/>
  <c r="AF8" s="1"/>
  <c r="AM8"/>
  <c r="AH8"/>
  <c r="T8"/>
  <c r="N8"/>
  <c r="I8"/>
  <c r="DF8" s="1"/>
  <c r="CZ7"/>
  <c r="CY7"/>
  <c r="CX7"/>
  <c r="CW7"/>
  <c r="CW38" s="1"/>
  <c r="CV7"/>
  <c r="CU7"/>
  <c r="CU38" s="1"/>
  <c r="CT7"/>
  <c r="CS7"/>
  <c r="CR7"/>
  <c r="CQ7"/>
  <c r="CP7"/>
  <c r="BG7"/>
  <c r="BF7"/>
  <c r="AZ7"/>
  <c r="AX7"/>
  <c r="BH7" s="1"/>
  <c r="AM7"/>
  <c r="AH7"/>
  <c r="T7"/>
  <c r="N7"/>
  <c r="I7"/>
  <c r="B35" i="90"/>
  <c r="C35" s="1"/>
  <c r="D35" s="1"/>
  <c r="I35"/>
  <c r="DF35" s="1"/>
  <c r="J35"/>
  <c r="L35"/>
  <c r="N35"/>
  <c r="O35"/>
  <c r="P35"/>
  <c r="Q35" s="1"/>
  <c r="R35" s="1"/>
  <c r="T35"/>
  <c r="AM35"/>
  <c r="AX35"/>
  <c r="H35" s="1"/>
  <c r="AZ35"/>
  <c r="BE35"/>
  <c r="BF35"/>
  <c r="BG35"/>
  <c r="BH35"/>
  <c r="BI35"/>
  <c r="CP35"/>
  <c r="CQ35"/>
  <c r="CR35"/>
  <c r="CS35"/>
  <c r="CT35"/>
  <c r="CU35"/>
  <c r="CV35"/>
  <c r="CW35"/>
  <c r="CX35"/>
  <c r="CY35"/>
  <c r="CZ35"/>
  <c r="B34"/>
  <c r="C34" s="1"/>
  <c r="D34" s="1"/>
  <c r="I34"/>
  <c r="DF34" s="1"/>
  <c r="J34"/>
  <c r="L34"/>
  <c r="N34"/>
  <c r="O34"/>
  <c r="P34"/>
  <c r="Q34" s="1"/>
  <c r="R34" s="1"/>
  <c r="T34"/>
  <c r="AM34"/>
  <c r="AX34"/>
  <c r="H34" s="1"/>
  <c r="AZ34"/>
  <c r="BE34"/>
  <c r="BF34"/>
  <c r="BG34" s="1"/>
  <c r="BH34"/>
  <c r="CP34"/>
  <c r="CQ34"/>
  <c r="CR34"/>
  <c r="CS34"/>
  <c r="CT34"/>
  <c r="CU34"/>
  <c r="CV34"/>
  <c r="CW34"/>
  <c r="CX34"/>
  <c r="CY34"/>
  <c r="CZ34"/>
  <c r="DB34"/>
  <c r="DE34" s="1"/>
  <c r="B33"/>
  <c r="C33" s="1"/>
  <c r="D33" s="1"/>
  <c r="I33"/>
  <c r="DF33" s="1"/>
  <c r="J33"/>
  <c r="L33"/>
  <c r="N33"/>
  <c r="O33"/>
  <c r="P33"/>
  <c r="Q33" s="1"/>
  <c r="R33" s="1"/>
  <c r="T33"/>
  <c r="AM33"/>
  <c r="AX33"/>
  <c r="H33" s="1"/>
  <c r="AZ33"/>
  <c r="BE33"/>
  <c r="BF33"/>
  <c r="BG33" s="1"/>
  <c r="BH33"/>
  <c r="CP33"/>
  <c r="CQ33"/>
  <c r="CR33"/>
  <c r="CS33"/>
  <c r="CT33"/>
  <c r="CU33"/>
  <c r="CV33"/>
  <c r="CW33"/>
  <c r="CX33"/>
  <c r="CY33"/>
  <c r="CZ33"/>
  <c r="B32"/>
  <c r="C32" s="1"/>
  <c r="D32" s="1"/>
  <c r="I32"/>
  <c r="DF32" s="1"/>
  <c r="J32"/>
  <c r="L32"/>
  <c r="N32"/>
  <c r="O32"/>
  <c r="P32"/>
  <c r="Q32" s="1"/>
  <c r="R32" s="1"/>
  <c r="T32"/>
  <c r="AM32"/>
  <c r="AX32"/>
  <c r="H32" s="1"/>
  <c r="AZ32"/>
  <c r="BE32"/>
  <c r="BF32"/>
  <c r="BG32" s="1"/>
  <c r="BH32"/>
  <c r="CP32"/>
  <c r="CQ32"/>
  <c r="CR32"/>
  <c r="CS32"/>
  <c r="CT32"/>
  <c r="CU32"/>
  <c r="CV32"/>
  <c r="CW32"/>
  <c r="CX32"/>
  <c r="CY32"/>
  <c r="CZ32"/>
  <c r="B31"/>
  <c r="C31" s="1"/>
  <c r="D31" s="1"/>
  <c r="I31"/>
  <c r="DF31" s="1"/>
  <c r="J31"/>
  <c r="L31"/>
  <c r="N31"/>
  <c r="O31"/>
  <c r="P31"/>
  <c r="Q31" s="1"/>
  <c r="R31" s="1"/>
  <c r="T31"/>
  <c r="AM31"/>
  <c r="AX31"/>
  <c r="H31" s="1"/>
  <c r="AZ31"/>
  <c r="BE31"/>
  <c r="BF31"/>
  <c r="BG31" s="1"/>
  <c r="BH31"/>
  <c r="CP31"/>
  <c r="CQ31"/>
  <c r="CR31"/>
  <c r="CS31"/>
  <c r="CT31"/>
  <c r="CU31"/>
  <c r="CV31"/>
  <c r="CW31"/>
  <c r="CX31"/>
  <c r="CY31"/>
  <c r="CZ31"/>
  <c r="DB31"/>
  <c r="DE31" s="1"/>
  <c r="B30"/>
  <c r="C30" s="1"/>
  <c r="D30" s="1"/>
  <c r="I30"/>
  <c r="DF30" s="1"/>
  <c r="J30"/>
  <c r="L30"/>
  <c r="N30"/>
  <c r="O30"/>
  <c r="P30"/>
  <c r="Q30" s="1"/>
  <c r="R30" s="1"/>
  <c r="T30"/>
  <c r="AM30"/>
  <c r="AX30"/>
  <c r="H30" s="1"/>
  <c r="AZ30"/>
  <c r="BE30"/>
  <c r="BF30"/>
  <c r="BG30" s="1"/>
  <c r="BH30"/>
  <c r="CP30"/>
  <c r="CQ30"/>
  <c r="CR30"/>
  <c r="CS30"/>
  <c r="CT30"/>
  <c r="CU30"/>
  <c r="CV30"/>
  <c r="CW30"/>
  <c r="CX30"/>
  <c r="CY30"/>
  <c r="CZ30"/>
  <c r="DB30"/>
  <c r="DE30" s="1"/>
  <c r="B29"/>
  <c r="C29" s="1"/>
  <c r="D29" s="1"/>
  <c r="I29"/>
  <c r="DF29" s="1"/>
  <c r="J29"/>
  <c r="L29"/>
  <c r="N29"/>
  <c r="O29"/>
  <c r="P29"/>
  <c r="Q29" s="1"/>
  <c r="R29" s="1"/>
  <c r="T29"/>
  <c r="AM29"/>
  <c r="AX29"/>
  <c r="H29" s="1"/>
  <c r="AZ29"/>
  <c r="BE29"/>
  <c r="BF29"/>
  <c r="BG29" s="1"/>
  <c r="BH29"/>
  <c r="CP29"/>
  <c r="CQ29"/>
  <c r="CR29"/>
  <c r="CS29"/>
  <c r="CT29"/>
  <c r="CU29"/>
  <c r="CV29"/>
  <c r="CW29"/>
  <c r="CX29"/>
  <c r="CY29"/>
  <c r="CZ29"/>
  <c r="DB29"/>
  <c r="DE29" s="1"/>
  <c r="B28"/>
  <c r="C28" s="1"/>
  <c r="D28" s="1"/>
  <c r="I28"/>
  <c r="DF28" s="1"/>
  <c r="J28"/>
  <c r="L28"/>
  <c r="N28"/>
  <c r="O28"/>
  <c r="P28"/>
  <c r="Q28" s="1"/>
  <c r="R28" s="1"/>
  <c r="T28"/>
  <c r="AM28"/>
  <c r="AX28"/>
  <c r="H28" s="1"/>
  <c r="AZ28"/>
  <c r="BE28"/>
  <c r="BF28"/>
  <c r="BG28" s="1"/>
  <c r="BH28"/>
  <c r="CP28"/>
  <c r="CQ28"/>
  <c r="CR28"/>
  <c r="CS28"/>
  <c r="CT28"/>
  <c r="CU28"/>
  <c r="CV28"/>
  <c r="CW28"/>
  <c r="CX28"/>
  <c r="CY28"/>
  <c r="CZ28"/>
  <c r="DB28"/>
  <c r="DE28" s="1"/>
  <c r="B27"/>
  <c r="C27" s="1"/>
  <c r="D27" s="1"/>
  <c r="I27"/>
  <c r="DF27" s="1"/>
  <c r="J27"/>
  <c r="L27"/>
  <c r="N27"/>
  <c r="O27"/>
  <c r="P27"/>
  <c r="Q27" s="1"/>
  <c r="R27" s="1"/>
  <c r="T27"/>
  <c r="AM27"/>
  <c r="AX27"/>
  <c r="H27" s="1"/>
  <c r="AZ27"/>
  <c r="BE27"/>
  <c r="BF27"/>
  <c r="BG27" s="1"/>
  <c r="BH27"/>
  <c r="CP27"/>
  <c r="CQ27"/>
  <c r="CR27"/>
  <c r="CS27"/>
  <c r="CT27"/>
  <c r="CU27"/>
  <c r="CV27"/>
  <c r="CW27"/>
  <c r="CX27"/>
  <c r="CY27"/>
  <c r="CZ27"/>
  <c r="DB27"/>
  <c r="DE27" s="1"/>
  <c r="B26"/>
  <c r="C26" s="1"/>
  <c r="D26" s="1"/>
  <c r="I26"/>
  <c r="DF26" s="1"/>
  <c r="J26"/>
  <c r="L26"/>
  <c r="N26"/>
  <c r="O26"/>
  <c r="P26"/>
  <c r="Q26" s="1"/>
  <c r="R26" s="1"/>
  <c r="T26"/>
  <c r="AM26"/>
  <c r="AX26"/>
  <c r="H26" s="1"/>
  <c r="AZ26"/>
  <c r="BE26"/>
  <c r="BF26"/>
  <c r="BG26" s="1"/>
  <c r="BH26"/>
  <c r="CP26"/>
  <c r="CQ26"/>
  <c r="CR26"/>
  <c r="CS26"/>
  <c r="CT26"/>
  <c r="CU26"/>
  <c r="CV26"/>
  <c r="CW26"/>
  <c r="CX26"/>
  <c r="CY26"/>
  <c r="CZ26"/>
  <c r="DB26"/>
  <c r="DE26" s="1"/>
  <c r="B25"/>
  <c r="C25" s="1"/>
  <c r="D25" s="1"/>
  <c r="I25"/>
  <c r="DF25" s="1"/>
  <c r="J25"/>
  <c r="L25"/>
  <c r="N25"/>
  <c r="O25"/>
  <c r="P25"/>
  <c r="Q25" s="1"/>
  <c r="R25" s="1"/>
  <c r="T25"/>
  <c r="AM25"/>
  <c r="AX25"/>
  <c r="H25" s="1"/>
  <c r="AZ25"/>
  <c r="BE25"/>
  <c r="BF25"/>
  <c r="BG25" s="1"/>
  <c r="BH25"/>
  <c r="CP25"/>
  <c r="CQ25"/>
  <c r="CR25"/>
  <c r="CS25"/>
  <c r="CT25"/>
  <c r="CU25"/>
  <c r="CV25"/>
  <c r="CW25"/>
  <c r="CX25"/>
  <c r="CY25"/>
  <c r="CZ25"/>
  <c r="B24"/>
  <c r="C24" s="1"/>
  <c r="D24" s="1"/>
  <c r="I24"/>
  <c r="DB24" s="1"/>
  <c r="DE24" s="1"/>
  <c r="J24"/>
  <c r="L24"/>
  <c r="N24"/>
  <c r="O24"/>
  <c r="P24"/>
  <c r="Q24" s="1"/>
  <c r="R24" s="1"/>
  <c r="T24"/>
  <c r="AM24"/>
  <c r="AX24"/>
  <c r="H24" s="1"/>
  <c r="AZ24"/>
  <c r="BC24"/>
  <c r="BE24"/>
  <c r="BF24"/>
  <c r="BG24" s="1"/>
  <c r="BH24"/>
  <c r="CP24"/>
  <c r="CQ24"/>
  <c r="CR24"/>
  <c r="CS24"/>
  <c r="CT24"/>
  <c r="CU24"/>
  <c r="CV24"/>
  <c r="CW24"/>
  <c r="CX24"/>
  <c r="CY24"/>
  <c r="CZ24"/>
  <c r="B23"/>
  <c r="C23" s="1"/>
  <c r="D23" s="1"/>
  <c r="I23"/>
  <c r="DF23" s="1"/>
  <c r="J23"/>
  <c r="L23"/>
  <c r="N23"/>
  <c r="O23"/>
  <c r="P23"/>
  <c r="Q23" s="1"/>
  <c r="R23" s="1"/>
  <c r="T23"/>
  <c r="AM23"/>
  <c r="AX23"/>
  <c r="H23" s="1"/>
  <c r="AZ23"/>
  <c r="BE23"/>
  <c r="BF23"/>
  <c r="BG23" s="1"/>
  <c r="BH23"/>
  <c r="CP23"/>
  <c r="CQ23"/>
  <c r="CR23"/>
  <c r="CS23"/>
  <c r="CT23"/>
  <c r="CU23"/>
  <c r="CV23"/>
  <c r="CW23"/>
  <c r="CX23"/>
  <c r="CY23"/>
  <c r="CZ23"/>
  <c r="DB23"/>
  <c r="DE23" s="1"/>
  <c r="BE36"/>
  <c r="B22"/>
  <c r="C22" s="1"/>
  <c r="D22" s="1"/>
  <c r="I22"/>
  <c r="DF22" s="1"/>
  <c r="J22"/>
  <c r="L22"/>
  <c r="N22"/>
  <c r="O22"/>
  <c r="P22"/>
  <c r="Q22" s="1"/>
  <c r="R22" s="1"/>
  <c r="T22"/>
  <c r="AM22"/>
  <c r="AX22"/>
  <c r="H22" s="1"/>
  <c r="AZ22"/>
  <c r="BE22"/>
  <c r="BF22"/>
  <c r="BG22" s="1"/>
  <c r="BH22"/>
  <c r="CP22"/>
  <c r="CQ22"/>
  <c r="CR22"/>
  <c r="CS22"/>
  <c r="CT22"/>
  <c r="CU22"/>
  <c r="CV22"/>
  <c r="CW22"/>
  <c r="CX22"/>
  <c r="CY22"/>
  <c r="CZ22"/>
  <c r="DB22"/>
  <c r="DE22" s="1"/>
  <c r="B21"/>
  <c r="C21" s="1"/>
  <c r="D21" s="1"/>
  <c r="I21"/>
  <c r="DF21" s="1"/>
  <c r="J21"/>
  <c r="L21"/>
  <c r="N21"/>
  <c r="O21"/>
  <c r="P21"/>
  <c r="Q21" s="1"/>
  <c r="R21" s="1"/>
  <c r="T21"/>
  <c r="AM21"/>
  <c r="AX21"/>
  <c r="H21" s="1"/>
  <c r="AZ21"/>
  <c r="BE21"/>
  <c r="BF21"/>
  <c r="BG21" s="1"/>
  <c r="BH21"/>
  <c r="CP21"/>
  <c r="CQ21"/>
  <c r="CR21"/>
  <c r="CS21"/>
  <c r="CT21"/>
  <c r="CU21"/>
  <c r="CV21"/>
  <c r="CW21"/>
  <c r="CX21"/>
  <c r="CY21"/>
  <c r="CZ21"/>
  <c r="DB21"/>
  <c r="DE21" s="1"/>
  <c r="B20"/>
  <c r="C20" s="1"/>
  <c r="D20" s="1"/>
  <c r="I20"/>
  <c r="DF20" s="1"/>
  <c r="J20"/>
  <c r="L20"/>
  <c r="N20"/>
  <c r="O20"/>
  <c r="P20"/>
  <c r="Q20" s="1"/>
  <c r="R20" s="1"/>
  <c r="T20"/>
  <c r="AM20"/>
  <c r="AX20"/>
  <c r="H20" s="1"/>
  <c r="AZ20"/>
  <c r="BE20"/>
  <c r="BF20"/>
  <c r="BG20" s="1"/>
  <c r="BH20"/>
  <c r="CP20"/>
  <c r="CQ20"/>
  <c r="CR20"/>
  <c r="CS20"/>
  <c r="CT20"/>
  <c r="CU20"/>
  <c r="CV20"/>
  <c r="CW20"/>
  <c r="CX20"/>
  <c r="CY20"/>
  <c r="CZ20"/>
  <c r="DB20"/>
  <c r="DE20" s="1"/>
  <c r="B19"/>
  <c r="C19" s="1"/>
  <c r="D19" s="1"/>
  <c r="I19"/>
  <c r="DF19" s="1"/>
  <c r="J19"/>
  <c r="L19"/>
  <c r="N19"/>
  <c r="O19"/>
  <c r="P19"/>
  <c r="Q19" s="1"/>
  <c r="R19" s="1"/>
  <c r="T19"/>
  <c r="AM19"/>
  <c r="AX19"/>
  <c r="H19" s="1"/>
  <c r="AZ19"/>
  <c r="BE19"/>
  <c r="BF19"/>
  <c r="BG19" s="1"/>
  <c r="BH19"/>
  <c r="CP19"/>
  <c r="CQ19"/>
  <c r="CR19"/>
  <c r="CS19"/>
  <c r="CT19"/>
  <c r="CU19"/>
  <c r="CV19"/>
  <c r="CW19"/>
  <c r="CX19"/>
  <c r="CY19"/>
  <c r="CZ19"/>
  <c r="DB19"/>
  <c r="DE19" s="1"/>
  <c r="B36"/>
  <c r="C36"/>
  <c r="D36" s="1"/>
  <c r="BB36" s="1"/>
  <c r="E36"/>
  <c r="I36"/>
  <c r="DB36" s="1"/>
  <c r="DE36" s="1"/>
  <c r="J36"/>
  <c r="L36"/>
  <c r="N36"/>
  <c r="O36"/>
  <c r="P36"/>
  <c r="Q36" s="1"/>
  <c r="R36" s="1"/>
  <c r="T36"/>
  <c r="AM36"/>
  <c r="AX36"/>
  <c r="F36" s="1"/>
  <c r="AY36"/>
  <c r="AZ36"/>
  <c r="BF36"/>
  <c r="CP36"/>
  <c r="CQ36"/>
  <c r="CR36"/>
  <c r="CS36"/>
  <c r="CT36"/>
  <c r="CU36"/>
  <c r="CV36"/>
  <c r="CW36"/>
  <c r="CX36"/>
  <c r="CY36"/>
  <c r="CZ36"/>
  <c r="B18"/>
  <c r="C18" s="1"/>
  <c r="D18" s="1"/>
  <c r="I18"/>
  <c r="DF18" s="1"/>
  <c r="J18"/>
  <c r="L18"/>
  <c r="N18"/>
  <c r="O18"/>
  <c r="P18"/>
  <c r="Q18" s="1"/>
  <c r="R18" s="1"/>
  <c r="T18"/>
  <c r="AM18"/>
  <c r="AX18"/>
  <c r="H18" s="1"/>
  <c r="AZ18"/>
  <c r="BE18"/>
  <c r="BF18"/>
  <c r="BG18" s="1"/>
  <c r="BH18"/>
  <c r="CP18"/>
  <c r="CQ18"/>
  <c r="CR18"/>
  <c r="CS18"/>
  <c r="CT18"/>
  <c r="CU18"/>
  <c r="CV18"/>
  <c r="CW18"/>
  <c r="CX18"/>
  <c r="CY18"/>
  <c r="CZ18"/>
  <c r="DB18"/>
  <c r="DE18" s="1"/>
  <c r="B17"/>
  <c r="C17" s="1"/>
  <c r="D17" s="1"/>
  <c r="I17"/>
  <c r="DF17" s="1"/>
  <c r="J17"/>
  <c r="L17"/>
  <c r="N17"/>
  <c r="O17"/>
  <c r="P17"/>
  <c r="Q17" s="1"/>
  <c r="R17" s="1"/>
  <c r="T17"/>
  <c r="AM17"/>
  <c r="AX17"/>
  <c r="H17" s="1"/>
  <c r="AZ17"/>
  <c r="BA17"/>
  <c r="BC17"/>
  <c r="BE17"/>
  <c r="BF17"/>
  <c r="BG17" s="1"/>
  <c r="BH17"/>
  <c r="CP17"/>
  <c r="CQ17"/>
  <c r="CR17"/>
  <c r="CS17"/>
  <c r="CT17"/>
  <c r="CU17"/>
  <c r="CV17"/>
  <c r="CW17"/>
  <c r="CX17"/>
  <c r="CY17"/>
  <c r="CZ17"/>
  <c r="DB17"/>
  <c r="DE17" s="1"/>
  <c r="B16"/>
  <c r="C16" s="1"/>
  <c r="D16" s="1"/>
  <c r="I16"/>
  <c r="DF16" s="1"/>
  <c r="J16"/>
  <c r="L16"/>
  <c r="N16"/>
  <c r="O16"/>
  <c r="P16"/>
  <c r="Q16" s="1"/>
  <c r="R16" s="1"/>
  <c r="T16"/>
  <c r="AM16"/>
  <c r="AX16"/>
  <c r="H16" s="1"/>
  <c r="AZ16"/>
  <c r="BA16"/>
  <c r="BC16"/>
  <c r="BE16"/>
  <c r="BF16"/>
  <c r="BG16" s="1"/>
  <c r="BH16"/>
  <c r="CP16"/>
  <c r="CQ16"/>
  <c r="CR16"/>
  <c r="CS16"/>
  <c r="CT16"/>
  <c r="CU16"/>
  <c r="CV16"/>
  <c r="CW16"/>
  <c r="CX16"/>
  <c r="CY16"/>
  <c r="CZ16"/>
  <c r="DB16"/>
  <c r="DE16" s="1"/>
  <c r="B15"/>
  <c r="C15" s="1"/>
  <c r="D15" s="1"/>
  <c r="I15"/>
  <c r="DF15" s="1"/>
  <c r="J15"/>
  <c r="L15"/>
  <c r="N15"/>
  <c r="O15"/>
  <c r="P15"/>
  <c r="Q15" s="1"/>
  <c r="R15" s="1"/>
  <c r="T15"/>
  <c r="AM15"/>
  <c r="AX15"/>
  <c r="H15" s="1"/>
  <c r="AZ15"/>
  <c r="BA15"/>
  <c r="BC15"/>
  <c r="BE15"/>
  <c r="BF15"/>
  <c r="BG15" s="1"/>
  <c r="BH15"/>
  <c r="CP15"/>
  <c r="CQ15"/>
  <c r="CR15"/>
  <c r="CS15"/>
  <c r="CT15"/>
  <c r="CU15"/>
  <c r="CV15"/>
  <c r="CW15"/>
  <c r="CX15"/>
  <c r="CY15"/>
  <c r="CZ15"/>
  <c r="DB15"/>
  <c r="DE15" s="1"/>
  <c r="B14"/>
  <c r="C14" s="1"/>
  <c r="D14" s="1"/>
  <c r="I14"/>
  <c r="DF14" s="1"/>
  <c r="J14"/>
  <c r="L14"/>
  <c r="N14"/>
  <c r="O14"/>
  <c r="P14"/>
  <c r="Q14" s="1"/>
  <c r="R14" s="1"/>
  <c r="T14"/>
  <c r="AM14"/>
  <c r="AX14"/>
  <c r="H14" s="1"/>
  <c r="AZ14"/>
  <c r="BA14"/>
  <c r="BC14"/>
  <c r="BE14"/>
  <c r="BF14"/>
  <c r="BG14" s="1"/>
  <c r="BH14"/>
  <c r="CP14"/>
  <c r="CQ14"/>
  <c r="CR14"/>
  <c r="CS14"/>
  <c r="CT14"/>
  <c r="CU14"/>
  <c r="CV14"/>
  <c r="CW14"/>
  <c r="CX14"/>
  <c r="CY14"/>
  <c r="CZ14"/>
  <c r="B13"/>
  <c r="C13" s="1"/>
  <c r="D13" s="1"/>
  <c r="I13"/>
  <c r="DF13" s="1"/>
  <c r="J13"/>
  <c r="L13"/>
  <c r="N13"/>
  <c r="O13"/>
  <c r="P13"/>
  <c r="Q13" s="1"/>
  <c r="R13" s="1"/>
  <c r="T13"/>
  <c r="AM13"/>
  <c r="AX13"/>
  <c r="H13" s="1"/>
  <c r="AZ13"/>
  <c r="BA13"/>
  <c r="BC13"/>
  <c r="BE13"/>
  <c r="BF13"/>
  <c r="BG13" s="1"/>
  <c r="BH13"/>
  <c r="CP13"/>
  <c r="CQ13"/>
  <c r="CR13"/>
  <c r="CS13"/>
  <c r="CT13"/>
  <c r="CU13"/>
  <c r="CV13"/>
  <c r="CW13"/>
  <c r="CX13"/>
  <c r="CY13"/>
  <c r="CZ13"/>
  <c r="DB13"/>
  <c r="DE13" s="1"/>
  <c r="B12"/>
  <c r="C12" s="1"/>
  <c r="D12" s="1"/>
  <c r="I12"/>
  <c r="DF12" s="1"/>
  <c r="J12"/>
  <c r="L12"/>
  <c r="N12"/>
  <c r="O12"/>
  <c r="P12"/>
  <c r="Q12" s="1"/>
  <c r="R12" s="1"/>
  <c r="T12"/>
  <c r="AM12"/>
  <c r="AX12"/>
  <c r="H12" s="1"/>
  <c r="AZ12"/>
  <c r="BA12"/>
  <c r="BC12"/>
  <c r="BE12"/>
  <c r="BF12"/>
  <c r="BG12" s="1"/>
  <c r="BH12"/>
  <c r="CP12"/>
  <c r="CQ12"/>
  <c r="CR12"/>
  <c r="CS12"/>
  <c r="CT12"/>
  <c r="CU12"/>
  <c r="CV12"/>
  <c r="CW12"/>
  <c r="CX12"/>
  <c r="CY12"/>
  <c r="CZ12"/>
  <c r="DB12"/>
  <c r="DE12" s="1"/>
  <c r="B11"/>
  <c r="C11" s="1"/>
  <c r="D11" s="1"/>
  <c r="I11"/>
  <c r="DF11" s="1"/>
  <c r="J11"/>
  <c r="L11"/>
  <c r="N11"/>
  <c r="O11"/>
  <c r="P11"/>
  <c r="Q11" s="1"/>
  <c r="R11" s="1"/>
  <c r="T11"/>
  <c r="AM11"/>
  <c r="AX11"/>
  <c r="H11" s="1"/>
  <c r="AZ11"/>
  <c r="BA11"/>
  <c r="BC11"/>
  <c r="BE11"/>
  <c r="BF11"/>
  <c r="BG11" s="1"/>
  <c r="BH11"/>
  <c r="CP11"/>
  <c r="CQ11"/>
  <c r="CR11"/>
  <c r="CS11"/>
  <c r="CT11"/>
  <c r="CU11"/>
  <c r="CV11"/>
  <c r="CW11"/>
  <c r="CX11"/>
  <c r="CY11"/>
  <c r="CZ11"/>
  <c r="DB11"/>
  <c r="DE11" s="1"/>
  <c r="B10"/>
  <c r="C10" s="1"/>
  <c r="D10" s="1"/>
  <c r="I10"/>
  <c r="DF10" s="1"/>
  <c r="J10"/>
  <c r="L10"/>
  <c r="N10"/>
  <c r="O10"/>
  <c r="P10"/>
  <c r="Q10" s="1"/>
  <c r="R10" s="1"/>
  <c r="T10"/>
  <c r="AM10"/>
  <c r="AX10"/>
  <c r="H10" s="1"/>
  <c r="AZ10"/>
  <c r="BA10"/>
  <c r="BC10"/>
  <c r="BE10"/>
  <c r="BF10"/>
  <c r="BG10" s="1"/>
  <c r="BH10"/>
  <c r="CP10"/>
  <c r="CQ10"/>
  <c r="CR10"/>
  <c r="CS10"/>
  <c r="CT10"/>
  <c r="CU10"/>
  <c r="CV10"/>
  <c r="CW10"/>
  <c r="CX10"/>
  <c r="CY10"/>
  <c r="CZ10"/>
  <c r="DB10"/>
  <c r="DE10" s="1"/>
  <c r="B9"/>
  <c r="C9" s="1"/>
  <c r="D9" s="1"/>
  <c r="I9"/>
  <c r="DF9" s="1"/>
  <c r="J9"/>
  <c r="L9"/>
  <c r="N9"/>
  <c r="O9"/>
  <c r="P9"/>
  <c r="Q9" s="1"/>
  <c r="R9" s="1"/>
  <c r="T9"/>
  <c r="AM9"/>
  <c r="AX9"/>
  <c r="H9" s="1"/>
  <c r="AZ9"/>
  <c r="BE9"/>
  <c r="BF9"/>
  <c r="BG9" s="1"/>
  <c r="BH9"/>
  <c r="CP9"/>
  <c r="CQ9"/>
  <c r="CR9"/>
  <c r="CS9"/>
  <c r="CT9"/>
  <c r="CU9"/>
  <c r="CV9"/>
  <c r="CW9"/>
  <c r="CX9"/>
  <c r="CY9"/>
  <c r="CZ9"/>
  <c r="DB9"/>
  <c r="DE9" s="1"/>
  <c r="B8"/>
  <c r="B37"/>
  <c r="B7"/>
  <c r="AS46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CO37"/>
  <c r="BH37"/>
  <c r="BF37"/>
  <c r="BA37"/>
  <c r="BC37" s="1"/>
  <c r="AZ37"/>
  <c r="AY37"/>
  <c r="AX37"/>
  <c r="AW37"/>
  <c r="AM37"/>
  <c r="AH37"/>
  <c r="AF37"/>
  <c r="U37"/>
  <c r="T37"/>
  <c r="P37"/>
  <c r="O37"/>
  <c r="N37"/>
  <c r="M37"/>
  <c r="L37"/>
  <c r="J37"/>
  <c r="I37"/>
  <c r="DF37" s="1"/>
  <c r="H37"/>
  <c r="F37"/>
  <c r="CZ8"/>
  <c r="CY8"/>
  <c r="CX8"/>
  <c r="CW8"/>
  <c r="CV8"/>
  <c r="CU8"/>
  <c r="CT8"/>
  <c r="CS8"/>
  <c r="CR8"/>
  <c r="CQ8"/>
  <c r="CP8"/>
  <c r="BF8"/>
  <c r="AZ8"/>
  <c r="AX8"/>
  <c r="BH8" s="1"/>
  <c r="AM8"/>
  <c r="AH8"/>
  <c r="T8"/>
  <c r="P8"/>
  <c r="O8"/>
  <c r="N8"/>
  <c r="L8"/>
  <c r="J8"/>
  <c r="I8"/>
  <c r="DF8" s="1"/>
  <c r="CZ7"/>
  <c r="CZ38" s="1"/>
  <c r="CY7"/>
  <c r="CX7"/>
  <c r="CX38" s="1"/>
  <c r="CW7"/>
  <c r="CV7"/>
  <c r="CV38" s="1"/>
  <c r="CU7"/>
  <c r="CT7"/>
  <c r="CT38" s="1"/>
  <c r="CS7"/>
  <c r="CR7"/>
  <c r="CQ7"/>
  <c r="CP7"/>
  <c r="BH7"/>
  <c r="BF7"/>
  <c r="BI7" s="1"/>
  <c r="BA7"/>
  <c r="AZ7"/>
  <c r="AX7"/>
  <c r="AM7"/>
  <c r="AH7"/>
  <c r="AF7"/>
  <c r="T7"/>
  <c r="T38" s="1"/>
  <c r="T39" s="1"/>
  <c r="P7"/>
  <c r="Q7" s="1"/>
  <c r="O7"/>
  <c r="N7"/>
  <c r="L7"/>
  <c r="J7"/>
  <c r="I7"/>
  <c r="H7"/>
  <c r="E7"/>
  <c r="CO37" i="87"/>
  <c r="P8" i="89"/>
  <c r="P9"/>
  <c r="P10"/>
  <c r="P11"/>
  <c r="P12"/>
  <c r="Q12" s="1"/>
  <c r="P13"/>
  <c r="P14"/>
  <c r="P15"/>
  <c r="P16"/>
  <c r="P17"/>
  <c r="P18"/>
  <c r="P19"/>
  <c r="P20"/>
  <c r="Q20" s="1"/>
  <c r="P21"/>
  <c r="Q21" s="1"/>
  <c r="P22"/>
  <c r="P23"/>
  <c r="Q23" s="1"/>
  <c r="P24"/>
  <c r="P25"/>
  <c r="Q25" s="1"/>
  <c r="R25" s="1"/>
  <c r="P26"/>
  <c r="P27"/>
  <c r="Q27" s="1"/>
  <c r="R27" s="1"/>
  <c r="P28"/>
  <c r="P29"/>
  <c r="P30"/>
  <c r="Q30" s="1"/>
  <c r="P31"/>
  <c r="P32"/>
  <c r="Q32" s="1"/>
  <c r="P33"/>
  <c r="P34"/>
  <c r="P35"/>
  <c r="P36"/>
  <c r="P37"/>
  <c r="P7"/>
  <c r="Q7" s="1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B9"/>
  <c r="E9" s="1"/>
  <c r="B10"/>
  <c r="B11"/>
  <c r="C11" s="1"/>
  <c r="B12"/>
  <c r="B13"/>
  <c r="C13" s="1"/>
  <c r="D13" s="1"/>
  <c r="B14"/>
  <c r="B15"/>
  <c r="E15" s="1"/>
  <c r="B16"/>
  <c r="B17"/>
  <c r="E17" s="1"/>
  <c r="B18"/>
  <c r="B19"/>
  <c r="C19" s="1"/>
  <c r="B20"/>
  <c r="E20" s="1"/>
  <c r="B21"/>
  <c r="E21" s="1"/>
  <c r="B22"/>
  <c r="E22" s="1"/>
  <c r="B23"/>
  <c r="C23" s="1"/>
  <c r="B24"/>
  <c r="E24" s="1"/>
  <c r="B25"/>
  <c r="B26"/>
  <c r="B27"/>
  <c r="B28"/>
  <c r="B29"/>
  <c r="B30"/>
  <c r="B31"/>
  <c r="B32"/>
  <c r="B33"/>
  <c r="B34"/>
  <c r="B35"/>
  <c r="B36"/>
  <c r="B37"/>
  <c r="B7"/>
  <c r="C7" s="1"/>
  <c r="AS46"/>
  <c r="AS43"/>
  <c r="BF37" s="1"/>
  <c r="AA41"/>
  <c r="BD39"/>
  <c r="AV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AZ37"/>
  <c r="AX37"/>
  <c r="BA37" s="1"/>
  <c r="AM37"/>
  <c r="AF37"/>
  <c r="T37"/>
  <c r="Q37"/>
  <c r="R37" s="1"/>
  <c r="N37"/>
  <c r="I37"/>
  <c r="CZ36"/>
  <c r="CY36"/>
  <c r="CX36"/>
  <c r="CW36"/>
  <c r="CV36"/>
  <c r="CU36"/>
  <c r="CT36"/>
  <c r="CS36"/>
  <c r="CR36"/>
  <c r="CQ36"/>
  <c r="CP36"/>
  <c r="BF36"/>
  <c r="AZ36"/>
  <c r="AX36"/>
  <c r="BH36" s="1"/>
  <c r="AM36"/>
  <c r="AF36"/>
  <c r="T36"/>
  <c r="N36"/>
  <c r="I36"/>
  <c r="CZ35"/>
  <c r="CY35"/>
  <c r="CX35"/>
  <c r="CW35"/>
  <c r="CV35"/>
  <c r="CU35"/>
  <c r="CT35"/>
  <c r="CS35"/>
  <c r="CR35"/>
  <c r="CQ35"/>
  <c r="CP35"/>
  <c r="BH35"/>
  <c r="BF35"/>
  <c r="BA35"/>
  <c r="BC35" s="1"/>
  <c r="AZ35"/>
  <c r="AX35"/>
  <c r="AW35"/>
  <c r="AM35"/>
  <c r="AH35"/>
  <c r="AF35"/>
  <c r="T35"/>
  <c r="N35"/>
  <c r="M35"/>
  <c r="I35"/>
  <c r="H35"/>
  <c r="CZ34"/>
  <c r="CY34"/>
  <c r="CX34"/>
  <c r="CW34"/>
  <c r="CV34"/>
  <c r="CU34"/>
  <c r="CT34"/>
  <c r="CS34"/>
  <c r="CR34"/>
  <c r="CQ34"/>
  <c r="CP34"/>
  <c r="AZ34"/>
  <c r="AX34"/>
  <c r="BH34" s="1"/>
  <c r="AM34"/>
  <c r="AF34"/>
  <c r="T34"/>
  <c r="N34"/>
  <c r="I34"/>
  <c r="CZ33"/>
  <c r="CY33"/>
  <c r="CX33"/>
  <c r="CW33"/>
  <c r="CV33"/>
  <c r="CU33"/>
  <c r="CT33"/>
  <c r="CS33"/>
  <c r="CR33"/>
  <c r="CQ33"/>
  <c r="CP33"/>
  <c r="BF33"/>
  <c r="AZ33"/>
  <c r="AX33"/>
  <c r="BH33" s="1"/>
  <c r="AM33"/>
  <c r="AF33"/>
  <c r="T33"/>
  <c r="N33"/>
  <c r="I33"/>
  <c r="CZ32"/>
  <c r="CY32"/>
  <c r="CX32"/>
  <c r="CW32"/>
  <c r="CV32"/>
  <c r="CU32"/>
  <c r="CT32"/>
  <c r="CS32"/>
  <c r="CR32"/>
  <c r="CQ32"/>
  <c r="CP32"/>
  <c r="AZ32"/>
  <c r="AX32"/>
  <c r="BA32" s="1"/>
  <c r="AM32"/>
  <c r="AF32"/>
  <c r="T32"/>
  <c r="N32"/>
  <c r="I32"/>
  <c r="CZ31"/>
  <c r="CY31"/>
  <c r="CX31"/>
  <c r="CW31"/>
  <c r="CV31"/>
  <c r="CU31"/>
  <c r="CT31"/>
  <c r="CS31"/>
  <c r="CR31"/>
  <c r="CQ31"/>
  <c r="CP31"/>
  <c r="BF31"/>
  <c r="BA31"/>
  <c r="BC31" s="1"/>
  <c r="AZ31"/>
  <c r="AX31"/>
  <c r="BH31" s="1"/>
  <c r="AW31"/>
  <c r="AM31"/>
  <c r="AH31"/>
  <c r="AF31"/>
  <c r="T31"/>
  <c r="N31"/>
  <c r="M31"/>
  <c r="I31"/>
  <c r="H31"/>
  <c r="CZ30"/>
  <c r="CY30"/>
  <c r="CX30"/>
  <c r="CW30"/>
  <c r="CV30"/>
  <c r="CU30"/>
  <c r="CT30"/>
  <c r="CS30"/>
  <c r="CR30"/>
  <c r="CQ30"/>
  <c r="CP30"/>
  <c r="AZ30"/>
  <c r="AX30"/>
  <c r="BA30" s="1"/>
  <c r="AM30"/>
  <c r="AF30"/>
  <c r="T30"/>
  <c r="N30"/>
  <c r="I30"/>
  <c r="CZ29"/>
  <c r="CY29"/>
  <c r="CX29"/>
  <c r="CW29"/>
  <c r="CV29"/>
  <c r="CU29"/>
  <c r="CT29"/>
  <c r="CS29"/>
  <c r="CR29"/>
  <c r="CQ29"/>
  <c r="CP29"/>
  <c r="BH29"/>
  <c r="BF29"/>
  <c r="BA29"/>
  <c r="BC29" s="1"/>
  <c r="AZ29"/>
  <c r="AX29"/>
  <c r="AW29"/>
  <c r="AM29"/>
  <c r="AH29"/>
  <c r="AF29"/>
  <c r="T29"/>
  <c r="N29"/>
  <c r="M29"/>
  <c r="I29"/>
  <c r="H29"/>
  <c r="CZ28"/>
  <c r="CY28"/>
  <c r="CX28"/>
  <c r="CW28"/>
  <c r="CV28"/>
  <c r="CU28"/>
  <c r="CT28"/>
  <c r="CS28"/>
  <c r="CR28"/>
  <c r="CQ28"/>
  <c r="CP28"/>
  <c r="AZ28"/>
  <c r="AX28"/>
  <c r="BH28" s="1"/>
  <c r="AM28"/>
  <c r="AF28"/>
  <c r="T28"/>
  <c r="N28"/>
  <c r="M28"/>
  <c r="I28"/>
  <c r="H28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N27"/>
  <c r="I27"/>
  <c r="CZ26"/>
  <c r="CY26"/>
  <c r="CX26"/>
  <c r="CW26"/>
  <c r="CV26"/>
  <c r="CU26"/>
  <c r="CT26"/>
  <c r="CS26"/>
  <c r="CR26"/>
  <c r="CQ26"/>
  <c r="CP26"/>
  <c r="AZ26"/>
  <c r="AX26"/>
  <c r="BH26" s="1"/>
  <c r="AM26"/>
  <c r="AF26"/>
  <c r="T26"/>
  <c r="N26"/>
  <c r="M26"/>
  <c r="I26"/>
  <c r="H26"/>
  <c r="CZ25"/>
  <c r="CY25"/>
  <c r="CX25"/>
  <c r="CW25"/>
  <c r="CV25"/>
  <c r="CU25"/>
  <c r="CT25"/>
  <c r="CS25"/>
  <c r="CR25"/>
  <c r="CQ25"/>
  <c r="CP25"/>
  <c r="AZ25"/>
  <c r="AX25"/>
  <c r="AW25" s="1"/>
  <c r="AM25"/>
  <c r="AF25"/>
  <c r="T25"/>
  <c r="N25"/>
  <c r="I25"/>
  <c r="CZ24"/>
  <c r="CY24"/>
  <c r="CX24"/>
  <c r="CW24"/>
  <c r="CV24"/>
  <c r="CU24"/>
  <c r="CT24"/>
  <c r="CS24"/>
  <c r="CR24"/>
  <c r="CQ24"/>
  <c r="CP24"/>
  <c r="AZ24"/>
  <c r="BC24" s="1"/>
  <c r="AX24"/>
  <c r="M24" s="1"/>
  <c r="AM24"/>
  <c r="AF24"/>
  <c r="T24"/>
  <c r="N24"/>
  <c r="I24"/>
  <c r="DF24" s="1"/>
  <c r="CZ23"/>
  <c r="CY23"/>
  <c r="CX23"/>
  <c r="CW23"/>
  <c r="CV23"/>
  <c r="CU23"/>
  <c r="CT23"/>
  <c r="CS23"/>
  <c r="CR23"/>
  <c r="CQ23"/>
  <c r="CP23"/>
  <c r="AZ23"/>
  <c r="AX23"/>
  <c r="M23" s="1"/>
  <c r="AM23"/>
  <c r="AF23"/>
  <c r="T23"/>
  <c r="N23"/>
  <c r="I23"/>
  <c r="DB23" s="1"/>
  <c r="DE23" s="1"/>
  <c r="CZ22"/>
  <c r="CY22"/>
  <c r="CX22"/>
  <c r="CW22"/>
  <c r="CV22"/>
  <c r="CU22"/>
  <c r="CT22"/>
  <c r="CS22"/>
  <c r="CR22"/>
  <c r="CQ22"/>
  <c r="CP22"/>
  <c r="AZ22"/>
  <c r="AX22"/>
  <c r="M22" s="1"/>
  <c r="AM22"/>
  <c r="AF22"/>
  <c r="T22"/>
  <c r="N22"/>
  <c r="I22"/>
  <c r="DB22" s="1"/>
  <c r="DE22" s="1"/>
  <c r="CZ21"/>
  <c r="CY21"/>
  <c r="CX21"/>
  <c r="CW21"/>
  <c r="CV21"/>
  <c r="CU21"/>
  <c r="CT21"/>
  <c r="CS21"/>
  <c r="CR21"/>
  <c r="CQ21"/>
  <c r="CP21"/>
  <c r="AZ21"/>
  <c r="AX21"/>
  <c r="AM21"/>
  <c r="AF21"/>
  <c r="T21"/>
  <c r="N21"/>
  <c r="M21"/>
  <c r="I21"/>
  <c r="DB21" s="1"/>
  <c r="DE21" s="1"/>
  <c r="H21"/>
  <c r="CZ20"/>
  <c r="CY20"/>
  <c r="CX20"/>
  <c r="CW20"/>
  <c r="CV20"/>
  <c r="CU20"/>
  <c r="CT20"/>
  <c r="CS20"/>
  <c r="CR20"/>
  <c r="CQ20"/>
  <c r="CP20"/>
  <c r="AZ20"/>
  <c r="AX20"/>
  <c r="M20" s="1"/>
  <c r="AM20"/>
  <c r="AF20"/>
  <c r="T20"/>
  <c r="N20"/>
  <c r="I20"/>
  <c r="DB20" s="1"/>
  <c r="DE20" s="1"/>
  <c r="CZ19"/>
  <c r="CY19"/>
  <c r="CX19"/>
  <c r="CW19"/>
  <c r="CV19"/>
  <c r="CU19"/>
  <c r="CT19"/>
  <c r="CS19"/>
  <c r="CR19"/>
  <c r="CQ19"/>
  <c r="CP19"/>
  <c r="AZ19"/>
  <c r="AX19"/>
  <c r="M19" s="1"/>
  <c r="AM19"/>
  <c r="AF19"/>
  <c r="T19"/>
  <c r="N19"/>
  <c r="I19"/>
  <c r="DB19" s="1"/>
  <c r="DE19" s="1"/>
  <c r="CZ18"/>
  <c r="CY18"/>
  <c r="CX18"/>
  <c r="CW18"/>
  <c r="CV18"/>
  <c r="CU18"/>
  <c r="CT18"/>
  <c r="CS18"/>
  <c r="CR18"/>
  <c r="CQ18"/>
  <c r="CP18"/>
  <c r="AZ18"/>
  <c r="AX18"/>
  <c r="M18" s="1"/>
  <c r="AM18"/>
  <c r="AF18"/>
  <c r="T18"/>
  <c r="N18"/>
  <c r="I18"/>
  <c r="DB18" s="1"/>
  <c r="DE18" s="1"/>
  <c r="CZ17"/>
  <c r="CY17"/>
  <c r="CX17"/>
  <c r="CW17"/>
  <c r="CV17"/>
  <c r="CU17"/>
  <c r="CT17"/>
  <c r="CS17"/>
  <c r="CR17"/>
  <c r="CQ17"/>
  <c r="CP17"/>
  <c r="BF17"/>
  <c r="AZ17"/>
  <c r="AX17"/>
  <c r="AF17" s="1"/>
  <c r="AM17"/>
  <c r="AH17"/>
  <c r="T17"/>
  <c r="N17"/>
  <c r="I17"/>
  <c r="DF17" s="1"/>
  <c r="CZ16"/>
  <c r="CY16"/>
  <c r="CX16"/>
  <c r="CW16"/>
  <c r="CV16"/>
  <c r="CU16"/>
  <c r="CT16"/>
  <c r="CS16"/>
  <c r="CR16"/>
  <c r="CQ16"/>
  <c r="CP16"/>
  <c r="AZ16"/>
  <c r="AX16"/>
  <c r="AM16"/>
  <c r="AH16"/>
  <c r="T16"/>
  <c r="N16"/>
  <c r="I16"/>
  <c r="DF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AH15"/>
  <c r="T15"/>
  <c r="N15"/>
  <c r="I15"/>
  <c r="DF15" s="1"/>
  <c r="CZ14"/>
  <c r="CY14"/>
  <c r="CX14"/>
  <c r="CW14"/>
  <c r="CV14"/>
  <c r="CU14"/>
  <c r="CT14"/>
  <c r="CS14"/>
  <c r="CR14"/>
  <c r="CQ14"/>
  <c r="CP14"/>
  <c r="BF14"/>
  <c r="AZ14"/>
  <c r="AX14"/>
  <c r="AM14"/>
  <c r="AH14"/>
  <c r="T14"/>
  <c r="N14"/>
  <c r="I14"/>
  <c r="DB14" s="1"/>
  <c r="DE14" s="1"/>
  <c r="CZ13"/>
  <c r="CY13"/>
  <c r="CX13"/>
  <c r="CW13"/>
  <c r="CV13"/>
  <c r="CU13"/>
  <c r="CT13"/>
  <c r="CS13"/>
  <c r="CR13"/>
  <c r="CQ13"/>
  <c r="CP13"/>
  <c r="AZ13"/>
  <c r="AX13"/>
  <c r="AF13" s="1"/>
  <c r="AM13"/>
  <c r="AH13"/>
  <c r="T13"/>
  <c r="N13"/>
  <c r="M13"/>
  <c r="I13"/>
  <c r="DF13" s="1"/>
  <c r="H13"/>
  <c r="CZ12"/>
  <c r="CY12"/>
  <c r="CX12"/>
  <c r="CW12"/>
  <c r="CV12"/>
  <c r="CU12"/>
  <c r="CT12"/>
  <c r="CS12"/>
  <c r="CR12"/>
  <c r="CQ12"/>
  <c r="CP12"/>
  <c r="BF12"/>
  <c r="AZ12"/>
  <c r="AX12"/>
  <c r="AM12"/>
  <c r="AH12"/>
  <c r="T12"/>
  <c r="N12"/>
  <c r="I12"/>
  <c r="DF12" s="1"/>
  <c r="CZ11"/>
  <c r="CY11"/>
  <c r="CX11"/>
  <c r="CW11"/>
  <c r="CV11"/>
  <c r="CU11"/>
  <c r="CT11"/>
  <c r="CS11"/>
  <c r="CR11"/>
  <c r="CQ11"/>
  <c r="CP11"/>
  <c r="AZ11"/>
  <c r="AX11"/>
  <c r="AF11" s="1"/>
  <c r="AM11"/>
  <c r="AH11"/>
  <c r="T11"/>
  <c r="N11"/>
  <c r="I11"/>
  <c r="DF11" s="1"/>
  <c r="CZ10"/>
  <c r="CY10"/>
  <c r="CX10"/>
  <c r="CW10"/>
  <c r="CV10"/>
  <c r="CU10"/>
  <c r="CT10"/>
  <c r="CS10"/>
  <c r="CR10"/>
  <c r="CQ10"/>
  <c r="CP10"/>
  <c r="AZ10"/>
  <c r="AX10"/>
  <c r="AM10"/>
  <c r="AH10"/>
  <c r="T10"/>
  <c r="N10"/>
  <c r="I10"/>
  <c r="DB10" s="1"/>
  <c r="DE10" s="1"/>
  <c r="CZ9"/>
  <c r="CY9"/>
  <c r="CX9"/>
  <c r="CW9"/>
  <c r="CV9"/>
  <c r="CU9"/>
  <c r="CT9"/>
  <c r="CS9"/>
  <c r="CR9"/>
  <c r="CQ9"/>
  <c r="CP9"/>
  <c r="BF9"/>
  <c r="AZ9"/>
  <c r="AX9"/>
  <c r="AF9" s="1"/>
  <c r="AM9"/>
  <c r="AH9"/>
  <c r="T9"/>
  <c r="N9"/>
  <c r="M9"/>
  <c r="I9"/>
  <c r="DF9" s="1"/>
  <c r="H9"/>
  <c r="CZ8"/>
  <c r="CY8"/>
  <c r="CX8"/>
  <c r="CW8"/>
  <c r="CV8"/>
  <c r="CU8"/>
  <c r="CT8"/>
  <c r="CS8"/>
  <c r="CR8"/>
  <c r="CQ8"/>
  <c r="CP8"/>
  <c r="AZ8"/>
  <c r="AX8"/>
  <c r="AM8"/>
  <c r="AH8"/>
  <c r="T8"/>
  <c r="N8"/>
  <c r="I8"/>
  <c r="DF8" s="1"/>
  <c r="CZ7"/>
  <c r="CZ38" s="1"/>
  <c r="CY7"/>
  <c r="CX7"/>
  <c r="CX38" s="1"/>
  <c r="CW7"/>
  <c r="CV7"/>
  <c r="CU7"/>
  <c r="CT7"/>
  <c r="CT38" s="1"/>
  <c r="CS7"/>
  <c r="CR7"/>
  <c r="CQ7"/>
  <c r="CP7"/>
  <c r="BF7"/>
  <c r="AZ7"/>
  <c r="AX7"/>
  <c r="BH7" s="1"/>
  <c r="AM7"/>
  <c r="AH7"/>
  <c r="T7"/>
  <c r="N7"/>
  <c r="I7"/>
  <c r="H7"/>
  <c r="AS46" i="88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J45" s="1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AZ37"/>
  <c r="AX37"/>
  <c r="BH37" s="1"/>
  <c r="AM37"/>
  <c r="AF37"/>
  <c r="T37"/>
  <c r="Q37" s="1"/>
  <c r="O37"/>
  <c r="N37"/>
  <c r="M37"/>
  <c r="L37"/>
  <c r="J37"/>
  <c r="I37"/>
  <c r="DF37" s="1"/>
  <c r="H37"/>
  <c r="E37"/>
  <c r="C37"/>
  <c r="B37"/>
  <c r="D37" s="1"/>
  <c r="CZ36"/>
  <c r="CY36"/>
  <c r="CX36"/>
  <c r="CW36"/>
  <c r="CV36"/>
  <c r="CU36"/>
  <c r="CT36"/>
  <c r="CS36"/>
  <c r="CR36"/>
  <c r="CQ36"/>
  <c r="CP36"/>
  <c r="BF36"/>
  <c r="AZ36"/>
  <c r="AX36"/>
  <c r="BH36" s="1"/>
  <c r="AM36"/>
  <c r="AF36"/>
  <c r="T36"/>
  <c r="Q36" s="1"/>
  <c r="O36"/>
  <c r="N36"/>
  <c r="M36"/>
  <c r="L36"/>
  <c r="J36"/>
  <c r="I36"/>
  <c r="DF36" s="1"/>
  <c r="H36"/>
  <c r="E36"/>
  <c r="C36"/>
  <c r="B36"/>
  <c r="D36" s="1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Q35" s="1"/>
  <c r="O35"/>
  <c r="N35"/>
  <c r="M35"/>
  <c r="L35"/>
  <c r="J35"/>
  <c r="I35"/>
  <c r="DF35" s="1"/>
  <c r="H35"/>
  <c r="E35"/>
  <c r="C35"/>
  <c r="B35"/>
  <c r="D35" s="1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Q34" s="1"/>
  <c r="O34"/>
  <c r="N34"/>
  <c r="M34"/>
  <c r="L34"/>
  <c r="J34"/>
  <c r="I34"/>
  <c r="DB34" s="1"/>
  <c r="DE34" s="1"/>
  <c r="H34"/>
  <c r="E34"/>
  <c r="C34"/>
  <c r="B34"/>
  <c r="D34" s="1"/>
  <c r="CZ33"/>
  <c r="CY33"/>
  <c r="CX33"/>
  <c r="CW33"/>
  <c r="CV33"/>
  <c r="CU33"/>
  <c r="CT33"/>
  <c r="CS33"/>
  <c r="CR33"/>
  <c r="CQ33"/>
  <c r="CP33"/>
  <c r="BF33"/>
  <c r="AZ33"/>
  <c r="AX33"/>
  <c r="BH33" s="1"/>
  <c r="AM33"/>
  <c r="AF33"/>
  <c r="T33"/>
  <c r="Q33"/>
  <c r="O33"/>
  <c r="N33"/>
  <c r="M33"/>
  <c r="L33"/>
  <c r="J33"/>
  <c r="I33"/>
  <c r="DB33" s="1"/>
  <c r="DE33" s="1"/>
  <c r="H33"/>
  <c r="E33"/>
  <c r="C33"/>
  <c r="B33"/>
  <c r="D33" s="1"/>
  <c r="CZ32"/>
  <c r="CY32"/>
  <c r="CX32"/>
  <c r="CW32"/>
  <c r="CV32"/>
  <c r="CU32"/>
  <c r="CT32"/>
  <c r="CS32"/>
  <c r="CR32"/>
  <c r="CQ32"/>
  <c r="CP32"/>
  <c r="BF32"/>
  <c r="AZ32"/>
  <c r="AX32"/>
  <c r="BH32" s="1"/>
  <c r="AM32"/>
  <c r="AF32"/>
  <c r="T32"/>
  <c r="Q32" s="1"/>
  <c r="O32"/>
  <c r="N32"/>
  <c r="M32"/>
  <c r="L32"/>
  <c r="J32"/>
  <c r="I32"/>
  <c r="DF32" s="1"/>
  <c r="H32"/>
  <c r="E32"/>
  <c r="C32"/>
  <c r="B32"/>
  <c r="D32" s="1"/>
  <c r="CZ31"/>
  <c r="CY31"/>
  <c r="CX31"/>
  <c r="CW31"/>
  <c r="CV31"/>
  <c r="CU31"/>
  <c r="CT31"/>
  <c r="CS31"/>
  <c r="CR31"/>
  <c r="CQ31"/>
  <c r="CP31"/>
  <c r="BF31"/>
  <c r="AZ31"/>
  <c r="AX31"/>
  <c r="BH31" s="1"/>
  <c r="AM31"/>
  <c r="AF31"/>
  <c r="T31"/>
  <c r="Q31"/>
  <c r="O31"/>
  <c r="N31"/>
  <c r="M31"/>
  <c r="L31"/>
  <c r="J31"/>
  <c r="I31"/>
  <c r="DB31" s="1"/>
  <c r="DE31" s="1"/>
  <c r="H31"/>
  <c r="E31"/>
  <c r="C31"/>
  <c r="B31"/>
  <c r="D31" s="1"/>
  <c r="CZ30"/>
  <c r="CY30"/>
  <c r="CX30"/>
  <c r="CW30"/>
  <c r="CV30"/>
  <c r="CU30"/>
  <c r="CT30"/>
  <c r="CS30"/>
  <c r="CR30"/>
  <c r="CQ30"/>
  <c r="CP30"/>
  <c r="BF30"/>
  <c r="AZ30"/>
  <c r="AX30"/>
  <c r="BH30" s="1"/>
  <c r="AM30"/>
  <c r="AF30"/>
  <c r="T30"/>
  <c r="Q30" s="1"/>
  <c r="O30"/>
  <c r="N30"/>
  <c r="M30"/>
  <c r="L30"/>
  <c r="J30"/>
  <c r="I30"/>
  <c r="DF30" s="1"/>
  <c r="H30"/>
  <c r="E30"/>
  <c r="C30"/>
  <c r="B30"/>
  <c r="D30" s="1"/>
  <c r="CZ29"/>
  <c r="CY29"/>
  <c r="CX29"/>
  <c r="CW29"/>
  <c r="CV29"/>
  <c r="CU29"/>
  <c r="CT29"/>
  <c r="CS29"/>
  <c r="CR29"/>
  <c r="CQ29"/>
  <c r="CP29"/>
  <c r="BF29"/>
  <c r="AZ29"/>
  <c r="AX29"/>
  <c r="BH29" s="1"/>
  <c r="AM29"/>
  <c r="AF29"/>
  <c r="T29"/>
  <c r="Q29"/>
  <c r="O29"/>
  <c r="N29"/>
  <c r="M29"/>
  <c r="L29"/>
  <c r="J29"/>
  <c r="I29"/>
  <c r="DB29" s="1"/>
  <c r="DE29" s="1"/>
  <c r="H29"/>
  <c r="E29"/>
  <c r="C29"/>
  <c r="B29"/>
  <c r="D29" s="1"/>
  <c r="CZ28"/>
  <c r="CY28"/>
  <c r="CX28"/>
  <c r="CW28"/>
  <c r="CV28"/>
  <c r="CU28"/>
  <c r="CT28"/>
  <c r="CS28"/>
  <c r="CR28"/>
  <c r="CQ28"/>
  <c r="CP28"/>
  <c r="BF28"/>
  <c r="AZ28"/>
  <c r="AX28"/>
  <c r="BH28" s="1"/>
  <c r="AM28"/>
  <c r="AF28"/>
  <c r="T28"/>
  <c r="Q28" s="1"/>
  <c r="O28"/>
  <c r="N28"/>
  <c r="M28"/>
  <c r="L28"/>
  <c r="J28"/>
  <c r="I28"/>
  <c r="DF28" s="1"/>
  <c r="H28"/>
  <c r="E28"/>
  <c r="C28"/>
  <c r="B28"/>
  <c r="D28" s="1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Q27"/>
  <c r="O27"/>
  <c r="N27"/>
  <c r="M27"/>
  <c r="L27"/>
  <c r="J27"/>
  <c r="I27"/>
  <c r="DB27" s="1"/>
  <c r="DE27" s="1"/>
  <c r="H27"/>
  <c r="E27"/>
  <c r="C27"/>
  <c r="B27"/>
  <c r="D27" s="1"/>
  <c r="CZ26"/>
  <c r="CY26"/>
  <c r="CX26"/>
  <c r="CW26"/>
  <c r="CV26"/>
  <c r="CU26"/>
  <c r="CT26"/>
  <c r="CS26"/>
  <c r="CR26"/>
  <c r="CQ26"/>
  <c r="CP26"/>
  <c r="BF26"/>
  <c r="AZ26"/>
  <c r="AX26"/>
  <c r="BH26" s="1"/>
  <c r="AM26"/>
  <c r="AF26"/>
  <c r="T26"/>
  <c r="Q26" s="1"/>
  <c r="O26"/>
  <c r="N26"/>
  <c r="M26"/>
  <c r="L26"/>
  <c r="J26"/>
  <c r="I26"/>
  <c r="DF26" s="1"/>
  <c r="H26"/>
  <c r="E26"/>
  <c r="C26"/>
  <c r="B26"/>
  <c r="D26" s="1"/>
  <c r="CZ25"/>
  <c r="CY25"/>
  <c r="CX25"/>
  <c r="CW25"/>
  <c r="CV25"/>
  <c r="CU25"/>
  <c r="CT25"/>
  <c r="CS25"/>
  <c r="CR25"/>
  <c r="CQ25"/>
  <c r="CP25"/>
  <c r="BF25"/>
  <c r="AZ25"/>
  <c r="AX25"/>
  <c r="BH25" s="1"/>
  <c r="AM25"/>
  <c r="AF25"/>
  <c r="T25"/>
  <c r="Q25"/>
  <c r="O25"/>
  <c r="N25"/>
  <c r="M25"/>
  <c r="L25"/>
  <c r="J25"/>
  <c r="I25"/>
  <c r="DB25" s="1"/>
  <c r="DE25" s="1"/>
  <c r="H25"/>
  <c r="E25"/>
  <c r="C25"/>
  <c r="B25"/>
  <c r="D25" s="1"/>
  <c r="CZ24"/>
  <c r="CY24"/>
  <c r="CX24"/>
  <c r="CW24"/>
  <c r="CV24"/>
  <c r="CU24"/>
  <c r="CT24"/>
  <c r="CS24"/>
  <c r="H24" s="1"/>
  <c r="CR24"/>
  <c r="CQ24"/>
  <c r="M24" s="1"/>
  <c r="CP24"/>
  <c r="BF24"/>
  <c r="AZ24"/>
  <c r="BC24" s="1"/>
  <c r="AX24"/>
  <c r="BH24" s="1"/>
  <c r="AW24"/>
  <c r="AM24"/>
  <c r="AH24"/>
  <c r="AF24"/>
  <c r="T24"/>
  <c r="P24"/>
  <c r="O24"/>
  <c r="N24"/>
  <c r="L24"/>
  <c r="J24"/>
  <c r="I24"/>
  <c r="DF24" s="1"/>
  <c r="B24"/>
  <c r="CZ23"/>
  <c r="CY23"/>
  <c r="CX23"/>
  <c r="CW23"/>
  <c r="CV23"/>
  <c r="H23" s="1"/>
  <c r="CU23"/>
  <c r="CT23"/>
  <c r="CS23"/>
  <c r="CR23"/>
  <c r="M23" s="1"/>
  <c r="CQ23"/>
  <c r="CP23"/>
  <c r="BH23"/>
  <c r="BF23"/>
  <c r="BA23"/>
  <c r="BC23" s="1"/>
  <c r="AZ23"/>
  <c r="AX23"/>
  <c r="AW23"/>
  <c r="AM23"/>
  <c r="AH23"/>
  <c r="AF23"/>
  <c r="T23"/>
  <c r="P23"/>
  <c r="Q23" s="1"/>
  <c r="O23"/>
  <c r="N23"/>
  <c r="L23"/>
  <c r="J23"/>
  <c r="I23"/>
  <c r="B23"/>
  <c r="CZ22"/>
  <c r="CY22"/>
  <c r="CX22"/>
  <c r="CW22"/>
  <c r="CV22"/>
  <c r="CU22"/>
  <c r="CT22"/>
  <c r="CS22"/>
  <c r="CR22"/>
  <c r="M22" s="1"/>
  <c r="CQ22"/>
  <c r="CP22"/>
  <c r="BH22"/>
  <c r="BF22"/>
  <c r="BA22"/>
  <c r="BC22" s="1"/>
  <c r="AZ22"/>
  <c r="AX22"/>
  <c r="AW22"/>
  <c r="AM22"/>
  <c r="AH22"/>
  <c r="AF22"/>
  <c r="T22"/>
  <c r="P22"/>
  <c r="Q22" s="1"/>
  <c r="O22"/>
  <c r="N22"/>
  <c r="L22"/>
  <c r="J22"/>
  <c r="I22"/>
  <c r="B22"/>
  <c r="CZ21"/>
  <c r="CY21"/>
  <c r="CX21"/>
  <c r="CW21"/>
  <c r="CV21"/>
  <c r="CU21"/>
  <c r="CT21"/>
  <c r="CS21"/>
  <c r="CR21"/>
  <c r="M21" s="1"/>
  <c r="CQ21"/>
  <c r="CP21"/>
  <c r="BH21"/>
  <c r="BF21"/>
  <c r="BC21"/>
  <c r="BA21"/>
  <c r="AZ21"/>
  <c r="AX21"/>
  <c r="AW21"/>
  <c r="AM21"/>
  <c r="AH21"/>
  <c r="AF21"/>
  <c r="T21"/>
  <c r="P21"/>
  <c r="Q21" s="1"/>
  <c r="O21"/>
  <c r="N21"/>
  <c r="L21"/>
  <c r="J21"/>
  <c r="I21"/>
  <c r="B21"/>
  <c r="CZ20"/>
  <c r="CY20"/>
  <c r="CX20"/>
  <c r="CW20"/>
  <c r="CV20"/>
  <c r="CU20"/>
  <c r="CT20"/>
  <c r="CS20"/>
  <c r="CR20"/>
  <c r="M20" s="1"/>
  <c r="CQ20"/>
  <c r="CP20"/>
  <c r="BH20"/>
  <c r="BF20"/>
  <c r="BA20"/>
  <c r="BC20" s="1"/>
  <c r="AZ20"/>
  <c r="AX20"/>
  <c r="AW20"/>
  <c r="AM20"/>
  <c r="AH20"/>
  <c r="AF20"/>
  <c r="T20"/>
  <c r="Q20"/>
  <c r="R20" s="1"/>
  <c r="U20" s="1"/>
  <c r="O20"/>
  <c r="N20"/>
  <c r="L20"/>
  <c r="J20"/>
  <c r="I20"/>
  <c r="B20"/>
  <c r="CZ19"/>
  <c r="CY19"/>
  <c r="CX19"/>
  <c r="CW19"/>
  <c r="CV19"/>
  <c r="CU19"/>
  <c r="CT19"/>
  <c r="CS19"/>
  <c r="CR19"/>
  <c r="M19" s="1"/>
  <c r="CQ19"/>
  <c r="CP19"/>
  <c r="BH19"/>
  <c r="BF19"/>
  <c r="BC19"/>
  <c r="BA19"/>
  <c r="AZ19"/>
  <c r="AX19"/>
  <c r="AW19"/>
  <c r="AM19"/>
  <c r="AH19"/>
  <c r="AF19"/>
  <c r="T19"/>
  <c r="O19"/>
  <c r="N19"/>
  <c r="L19"/>
  <c r="J19"/>
  <c r="I19"/>
  <c r="H19"/>
  <c r="E19"/>
  <c r="C19"/>
  <c r="B19"/>
  <c r="D19" s="1"/>
  <c r="CZ18"/>
  <c r="CY18"/>
  <c r="CX18"/>
  <c r="CW18"/>
  <c r="CV18"/>
  <c r="CU18"/>
  <c r="CT18"/>
  <c r="CS18"/>
  <c r="CR18"/>
  <c r="CQ18"/>
  <c r="CP18"/>
  <c r="BF18"/>
  <c r="AZ18"/>
  <c r="AX18"/>
  <c r="BH18" s="1"/>
  <c r="AM18"/>
  <c r="AF18"/>
  <c r="T18"/>
  <c r="Q18"/>
  <c r="O18"/>
  <c r="N18"/>
  <c r="M18"/>
  <c r="L18"/>
  <c r="J18"/>
  <c r="I18"/>
  <c r="DF18" s="1"/>
  <c r="H18"/>
  <c r="E18"/>
  <c r="C18"/>
  <c r="B18"/>
  <c r="D18" s="1"/>
  <c r="CZ17"/>
  <c r="CY17"/>
  <c r="CX17"/>
  <c r="CW17"/>
  <c r="CV17"/>
  <c r="CU17"/>
  <c r="CT17"/>
  <c r="CS17"/>
  <c r="CR17"/>
  <c r="CQ17"/>
  <c r="CP17"/>
  <c r="BF17"/>
  <c r="AZ17"/>
  <c r="AX17"/>
  <c r="BH17" s="1"/>
  <c r="AM17"/>
  <c r="AH17"/>
  <c r="T17"/>
  <c r="O17"/>
  <c r="N17"/>
  <c r="L17"/>
  <c r="J17"/>
  <c r="I17"/>
  <c r="DF17" s="1"/>
  <c r="B17"/>
  <c r="CZ16"/>
  <c r="CY16"/>
  <c r="CX16"/>
  <c r="CW16"/>
  <c r="CV16"/>
  <c r="CU16"/>
  <c r="CT16"/>
  <c r="CS16"/>
  <c r="CR16"/>
  <c r="CQ16"/>
  <c r="CP16"/>
  <c r="BH16"/>
  <c r="BF16"/>
  <c r="BA16"/>
  <c r="BC16" s="1"/>
  <c r="AZ16"/>
  <c r="AX16"/>
  <c r="AM16"/>
  <c r="AH16"/>
  <c r="AF16"/>
  <c r="T16"/>
  <c r="Q16"/>
  <c r="O16"/>
  <c r="N16"/>
  <c r="M16"/>
  <c r="L16"/>
  <c r="J16"/>
  <c r="I16"/>
  <c r="DF16" s="1"/>
  <c r="H16"/>
  <c r="E16"/>
  <c r="C16"/>
  <c r="B16"/>
  <c r="D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AH15"/>
  <c r="T15"/>
  <c r="O15"/>
  <c r="N15"/>
  <c r="L15"/>
  <c r="J15"/>
  <c r="I15"/>
  <c r="DF15" s="1"/>
  <c r="B15"/>
  <c r="CZ14"/>
  <c r="CY14"/>
  <c r="CX14"/>
  <c r="CW14"/>
  <c r="CV14"/>
  <c r="CU14"/>
  <c r="CT14"/>
  <c r="CS14"/>
  <c r="CR14"/>
  <c r="CQ14"/>
  <c r="CP14"/>
  <c r="BH14"/>
  <c r="BF14"/>
  <c r="BA14"/>
  <c r="BC14" s="1"/>
  <c r="AZ14"/>
  <c r="AX14"/>
  <c r="AM14"/>
  <c r="AH14"/>
  <c r="AF14"/>
  <c r="T14"/>
  <c r="Q14"/>
  <c r="O14"/>
  <c r="N14"/>
  <c r="M14"/>
  <c r="L14"/>
  <c r="J14"/>
  <c r="I14"/>
  <c r="DF14" s="1"/>
  <c r="H14"/>
  <c r="E14"/>
  <c r="C14"/>
  <c r="B14"/>
  <c r="D14" s="1"/>
  <c r="CZ13"/>
  <c r="CY13"/>
  <c r="CX13"/>
  <c r="CW13"/>
  <c r="CV13"/>
  <c r="CU13"/>
  <c r="CT13"/>
  <c r="CS13"/>
  <c r="CR13"/>
  <c r="CQ13"/>
  <c r="CP13"/>
  <c r="BF13"/>
  <c r="AZ13"/>
  <c r="AX13"/>
  <c r="BH13" s="1"/>
  <c r="AM13"/>
  <c r="AH13"/>
  <c r="T13"/>
  <c r="O13"/>
  <c r="N13"/>
  <c r="L13"/>
  <c r="J13"/>
  <c r="I13"/>
  <c r="DF13" s="1"/>
  <c r="B13"/>
  <c r="CZ12"/>
  <c r="CY12"/>
  <c r="CX12"/>
  <c r="CW12"/>
  <c r="CV12"/>
  <c r="CU12"/>
  <c r="CT12"/>
  <c r="CS12"/>
  <c r="CR12"/>
  <c r="CQ12"/>
  <c r="CP12"/>
  <c r="BH12"/>
  <c r="BF12"/>
  <c r="BA12"/>
  <c r="BC12" s="1"/>
  <c r="AZ12"/>
  <c r="AX12"/>
  <c r="AM12"/>
  <c r="AH12"/>
  <c r="AF12"/>
  <c r="T12"/>
  <c r="Q12"/>
  <c r="O12"/>
  <c r="N12"/>
  <c r="M12"/>
  <c r="L12"/>
  <c r="J12"/>
  <c r="I12"/>
  <c r="DF12" s="1"/>
  <c r="H12"/>
  <c r="E12"/>
  <c r="C12"/>
  <c r="B12"/>
  <c r="D12" s="1"/>
  <c r="CZ11"/>
  <c r="CY11"/>
  <c r="CX11"/>
  <c r="CW11"/>
  <c r="CV11"/>
  <c r="CU11"/>
  <c r="CT11"/>
  <c r="CS11"/>
  <c r="CR11"/>
  <c r="CQ11"/>
  <c r="CP11"/>
  <c r="BF11"/>
  <c r="AZ11"/>
  <c r="AX11"/>
  <c r="BH11" s="1"/>
  <c r="AM11"/>
  <c r="AH11"/>
  <c r="T11"/>
  <c r="O11"/>
  <c r="N11"/>
  <c r="L11"/>
  <c r="J11"/>
  <c r="I11"/>
  <c r="DF11" s="1"/>
  <c r="B11"/>
  <c r="CZ10"/>
  <c r="CY10"/>
  <c r="CX10"/>
  <c r="CW10"/>
  <c r="CV10"/>
  <c r="CU10"/>
  <c r="CT10"/>
  <c r="CS10"/>
  <c r="CR10"/>
  <c r="CQ10"/>
  <c r="CP10"/>
  <c r="BH10"/>
  <c r="BF10"/>
  <c r="BA10"/>
  <c r="BC10" s="1"/>
  <c r="AZ10"/>
  <c r="AX10"/>
  <c r="AM10"/>
  <c r="AH10"/>
  <c r="AF10"/>
  <c r="T10"/>
  <c r="Q10"/>
  <c r="O10"/>
  <c r="N10"/>
  <c r="M10"/>
  <c r="L10"/>
  <c r="J10"/>
  <c r="I10"/>
  <c r="DF10" s="1"/>
  <c r="H10"/>
  <c r="E10"/>
  <c r="C10"/>
  <c r="B10"/>
  <c r="D10" s="1"/>
  <c r="CZ9"/>
  <c r="CY9"/>
  <c r="CX9"/>
  <c r="CW9"/>
  <c r="CV9"/>
  <c r="CU9"/>
  <c r="CT9"/>
  <c r="CS9"/>
  <c r="CR9"/>
  <c r="CQ9"/>
  <c r="CP9"/>
  <c r="BF9"/>
  <c r="AZ9"/>
  <c r="AX9"/>
  <c r="BH9" s="1"/>
  <c r="AM9"/>
  <c r="AH9"/>
  <c r="T9"/>
  <c r="O9"/>
  <c r="N9"/>
  <c r="L9"/>
  <c r="J9"/>
  <c r="I9"/>
  <c r="DF9" s="1"/>
  <c r="B9"/>
  <c r="CZ8"/>
  <c r="CY8"/>
  <c r="CX8"/>
  <c r="CW8"/>
  <c r="CV8"/>
  <c r="CU8"/>
  <c r="CT8"/>
  <c r="CS8"/>
  <c r="CR8"/>
  <c r="CQ8"/>
  <c r="CP8"/>
  <c r="BH8"/>
  <c r="BF8"/>
  <c r="BG8" s="1"/>
  <c r="BG9" s="1"/>
  <c r="BA8"/>
  <c r="BC8" s="1"/>
  <c r="AZ8"/>
  <c r="AX8"/>
  <c r="AM8"/>
  <c r="AH8"/>
  <c r="AF8"/>
  <c r="T8"/>
  <c r="Q8"/>
  <c r="O8"/>
  <c r="N8"/>
  <c r="M8"/>
  <c r="L8"/>
  <c r="J8"/>
  <c r="I8"/>
  <c r="DF8" s="1"/>
  <c r="H8"/>
  <c r="E8"/>
  <c r="C8"/>
  <c r="B8"/>
  <c r="D8" s="1"/>
  <c r="CZ7"/>
  <c r="CY7"/>
  <c r="CX7"/>
  <c r="CW7"/>
  <c r="CV7"/>
  <c r="CU7"/>
  <c r="CU38" s="1"/>
  <c r="CT7"/>
  <c r="CS7"/>
  <c r="CS38" s="1"/>
  <c r="CR7"/>
  <c r="CQ7"/>
  <c r="CQ38" s="1"/>
  <c r="CP7"/>
  <c r="BG7"/>
  <c r="BF7"/>
  <c r="AZ7"/>
  <c r="AZ38" s="1"/>
  <c r="AZ39" s="1"/>
  <c r="AX7"/>
  <c r="BH7" s="1"/>
  <c r="AM7"/>
  <c r="AH7"/>
  <c r="T7"/>
  <c r="Q7"/>
  <c r="O7"/>
  <c r="N7"/>
  <c r="L7"/>
  <c r="L38" s="1"/>
  <c r="L39" s="1"/>
  <c r="J7"/>
  <c r="I7"/>
  <c r="B7"/>
  <c r="B38" s="1"/>
  <c r="B39" s="1"/>
  <c r="DB25" i="90" l="1"/>
  <c r="DE25" s="1"/>
  <c r="DB33"/>
  <c r="DE33" s="1"/>
  <c r="DB14"/>
  <c r="DE14" s="1"/>
  <c r="DB32"/>
  <c r="DE32" s="1"/>
  <c r="DB26" i="88"/>
  <c r="DE26" s="1"/>
  <c r="I38"/>
  <c r="I39" s="1"/>
  <c r="I41" s="1"/>
  <c r="DB30"/>
  <c r="DE30" s="1"/>
  <c r="DF25"/>
  <c r="DF29"/>
  <c r="DF33"/>
  <c r="H36" i="91"/>
  <c r="M36"/>
  <c r="AH36"/>
  <c r="AW36"/>
  <c r="BA36"/>
  <c r="BC36" s="1"/>
  <c r="Q36"/>
  <c r="R36" s="1"/>
  <c r="H35"/>
  <c r="M35"/>
  <c r="AH35"/>
  <c r="AW35"/>
  <c r="BA35"/>
  <c r="BC35" s="1"/>
  <c r="H34"/>
  <c r="M34"/>
  <c r="AH34"/>
  <c r="AW34"/>
  <c r="BA34"/>
  <c r="BC34" s="1"/>
  <c r="Q34"/>
  <c r="R34" s="1"/>
  <c r="H33"/>
  <c r="M33"/>
  <c r="AH33"/>
  <c r="AW33"/>
  <c r="BA33"/>
  <c r="BC33" s="1"/>
  <c r="Q33"/>
  <c r="R33" s="1"/>
  <c r="Q32"/>
  <c r="R32" s="1"/>
  <c r="H32"/>
  <c r="M32"/>
  <c r="AH32"/>
  <c r="AW32"/>
  <c r="BA32"/>
  <c r="BC32" s="1"/>
  <c r="H31"/>
  <c r="M31"/>
  <c r="AH31"/>
  <c r="AW31"/>
  <c r="BA31"/>
  <c r="BC31" s="1"/>
  <c r="Q30"/>
  <c r="R30" s="1"/>
  <c r="H30"/>
  <c r="M30"/>
  <c r="AH30"/>
  <c r="AW30"/>
  <c r="BA30"/>
  <c r="BC30" s="1"/>
  <c r="Q28"/>
  <c r="R28" s="1"/>
  <c r="H28"/>
  <c r="M28"/>
  <c r="H26"/>
  <c r="M26"/>
  <c r="Q26"/>
  <c r="R26" s="1"/>
  <c r="Q25"/>
  <c r="R25" s="1"/>
  <c r="Q24"/>
  <c r="R24" s="1"/>
  <c r="H24"/>
  <c r="M24"/>
  <c r="Q23"/>
  <c r="R23" s="1"/>
  <c r="Q22"/>
  <c r="R22" s="1"/>
  <c r="H21"/>
  <c r="M21"/>
  <c r="Q20"/>
  <c r="R20" s="1"/>
  <c r="H19"/>
  <c r="Q16"/>
  <c r="R16" s="1"/>
  <c r="Q14"/>
  <c r="R14" s="1"/>
  <c r="Q12"/>
  <c r="R12" s="1"/>
  <c r="CQ38"/>
  <c r="C23"/>
  <c r="D23" s="1"/>
  <c r="N38" i="88"/>
  <c r="N39" s="1"/>
  <c r="R22"/>
  <c r="U22" s="1"/>
  <c r="DF27"/>
  <c r="DB28"/>
  <c r="DE28" s="1"/>
  <c r="DF31"/>
  <c r="DB32"/>
  <c r="DE32" s="1"/>
  <c r="DF34"/>
  <c r="C19" i="91"/>
  <c r="D19" s="1"/>
  <c r="H10"/>
  <c r="M10"/>
  <c r="U10"/>
  <c r="AZ38"/>
  <c r="AZ39" s="1"/>
  <c r="CY38"/>
  <c r="CW39" s="1"/>
  <c r="Q8"/>
  <c r="R8" s="1"/>
  <c r="CS38"/>
  <c r="H8"/>
  <c r="M8"/>
  <c r="U8"/>
  <c r="Q7"/>
  <c r="R7" s="1"/>
  <c r="Q19"/>
  <c r="R19" s="1"/>
  <c r="C21"/>
  <c r="D21" s="1"/>
  <c r="L38"/>
  <c r="L39" s="1"/>
  <c r="H36" i="89"/>
  <c r="M36"/>
  <c r="AH36"/>
  <c r="AW36"/>
  <c r="BA36"/>
  <c r="BC36" s="1"/>
  <c r="J45" i="91"/>
  <c r="BH37" i="89"/>
  <c r="H37"/>
  <c r="M37"/>
  <c r="U37"/>
  <c r="AH37"/>
  <c r="AW37"/>
  <c r="BC37"/>
  <c r="Q36"/>
  <c r="R36" s="1"/>
  <c r="Q35"/>
  <c r="R35" s="1"/>
  <c r="H34"/>
  <c r="M34"/>
  <c r="AH34"/>
  <c r="AW34"/>
  <c r="BA34"/>
  <c r="Q34"/>
  <c r="R34" s="1"/>
  <c r="BC34"/>
  <c r="H33"/>
  <c r="M33"/>
  <c r="AH33"/>
  <c r="AW33"/>
  <c r="BA33"/>
  <c r="BC33" s="1"/>
  <c r="Q33"/>
  <c r="R33" s="1"/>
  <c r="BG8" i="91"/>
  <c r="BG9" s="1"/>
  <c r="C8"/>
  <c r="D8" s="1"/>
  <c r="C12"/>
  <c r="D12" s="1"/>
  <c r="E14"/>
  <c r="BB14" s="1"/>
  <c r="E16"/>
  <c r="BB16" s="1"/>
  <c r="E18"/>
  <c r="BB18" s="1"/>
  <c r="H32" i="89"/>
  <c r="M32"/>
  <c r="BC32"/>
  <c r="BH32"/>
  <c r="AH32"/>
  <c r="AW32"/>
  <c r="B38" i="91"/>
  <c r="B39" s="1"/>
  <c r="Q31" i="89"/>
  <c r="R31" s="1"/>
  <c r="E10" i="91"/>
  <c r="BB10" s="1"/>
  <c r="E20"/>
  <c r="E22"/>
  <c r="BB22" s="1"/>
  <c r="C24"/>
  <c r="D24" s="1"/>
  <c r="H30" i="89"/>
  <c r="M30"/>
  <c r="BC30"/>
  <c r="BH30"/>
  <c r="AH30"/>
  <c r="AW30"/>
  <c r="I38" i="91"/>
  <c r="I39" s="1"/>
  <c r="I41" s="1"/>
  <c r="N38"/>
  <c r="N39" s="1"/>
  <c r="Q18"/>
  <c r="R18" s="1"/>
  <c r="DB21"/>
  <c r="DE21" s="1"/>
  <c r="Q29" i="89"/>
  <c r="R29" s="1"/>
  <c r="DB22" i="91"/>
  <c r="DE22" s="1"/>
  <c r="DB20"/>
  <c r="DE20" s="1"/>
  <c r="DB23"/>
  <c r="DE23" s="1"/>
  <c r="DF18"/>
  <c r="DB19"/>
  <c r="DE19" s="1"/>
  <c r="M22"/>
  <c r="H16"/>
  <c r="M16"/>
  <c r="BA8"/>
  <c r="BC8" s="1"/>
  <c r="BH8"/>
  <c r="BA10"/>
  <c r="BC10" s="1"/>
  <c r="BH10"/>
  <c r="BA12"/>
  <c r="BC12" s="1"/>
  <c r="BH12"/>
  <c r="BA16"/>
  <c r="BC16" s="1"/>
  <c r="BH16"/>
  <c r="BA26"/>
  <c r="BC26" s="1"/>
  <c r="BH26"/>
  <c r="BA28"/>
  <c r="BC28" s="1"/>
  <c r="BH28"/>
  <c r="H12"/>
  <c r="M12"/>
  <c r="BA14"/>
  <c r="H18"/>
  <c r="BA25"/>
  <c r="BC25" s="1"/>
  <c r="AH26"/>
  <c r="BA27"/>
  <c r="AH28"/>
  <c r="BC14"/>
  <c r="BC27"/>
  <c r="BI7"/>
  <c r="BG10"/>
  <c r="BG11" s="1"/>
  <c r="BG12"/>
  <c r="BG13" s="1"/>
  <c r="BG14" s="1"/>
  <c r="BG15" s="1"/>
  <c r="BG16" s="1"/>
  <c r="BG17" s="1"/>
  <c r="BG18" s="1"/>
  <c r="BG19" s="1"/>
  <c r="BG20" s="1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F10"/>
  <c r="F14"/>
  <c r="F16"/>
  <c r="BH18"/>
  <c r="BA18"/>
  <c r="BC18" s="1"/>
  <c r="AW18"/>
  <c r="AH18"/>
  <c r="F18"/>
  <c r="C7"/>
  <c r="D7" s="1"/>
  <c r="E7"/>
  <c r="H7"/>
  <c r="J38"/>
  <c r="J39" s="1"/>
  <c r="M7"/>
  <c r="O38"/>
  <c r="O39" s="1"/>
  <c r="T38"/>
  <c r="T39" s="1"/>
  <c r="AF7"/>
  <c r="BA7"/>
  <c r="BC7" s="1"/>
  <c r="CP38"/>
  <c r="CR38"/>
  <c r="CT38"/>
  <c r="CV38"/>
  <c r="CX38"/>
  <c r="CZ38"/>
  <c r="DB8"/>
  <c r="DE8" s="1"/>
  <c r="C9"/>
  <c r="D9" s="1"/>
  <c r="E9"/>
  <c r="H9"/>
  <c r="M9"/>
  <c r="Q9"/>
  <c r="R9" s="1"/>
  <c r="AF9"/>
  <c r="BA9"/>
  <c r="BC9" s="1"/>
  <c r="DB10"/>
  <c r="DE10" s="1"/>
  <c r="C11"/>
  <c r="D11" s="1"/>
  <c r="E11"/>
  <c r="H11"/>
  <c r="M11"/>
  <c r="Q11"/>
  <c r="R11" s="1"/>
  <c r="AF11"/>
  <c r="BA11"/>
  <c r="BC11" s="1"/>
  <c r="DB12"/>
  <c r="DE12" s="1"/>
  <c r="C13"/>
  <c r="D13" s="1"/>
  <c r="E13"/>
  <c r="H13"/>
  <c r="M13"/>
  <c r="Q13"/>
  <c r="R13" s="1"/>
  <c r="AF13"/>
  <c r="BA13"/>
  <c r="BC13" s="1"/>
  <c r="DB14"/>
  <c r="DE14" s="1"/>
  <c r="C15"/>
  <c r="D15" s="1"/>
  <c r="E15"/>
  <c r="H15"/>
  <c r="M15"/>
  <c r="Q15"/>
  <c r="R15" s="1"/>
  <c r="AF15"/>
  <c r="BA15"/>
  <c r="BC15" s="1"/>
  <c r="DB16"/>
  <c r="DE16" s="1"/>
  <c r="C17"/>
  <c r="D17" s="1"/>
  <c r="E17"/>
  <c r="H17"/>
  <c r="M17"/>
  <c r="R17"/>
  <c r="DF17"/>
  <c r="P38"/>
  <c r="P39" s="1"/>
  <c r="AX38"/>
  <c r="AB39" s="1"/>
  <c r="BH17"/>
  <c r="BA17"/>
  <c r="BC17" s="1"/>
  <c r="AF17"/>
  <c r="BH19"/>
  <c r="BA19"/>
  <c r="BC19" s="1"/>
  <c r="AW19"/>
  <c r="AH19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DB7"/>
  <c r="DF7"/>
  <c r="DB9"/>
  <c r="DE9" s="1"/>
  <c r="DB11"/>
  <c r="DE11" s="1"/>
  <c r="DB13"/>
  <c r="DE13" s="1"/>
  <c r="DB15"/>
  <c r="DE15" s="1"/>
  <c r="D20"/>
  <c r="BH24"/>
  <c r="R27"/>
  <c r="R29"/>
  <c r="R31"/>
  <c r="R35"/>
  <c r="R37"/>
  <c r="BS39"/>
  <c r="BU39"/>
  <c r="BW39"/>
  <c r="BY39"/>
  <c r="CA39"/>
  <c r="CC39"/>
  <c r="CE39"/>
  <c r="AH20"/>
  <c r="AW20"/>
  <c r="BA20"/>
  <c r="BC20" s="1"/>
  <c r="U21"/>
  <c r="AH21"/>
  <c r="AW21"/>
  <c r="BA21"/>
  <c r="BC21" s="1"/>
  <c r="F22"/>
  <c r="AH22"/>
  <c r="AW22"/>
  <c r="BA22"/>
  <c r="BC22" s="1"/>
  <c r="AH23"/>
  <c r="AW23"/>
  <c r="BA23"/>
  <c r="BC23" s="1"/>
  <c r="AH24"/>
  <c r="DB24"/>
  <c r="DE24" s="1"/>
  <c r="C25"/>
  <c r="D25" s="1"/>
  <c r="DB25"/>
  <c r="DE25" s="1"/>
  <c r="C26"/>
  <c r="D26" s="1"/>
  <c r="DB26"/>
  <c r="DE26" s="1"/>
  <c r="C27"/>
  <c r="D27" s="1"/>
  <c r="DB27"/>
  <c r="DE27" s="1"/>
  <c r="C28"/>
  <c r="D28" s="1"/>
  <c r="DB28"/>
  <c r="DE28" s="1"/>
  <c r="C29"/>
  <c r="D29" s="1"/>
  <c r="DB29"/>
  <c r="DE29" s="1"/>
  <c r="C30"/>
  <c r="D30" s="1"/>
  <c r="DB30"/>
  <c r="DE30" s="1"/>
  <c r="C31"/>
  <c r="D31" s="1"/>
  <c r="DB31"/>
  <c r="DE31" s="1"/>
  <c r="C32"/>
  <c r="D32" s="1"/>
  <c r="DB32"/>
  <c r="DE32" s="1"/>
  <c r="C33"/>
  <c r="D33" s="1"/>
  <c r="DB33"/>
  <c r="DE33" s="1"/>
  <c r="C34"/>
  <c r="D34" s="1"/>
  <c r="DB34"/>
  <c r="DE34" s="1"/>
  <c r="C35"/>
  <c r="D35" s="1"/>
  <c r="DB35"/>
  <c r="DE35" s="1"/>
  <c r="C36"/>
  <c r="D36" s="1"/>
  <c r="DB36"/>
  <c r="DE36" s="1"/>
  <c r="C37"/>
  <c r="D37" s="1"/>
  <c r="DB37"/>
  <c r="DE37" s="1"/>
  <c r="AS39"/>
  <c r="AM39" s="1"/>
  <c r="AS41"/>
  <c r="AH28" i="89"/>
  <c r="AW28"/>
  <c r="BA28"/>
  <c r="BC28"/>
  <c r="Q28"/>
  <c r="R28" s="1"/>
  <c r="H27"/>
  <c r="M27"/>
  <c r="U27"/>
  <c r="AH27"/>
  <c r="AW27"/>
  <c r="BA27"/>
  <c r="BC27" s="1"/>
  <c r="Q26"/>
  <c r="R26" s="1"/>
  <c r="AH26"/>
  <c r="AW26"/>
  <c r="BA26"/>
  <c r="BC26"/>
  <c r="U25"/>
  <c r="H24"/>
  <c r="Q24"/>
  <c r="R24" s="1"/>
  <c r="H23"/>
  <c r="Q22"/>
  <c r="R22" s="1"/>
  <c r="H22"/>
  <c r="DB35" i="90"/>
  <c r="DE35" s="1"/>
  <c r="H20" i="89"/>
  <c r="Q19"/>
  <c r="R19" s="1"/>
  <c r="H19"/>
  <c r="Q18"/>
  <c r="R18" s="1"/>
  <c r="DF36" i="90"/>
  <c r="H18" i="89"/>
  <c r="Q9"/>
  <c r="R9" s="1"/>
  <c r="O38" i="90"/>
  <c r="O39" s="1"/>
  <c r="CS38" i="89"/>
  <c r="DF24" i="90"/>
  <c r="Q16" i="89"/>
  <c r="R16" s="1"/>
  <c r="BA35" i="90"/>
  <c r="BC35" s="1"/>
  <c r="AW35"/>
  <c r="AH35"/>
  <c r="U35"/>
  <c r="F35"/>
  <c r="AF35"/>
  <c r="M35"/>
  <c r="E35"/>
  <c r="AY35" s="1"/>
  <c r="BA34"/>
  <c r="BC34" s="1"/>
  <c r="AW34"/>
  <c r="AH34"/>
  <c r="U34"/>
  <c r="F34"/>
  <c r="BI34"/>
  <c r="AF34"/>
  <c r="M34"/>
  <c r="E34"/>
  <c r="AY34" s="1"/>
  <c r="BA33"/>
  <c r="BC33" s="1"/>
  <c r="AW33"/>
  <c r="AH33"/>
  <c r="U33"/>
  <c r="F33"/>
  <c r="BI33"/>
  <c r="AF33"/>
  <c r="M33"/>
  <c r="E33"/>
  <c r="AY33" s="1"/>
  <c r="BA32"/>
  <c r="BC32" s="1"/>
  <c r="AW32"/>
  <c r="AH32"/>
  <c r="U32"/>
  <c r="F32"/>
  <c r="BI32"/>
  <c r="AF32"/>
  <c r="M32"/>
  <c r="E32"/>
  <c r="AY32" s="1"/>
  <c r="BG36"/>
  <c r="BA31"/>
  <c r="BC31" s="1"/>
  <c r="AW31"/>
  <c r="AH31"/>
  <c r="U31"/>
  <c r="F31"/>
  <c r="BI31"/>
  <c r="AF31"/>
  <c r="M31"/>
  <c r="E31"/>
  <c r="AY31" s="1"/>
  <c r="BA30"/>
  <c r="BC30" s="1"/>
  <c r="AW30"/>
  <c r="AH30"/>
  <c r="U30"/>
  <c r="F30"/>
  <c r="BI30"/>
  <c r="AF30"/>
  <c r="M30"/>
  <c r="E30"/>
  <c r="AY30" s="1"/>
  <c r="BA29"/>
  <c r="BC29" s="1"/>
  <c r="AW29"/>
  <c r="AH29"/>
  <c r="U29"/>
  <c r="F29"/>
  <c r="BI29"/>
  <c r="AF29"/>
  <c r="M29"/>
  <c r="E29"/>
  <c r="AY29" s="1"/>
  <c r="BA28"/>
  <c r="BC28" s="1"/>
  <c r="AW28"/>
  <c r="AH28"/>
  <c r="U28"/>
  <c r="F28"/>
  <c r="BI28"/>
  <c r="AF28"/>
  <c r="M28"/>
  <c r="E28"/>
  <c r="AY28" s="1"/>
  <c r="BA27"/>
  <c r="BC27" s="1"/>
  <c r="AW27"/>
  <c r="AH27"/>
  <c r="U27"/>
  <c r="F27"/>
  <c r="BI27"/>
  <c r="AF27"/>
  <c r="M27"/>
  <c r="E27"/>
  <c r="BB27" s="1"/>
  <c r="BA26"/>
  <c r="BC26" s="1"/>
  <c r="AW26"/>
  <c r="AH26"/>
  <c r="U26"/>
  <c r="F26"/>
  <c r="BI26"/>
  <c r="AF26"/>
  <c r="M26"/>
  <c r="E26"/>
  <c r="AY26" s="1"/>
  <c r="BA25"/>
  <c r="BC25" s="1"/>
  <c r="AW25"/>
  <c r="AH25"/>
  <c r="U25"/>
  <c r="F25"/>
  <c r="BI25"/>
  <c r="AF25"/>
  <c r="M25"/>
  <c r="E25"/>
  <c r="AY25" s="1"/>
  <c r="BI24"/>
  <c r="AW24"/>
  <c r="AH24"/>
  <c r="U24"/>
  <c r="F24"/>
  <c r="AF24"/>
  <c r="M24"/>
  <c r="E24"/>
  <c r="BB24" s="1"/>
  <c r="BA23"/>
  <c r="BC23" s="1"/>
  <c r="AW23"/>
  <c r="AH23"/>
  <c r="U23"/>
  <c r="F23"/>
  <c r="BI23"/>
  <c r="AF23"/>
  <c r="M23"/>
  <c r="E23"/>
  <c r="AY23" s="1"/>
  <c r="BA22"/>
  <c r="BC22" s="1"/>
  <c r="AW22"/>
  <c r="AH22"/>
  <c r="U22"/>
  <c r="F22"/>
  <c r="BI22"/>
  <c r="AF22"/>
  <c r="M22"/>
  <c r="E22"/>
  <c r="AY22" s="1"/>
  <c r="BA21"/>
  <c r="BC21" s="1"/>
  <c r="AW21"/>
  <c r="AH21"/>
  <c r="U21"/>
  <c r="F21"/>
  <c r="BI21"/>
  <c r="AF21"/>
  <c r="M21"/>
  <c r="E21"/>
  <c r="AY21" s="1"/>
  <c r="BA20"/>
  <c r="BC20" s="1"/>
  <c r="AW20"/>
  <c r="AH20"/>
  <c r="U20"/>
  <c r="F20"/>
  <c r="BI20"/>
  <c r="AF20"/>
  <c r="M20"/>
  <c r="E20"/>
  <c r="AY20" s="1"/>
  <c r="AF36"/>
  <c r="M36"/>
  <c r="H36"/>
  <c r="BA19"/>
  <c r="BC19" s="1"/>
  <c r="AW19"/>
  <c r="AH19"/>
  <c r="U19"/>
  <c r="F19"/>
  <c r="BH36"/>
  <c r="BA36"/>
  <c r="BC36" s="1"/>
  <c r="AW36"/>
  <c r="AH36"/>
  <c r="U36"/>
  <c r="BI19"/>
  <c r="AF19"/>
  <c r="M19"/>
  <c r="E19"/>
  <c r="BB19" s="1"/>
  <c r="BA18"/>
  <c r="BC18" s="1"/>
  <c r="AW18"/>
  <c r="AH18"/>
  <c r="U18"/>
  <c r="F18"/>
  <c r="BI18"/>
  <c r="AF18"/>
  <c r="M18"/>
  <c r="E18"/>
  <c r="AY18" s="1"/>
  <c r="BI17"/>
  <c r="AH17"/>
  <c r="U17"/>
  <c r="F17"/>
  <c r="AF17"/>
  <c r="M17"/>
  <c r="E17"/>
  <c r="BB17" s="1"/>
  <c r="BI16"/>
  <c r="AH16"/>
  <c r="U16"/>
  <c r="F16"/>
  <c r="AF16"/>
  <c r="M16"/>
  <c r="E16"/>
  <c r="AY16" s="1"/>
  <c r="BI15"/>
  <c r="AH15"/>
  <c r="U15"/>
  <c r="F15"/>
  <c r="AF15"/>
  <c r="M15"/>
  <c r="E15"/>
  <c r="AY15" s="1"/>
  <c r="BI14"/>
  <c r="AH14"/>
  <c r="U14"/>
  <c r="F14"/>
  <c r="AF14"/>
  <c r="M14"/>
  <c r="E14"/>
  <c r="BB14" s="1"/>
  <c r="BA38"/>
  <c r="BA39" s="1"/>
  <c r="BI13"/>
  <c r="AH13"/>
  <c r="U13"/>
  <c r="F13"/>
  <c r="AF13"/>
  <c r="M13"/>
  <c r="E13"/>
  <c r="BB13" s="1"/>
  <c r="BI12"/>
  <c r="AH12"/>
  <c r="U12"/>
  <c r="F12"/>
  <c r="AF12"/>
  <c r="M12"/>
  <c r="E12"/>
  <c r="AY12" s="1"/>
  <c r="BI11"/>
  <c r="AH11"/>
  <c r="U11"/>
  <c r="F11"/>
  <c r="AF11"/>
  <c r="M11"/>
  <c r="E11"/>
  <c r="AY11" s="1"/>
  <c r="BI10"/>
  <c r="AH10"/>
  <c r="U10"/>
  <c r="F10"/>
  <c r="AF10"/>
  <c r="M10"/>
  <c r="E10"/>
  <c r="AY10" s="1"/>
  <c r="J45"/>
  <c r="BI9"/>
  <c r="AH9"/>
  <c r="U9"/>
  <c r="F9"/>
  <c r="BA9"/>
  <c r="BC9" s="1"/>
  <c r="AF9"/>
  <c r="M9"/>
  <c r="E9"/>
  <c r="AY9" s="1"/>
  <c r="CP38"/>
  <c r="CR38"/>
  <c r="M7"/>
  <c r="Q15" i="89"/>
  <c r="R15" s="1"/>
  <c r="H15"/>
  <c r="M15"/>
  <c r="Q14"/>
  <c r="R14" s="1"/>
  <c r="CR38"/>
  <c r="CP38"/>
  <c r="C7" i="90"/>
  <c r="D7" s="1"/>
  <c r="J38"/>
  <c r="J39" s="1"/>
  <c r="BI8"/>
  <c r="P38"/>
  <c r="P39" s="1"/>
  <c r="AX38"/>
  <c r="AB39" s="1"/>
  <c r="B38"/>
  <c r="B39" s="1"/>
  <c r="I38"/>
  <c r="I39" s="1"/>
  <c r="I41" s="1"/>
  <c r="L38"/>
  <c r="L39" s="1"/>
  <c r="N38"/>
  <c r="N39" s="1"/>
  <c r="R7"/>
  <c r="AZ38"/>
  <c r="AZ39" s="1"/>
  <c r="BE7"/>
  <c r="BE8" s="1"/>
  <c r="BE37" s="1"/>
  <c r="BG7"/>
  <c r="BG8" s="1"/>
  <c r="CQ38"/>
  <c r="CS38"/>
  <c r="CU38"/>
  <c r="CW38"/>
  <c r="CY38"/>
  <c r="DB7"/>
  <c r="DF7"/>
  <c r="C8"/>
  <c r="D8" s="1"/>
  <c r="E8"/>
  <c r="H8"/>
  <c r="M8"/>
  <c r="Q8"/>
  <c r="AF8"/>
  <c r="BA8"/>
  <c r="BC8" s="1"/>
  <c r="BC7"/>
  <c r="BH38"/>
  <c r="CP39"/>
  <c r="DB8"/>
  <c r="DE8" s="1"/>
  <c r="C37"/>
  <c r="D37" s="1"/>
  <c r="E37"/>
  <c r="Q37"/>
  <c r="R37" s="1"/>
  <c r="BS39"/>
  <c r="BU39"/>
  <c r="BW39"/>
  <c r="BY39"/>
  <c r="CA39"/>
  <c r="CC39"/>
  <c r="CE39"/>
  <c r="DB37"/>
  <c r="DE37" s="1"/>
  <c r="AS39"/>
  <c r="AM39" s="1"/>
  <c r="AS41"/>
  <c r="C17" i="89"/>
  <c r="D17" s="1"/>
  <c r="F17" s="1"/>
  <c r="E19"/>
  <c r="C9"/>
  <c r="D9" s="1"/>
  <c r="E11"/>
  <c r="E13"/>
  <c r="BB13" s="1"/>
  <c r="C15"/>
  <c r="D15" s="1"/>
  <c r="Q17"/>
  <c r="R17" s="1"/>
  <c r="C21"/>
  <c r="D21" s="1"/>
  <c r="E23"/>
  <c r="Q11"/>
  <c r="R11" s="1"/>
  <c r="CV38"/>
  <c r="Q10"/>
  <c r="R10" s="1"/>
  <c r="Q13"/>
  <c r="R13" s="1"/>
  <c r="Q8"/>
  <c r="R8" s="1"/>
  <c r="M7"/>
  <c r="AF7"/>
  <c r="CW38"/>
  <c r="BF8"/>
  <c r="BF10"/>
  <c r="BF11"/>
  <c r="BF13"/>
  <c r="BF16"/>
  <c r="BF24"/>
  <c r="BF25"/>
  <c r="BF26"/>
  <c r="BF28"/>
  <c r="BF30"/>
  <c r="BF32"/>
  <c r="BF34"/>
  <c r="C22"/>
  <c r="D22" s="1"/>
  <c r="C20"/>
  <c r="D20" s="1"/>
  <c r="C24"/>
  <c r="D24" s="1"/>
  <c r="E7"/>
  <c r="J38"/>
  <c r="J39" s="1"/>
  <c r="O38"/>
  <c r="O39" s="1"/>
  <c r="R37" i="88"/>
  <c r="R36"/>
  <c r="U36" s="1"/>
  <c r="R35"/>
  <c r="R34"/>
  <c r="R33"/>
  <c r="R32"/>
  <c r="R31"/>
  <c r="R30"/>
  <c r="R29"/>
  <c r="R28"/>
  <c r="U28" s="1"/>
  <c r="CY38"/>
  <c r="CW39" s="1"/>
  <c r="R27"/>
  <c r="R26"/>
  <c r="U26" s="1"/>
  <c r="R25"/>
  <c r="Q19"/>
  <c r="CW38"/>
  <c r="R18"/>
  <c r="R16"/>
  <c r="U16" s="1"/>
  <c r="R14"/>
  <c r="U14" s="1"/>
  <c r="R12"/>
  <c r="U12" s="1"/>
  <c r="R10"/>
  <c r="U10" s="1"/>
  <c r="R8"/>
  <c r="U8" s="1"/>
  <c r="DF20" i="89"/>
  <c r="DF18"/>
  <c r="DF22"/>
  <c r="DB8"/>
  <c r="DE8" s="1"/>
  <c r="DF19"/>
  <c r="DF21"/>
  <c r="DF23"/>
  <c r="DB12"/>
  <c r="DE12" s="1"/>
  <c r="DB16"/>
  <c r="DE16" s="1"/>
  <c r="CE39"/>
  <c r="CC39"/>
  <c r="CA39"/>
  <c r="BY39"/>
  <c r="AF15"/>
  <c r="H17"/>
  <c r="M17"/>
  <c r="BA9"/>
  <c r="BC9" s="1"/>
  <c r="BH9"/>
  <c r="BA11"/>
  <c r="BH11"/>
  <c r="BA13"/>
  <c r="BH13"/>
  <c r="BA17"/>
  <c r="BH17"/>
  <c r="BA25"/>
  <c r="BC25" s="1"/>
  <c r="BH25"/>
  <c r="BA7"/>
  <c r="BC7" s="1"/>
  <c r="H11"/>
  <c r="M11"/>
  <c r="BC13"/>
  <c r="BA15"/>
  <c r="BC15" s="1"/>
  <c r="BC17"/>
  <c r="AH25"/>
  <c r="M25"/>
  <c r="BC11"/>
  <c r="BI7"/>
  <c r="BG7"/>
  <c r="E8"/>
  <c r="C8"/>
  <c r="D8" s="1"/>
  <c r="B38"/>
  <c r="B39" s="1"/>
  <c r="BH8"/>
  <c r="BA8"/>
  <c r="AF8"/>
  <c r="M8"/>
  <c r="H8"/>
  <c r="AX38"/>
  <c r="X39" s="1"/>
  <c r="E12"/>
  <c r="C12"/>
  <c r="D12" s="1"/>
  <c r="BH12"/>
  <c r="BA12"/>
  <c r="AF12"/>
  <c r="M12"/>
  <c r="H12"/>
  <c r="F13"/>
  <c r="E16"/>
  <c r="C16"/>
  <c r="D16" s="1"/>
  <c r="BH16"/>
  <c r="BA16"/>
  <c r="AF16"/>
  <c r="M16"/>
  <c r="H16"/>
  <c r="E10"/>
  <c r="C10"/>
  <c r="D10" s="1"/>
  <c r="BH10"/>
  <c r="BA10"/>
  <c r="AF10"/>
  <c r="M10"/>
  <c r="H10"/>
  <c r="E14"/>
  <c r="C14"/>
  <c r="D14" s="1"/>
  <c r="BH14"/>
  <c r="BA14"/>
  <c r="AF14"/>
  <c r="M14"/>
  <c r="H14"/>
  <c r="E18"/>
  <c r="C18"/>
  <c r="D18" s="1"/>
  <c r="BH18"/>
  <c r="BA18"/>
  <c r="AW18"/>
  <c r="AH18"/>
  <c r="BH19"/>
  <c r="BA19"/>
  <c r="BC19" s="1"/>
  <c r="AW19"/>
  <c r="AH19"/>
  <c r="BH20"/>
  <c r="BA20"/>
  <c r="AW20"/>
  <c r="AH20"/>
  <c r="BH21"/>
  <c r="BA21"/>
  <c r="BC21" s="1"/>
  <c r="AW21"/>
  <c r="AH21"/>
  <c r="BH22"/>
  <c r="BA22"/>
  <c r="AW22"/>
  <c r="AH22"/>
  <c r="BH23"/>
  <c r="BA23"/>
  <c r="BC23" s="1"/>
  <c r="AW23"/>
  <c r="AH23"/>
  <c r="BC10"/>
  <c r="DF10"/>
  <c r="BC14"/>
  <c r="DF14"/>
  <c r="D7"/>
  <c r="T38"/>
  <c r="T39" s="1"/>
  <c r="AZ38"/>
  <c r="AZ39" s="1"/>
  <c r="CQ38"/>
  <c r="CU38"/>
  <c r="CY38"/>
  <c r="L38"/>
  <c r="L39" s="1"/>
  <c r="BC8"/>
  <c r="D11"/>
  <c r="R12"/>
  <c r="BC12"/>
  <c r="BC16"/>
  <c r="AW24"/>
  <c r="AH24"/>
  <c r="DF25"/>
  <c r="DB25"/>
  <c r="DE25" s="1"/>
  <c r="E26"/>
  <c r="C26"/>
  <c r="D26" s="1"/>
  <c r="DF26"/>
  <c r="DB26"/>
  <c r="DE26" s="1"/>
  <c r="E28"/>
  <c r="C28"/>
  <c r="D28" s="1"/>
  <c r="DF28"/>
  <c r="DB28"/>
  <c r="DE28" s="1"/>
  <c r="E30"/>
  <c r="C30"/>
  <c r="D30" s="1"/>
  <c r="DF30"/>
  <c r="DB30"/>
  <c r="DE30" s="1"/>
  <c r="E32"/>
  <c r="C32"/>
  <c r="D32" s="1"/>
  <c r="DF32"/>
  <c r="DB32"/>
  <c r="DE32" s="1"/>
  <c r="E34"/>
  <c r="C34"/>
  <c r="D34" s="1"/>
  <c r="DF34"/>
  <c r="DB34"/>
  <c r="DE34" s="1"/>
  <c r="E36"/>
  <c r="C36"/>
  <c r="D36" s="1"/>
  <c r="DF36"/>
  <c r="DB36"/>
  <c r="DE36" s="1"/>
  <c r="J45"/>
  <c r="AS41"/>
  <c r="AS39"/>
  <c r="AM39" s="1"/>
  <c r="P38"/>
  <c r="P39" s="1"/>
  <c r="E25"/>
  <c r="C25"/>
  <c r="D25" s="1"/>
  <c r="E27"/>
  <c r="C27"/>
  <c r="D27" s="1"/>
  <c r="DF27"/>
  <c r="DB27"/>
  <c r="DE27" s="1"/>
  <c r="E29"/>
  <c r="C29"/>
  <c r="D29" s="1"/>
  <c r="DF29"/>
  <c r="DB29"/>
  <c r="DE29" s="1"/>
  <c r="E31"/>
  <c r="C31"/>
  <c r="D31" s="1"/>
  <c r="DF31"/>
  <c r="DB31"/>
  <c r="DE31" s="1"/>
  <c r="E33"/>
  <c r="C33"/>
  <c r="D33" s="1"/>
  <c r="DF33"/>
  <c r="DB33"/>
  <c r="DE33" s="1"/>
  <c r="E35"/>
  <c r="C35"/>
  <c r="D35" s="1"/>
  <c r="DF35"/>
  <c r="DB35"/>
  <c r="DE35" s="1"/>
  <c r="E37"/>
  <c r="C37"/>
  <c r="D37" s="1"/>
  <c r="DF37"/>
  <c r="DB37"/>
  <c r="DE37" s="1"/>
  <c r="BF23"/>
  <c r="BF22"/>
  <c r="BF21"/>
  <c r="BF20"/>
  <c r="BF19"/>
  <c r="BF18"/>
  <c r="BH24"/>
  <c r="H25"/>
  <c r="BS39"/>
  <c r="BW39"/>
  <c r="I38"/>
  <c r="I39" s="1"/>
  <c r="I41" s="1"/>
  <c r="N38"/>
  <c r="N39" s="1"/>
  <c r="R7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DB7"/>
  <c r="DF7"/>
  <c r="DB9"/>
  <c r="DE9" s="1"/>
  <c r="DB11"/>
  <c r="DE11" s="1"/>
  <c r="DB13"/>
  <c r="DE13" s="1"/>
  <c r="DB15"/>
  <c r="DE15" s="1"/>
  <c r="DB17"/>
  <c r="DE17" s="1"/>
  <c r="BC18"/>
  <c r="D19"/>
  <c r="R20"/>
  <c r="BC20"/>
  <c r="R21"/>
  <c r="BC22"/>
  <c r="D23"/>
  <c r="R23"/>
  <c r="R30"/>
  <c r="R32"/>
  <c r="BU39"/>
  <c r="DB24"/>
  <c r="DE24" s="1"/>
  <c r="BH38" i="88"/>
  <c r="BI7"/>
  <c r="BI8" s="1"/>
  <c r="BI9" s="1"/>
  <c r="BI10" s="1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BB19"/>
  <c r="AY19"/>
  <c r="F19"/>
  <c r="BG10"/>
  <c r="BG11" s="1"/>
  <c r="BG12"/>
  <c r="BG13" s="1"/>
  <c r="BG14"/>
  <c r="BG15" s="1"/>
  <c r="BG16"/>
  <c r="BG17" s="1"/>
  <c r="BG18" s="1"/>
  <c r="AY8"/>
  <c r="BB8"/>
  <c r="F8"/>
  <c r="AY10"/>
  <c r="BB10"/>
  <c r="F10"/>
  <c r="AY12"/>
  <c r="BB12"/>
  <c r="F12"/>
  <c r="AY14"/>
  <c r="BB14"/>
  <c r="F14"/>
  <c r="AY16"/>
  <c r="BB16"/>
  <c r="F16"/>
  <c r="BB18"/>
  <c r="AY18"/>
  <c r="DF19"/>
  <c r="DB19"/>
  <c r="DE19" s="1"/>
  <c r="E20"/>
  <c r="C20"/>
  <c r="D20" s="1"/>
  <c r="DF21"/>
  <c r="DB21"/>
  <c r="DE21" s="1"/>
  <c r="E22"/>
  <c r="C22"/>
  <c r="D22" s="1"/>
  <c r="DF23"/>
  <c r="DB23"/>
  <c r="DE23" s="1"/>
  <c r="BB26"/>
  <c r="AY26"/>
  <c r="BB28"/>
  <c r="AY28"/>
  <c r="BB30"/>
  <c r="AY30"/>
  <c r="BB32"/>
  <c r="AY32"/>
  <c r="BB34"/>
  <c r="AY34"/>
  <c r="BB36"/>
  <c r="AY36"/>
  <c r="F36"/>
  <c r="C7"/>
  <c r="E7"/>
  <c r="H7"/>
  <c r="J38"/>
  <c r="J39" s="1"/>
  <c r="M7"/>
  <c r="O38"/>
  <c r="O39" s="1"/>
  <c r="T38"/>
  <c r="T39" s="1"/>
  <c r="AF7"/>
  <c r="BA7"/>
  <c r="BC7" s="1"/>
  <c r="CP38"/>
  <c r="CP39" s="1"/>
  <c r="CR38"/>
  <c r="CT38"/>
  <c r="CV38"/>
  <c r="CX38"/>
  <c r="CZ38"/>
  <c r="DB8"/>
  <c r="DE8" s="1"/>
  <c r="C9"/>
  <c r="D9" s="1"/>
  <c r="E9"/>
  <c r="H9"/>
  <c r="M9"/>
  <c r="Q9"/>
  <c r="R9" s="1"/>
  <c r="U9" s="1"/>
  <c r="AF9"/>
  <c r="BA9"/>
  <c r="BC9" s="1"/>
  <c r="DB10"/>
  <c r="DE10" s="1"/>
  <c r="C11"/>
  <c r="D11" s="1"/>
  <c r="E11"/>
  <c r="H11"/>
  <c r="M11"/>
  <c r="Q11"/>
  <c r="R11" s="1"/>
  <c r="U11" s="1"/>
  <c r="AF11"/>
  <c r="BA11"/>
  <c r="BC11" s="1"/>
  <c r="DB12"/>
  <c r="DE12" s="1"/>
  <c r="C13"/>
  <c r="D13" s="1"/>
  <c r="E13"/>
  <c r="H13"/>
  <c r="M13"/>
  <c r="Q13"/>
  <c r="R13" s="1"/>
  <c r="U13" s="1"/>
  <c r="AF13"/>
  <c r="BA13"/>
  <c r="BC13" s="1"/>
  <c r="DB14"/>
  <c r="DE14" s="1"/>
  <c r="C15"/>
  <c r="D15" s="1"/>
  <c r="E15"/>
  <c r="H15"/>
  <c r="M15"/>
  <c r="Q15"/>
  <c r="R15" s="1"/>
  <c r="U15" s="1"/>
  <c r="AF15"/>
  <c r="BA15"/>
  <c r="BC15" s="1"/>
  <c r="DB16"/>
  <c r="DE16" s="1"/>
  <c r="C17"/>
  <c r="D17" s="1"/>
  <c r="E17"/>
  <c r="H17"/>
  <c r="M17"/>
  <c r="Q17"/>
  <c r="R17" s="1"/>
  <c r="U17" s="1"/>
  <c r="AF17"/>
  <c r="BA17"/>
  <c r="BC17" s="1"/>
  <c r="F18"/>
  <c r="U18"/>
  <c r="AH18"/>
  <c r="AW18"/>
  <c r="BA18"/>
  <c r="BC18" s="1"/>
  <c r="R19"/>
  <c r="U19" s="1"/>
  <c r="BG19"/>
  <c r="R21"/>
  <c r="U21" s="1"/>
  <c r="H21"/>
  <c r="R23"/>
  <c r="U23" s="1"/>
  <c r="P38"/>
  <c r="P39" s="1"/>
  <c r="AX38"/>
  <c r="AB39" s="1"/>
  <c r="DF20"/>
  <c r="DB20"/>
  <c r="DE20" s="1"/>
  <c r="E21"/>
  <c r="C21"/>
  <c r="D21" s="1"/>
  <c r="DF22"/>
  <c r="DB22"/>
  <c r="DE22" s="1"/>
  <c r="E23"/>
  <c r="C23"/>
  <c r="D23" s="1"/>
  <c r="BB25"/>
  <c r="AY25"/>
  <c r="BB27"/>
  <c r="AY27"/>
  <c r="BB29"/>
  <c r="AY29"/>
  <c r="BB31"/>
  <c r="AY31"/>
  <c r="BB33"/>
  <c r="AY33"/>
  <c r="BB35"/>
  <c r="AY35"/>
  <c r="BB37"/>
  <c r="AY37"/>
  <c r="F37"/>
  <c r="D7"/>
  <c r="R7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AY48" s="1"/>
  <c r="AY51" s="1"/>
  <c r="DB7"/>
  <c r="DF7"/>
  <c r="DB9"/>
  <c r="DE9" s="1"/>
  <c r="DB11"/>
  <c r="DE11" s="1"/>
  <c r="DB13"/>
  <c r="DE13" s="1"/>
  <c r="DB15"/>
  <c r="DE15" s="1"/>
  <c r="DB17"/>
  <c r="DE17" s="1"/>
  <c r="DB18"/>
  <c r="DE18" s="1"/>
  <c r="BG20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H20"/>
  <c r="H22"/>
  <c r="BC25"/>
  <c r="BC29"/>
  <c r="BC33"/>
  <c r="C24"/>
  <c r="D24" s="1"/>
  <c r="E24"/>
  <c r="Q24"/>
  <c r="F25"/>
  <c r="U25"/>
  <c r="AH25"/>
  <c r="AW25"/>
  <c r="BA25"/>
  <c r="F26"/>
  <c r="AH26"/>
  <c r="AW26"/>
  <c r="BA26"/>
  <c r="BC26" s="1"/>
  <c r="F27"/>
  <c r="U27"/>
  <c r="AH27"/>
  <c r="AW27"/>
  <c r="BA27"/>
  <c r="BC27" s="1"/>
  <c r="F28"/>
  <c r="AH28"/>
  <c r="AW28"/>
  <c r="BA28"/>
  <c r="BC28" s="1"/>
  <c r="F29"/>
  <c r="U29"/>
  <c r="AH29"/>
  <c r="AW29"/>
  <c r="BA29"/>
  <c r="F30"/>
  <c r="U30"/>
  <c r="AH30"/>
  <c r="AW30"/>
  <c r="BA30"/>
  <c r="BC30" s="1"/>
  <c r="F31"/>
  <c r="U31"/>
  <c r="AH31"/>
  <c r="AW31"/>
  <c r="BA31"/>
  <c r="BC31" s="1"/>
  <c r="F32"/>
  <c r="U32"/>
  <c r="AH32"/>
  <c r="AW32"/>
  <c r="BA32"/>
  <c r="BC32" s="1"/>
  <c r="F33"/>
  <c r="U33"/>
  <c r="AH33"/>
  <c r="AW33"/>
  <c r="BA33"/>
  <c r="F34"/>
  <c r="U34"/>
  <c r="AH34"/>
  <c r="AW34"/>
  <c r="BA34"/>
  <c r="BC34" s="1"/>
  <c r="F35"/>
  <c r="U35"/>
  <c r="AH35"/>
  <c r="AW35"/>
  <c r="BA35"/>
  <c r="BC35" s="1"/>
  <c r="AH36"/>
  <c r="AW36"/>
  <c r="BA36"/>
  <c r="BC36" s="1"/>
  <c r="U37"/>
  <c r="AH37"/>
  <c r="AW37"/>
  <c r="BA37"/>
  <c r="BC37" s="1"/>
  <c r="BS39"/>
  <c r="BU39"/>
  <c r="C39" s="1"/>
  <c r="BW39"/>
  <c r="BY39"/>
  <c r="CA39"/>
  <c r="CC39"/>
  <c r="CE39"/>
  <c r="DB24"/>
  <c r="DE24" s="1"/>
  <c r="DB35"/>
  <c r="DE35" s="1"/>
  <c r="DB36"/>
  <c r="DE36" s="1"/>
  <c r="DB37"/>
  <c r="DE37" s="1"/>
  <c r="E39"/>
  <c r="AS39"/>
  <c r="AM39" s="1"/>
  <c r="AS41"/>
  <c r="U30" i="89" l="1"/>
  <c r="U10"/>
  <c r="U14"/>
  <c r="U9"/>
  <c r="U35" i="91"/>
  <c r="U31" i="89"/>
  <c r="U33"/>
  <c r="U36"/>
  <c r="U12" i="91"/>
  <c r="U16"/>
  <c r="U20"/>
  <c r="U23"/>
  <c r="U25"/>
  <c r="U28"/>
  <c r="U30"/>
  <c r="U33"/>
  <c r="U34"/>
  <c r="U23" i="89"/>
  <c r="U8"/>
  <c r="U11"/>
  <c r="U16"/>
  <c r="U26"/>
  <c r="U29" i="91"/>
  <c r="U19"/>
  <c r="U32" i="89"/>
  <c r="U28"/>
  <c r="U21"/>
  <c r="U20"/>
  <c r="U12"/>
  <c r="U13"/>
  <c r="U17"/>
  <c r="U15"/>
  <c r="U18"/>
  <c r="U19"/>
  <c r="U22"/>
  <c r="U24"/>
  <c r="U31" i="91"/>
  <c r="U27"/>
  <c r="U17"/>
  <c r="U15"/>
  <c r="U13"/>
  <c r="U11"/>
  <c r="U9"/>
  <c r="U29" i="89"/>
  <c r="U18" i="91"/>
  <c r="U34" i="89"/>
  <c r="U35"/>
  <c r="U14" i="91"/>
  <c r="U22"/>
  <c r="U24"/>
  <c r="U26"/>
  <c r="U32"/>
  <c r="U36"/>
  <c r="Q39" i="88"/>
  <c r="Q41" s="1"/>
  <c r="F23" i="89"/>
  <c r="F18"/>
  <c r="F9"/>
  <c r="BB17"/>
  <c r="BB37" i="91"/>
  <c r="F34"/>
  <c r="AY29"/>
  <c r="F20"/>
  <c r="BB24"/>
  <c r="BB8"/>
  <c r="F19"/>
  <c r="BB23"/>
  <c r="F19" i="89"/>
  <c r="F21"/>
  <c r="BB12" i="91"/>
  <c r="BB21"/>
  <c r="DF38" i="88"/>
  <c r="BB36" i="91"/>
  <c r="AY36"/>
  <c r="F36"/>
  <c r="BB35"/>
  <c r="AY35"/>
  <c r="F35"/>
  <c r="BB34"/>
  <c r="AY34"/>
  <c r="BB33"/>
  <c r="AY33"/>
  <c r="F33"/>
  <c r="BB32"/>
  <c r="AY32"/>
  <c r="F32"/>
  <c r="BB31"/>
  <c r="AY31"/>
  <c r="F31"/>
  <c r="BB30"/>
  <c r="AY30"/>
  <c r="F30"/>
  <c r="BB29"/>
  <c r="F29"/>
  <c r="AY12"/>
  <c r="AY10"/>
  <c r="F24"/>
  <c r="F23"/>
  <c r="AY24"/>
  <c r="AY23"/>
  <c r="AY14"/>
  <c r="AY22"/>
  <c r="F21"/>
  <c r="AY21"/>
  <c r="AY16"/>
  <c r="AY18"/>
  <c r="CP39"/>
  <c r="AY8"/>
  <c r="F12"/>
  <c r="BI8"/>
  <c r="BI9" s="1"/>
  <c r="BI10" s="1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AY48" s="1"/>
  <c r="AY51" s="1"/>
  <c r="F8"/>
  <c r="AY37" i="89"/>
  <c r="F37"/>
  <c r="F36"/>
  <c r="AY36"/>
  <c r="F35"/>
  <c r="AY35"/>
  <c r="F34"/>
  <c r="AY34"/>
  <c r="AY33"/>
  <c r="F33"/>
  <c r="AY32"/>
  <c r="F32"/>
  <c r="F31"/>
  <c r="AY31"/>
  <c r="F30"/>
  <c r="AY30"/>
  <c r="DF38" i="91"/>
  <c r="AY29" i="89"/>
  <c r="F29"/>
  <c r="C39" i="91"/>
  <c r="E39"/>
  <c r="BH38"/>
  <c r="Q39"/>
  <c r="Q41" s="1"/>
  <c r="BB28"/>
  <c r="AY28"/>
  <c r="F28"/>
  <c r="BB27"/>
  <c r="AY27"/>
  <c r="F27"/>
  <c r="BB26"/>
  <c r="AY26"/>
  <c r="F26"/>
  <c r="BB25"/>
  <c r="AY25"/>
  <c r="F25"/>
  <c r="AY17"/>
  <c r="BB17"/>
  <c r="F17"/>
  <c r="BB15"/>
  <c r="F15"/>
  <c r="AY15"/>
  <c r="BB13"/>
  <c r="F13"/>
  <c r="AY13"/>
  <c r="BB11"/>
  <c r="F11"/>
  <c r="AY11"/>
  <c r="BB9"/>
  <c r="F9"/>
  <c r="AY9"/>
  <c r="BC38"/>
  <c r="BC39" s="1"/>
  <c r="R38"/>
  <c r="U7"/>
  <c r="AY19"/>
  <c r="BB19"/>
  <c r="CR39"/>
  <c r="CP40" s="1"/>
  <c r="AY20"/>
  <c r="BB20"/>
  <c r="DB38"/>
  <c r="DC38" s="1"/>
  <c r="DE7"/>
  <c r="DE38" s="1"/>
  <c r="D38"/>
  <c r="BB7"/>
  <c r="F7"/>
  <c r="AY7"/>
  <c r="M39"/>
  <c r="AX39"/>
  <c r="AW39" s="1"/>
  <c r="AH39"/>
  <c r="AF39"/>
  <c r="H39"/>
  <c r="X39"/>
  <c r="BA38"/>
  <c r="BA39" s="1"/>
  <c r="F28" i="89"/>
  <c r="AY28"/>
  <c r="F27"/>
  <c r="AY27"/>
  <c r="F26"/>
  <c r="AY26"/>
  <c r="CP39"/>
  <c r="AY17"/>
  <c r="BB35" i="90"/>
  <c r="BB34"/>
  <c r="BB33"/>
  <c r="BB32"/>
  <c r="BB31"/>
  <c r="BB30"/>
  <c r="BB29"/>
  <c r="BB28"/>
  <c r="AY27"/>
  <c r="BB26"/>
  <c r="BI36"/>
  <c r="BI37" s="1"/>
  <c r="AY48" s="1"/>
  <c r="AY51" s="1"/>
  <c r="BB25"/>
  <c r="AY24"/>
  <c r="BB23"/>
  <c r="BB22"/>
  <c r="BB21"/>
  <c r="BB20"/>
  <c r="AY19"/>
  <c r="BB18"/>
  <c r="AY17"/>
  <c r="BB16"/>
  <c r="BB15"/>
  <c r="AY14"/>
  <c r="AY13"/>
  <c r="BB12"/>
  <c r="BB11"/>
  <c r="BB10"/>
  <c r="BG37"/>
  <c r="BB9"/>
  <c r="CR39"/>
  <c r="AY13" i="89"/>
  <c r="BB9"/>
  <c r="CR39"/>
  <c r="CP40" s="1"/>
  <c r="E39" i="90"/>
  <c r="C39"/>
  <c r="BB37"/>
  <c r="Q39"/>
  <c r="Q41" s="1"/>
  <c r="BB8"/>
  <c r="F8"/>
  <c r="AY8"/>
  <c r="DB38"/>
  <c r="DD38" s="1"/>
  <c r="DE7"/>
  <c r="DE38" s="1"/>
  <c r="CP40"/>
  <c r="BC38"/>
  <c r="BC39" s="1"/>
  <c r="CW39"/>
  <c r="R8"/>
  <c r="U8" s="1"/>
  <c r="U7"/>
  <c r="D38"/>
  <c r="F39" s="1"/>
  <c r="F41" s="1"/>
  <c r="AY7"/>
  <c r="BB7"/>
  <c r="F7"/>
  <c r="M39"/>
  <c r="AX39"/>
  <c r="AW39" s="1"/>
  <c r="AH39"/>
  <c r="AF39"/>
  <c r="H39"/>
  <c r="DF38"/>
  <c r="X39"/>
  <c r="AY9" i="89"/>
  <c r="CW39"/>
  <c r="BH38"/>
  <c r="BG8"/>
  <c r="BG9" s="1"/>
  <c r="BG10" s="1"/>
  <c r="BG11" s="1"/>
  <c r="BG12" s="1"/>
  <c r="BG13" s="1"/>
  <c r="BG14" s="1"/>
  <c r="BG15" s="1"/>
  <c r="BG16" s="1"/>
  <c r="BG17" s="1"/>
  <c r="BB36"/>
  <c r="BB28"/>
  <c r="BB32"/>
  <c r="Q39"/>
  <c r="Q41" s="1"/>
  <c r="BB34"/>
  <c r="BB30"/>
  <c r="BA38"/>
  <c r="BA39" s="1"/>
  <c r="BI8"/>
  <c r="BI9" s="1"/>
  <c r="BI10" s="1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AY48" s="1"/>
  <c r="AY51" s="1"/>
  <c r="BB26"/>
  <c r="C39"/>
  <c r="AY12"/>
  <c r="BB12"/>
  <c r="F12"/>
  <c r="BB24"/>
  <c r="AY24"/>
  <c r="AY22"/>
  <c r="BB22"/>
  <c r="AY20"/>
  <c r="BB20"/>
  <c r="DB38"/>
  <c r="DC38" s="1"/>
  <c r="DE7"/>
  <c r="DE38" s="1"/>
  <c r="AY8"/>
  <c r="BB8"/>
  <c r="F8"/>
  <c r="D38"/>
  <c r="BB7"/>
  <c r="F7"/>
  <c r="AY7"/>
  <c r="AY18"/>
  <c r="BB18"/>
  <c r="AY10"/>
  <c r="BB10"/>
  <c r="F10"/>
  <c r="M39"/>
  <c r="AH39"/>
  <c r="AB39"/>
  <c r="H39"/>
  <c r="AX39"/>
  <c r="AW39" s="1"/>
  <c r="AF39"/>
  <c r="AY23"/>
  <c r="BB23"/>
  <c r="AY21"/>
  <c r="BB21"/>
  <c r="AY19"/>
  <c r="BB19"/>
  <c r="U7"/>
  <c r="R38"/>
  <c r="BB25"/>
  <c r="F25"/>
  <c r="AY25"/>
  <c r="AY16"/>
  <c r="BB16"/>
  <c r="F16"/>
  <c r="BB15"/>
  <c r="F15"/>
  <c r="AY15"/>
  <c r="BB11"/>
  <c r="F11"/>
  <c r="AY11"/>
  <c r="AY14"/>
  <c r="BB14"/>
  <c r="F14"/>
  <c r="F24"/>
  <c r="F22"/>
  <c r="F20"/>
  <c r="E39"/>
  <c r="DF38"/>
  <c r="BG18"/>
  <c r="BG19" s="1"/>
  <c r="BG20" s="1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BB37"/>
  <c r="BB35"/>
  <c r="BB33"/>
  <c r="BB31"/>
  <c r="BB29"/>
  <c r="BB27"/>
  <c r="BC38"/>
  <c r="BC39" s="1"/>
  <c r="BB24" i="88"/>
  <c r="AY24"/>
  <c r="F24"/>
  <c r="AY23"/>
  <c r="BB23"/>
  <c r="F23"/>
  <c r="BB21"/>
  <c r="F21"/>
  <c r="AY21"/>
  <c r="BB17"/>
  <c r="F17"/>
  <c r="AY17"/>
  <c r="BB15"/>
  <c r="F15"/>
  <c r="AY15"/>
  <c r="BB13"/>
  <c r="F13"/>
  <c r="AY13"/>
  <c r="BB11"/>
  <c r="F11"/>
  <c r="AY11"/>
  <c r="BB9"/>
  <c r="F9"/>
  <c r="AY9"/>
  <c r="BC38"/>
  <c r="BC39" s="1"/>
  <c r="U7"/>
  <c r="R24"/>
  <c r="U24" s="1"/>
  <c r="CR39"/>
  <c r="DB38"/>
  <c r="DC38" s="1"/>
  <c r="DE7"/>
  <c r="DE38" s="1"/>
  <c r="D38"/>
  <c r="BB7"/>
  <c r="F7"/>
  <c r="AY7"/>
  <c r="M39"/>
  <c r="BB39"/>
  <c r="AX39"/>
  <c r="AW39" s="1"/>
  <c r="AH39"/>
  <c r="AF39"/>
  <c r="H39"/>
  <c r="F39"/>
  <c r="F41" s="1"/>
  <c r="BB22"/>
  <c r="AY22"/>
  <c r="F22"/>
  <c r="BB20"/>
  <c r="AY20"/>
  <c r="F20"/>
  <c r="X39"/>
  <c r="CP40"/>
  <c r="BA38"/>
  <c r="BA39" s="1"/>
  <c r="BB39" i="91" l="1"/>
  <c r="U39" i="89"/>
  <c r="U41" s="1"/>
  <c r="F39"/>
  <c r="F41" s="1"/>
  <c r="U39" i="91"/>
  <c r="U41" s="1"/>
  <c r="F39"/>
  <c r="F41" s="1"/>
  <c r="AY38"/>
  <c r="AY39" s="1"/>
  <c r="DD38"/>
  <c r="R38" i="90"/>
  <c r="U39" s="1"/>
  <c r="U41" s="1"/>
  <c r="BB39"/>
  <c r="DC38"/>
  <c r="AY38"/>
  <c r="AY39" s="1"/>
  <c r="BB39" i="89"/>
  <c r="DD38"/>
  <c r="AY38"/>
  <c r="AY39" s="1"/>
  <c r="AY38" i="88"/>
  <c r="AY39" s="1"/>
  <c r="DD38"/>
  <c r="R38"/>
  <c r="U39" s="1"/>
  <c r="U41" s="1"/>
  <c r="P8" i="87" l="1"/>
  <c r="Q8" s="1"/>
  <c r="P9"/>
  <c r="P10"/>
  <c r="P11"/>
  <c r="P12"/>
  <c r="Q12" s="1"/>
  <c r="P13"/>
  <c r="P14"/>
  <c r="P15"/>
  <c r="Q15" s="1"/>
  <c r="P16"/>
  <c r="Q16" s="1"/>
  <c r="P17"/>
  <c r="P18"/>
  <c r="P19"/>
  <c r="Q19" s="1"/>
  <c r="P20"/>
  <c r="Q20" s="1"/>
  <c r="P21"/>
  <c r="P22"/>
  <c r="Q22" s="1"/>
  <c r="P23"/>
  <c r="P24"/>
  <c r="Q24" s="1"/>
  <c r="P25"/>
  <c r="Q25" s="1"/>
  <c r="R25" s="1"/>
  <c r="P26"/>
  <c r="P27"/>
  <c r="P28"/>
  <c r="P29"/>
  <c r="P30"/>
  <c r="Q30" s="1"/>
  <c r="P31"/>
  <c r="P32"/>
  <c r="P33"/>
  <c r="P34"/>
  <c r="P35"/>
  <c r="P36"/>
  <c r="Q36" s="1"/>
  <c r="P37"/>
  <c r="Q37" s="1"/>
  <c r="P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B9"/>
  <c r="E9" s="1"/>
  <c r="B10"/>
  <c r="B11"/>
  <c r="E11" s="1"/>
  <c r="B12"/>
  <c r="B13"/>
  <c r="E13" s="1"/>
  <c r="B14"/>
  <c r="B15"/>
  <c r="C15" s="1"/>
  <c r="B16"/>
  <c r="B17"/>
  <c r="E17" s="1"/>
  <c r="B18"/>
  <c r="B19"/>
  <c r="E19" s="1"/>
  <c r="B20"/>
  <c r="C20" s="1"/>
  <c r="B21"/>
  <c r="E21" s="1"/>
  <c r="B22"/>
  <c r="C22" s="1"/>
  <c r="B23"/>
  <c r="E23" s="1"/>
  <c r="B24"/>
  <c r="C24" s="1"/>
  <c r="B25"/>
  <c r="B26"/>
  <c r="B27"/>
  <c r="B28"/>
  <c r="B29"/>
  <c r="B30"/>
  <c r="B31"/>
  <c r="B32"/>
  <c r="B33"/>
  <c r="B34"/>
  <c r="B35"/>
  <c r="B36"/>
  <c r="B37"/>
  <c r="B7"/>
  <c r="C7" s="1"/>
  <c r="AS46"/>
  <c r="AS43"/>
  <c r="AA41"/>
  <c r="BD39"/>
  <c r="AV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H37"/>
  <c r="BF37"/>
  <c r="BA37"/>
  <c r="BC37" s="1"/>
  <c r="AZ37"/>
  <c r="AY37"/>
  <c r="AX37"/>
  <c r="AW37"/>
  <c r="AM37"/>
  <c r="AH37"/>
  <c r="AF37"/>
  <c r="U37"/>
  <c r="T37"/>
  <c r="N37"/>
  <c r="M37"/>
  <c r="I37"/>
  <c r="H37"/>
  <c r="F37"/>
  <c r="CZ36"/>
  <c r="CY36"/>
  <c r="CX36"/>
  <c r="CW36"/>
  <c r="CV36"/>
  <c r="CU36"/>
  <c r="CT36"/>
  <c r="CS36"/>
  <c r="CR36"/>
  <c r="CQ36"/>
  <c r="CP36"/>
  <c r="BH36"/>
  <c r="BF36"/>
  <c r="BC36"/>
  <c r="BA36"/>
  <c r="AZ36"/>
  <c r="AY36"/>
  <c r="AX36"/>
  <c r="AW36"/>
  <c r="AM36"/>
  <c r="AH36"/>
  <c r="AF36"/>
  <c r="U36"/>
  <c r="T36"/>
  <c r="N36"/>
  <c r="M36"/>
  <c r="I36"/>
  <c r="H36"/>
  <c r="F36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N35"/>
  <c r="I35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N34"/>
  <c r="I34"/>
  <c r="CZ33"/>
  <c r="CY33"/>
  <c r="CX33"/>
  <c r="CW33"/>
  <c r="CV33"/>
  <c r="CU33"/>
  <c r="CT33"/>
  <c r="CS33"/>
  <c r="CR33"/>
  <c r="CQ33"/>
  <c r="CP33"/>
  <c r="BH33"/>
  <c r="BF33"/>
  <c r="BA33"/>
  <c r="BC33" s="1"/>
  <c r="AZ33"/>
  <c r="AX33"/>
  <c r="AW33"/>
  <c r="AM33"/>
  <c r="AH33"/>
  <c r="AF33"/>
  <c r="T33"/>
  <c r="N33"/>
  <c r="M33"/>
  <c r="I33"/>
  <c r="H33"/>
  <c r="CZ32"/>
  <c r="CY32"/>
  <c r="CX32"/>
  <c r="CW32"/>
  <c r="CV32"/>
  <c r="CU32"/>
  <c r="CT32"/>
  <c r="CS32"/>
  <c r="CR32"/>
  <c r="CQ32"/>
  <c r="CP32"/>
  <c r="BF32"/>
  <c r="BA32"/>
  <c r="AZ32"/>
  <c r="AX32"/>
  <c r="BH32" s="1"/>
  <c r="AW32"/>
  <c r="AM32"/>
  <c r="AH32"/>
  <c r="AF32"/>
  <c r="T32"/>
  <c r="N32"/>
  <c r="M32"/>
  <c r="I32"/>
  <c r="H32"/>
  <c r="CZ31"/>
  <c r="CY31"/>
  <c r="CX31"/>
  <c r="CW31"/>
  <c r="CV31"/>
  <c r="CU31"/>
  <c r="CT31"/>
  <c r="CS31"/>
  <c r="CR31"/>
  <c r="CQ31"/>
  <c r="CP31"/>
  <c r="BF31"/>
  <c r="AZ31"/>
  <c r="AX31"/>
  <c r="BH31" s="1"/>
  <c r="AM31"/>
  <c r="AF31"/>
  <c r="T31"/>
  <c r="N31"/>
  <c r="I31"/>
  <c r="CZ30"/>
  <c r="CY30"/>
  <c r="CX30"/>
  <c r="CW30"/>
  <c r="CV30"/>
  <c r="CU30"/>
  <c r="CT30"/>
  <c r="CS30"/>
  <c r="CR30"/>
  <c r="CQ30"/>
  <c r="CP30"/>
  <c r="BF30"/>
  <c r="AZ30"/>
  <c r="AX30"/>
  <c r="BH30" s="1"/>
  <c r="AM30"/>
  <c r="AF30"/>
  <c r="T30"/>
  <c r="N30"/>
  <c r="I30"/>
  <c r="CZ29"/>
  <c r="CY29"/>
  <c r="CX29"/>
  <c r="CW29"/>
  <c r="CV29"/>
  <c r="CU29"/>
  <c r="CT29"/>
  <c r="CS29"/>
  <c r="CR29"/>
  <c r="CQ29"/>
  <c r="CP29"/>
  <c r="BF29"/>
  <c r="AZ29"/>
  <c r="AX29"/>
  <c r="AW29" s="1"/>
  <c r="AM29"/>
  <c r="AF29"/>
  <c r="T29"/>
  <c r="N29"/>
  <c r="I29"/>
  <c r="CZ28"/>
  <c r="CY28"/>
  <c r="CX28"/>
  <c r="CW28"/>
  <c r="CV28"/>
  <c r="CU28"/>
  <c r="CT28"/>
  <c r="CS28"/>
  <c r="CR28"/>
  <c r="CQ28"/>
  <c r="CP28"/>
  <c r="BF28"/>
  <c r="AZ28"/>
  <c r="AX28"/>
  <c r="AW28" s="1"/>
  <c r="AM28"/>
  <c r="AF28"/>
  <c r="T28"/>
  <c r="N28"/>
  <c r="I28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N27"/>
  <c r="I27"/>
  <c r="CZ26"/>
  <c r="CY26"/>
  <c r="CX26"/>
  <c r="CW26"/>
  <c r="CV26"/>
  <c r="CU26"/>
  <c r="CT26"/>
  <c r="CS26"/>
  <c r="CR26"/>
  <c r="CQ26"/>
  <c r="CP26"/>
  <c r="BF26"/>
  <c r="AZ26"/>
  <c r="AX26"/>
  <c r="BH26" s="1"/>
  <c r="AW26"/>
  <c r="AM26"/>
  <c r="AH26"/>
  <c r="AF26"/>
  <c r="T26"/>
  <c r="N26"/>
  <c r="I26"/>
  <c r="CZ25"/>
  <c r="CY25"/>
  <c r="CX25"/>
  <c r="CW25"/>
  <c r="CV25"/>
  <c r="CU25"/>
  <c r="CT25"/>
  <c r="CS25"/>
  <c r="CR25"/>
  <c r="CQ25"/>
  <c r="CP25"/>
  <c r="BF25"/>
  <c r="AZ25"/>
  <c r="AX25"/>
  <c r="AW25" s="1"/>
  <c r="AM25"/>
  <c r="AF25"/>
  <c r="T25"/>
  <c r="N25"/>
  <c r="I25"/>
  <c r="CZ24"/>
  <c r="CY24"/>
  <c r="CX24"/>
  <c r="CW24"/>
  <c r="CV24"/>
  <c r="CU24"/>
  <c r="CT24"/>
  <c r="CS24"/>
  <c r="CR24"/>
  <c r="CQ24"/>
  <c r="CP24"/>
  <c r="BF24"/>
  <c r="AZ24"/>
  <c r="BC24" s="1"/>
  <c r="AX24"/>
  <c r="M24" s="1"/>
  <c r="AM24"/>
  <c r="AF24"/>
  <c r="T24"/>
  <c r="N24"/>
  <c r="I24"/>
  <c r="DF24" s="1"/>
  <c r="CZ23"/>
  <c r="CY23"/>
  <c r="CX23"/>
  <c r="CW23"/>
  <c r="CV23"/>
  <c r="CU23"/>
  <c r="CT23"/>
  <c r="CS23"/>
  <c r="CR23"/>
  <c r="CQ23"/>
  <c r="CP23"/>
  <c r="AZ23"/>
  <c r="AX23"/>
  <c r="M23" s="1"/>
  <c r="AM23"/>
  <c r="AF23"/>
  <c r="T23"/>
  <c r="N23"/>
  <c r="I23"/>
  <c r="DB23" s="1"/>
  <c r="DE23" s="1"/>
  <c r="CZ22"/>
  <c r="CY22"/>
  <c r="CX22"/>
  <c r="CW22"/>
  <c r="CV22"/>
  <c r="CU22"/>
  <c r="CT22"/>
  <c r="CS22"/>
  <c r="CR22"/>
  <c r="CQ22"/>
  <c r="CP22"/>
  <c r="AZ22"/>
  <c r="AX22"/>
  <c r="AM22"/>
  <c r="AF22"/>
  <c r="T22"/>
  <c r="N22"/>
  <c r="M22"/>
  <c r="I22"/>
  <c r="DF22" s="1"/>
  <c r="H22"/>
  <c r="CZ21"/>
  <c r="CY21"/>
  <c r="CX21"/>
  <c r="CW21"/>
  <c r="CV21"/>
  <c r="CU21"/>
  <c r="CT21"/>
  <c r="CS21"/>
  <c r="CR21"/>
  <c r="CQ21"/>
  <c r="CP21"/>
  <c r="AZ21"/>
  <c r="AX21"/>
  <c r="AM21"/>
  <c r="AF21"/>
  <c r="T21"/>
  <c r="N21"/>
  <c r="M21"/>
  <c r="I21"/>
  <c r="DB21" s="1"/>
  <c r="DE21" s="1"/>
  <c r="H21"/>
  <c r="CZ20"/>
  <c r="CY20"/>
  <c r="CX20"/>
  <c r="CW20"/>
  <c r="CV20"/>
  <c r="CU20"/>
  <c r="CT20"/>
  <c r="CS20"/>
  <c r="CR20"/>
  <c r="CQ20"/>
  <c r="CP20"/>
  <c r="AZ20"/>
  <c r="AX20"/>
  <c r="M20" s="1"/>
  <c r="AM20"/>
  <c r="AF20"/>
  <c r="T20"/>
  <c r="N20"/>
  <c r="I20"/>
  <c r="DF20" s="1"/>
  <c r="CZ19"/>
  <c r="CY19"/>
  <c r="CX19"/>
  <c r="CW19"/>
  <c r="CV19"/>
  <c r="CU19"/>
  <c r="CT19"/>
  <c r="CS19"/>
  <c r="CR19"/>
  <c r="CQ19"/>
  <c r="CP19"/>
  <c r="AZ19"/>
  <c r="AX19"/>
  <c r="AM19"/>
  <c r="AF19"/>
  <c r="T19"/>
  <c r="N19"/>
  <c r="M19"/>
  <c r="I19"/>
  <c r="DB19" s="1"/>
  <c r="DE19" s="1"/>
  <c r="H19"/>
  <c r="CZ18"/>
  <c r="CY18"/>
  <c r="CX18"/>
  <c r="CW18"/>
  <c r="CV18"/>
  <c r="CU18"/>
  <c r="CT18"/>
  <c r="CS18"/>
  <c r="CR18"/>
  <c r="CQ18"/>
  <c r="CP18"/>
  <c r="AZ18"/>
  <c r="AX18"/>
  <c r="BH18" s="1"/>
  <c r="AM18"/>
  <c r="AF18"/>
  <c r="T18"/>
  <c r="N18"/>
  <c r="M18"/>
  <c r="I18"/>
  <c r="DB18" s="1"/>
  <c r="DE18" s="1"/>
  <c r="H18"/>
  <c r="CZ17"/>
  <c r="CY17"/>
  <c r="CX17"/>
  <c r="CW17"/>
  <c r="CV17"/>
  <c r="CU17"/>
  <c r="CT17"/>
  <c r="CS17"/>
  <c r="CR17"/>
  <c r="CQ17"/>
  <c r="CP17"/>
  <c r="BF17"/>
  <c r="AZ17"/>
  <c r="AX17"/>
  <c r="AF17" s="1"/>
  <c r="AM17"/>
  <c r="AH17"/>
  <c r="T17"/>
  <c r="Q17" s="1"/>
  <c r="N17"/>
  <c r="I17"/>
  <c r="DF17" s="1"/>
  <c r="H17"/>
  <c r="CZ16"/>
  <c r="CY16"/>
  <c r="CX16"/>
  <c r="CW16"/>
  <c r="CV16"/>
  <c r="CU16"/>
  <c r="CT16"/>
  <c r="CS16"/>
  <c r="CR16"/>
  <c r="CQ16"/>
  <c r="CP16"/>
  <c r="BF16"/>
  <c r="AZ16"/>
  <c r="AX16"/>
  <c r="AM16"/>
  <c r="AH16"/>
  <c r="T16"/>
  <c r="N16"/>
  <c r="I16"/>
  <c r="DF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AH15"/>
  <c r="T15"/>
  <c r="N15"/>
  <c r="I15"/>
  <c r="DF15" s="1"/>
  <c r="E15"/>
  <c r="CZ14"/>
  <c r="CY14"/>
  <c r="CX14"/>
  <c r="CW14"/>
  <c r="CV14"/>
  <c r="CU14"/>
  <c r="CT14"/>
  <c r="CS14"/>
  <c r="CR14"/>
  <c r="CQ14"/>
  <c r="CP14"/>
  <c r="BF14"/>
  <c r="AZ14"/>
  <c r="AX14"/>
  <c r="AM14"/>
  <c r="AH14"/>
  <c r="T14"/>
  <c r="N14"/>
  <c r="I14"/>
  <c r="DB14" s="1"/>
  <c r="DE14" s="1"/>
  <c r="CZ13"/>
  <c r="CY13"/>
  <c r="CX13"/>
  <c r="CW13"/>
  <c r="CV13"/>
  <c r="CU13"/>
  <c r="CT13"/>
  <c r="CS13"/>
  <c r="CR13"/>
  <c r="CQ13"/>
  <c r="CP13"/>
  <c r="BF13"/>
  <c r="AZ13"/>
  <c r="AX13"/>
  <c r="AF13" s="1"/>
  <c r="AM13"/>
  <c r="AH13"/>
  <c r="T13"/>
  <c r="Q13" s="1"/>
  <c r="N13"/>
  <c r="I13"/>
  <c r="DF13" s="1"/>
  <c r="H13"/>
  <c r="C13"/>
  <c r="D13" s="1"/>
  <c r="CZ12"/>
  <c r="CY12"/>
  <c r="CX12"/>
  <c r="CW12"/>
  <c r="CV12"/>
  <c r="CU12"/>
  <c r="CT12"/>
  <c r="CS12"/>
  <c r="CR12"/>
  <c r="CQ12"/>
  <c r="CP12"/>
  <c r="BF12"/>
  <c r="AZ12"/>
  <c r="AX12"/>
  <c r="AM12"/>
  <c r="AH12"/>
  <c r="T12"/>
  <c r="N12"/>
  <c r="I12"/>
  <c r="DF12" s="1"/>
  <c r="CZ11"/>
  <c r="CY11"/>
  <c r="CX11"/>
  <c r="CW11"/>
  <c r="CV11"/>
  <c r="CU11"/>
  <c r="CT11"/>
  <c r="CS11"/>
  <c r="CR11"/>
  <c r="CQ11"/>
  <c r="CP11"/>
  <c r="BF11"/>
  <c r="AZ11"/>
  <c r="AX11"/>
  <c r="AF11" s="1"/>
  <c r="AM11"/>
  <c r="AH11"/>
  <c r="T11"/>
  <c r="Q11" s="1"/>
  <c r="N11"/>
  <c r="I11"/>
  <c r="DF11" s="1"/>
  <c r="CZ10"/>
  <c r="CY10"/>
  <c r="CX10"/>
  <c r="CW10"/>
  <c r="CV10"/>
  <c r="CU10"/>
  <c r="CT10"/>
  <c r="CS10"/>
  <c r="CR10"/>
  <c r="CQ10"/>
  <c r="CP10"/>
  <c r="BF10"/>
  <c r="AZ10"/>
  <c r="AX10"/>
  <c r="AM10"/>
  <c r="AH10"/>
  <c r="T10"/>
  <c r="N10"/>
  <c r="I10"/>
  <c r="DB10" s="1"/>
  <c r="DE10" s="1"/>
  <c r="CZ9"/>
  <c r="CY9"/>
  <c r="CX9"/>
  <c r="CW9"/>
  <c r="CV9"/>
  <c r="CU9"/>
  <c r="CT9"/>
  <c r="CS9"/>
  <c r="CR9"/>
  <c r="CQ9"/>
  <c r="CP9"/>
  <c r="BF9"/>
  <c r="AZ9"/>
  <c r="AX9"/>
  <c r="BH9" s="1"/>
  <c r="AM9"/>
  <c r="AH9"/>
  <c r="T9"/>
  <c r="N9"/>
  <c r="I9"/>
  <c r="DF9" s="1"/>
  <c r="CZ8"/>
  <c r="CY8"/>
  <c r="CX8"/>
  <c r="CW8"/>
  <c r="CV8"/>
  <c r="CU8"/>
  <c r="CT8"/>
  <c r="CS8"/>
  <c r="CS38" s="1"/>
  <c r="CR8"/>
  <c r="CQ8"/>
  <c r="CP8"/>
  <c r="BF8"/>
  <c r="AZ8"/>
  <c r="AX8"/>
  <c r="AH8" s="1"/>
  <c r="AM8"/>
  <c r="T8"/>
  <c r="N8"/>
  <c r="I8"/>
  <c r="DF8" s="1"/>
  <c r="CZ7"/>
  <c r="CZ38" s="1"/>
  <c r="CY7"/>
  <c r="CX7"/>
  <c r="CX38" s="1"/>
  <c r="CW7"/>
  <c r="CV7"/>
  <c r="CV38" s="1"/>
  <c r="CU7"/>
  <c r="CT7"/>
  <c r="CT38" s="1"/>
  <c r="CS7"/>
  <c r="CR7"/>
  <c r="CQ7"/>
  <c r="CP7"/>
  <c r="BF7"/>
  <c r="AZ7"/>
  <c r="AX7"/>
  <c r="AF7" s="1"/>
  <c r="AM7"/>
  <c r="T7"/>
  <c r="N7"/>
  <c r="I7"/>
  <c r="P8" i="86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7"/>
  <c r="U25" i="87" l="1"/>
  <c r="Q35"/>
  <c r="R35" s="1"/>
  <c r="H35"/>
  <c r="M35"/>
  <c r="AH35"/>
  <c r="AW35"/>
  <c r="BA35"/>
  <c r="BC35"/>
  <c r="Q34"/>
  <c r="R34" s="1"/>
  <c r="H34"/>
  <c r="M34"/>
  <c r="AH34"/>
  <c r="AW34"/>
  <c r="BA34"/>
  <c r="BC34" s="1"/>
  <c r="Q33"/>
  <c r="R33" s="1"/>
  <c r="Q32"/>
  <c r="R32" s="1"/>
  <c r="BC32"/>
  <c r="H31"/>
  <c r="M31"/>
  <c r="Q31"/>
  <c r="R31" s="1"/>
  <c r="AH31"/>
  <c r="AW31"/>
  <c r="BA31"/>
  <c r="BC31" s="1"/>
  <c r="H30"/>
  <c r="M30"/>
  <c r="AH30"/>
  <c r="AW30"/>
  <c r="BA30"/>
  <c r="BC30" s="1"/>
  <c r="Q29"/>
  <c r="R29" s="1"/>
  <c r="Q27"/>
  <c r="R27" s="1"/>
  <c r="AH27"/>
  <c r="AW27"/>
  <c r="M27"/>
  <c r="U27"/>
  <c r="Q21"/>
  <c r="R21" s="1"/>
  <c r="C9"/>
  <c r="D9" s="1"/>
  <c r="C17"/>
  <c r="D17" s="1"/>
  <c r="C23"/>
  <c r="D23" s="1"/>
  <c r="H24"/>
  <c r="Q23"/>
  <c r="R23" s="1"/>
  <c r="H23"/>
  <c r="CW38"/>
  <c r="H20"/>
  <c r="Q18"/>
  <c r="R18" s="1"/>
  <c r="E22"/>
  <c r="Q9"/>
  <c r="R9" s="1"/>
  <c r="C11"/>
  <c r="D11" s="1"/>
  <c r="C19"/>
  <c r="D19" s="1"/>
  <c r="C21"/>
  <c r="D21" s="1"/>
  <c r="E20"/>
  <c r="R37"/>
  <c r="H15"/>
  <c r="M15"/>
  <c r="AF15"/>
  <c r="Q14"/>
  <c r="R14" s="1"/>
  <c r="CR38"/>
  <c r="CP38"/>
  <c r="Q10"/>
  <c r="R10" s="1"/>
  <c r="H9"/>
  <c r="M9"/>
  <c r="AF9"/>
  <c r="Q7"/>
  <c r="R7" s="1"/>
  <c r="E24"/>
  <c r="E7"/>
  <c r="J38"/>
  <c r="J39" s="1"/>
  <c r="O38"/>
  <c r="O39" s="1"/>
  <c r="DB8"/>
  <c r="DE8" s="1"/>
  <c r="DF19"/>
  <c r="DB20"/>
  <c r="DE20" s="1"/>
  <c r="DF21"/>
  <c r="DB22"/>
  <c r="DE22" s="1"/>
  <c r="DF23"/>
  <c r="DB12"/>
  <c r="DE12" s="1"/>
  <c r="DB16"/>
  <c r="DE16" s="1"/>
  <c r="DF18"/>
  <c r="CC39"/>
  <c r="CE39"/>
  <c r="CA39"/>
  <c r="BY39"/>
  <c r="M17"/>
  <c r="M26"/>
  <c r="M13"/>
  <c r="AH7"/>
  <c r="BA7"/>
  <c r="BC7" s="1"/>
  <c r="BA11"/>
  <c r="BC11" s="1"/>
  <c r="BH11"/>
  <c r="BA13"/>
  <c r="BC13" s="1"/>
  <c r="BH13"/>
  <c r="BA17"/>
  <c r="BH17"/>
  <c r="BA18"/>
  <c r="BC18" s="1"/>
  <c r="BA25"/>
  <c r="BC25" s="1"/>
  <c r="BH25"/>
  <c r="BA28"/>
  <c r="BC28" s="1"/>
  <c r="BH28"/>
  <c r="BA29"/>
  <c r="BC29" s="1"/>
  <c r="BH29"/>
  <c r="BH7"/>
  <c r="BI7" s="1"/>
  <c r="H7"/>
  <c r="M7"/>
  <c r="BA9"/>
  <c r="BC9" s="1"/>
  <c r="H11"/>
  <c r="M11"/>
  <c r="BA15"/>
  <c r="BC17"/>
  <c r="AH18"/>
  <c r="AW18"/>
  <c r="AH25"/>
  <c r="M25"/>
  <c r="BA26"/>
  <c r="BC26" s="1"/>
  <c r="BA27"/>
  <c r="BC27" s="1"/>
  <c r="AH28"/>
  <c r="M28"/>
  <c r="AH29"/>
  <c r="M29"/>
  <c r="BC15"/>
  <c r="BG7"/>
  <c r="BG8" s="1"/>
  <c r="E8"/>
  <c r="C8"/>
  <c r="D8" s="1"/>
  <c r="B38"/>
  <c r="B39" s="1"/>
  <c r="BH8"/>
  <c r="BA8"/>
  <c r="AF8"/>
  <c r="M8"/>
  <c r="H8"/>
  <c r="AX38"/>
  <c r="X39" s="1"/>
  <c r="E12"/>
  <c r="C12"/>
  <c r="D12" s="1"/>
  <c r="BH12"/>
  <c r="BA12"/>
  <c r="BC12" s="1"/>
  <c r="AF12"/>
  <c r="M12"/>
  <c r="H12"/>
  <c r="BB13"/>
  <c r="F13"/>
  <c r="E16"/>
  <c r="C16"/>
  <c r="D16" s="1"/>
  <c r="BH16"/>
  <c r="BA16"/>
  <c r="BC16" s="1"/>
  <c r="AF16"/>
  <c r="M16"/>
  <c r="H16"/>
  <c r="BH19"/>
  <c r="BA19"/>
  <c r="BC19" s="1"/>
  <c r="AW19"/>
  <c r="AH19"/>
  <c r="BH20"/>
  <c r="BA20"/>
  <c r="BC20" s="1"/>
  <c r="AW20"/>
  <c r="AH20"/>
  <c r="BH21"/>
  <c r="BA21"/>
  <c r="BC21" s="1"/>
  <c r="AW21"/>
  <c r="AH21"/>
  <c r="BH22"/>
  <c r="BA22"/>
  <c r="AW22"/>
  <c r="AH22"/>
  <c r="BH23"/>
  <c r="BA23"/>
  <c r="BC23" s="1"/>
  <c r="AW23"/>
  <c r="AH23"/>
  <c r="AW24"/>
  <c r="AH24"/>
  <c r="Q26"/>
  <c r="R26" s="1"/>
  <c r="DF27"/>
  <c r="DB27"/>
  <c r="DE27" s="1"/>
  <c r="E28"/>
  <c r="C28"/>
  <c r="D28" s="1"/>
  <c r="E10"/>
  <c r="C10"/>
  <c r="D10" s="1"/>
  <c r="BH10"/>
  <c r="BA10"/>
  <c r="BC10" s="1"/>
  <c r="AF10"/>
  <c r="M10"/>
  <c r="H10"/>
  <c r="E14"/>
  <c r="C14"/>
  <c r="D14" s="1"/>
  <c r="BH14"/>
  <c r="BA14"/>
  <c r="AF14"/>
  <c r="M14"/>
  <c r="H14"/>
  <c r="E18"/>
  <c r="C18"/>
  <c r="D18" s="1"/>
  <c r="DF25"/>
  <c r="DB25"/>
  <c r="DE25" s="1"/>
  <c r="E26"/>
  <c r="C26"/>
  <c r="D26" s="1"/>
  <c r="Q28"/>
  <c r="R28" s="1"/>
  <c r="DF10"/>
  <c r="R13"/>
  <c r="BC14"/>
  <c r="DF14"/>
  <c r="R17"/>
  <c r="BH24"/>
  <c r="H25"/>
  <c r="D7"/>
  <c r="T38"/>
  <c r="T39" s="1"/>
  <c r="AZ38"/>
  <c r="AZ39" s="1"/>
  <c r="CQ38"/>
  <c r="CU38"/>
  <c r="CY38"/>
  <c r="L38"/>
  <c r="L39" s="1"/>
  <c r="R8"/>
  <c r="BG9"/>
  <c r="BG10" s="1"/>
  <c r="BG11" s="1"/>
  <c r="BG12" s="1"/>
  <c r="BG13" s="1"/>
  <c r="BG14" s="1"/>
  <c r="BG15" s="1"/>
  <c r="BG16" s="1"/>
  <c r="BG17" s="1"/>
  <c r="R11"/>
  <c r="R12"/>
  <c r="AY13"/>
  <c r="D15"/>
  <c r="R15"/>
  <c r="R16"/>
  <c r="H27"/>
  <c r="DF29"/>
  <c r="DB29"/>
  <c r="DE29" s="1"/>
  <c r="E30"/>
  <c r="C30"/>
  <c r="D30" s="1"/>
  <c r="DF30"/>
  <c r="DB30"/>
  <c r="DE30" s="1"/>
  <c r="E32"/>
  <c r="C32"/>
  <c r="D32" s="1"/>
  <c r="DF32"/>
  <c r="DB32"/>
  <c r="DE32" s="1"/>
  <c r="E34"/>
  <c r="C34"/>
  <c r="D34" s="1"/>
  <c r="DF34"/>
  <c r="DB34"/>
  <c r="DE34" s="1"/>
  <c r="E36"/>
  <c r="C36"/>
  <c r="D36" s="1"/>
  <c r="DF36"/>
  <c r="DB36"/>
  <c r="DE36" s="1"/>
  <c r="J45"/>
  <c r="AS41"/>
  <c r="AS39"/>
  <c r="AM39" s="1"/>
  <c r="P38"/>
  <c r="P39" s="1"/>
  <c r="E25"/>
  <c r="C25"/>
  <c r="D25" s="1"/>
  <c r="DF26"/>
  <c r="DB26"/>
  <c r="DE26" s="1"/>
  <c r="E27"/>
  <c r="C27"/>
  <c r="D27" s="1"/>
  <c r="DF28"/>
  <c r="DB28"/>
  <c r="DE28" s="1"/>
  <c r="E29"/>
  <c r="C29"/>
  <c r="D29" s="1"/>
  <c r="E31"/>
  <c r="C31"/>
  <c r="D31" s="1"/>
  <c r="DF31"/>
  <c r="DB31"/>
  <c r="DE31" s="1"/>
  <c r="E33"/>
  <c r="C33"/>
  <c r="D33" s="1"/>
  <c r="DF33"/>
  <c r="DB33"/>
  <c r="DE33" s="1"/>
  <c r="E35"/>
  <c r="C35"/>
  <c r="D35" s="1"/>
  <c r="DF35"/>
  <c r="DB35"/>
  <c r="DE35" s="1"/>
  <c r="E37"/>
  <c r="C37"/>
  <c r="D37" s="1"/>
  <c r="DF37"/>
  <c r="DB37"/>
  <c r="DE37" s="1"/>
  <c r="BF23"/>
  <c r="BF22"/>
  <c r="BF21"/>
  <c r="BF20"/>
  <c r="BF19"/>
  <c r="BF18"/>
  <c r="H29"/>
  <c r="BS39"/>
  <c r="BW39"/>
  <c r="I38"/>
  <c r="I39" s="1"/>
  <c r="I41" s="1"/>
  <c r="N38"/>
  <c r="N39" s="1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DB7"/>
  <c r="DF7"/>
  <c r="DB9"/>
  <c r="DE9" s="1"/>
  <c r="DB11"/>
  <c r="DE11" s="1"/>
  <c r="DB13"/>
  <c r="DE13" s="1"/>
  <c r="DB15"/>
  <c r="DE15" s="1"/>
  <c r="DB17"/>
  <c r="DE17" s="1"/>
  <c r="R19"/>
  <c r="D20"/>
  <c r="R20"/>
  <c r="D22"/>
  <c r="R22"/>
  <c r="BC22"/>
  <c r="D24"/>
  <c r="R24"/>
  <c r="H26"/>
  <c r="H28"/>
  <c r="R30"/>
  <c r="R36"/>
  <c r="BU39"/>
  <c r="DB24"/>
  <c r="DE24" s="1"/>
  <c r="Q30" i="86"/>
  <c r="Q34"/>
  <c r="Q36"/>
  <c r="C9"/>
  <c r="D9" s="1"/>
  <c r="E11"/>
  <c r="E13"/>
  <c r="E15"/>
  <c r="E17"/>
  <c r="E19"/>
  <c r="C20"/>
  <c r="C21"/>
  <c r="D21" s="1"/>
  <c r="E22"/>
  <c r="E23"/>
  <c r="C24"/>
  <c r="D24" s="1"/>
  <c r="E25"/>
  <c r="E26"/>
  <c r="E27"/>
  <c r="E28"/>
  <c r="E29"/>
  <c r="E30"/>
  <c r="E31"/>
  <c r="E33"/>
  <c r="E35"/>
  <c r="C7"/>
  <c r="AS46"/>
  <c r="AS43"/>
  <c r="AA41"/>
  <c r="BD39"/>
  <c r="AR39"/>
  <c r="AP39"/>
  <c r="AO39"/>
  <c r="AN39"/>
  <c r="AD39"/>
  <c r="AC39"/>
  <c r="Z39"/>
  <c r="Z41" s="1"/>
  <c r="Y39"/>
  <c r="CJ38"/>
  <c r="CN39" s="1"/>
  <c r="CI38"/>
  <c r="CM39" s="1"/>
  <c r="CH38"/>
  <c r="CL39" s="1"/>
  <c r="CG38"/>
  <c r="CK39" s="1"/>
  <c r="BQ38"/>
  <c r="CF39" s="1"/>
  <c r="BP38"/>
  <c r="BX39" s="1"/>
  <c r="BO38"/>
  <c r="CD39" s="1"/>
  <c r="BN38"/>
  <c r="BV39" s="1"/>
  <c r="BM38"/>
  <c r="CB39" s="1"/>
  <c r="BL38"/>
  <c r="BT39" s="1"/>
  <c r="BK38"/>
  <c r="BZ39" s="1"/>
  <c r="BJ38"/>
  <c r="BR39" s="1"/>
  <c r="BF38"/>
  <c r="AV38"/>
  <c r="AV39" s="1"/>
  <c r="AU38"/>
  <c r="AU39" s="1"/>
  <c r="AT38"/>
  <c r="AT39" s="1"/>
  <c r="AS38"/>
  <c r="AL38"/>
  <c r="AL39" s="1"/>
  <c r="AK38"/>
  <c r="AK39" s="1"/>
  <c r="AJ38"/>
  <c r="AI38"/>
  <c r="AI39" s="1"/>
  <c r="AG38"/>
  <c r="AG39" s="1"/>
  <c r="AE38"/>
  <c r="AE39" s="1"/>
  <c r="AD38"/>
  <c r="W38"/>
  <c r="W39" s="1"/>
  <c r="V38"/>
  <c r="V39" s="1"/>
  <c r="S38"/>
  <c r="S39" s="1"/>
  <c r="K38"/>
  <c r="K39" s="1"/>
  <c r="G38"/>
  <c r="G39" s="1"/>
  <c r="G41" s="1"/>
  <c r="CZ37"/>
  <c r="CY37"/>
  <c r="CX37"/>
  <c r="CW37"/>
  <c r="CV37"/>
  <c r="CU37"/>
  <c r="CT37"/>
  <c r="CS37"/>
  <c r="CR37"/>
  <c r="CQ37"/>
  <c r="CP37"/>
  <c r="BF37"/>
  <c r="AZ37"/>
  <c r="AX37"/>
  <c r="BH37" s="1"/>
  <c r="AM37"/>
  <c r="AF37"/>
  <c r="T37"/>
  <c r="Q37" s="1"/>
  <c r="N37"/>
  <c r="M37"/>
  <c r="I37"/>
  <c r="DF37" s="1"/>
  <c r="H37"/>
  <c r="E37"/>
  <c r="CZ36"/>
  <c r="CY36"/>
  <c r="CX36"/>
  <c r="CW36"/>
  <c r="CV36"/>
  <c r="CU36"/>
  <c r="CT36"/>
  <c r="CS36"/>
  <c r="CR36"/>
  <c r="CQ36"/>
  <c r="CP36"/>
  <c r="BF36"/>
  <c r="BA36"/>
  <c r="BC36" s="1"/>
  <c r="AZ36"/>
  <c r="AX36"/>
  <c r="BH36" s="1"/>
  <c r="AW36"/>
  <c r="AM36"/>
  <c r="AH36"/>
  <c r="AF36"/>
  <c r="T36"/>
  <c r="N36"/>
  <c r="M36"/>
  <c r="I36"/>
  <c r="DF36" s="1"/>
  <c r="H36"/>
  <c r="E36"/>
  <c r="CZ35"/>
  <c r="CY35"/>
  <c r="CX35"/>
  <c r="CW35"/>
  <c r="CV35"/>
  <c r="CU35"/>
  <c r="CT35"/>
  <c r="CS35"/>
  <c r="CR35"/>
  <c r="CQ35"/>
  <c r="CP35"/>
  <c r="BF35"/>
  <c r="AZ35"/>
  <c r="AX35"/>
  <c r="BH35" s="1"/>
  <c r="AM35"/>
  <c r="AF35"/>
  <c r="T35"/>
  <c r="Q35" s="1"/>
  <c r="N35"/>
  <c r="I35"/>
  <c r="DF35" s="1"/>
  <c r="CZ34"/>
  <c r="CY34"/>
  <c r="CX34"/>
  <c r="CW34"/>
  <c r="CV34"/>
  <c r="CU34"/>
  <c r="CT34"/>
  <c r="CS34"/>
  <c r="CR34"/>
  <c r="CQ34"/>
  <c r="CP34"/>
  <c r="BF34"/>
  <c r="AZ34"/>
  <c r="AX34"/>
  <c r="BH34" s="1"/>
  <c r="AM34"/>
  <c r="AF34"/>
  <c r="T34"/>
  <c r="N34"/>
  <c r="I34"/>
  <c r="DF34" s="1"/>
  <c r="E34"/>
  <c r="CZ33"/>
  <c r="CY33"/>
  <c r="CX33"/>
  <c r="CW33"/>
  <c r="CV33"/>
  <c r="CU33"/>
  <c r="CT33"/>
  <c r="CS33"/>
  <c r="CR33"/>
  <c r="CQ33"/>
  <c r="CP33"/>
  <c r="BH33"/>
  <c r="BF33"/>
  <c r="BA33"/>
  <c r="BC33" s="1"/>
  <c r="AZ33"/>
  <c r="AX33"/>
  <c r="AW33"/>
  <c r="AM33"/>
  <c r="AH33"/>
  <c r="AF33"/>
  <c r="T33"/>
  <c r="Q33"/>
  <c r="N33"/>
  <c r="M33"/>
  <c r="I33"/>
  <c r="DF33" s="1"/>
  <c r="H33"/>
  <c r="CZ32"/>
  <c r="CY32"/>
  <c r="CX32"/>
  <c r="CW32"/>
  <c r="CV32"/>
  <c r="CU32"/>
  <c r="CT32"/>
  <c r="CS32"/>
  <c r="CR32"/>
  <c r="CQ32"/>
  <c r="CP32"/>
  <c r="BH32"/>
  <c r="BF32"/>
  <c r="BA32"/>
  <c r="BC32" s="1"/>
  <c r="AZ32"/>
  <c r="AX32"/>
  <c r="AW32"/>
  <c r="AM32"/>
  <c r="AH32"/>
  <c r="AF32"/>
  <c r="T32"/>
  <c r="Q32" s="1"/>
  <c r="N32"/>
  <c r="M32"/>
  <c r="I32"/>
  <c r="DF32" s="1"/>
  <c r="H32"/>
  <c r="E32"/>
  <c r="CZ31"/>
  <c r="CY31"/>
  <c r="CX31"/>
  <c r="CW31"/>
  <c r="CV31"/>
  <c r="CU31"/>
  <c r="CT31"/>
  <c r="CS31"/>
  <c r="CR31"/>
  <c r="CQ31"/>
  <c r="M31" s="1"/>
  <c r="CP31"/>
  <c r="BH31"/>
  <c r="BF31"/>
  <c r="BA31"/>
  <c r="BC31" s="1"/>
  <c r="AZ31"/>
  <c r="AX31"/>
  <c r="AW31"/>
  <c r="AM31"/>
  <c r="AH31"/>
  <c r="AF31"/>
  <c r="T31"/>
  <c r="Q31" s="1"/>
  <c r="N31"/>
  <c r="I31"/>
  <c r="DF31" s="1"/>
  <c r="H31"/>
  <c r="CZ30"/>
  <c r="CY30"/>
  <c r="CX30"/>
  <c r="CW30"/>
  <c r="CV30"/>
  <c r="CU30"/>
  <c r="CT30"/>
  <c r="CS30"/>
  <c r="CR30"/>
  <c r="CQ30"/>
  <c r="CP30"/>
  <c r="BF30"/>
  <c r="AZ30"/>
  <c r="AX30"/>
  <c r="BH30" s="1"/>
  <c r="AM30"/>
  <c r="AF30"/>
  <c r="T30"/>
  <c r="N30"/>
  <c r="I30"/>
  <c r="DF30" s="1"/>
  <c r="CZ29"/>
  <c r="CY29"/>
  <c r="CX29"/>
  <c r="CW29"/>
  <c r="CV29"/>
  <c r="CU29"/>
  <c r="CT29"/>
  <c r="CS29"/>
  <c r="CR29"/>
  <c r="CQ29"/>
  <c r="CP29"/>
  <c r="BF29"/>
  <c r="AZ29"/>
  <c r="AX29"/>
  <c r="BH29" s="1"/>
  <c r="AM29"/>
  <c r="AF29"/>
  <c r="T29"/>
  <c r="Q29" s="1"/>
  <c r="N29"/>
  <c r="I29"/>
  <c r="DF29" s="1"/>
  <c r="CZ28"/>
  <c r="CY28"/>
  <c r="CX28"/>
  <c r="CW28"/>
  <c r="CV28"/>
  <c r="CU28"/>
  <c r="CT28"/>
  <c r="CS28"/>
  <c r="CR28"/>
  <c r="CQ28"/>
  <c r="CP28"/>
  <c r="BF28"/>
  <c r="AZ28"/>
  <c r="AX28"/>
  <c r="BH28" s="1"/>
  <c r="AM28"/>
  <c r="AF28"/>
  <c r="T28"/>
  <c r="Q28" s="1"/>
  <c r="N28"/>
  <c r="I28"/>
  <c r="DF28" s="1"/>
  <c r="CZ27"/>
  <c r="CY27"/>
  <c r="CX27"/>
  <c r="CW27"/>
  <c r="CV27"/>
  <c r="CU27"/>
  <c r="CT27"/>
  <c r="CS27"/>
  <c r="CR27"/>
  <c r="CQ27"/>
  <c r="CP27"/>
  <c r="BF27"/>
  <c r="AZ27"/>
  <c r="AX27"/>
  <c r="BH27" s="1"/>
  <c r="AM27"/>
  <c r="AF27"/>
  <c r="T27"/>
  <c r="Q27" s="1"/>
  <c r="N27"/>
  <c r="I27"/>
  <c r="DF27" s="1"/>
  <c r="CZ26"/>
  <c r="CY26"/>
  <c r="CX26"/>
  <c r="CW26"/>
  <c r="CV26"/>
  <c r="CU26"/>
  <c r="CT26"/>
  <c r="CS26"/>
  <c r="CR26"/>
  <c r="CQ26"/>
  <c r="CP26"/>
  <c r="BF26"/>
  <c r="AZ26"/>
  <c r="AX26"/>
  <c r="BH26" s="1"/>
  <c r="AM26"/>
  <c r="AF26"/>
  <c r="T26"/>
  <c r="Q26" s="1"/>
  <c r="N26"/>
  <c r="I26"/>
  <c r="DF26" s="1"/>
  <c r="CZ25"/>
  <c r="CY25"/>
  <c r="CX25"/>
  <c r="CW25"/>
  <c r="CV25"/>
  <c r="CU25"/>
  <c r="CT25"/>
  <c r="CS25"/>
  <c r="CR25"/>
  <c r="CQ25"/>
  <c r="CP25"/>
  <c r="BF25"/>
  <c r="AZ25"/>
  <c r="AX25"/>
  <c r="BH25" s="1"/>
  <c r="AM25"/>
  <c r="AF25"/>
  <c r="T25"/>
  <c r="Q25" s="1"/>
  <c r="N25"/>
  <c r="I25"/>
  <c r="DF25" s="1"/>
  <c r="CZ24"/>
  <c r="CY24"/>
  <c r="CX24"/>
  <c r="CW24"/>
  <c r="CV24"/>
  <c r="CU24"/>
  <c r="CT24"/>
  <c r="CS24"/>
  <c r="CR24"/>
  <c r="CQ24"/>
  <c r="CP24"/>
  <c r="BF24"/>
  <c r="AZ24"/>
  <c r="BC24" s="1"/>
  <c r="AX24"/>
  <c r="AW24" s="1"/>
  <c r="AM24"/>
  <c r="AF24"/>
  <c r="T24"/>
  <c r="Q24" s="1"/>
  <c r="R24" s="1"/>
  <c r="N24"/>
  <c r="I24"/>
  <c r="DF24" s="1"/>
  <c r="E24"/>
  <c r="CZ23"/>
  <c r="CY23"/>
  <c r="CX23"/>
  <c r="CW23"/>
  <c r="CV23"/>
  <c r="CU23"/>
  <c r="CT23"/>
  <c r="CS23"/>
  <c r="CR23"/>
  <c r="CQ23"/>
  <c r="CP23"/>
  <c r="BF23"/>
  <c r="AZ23"/>
  <c r="AX23"/>
  <c r="BH23" s="1"/>
  <c r="AM23"/>
  <c r="AF23"/>
  <c r="T23"/>
  <c r="Q23" s="1"/>
  <c r="R23" s="1"/>
  <c r="N23"/>
  <c r="I23"/>
  <c r="DB23" s="1"/>
  <c r="DE23" s="1"/>
  <c r="C23"/>
  <c r="D23" s="1"/>
  <c r="CZ22"/>
  <c r="CY22"/>
  <c r="CX22"/>
  <c r="CW22"/>
  <c r="CV22"/>
  <c r="CU22"/>
  <c r="CT22"/>
  <c r="CS22"/>
  <c r="CR22"/>
  <c r="M22" s="1"/>
  <c r="CQ22"/>
  <c r="CP22"/>
  <c r="BF22"/>
  <c r="AZ22"/>
  <c r="AX22"/>
  <c r="BH22" s="1"/>
  <c r="AM22"/>
  <c r="AF22"/>
  <c r="T22"/>
  <c r="Q22"/>
  <c r="R22" s="1"/>
  <c r="N22"/>
  <c r="I22"/>
  <c r="DB22" s="1"/>
  <c r="DE22" s="1"/>
  <c r="C22"/>
  <c r="D22" s="1"/>
  <c r="CZ21"/>
  <c r="CY21"/>
  <c r="CX21"/>
  <c r="CW21"/>
  <c r="CV21"/>
  <c r="CU21"/>
  <c r="CT21"/>
  <c r="CS21"/>
  <c r="CR21"/>
  <c r="CQ21"/>
  <c r="CP21"/>
  <c r="BF21"/>
  <c r="AZ21"/>
  <c r="AX21"/>
  <c r="BH21" s="1"/>
  <c r="AM21"/>
  <c r="AF21"/>
  <c r="T21"/>
  <c r="N21"/>
  <c r="M21"/>
  <c r="I21"/>
  <c r="DF21" s="1"/>
  <c r="H21"/>
  <c r="CZ20"/>
  <c r="CY20"/>
  <c r="CX20"/>
  <c r="CW20"/>
  <c r="CV20"/>
  <c r="CU20"/>
  <c r="CT20"/>
  <c r="CS20"/>
  <c r="CR20"/>
  <c r="CQ20"/>
  <c r="CP20"/>
  <c r="BF20"/>
  <c r="AZ20"/>
  <c r="AX20"/>
  <c r="M20" s="1"/>
  <c r="AM20"/>
  <c r="AF20"/>
  <c r="T20"/>
  <c r="Q20" s="1"/>
  <c r="N20"/>
  <c r="I20"/>
  <c r="DF20" s="1"/>
  <c r="E20"/>
  <c r="CZ19"/>
  <c r="CY19"/>
  <c r="CX19"/>
  <c r="CW19"/>
  <c r="CV19"/>
  <c r="CU19"/>
  <c r="CT19"/>
  <c r="CS19"/>
  <c r="CR19"/>
  <c r="CQ19"/>
  <c r="CP19"/>
  <c r="BF19"/>
  <c r="AZ19"/>
  <c r="AX19"/>
  <c r="AF19" s="1"/>
  <c r="AM19"/>
  <c r="T19"/>
  <c r="Q19" s="1"/>
  <c r="N19"/>
  <c r="I19"/>
  <c r="DB19" s="1"/>
  <c r="DE19" s="1"/>
  <c r="CZ18"/>
  <c r="CY18"/>
  <c r="CX18"/>
  <c r="CW18"/>
  <c r="CV18"/>
  <c r="CU18"/>
  <c r="CT18"/>
  <c r="CS18"/>
  <c r="CR18"/>
  <c r="CQ18"/>
  <c r="CP18"/>
  <c r="BF18"/>
  <c r="AZ18"/>
  <c r="AX18"/>
  <c r="AF18" s="1"/>
  <c r="AM18"/>
  <c r="AH18"/>
  <c r="T18"/>
  <c r="N18"/>
  <c r="I18"/>
  <c r="DB18" s="1"/>
  <c r="DE18" s="1"/>
  <c r="CZ17"/>
  <c r="CY17"/>
  <c r="CX17"/>
  <c r="CW17"/>
  <c r="CV17"/>
  <c r="CU17"/>
  <c r="CT17"/>
  <c r="CS17"/>
  <c r="CR17"/>
  <c r="CQ17"/>
  <c r="CP17"/>
  <c r="BF17"/>
  <c r="AZ17"/>
  <c r="AX17"/>
  <c r="BH17" s="1"/>
  <c r="AM17"/>
  <c r="AH17"/>
  <c r="T17"/>
  <c r="N17"/>
  <c r="I17"/>
  <c r="DF17" s="1"/>
  <c r="CZ16"/>
  <c r="CY16"/>
  <c r="CX16"/>
  <c r="CW16"/>
  <c r="CV16"/>
  <c r="CU16"/>
  <c r="CT16"/>
  <c r="CS16"/>
  <c r="CR16"/>
  <c r="CQ16"/>
  <c r="CP16"/>
  <c r="BF16"/>
  <c r="AZ16"/>
  <c r="AX16"/>
  <c r="BH16" s="1"/>
  <c r="AM16"/>
  <c r="AH16"/>
  <c r="T16"/>
  <c r="N16"/>
  <c r="I16"/>
  <c r="DF16" s="1"/>
  <c r="CZ15"/>
  <c r="CY15"/>
  <c r="CX15"/>
  <c r="CW15"/>
  <c r="CV15"/>
  <c r="CU15"/>
  <c r="CT15"/>
  <c r="CS15"/>
  <c r="CR15"/>
  <c r="CQ15"/>
  <c r="CP15"/>
  <c r="BF15"/>
  <c r="AZ15"/>
  <c r="AX15"/>
  <c r="BH15" s="1"/>
  <c r="AM15"/>
  <c r="T15"/>
  <c r="N15"/>
  <c r="I15"/>
  <c r="DF15" s="1"/>
  <c r="CZ14"/>
  <c r="CY14"/>
  <c r="CX14"/>
  <c r="CW14"/>
  <c r="CV14"/>
  <c r="CU14"/>
  <c r="CT14"/>
  <c r="CS14"/>
  <c r="CR14"/>
  <c r="CQ14"/>
  <c r="CP14"/>
  <c r="BF14"/>
  <c r="AZ14"/>
  <c r="AX14"/>
  <c r="BH14" s="1"/>
  <c r="AM14"/>
  <c r="AH14"/>
  <c r="T14"/>
  <c r="N14"/>
  <c r="I14"/>
  <c r="DF14" s="1"/>
  <c r="CZ13"/>
  <c r="CY13"/>
  <c r="CX13"/>
  <c r="CW13"/>
  <c r="CV13"/>
  <c r="CU13"/>
  <c r="CT13"/>
  <c r="CS13"/>
  <c r="CR13"/>
  <c r="CQ13"/>
  <c r="CP13"/>
  <c r="BF13"/>
  <c r="AZ13"/>
  <c r="AX13"/>
  <c r="BH13" s="1"/>
  <c r="AM13"/>
  <c r="AH13"/>
  <c r="T13"/>
  <c r="N13"/>
  <c r="I13"/>
  <c r="DF13" s="1"/>
  <c r="CZ12"/>
  <c r="CY12"/>
  <c r="CX12"/>
  <c r="CW12"/>
  <c r="CV12"/>
  <c r="CU12"/>
  <c r="CT12"/>
  <c r="CS12"/>
  <c r="CR12"/>
  <c r="CQ12"/>
  <c r="CP12"/>
  <c r="BF12"/>
  <c r="AZ12"/>
  <c r="AX12"/>
  <c r="BH12" s="1"/>
  <c r="AM12"/>
  <c r="AH12"/>
  <c r="T12"/>
  <c r="N12"/>
  <c r="I12"/>
  <c r="DF12" s="1"/>
  <c r="CZ11"/>
  <c r="CY11"/>
  <c r="CX11"/>
  <c r="CW11"/>
  <c r="CV11"/>
  <c r="CU11"/>
  <c r="CT11"/>
  <c r="CS11"/>
  <c r="CR11"/>
  <c r="CQ11"/>
  <c r="CP11"/>
  <c r="BF11"/>
  <c r="AZ11"/>
  <c r="AX11"/>
  <c r="BH11" s="1"/>
  <c r="AM11"/>
  <c r="T11"/>
  <c r="Q11" s="1"/>
  <c r="R11" s="1"/>
  <c r="N11"/>
  <c r="I11"/>
  <c r="DF11" s="1"/>
  <c r="CZ10"/>
  <c r="CY10"/>
  <c r="CX10"/>
  <c r="CW10"/>
  <c r="CV10"/>
  <c r="CU10"/>
  <c r="CT10"/>
  <c r="CS10"/>
  <c r="CR10"/>
  <c r="CQ10"/>
  <c r="CP10"/>
  <c r="BF10"/>
  <c r="AZ10"/>
  <c r="AX10"/>
  <c r="BH10" s="1"/>
  <c r="AM10"/>
  <c r="AH10"/>
  <c r="T10"/>
  <c r="N10"/>
  <c r="I10"/>
  <c r="DF10" s="1"/>
  <c r="CZ9"/>
  <c r="CY9"/>
  <c r="CX9"/>
  <c r="CW9"/>
  <c r="CV9"/>
  <c r="CU9"/>
  <c r="CT9"/>
  <c r="CS9"/>
  <c r="CR9"/>
  <c r="CQ9"/>
  <c r="CP9"/>
  <c r="BF9"/>
  <c r="AZ9"/>
  <c r="AX9"/>
  <c r="AF9" s="1"/>
  <c r="AM9"/>
  <c r="AH9"/>
  <c r="T9"/>
  <c r="Q9" s="1"/>
  <c r="R9" s="1"/>
  <c r="N9"/>
  <c r="I9"/>
  <c r="DF9" s="1"/>
  <c r="CZ8"/>
  <c r="CY8"/>
  <c r="CX8"/>
  <c r="CW8"/>
  <c r="CV8"/>
  <c r="CU8"/>
  <c r="CT8"/>
  <c r="CS8"/>
  <c r="CR8"/>
  <c r="CQ8"/>
  <c r="CP8"/>
  <c r="BF8"/>
  <c r="AZ8"/>
  <c r="AX8"/>
  <c r="BH8" s="1"/>
  <c r="AM8"/>
  <c r="AH8"/>
  <c r="T8"/>
  <c r="N8"/>
  <c r="I8"/>
  <c r="DF8" s="1"/>
  <c r="CZ7"/>
  <c r="CZ38" s="1"/>
  <c r="CY7"/>
  <c r="CX7"/>
  <c r="CW7"/>
  <c r="CV7"/>
  <c r="CV38" s="1"/>
  <c r="CU7"/>
  <c r="CT7"/>
  <c r="CT38" s="1"/>
  <c r="CS7"/>
  <c r="CR7"/>
  <c r="CQ7"/>
  <c r="CP7"/>
  <c r="BF7"/>
  <c r="AZ7"/>
  <c r="AX7"/>
  <c r="AF7" s="1"/>
  <c r="AM7"/>
  <c r="AH7"/>
  <c r="T7"/>
  <c r="N7"/>
  <c r="I7"/>
  <c r="E7"/>
  <c r="U30" i="87" l="1"/>
  <c r="U22"/>
  <c r="U20"/>
  <c r="U19"/>
  <c r="U15"/>
  <c r="U11"/>
  <c r="U8"/>
  <c r="U17"/>
  <c r="U26"/>
  <c r="U14"/>
  <c r="BB17"/>
  <c r="U21"/>
  <c r="U29"/>
  <c r="U33"/>
  <c r="U34"/>
  <c r="U24"/>
  <c r="U16"/>
  <c r="U12"/>
  <c r="U13"/>
  <c r="U28"/>
  <c r="U10"/>
  <c r="U9"/>
  <c r="U18"/>
  <c r="U23"/>
  <c r="U31"/>
  <c r="U32"/>
  <c r="U35"/>
  <c r="F19"/>
  <c r="F23"/>
  <c r="F9"/>
  <c r="F21"/>
  <c r="F17"/>
  <c r="F35"/>
  <c r="AY35"/>
  <c r="AY34"/>
  <c r="F34"/>
  <c r="F33"/>
  <c r="AY33"/>
  <c r="F32"/>
  <c r="AY32"/>
  <c r="F31"/>
  <c r="AY31"/>
  <c r="AY30"/>
  <c r="F30"/>
  <c r="BB9"/>
  <c r="CR39"/>
  <c r="AY17"/>
  <c r="AY9"/>
  <c r="CW39"/>
  <c r="CP39"/>
  <c r="CP40" s="1"/>
  <c r="H35" i="86"/>
  <c r="M35"/>
  <c r="AH35"/>
  <c r="AW35"/>
  <c r="BA35"/>
  <c r="BC35" s="1"/>
  <c r="H34"/>
  <c r="M34"/>
  <c r="AH34"/>
  <c r="AW34"/>
  <c r="BA34"/>
  <c r="BC34" s="1"/>
  <c r="BB36" i="87"/>
  <c r="BB32"/>
  <c r="C39"/>
  <c r="BI8"/>
  <c r="BI9" s="1"/>
  <c r="BA38"/>
  <c r="BA39" s="1"/>
  <c r="BH38"/>
  <c r="BB37"/>
  <c r="BB35"/>
  <c r="BB33"/>
  <c r="BB31"/>
  <c r="BB28"/>
  <c r="AY28"/>
  <c r="F28"/>
  <c r="BB24"/>
  <c r="AY24"/>
  <c r="AY22"/>
  <c r="BB22"/>
  <c r="AY20"/>
  <c r="BB20"/>
  <c r="DB38"/>
  <c r="DC38" s="1"/>
  <c r="DE7"/>
  <c r="DE38" s="1"/>
  <c r="BB29"/>
  <c r="F29"/>
  <c r="AY29"/>
  <c r="BB27"/>
  <c r="F27"/>
  <c r="AY27"/>
  <c r="BB25"/>
  <c r="F25"/>
  <c r="AY25"/>
  <c r="AY16"/>
  <c r="BB16"/>
  <c r="F16"/>
  <c r="BB15"/>
  <c r="F15"/>
  <c r="AY15"/>
  <c r="AY12"/>
  <c r="BB12"/>
  <c r="F12"/>
  <c r="BB11"/>
  <c r="F11"/>
  <c r="AY11"/>
  <c r="BB26"/>
  <c r="AY26"/>
  <c r="F26"/>
  <c r="AY14"/>
  <c r="BB14"/>
  <c r="F14"/>
  <c r="M39"/>
  <c r="AH39"/>
  <c r="AB39"/>
  <c r="H39"/>
  <c r="AX39"/>
  <c r="AW39" s="1"/>
  <c r="AF39"/>
  <c r="AY23"/>
  <c r="BB23"/>
  <c r="AY21"/>
  <c r="BB21"/>
  <c r="AY19"/>
  <c r="BB19"/>
  <c r="U7"/>
  <c r="R38"/>
  <c r="AY8"/>
  <c r="BB8"/>
  <c r="F8"/>
  <c r="D38"/>
  <c r="BB7"/>
  <c r="F7"/>
  <c r="AY7"/>
  <c r="BB18"/>
  <c r="F18"/>
  <c r="AY18"/>
  <c r="AY10"/>
  <c r="BB10"/>
  <c r="F10"/>
  <c r="BG18"/>
  <c r="BG19" s="1"/>
  <c r="BG20" s="1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F24"/>
  <c r="F22"/>
  <c r="F20"/>
  <c r="BI10"/>
  <c r="BI11" s="1"/>
  <c r="BI12" s="1"/>
  <c r="BI13" s="1"/>
  <c r="BI14" s="1"/>
  <c r="BI15" s="1"/>
  <c r="BI16" s="1"/>
  <c r="BI17" s="1"/>
  <c r="BI18" s="1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AY48" s="1"/>
  <c r="AY51" s="1"/>
  <c r="E39"/>
  <c r="BB34"/>
  <c r="BB30"/>
  <c r="DF38"/>
  <c r="Q39"/>
  <c r="Q41" s="1"/>
  <c r="BC8"/>
  <c r="BC38" s="1"/>
  <c r="BC39" s="1"/>
  <c r="M24" i="86"/>
  <c r="H23"/>
  <c r="M23"/>
  <c r="H22"/>
  <c r="H20"/>
  <c r="M19"/>
  <c r="J45"/>
  <c r="AH15"/>
  <c r="CX38"/>
  <c r="AH11"/>
  <c r="Q17"/>
  <c r="R17" s="1"/>
  <c r="M17"/>
  <c r="H15"/>
  <c r="Q15"/>
  <c r="R15" s="1"/>
  <c r="CR38"/>
  <c r="Q13"/>
  <c r="R13" s="1"/>
  <c r="H13"/>
  <c r="E21"/>
  <c r="BB21" s="1"/>
  <c r="Q21"/>
  <c r="R21" s="1"/>
  <c r="M11"/>
  <c r="T38"/>
  <c r="T39" s="1"/>
  <c r="CP38"/>
  <c r="H7"/>
  <c r="Q7"/>
  <c r="R7" s="1"/>
  <c r="C13"/>
  <c r="D13" s="1"/>
  <c r="C17"/>
  <c r="D17" s="1"/>
  <c r="E9"/>
  <c r="BB9" s="1"/>
  <c r="C11"/>
  <c r="D11" s="1"/>
  <c r="C15"/>
  <c r="D15" s="1"/>
  <c r="C19"/>
  <c r="D19" s="1"/>
  <c r="U11"/>
  <c r="O38"/>
  <c r="O39" s="1"/>
  <c r="J38"/>
  <c r="J39" s="1"/>
  <c r="DB21"/>
  <c r="DE21" s="1"/>
  <c r="DF19"/>
  <c r="DF22"/>
  <c r="DB20"/>
  <c r="DE20" s="1"/>
  <c r="DF23"/>
  <c r="M9"/>
  <c r="U9"/>
  <c r="H11"/>
  <c r="AF11"/>
  <c r="M13"/>
  <c r="AF13"/>
  <c r="H17"/>
  <c r="AF17"/>
  <c r="H19"/>
  <c r="BA7"/>
  <c r="BC7" s="1"/>
  <c r="BH7"/>
  <c r="BI7" s="1"/>
  <c r="BI8" s="1"/>
  <c r="BA9"/>
  <c r="BC9" s="1"/>
  <c r="BH9"/>
  <c r="BA11"/>
  <c r="BC11" s="1"/>
  <c r="BA13"/>
  <c r="BC13" s="1"/>
  <c r="M15"/>
  <c r="AF15"/>
  <c r="BA17"/>
  <c r="BC17" s="1"/>
  <c r="H24"/>
  <c r="AH25"/>
  <c r="AW25"/>
  <c r="M25"/>
  <c r="H25"/>
  <c r="AH26"/>
  <c r="AW26"/>
  <c r="M26"/>
  <c r="H26"/>
  <c r="AH27"/>
  <c r="AW27"/>
  <c r="M27"/>
  <c r="H27"/>
  <c r="AH28"/>
  <c r="AW28"/>
  <c r="M28"/>
  <c r="H28"/>
  <c r="AH29"/>
  <c r="AW29"/>
  <c r="M29"/>
  <c r="H29"/>
  <c r="AH30"/>
  <c r="AW30"/>
  <c r="M30"/>
  <c r="H30"/>
  <c r="M7"/>
  <c r="H9"/>
  <c r="BA15"/>
  <c r="BC15" s="1"/>
  <c r="BA25"/>
  <c r="BA26"/>
  <c r="BA27"/>
  <c r="BA28"/>
  <c r="BA29"/>
  <c r="BA30"/>
  <c r="BC30" s="1"/>
  <c r="BC25"/>
  <c r="BC26"/>
  <c r="BC27"/>
  <c r="BC28"/>
  <c r="BC29"/>
  <c r="F9"/>
  <c r="AY15"/>
  <c r="P38"/>
  <c r="P39" s="1"/>
  <c r="AX38"/>
  <c r="BH19"/>
  <c r="BA19"/>
  <c r="BC19" s="1"/>
  <c r="AW19"/>
  <c r="AH19"/>
  <c r="AY22"/>
  <c r="BB22"/>
  <c r="BB24"/>
  <c r="AY24"/>
  <c r="B38"/>
  <c r="B39" s="1"/>
  <c r="D7"/>
  <c r="I38"/>
  <c r="I39" s="1"/>
  <c r="I41" s="1"/>
  <c r="L38"/>
  <c r="L39" s="1"/>
  <c r="N38"/>
  <c r="N39" s="1"/>
  <c r="AZ38"/>
  <c r="AZ39" s="1"/>
  <c r="BE7"/>
  <c r="BE8" s="1"/>
  <c r="BE9" s="1"/>
  <c r="BE10" s="1"/>
  <c r="BE11" s="1"/>
  <c r="BE12" s="1"/>
  <c r="BE13" s="1"/>
  <c r="BE14" s="1"/>
  <c r="BE15" s="1"/>
  <c r="BE16" s="1"/>
  <c r="BE17" s="1"/>
  <c r="BE18" s="1"/>
  <c r="BE19" s="1"/>
  <c r="BE20" s="1"/>
  <c r="BE21" s="1"/>
  <c r="BE22" s="1"/>
  <c r="BE23" s="1"/>
  <c r="BE24" s="1"/>
  <c r="BE25" s="1"/>
  <c r="BE26" s="1"/>
  <c r="BE27" s="1"/>
  <c r="BE28" s="1"/>
  <c r="BE29" s="1"/>
  <c r="BE30" s="1"/>
  <c r="BE31" s="1"/>
  <c r="BE32" s="1"/>
  <c r="BE33" s="1"/>
  <c r="BE34" s="1"/>
  <c r="BE35" s="1"/>
  <c r="BE36" s="1"/>
  <c r="BE37" s="1"/>
  <c r="BG7"/>
  <c r="BG8" s="1"/>
  <c r="BG9" s="1"/>
  <c r="BG10" s="1"/>
  <c r="BG11" s="1"/>
  <c r="BG12" s="1"/>
  <c r="BG13" s="1"/>
  <c r="BG14" s="1"/>
  <c r="BG15" s="1"/>
  <c r="BG16" s="1"/>
  <c r="BG17" s="1"/>
  <c r="BG18" s="1"/>
  <c r="BG19" s="1"/>
  <c r="BG20" s="1"/>
  <c r="BG21" s="1"/>
  <c r="BG22" s="1"/>
  <c r="BG23" s="1"/>
  <c r="BG24" s="1"/>
  <c r="BG25" s="1"/>
  <c r="BG26" s="1"/>
  <c r="BG27" s="1"/>
  <c r="BG28" s="1"/>
  <c r="BG29" s="1"/>
  <c r="BG30" s="1"/>
  <c r="BG31" s="1"/>
  <c r="BG32" s="1"/>
  <c r="BG33" s="1"/>
  <c r="BG34" s="1"/>
  <c r="BG35" s="1"/>
  <c r="BG36" s="1"/>
  <c r="BG37" s="1"/>
  <c r="CQ38"/>
  <c r="M39" s="1"/>
  <c r="CS38"/>
  <c r="CU38"/>
  <c r="CW38"/>
  <c r="CY38"/>
  <c r="DB7"/>
  <c r="DF7"/>
  <c r="C8"/>
  <c r="D8" s="1"/>
  <c r="E8"/>
  <c r="H8"/>
  <c r="M8"/>
  <c r="Q8"/>
  <c r="R8" s="1"/>
  <c r="AF8"/>
  <c r="BA8"/>
  <c r="BC8" s="1"/>
  <c r="DB9"/>
  <c r="DE9" s="1"/>
  <c r="C10"/>
  <c r="D10" s="1"/>
  <c r="E10"/>
  <c r="H10"/>
  <c r="M10"/>
  <c r="Q10"/>
  <c r="R10" s="1"/>
  <c r="AF10"/>
  <c r="BA10"/>
  <c r="BC10" s="1"/>
  <c r="DB11"/>
  <c r="DE11" s="1"/>
  <c r="C12"/>
  <c r="D12" s="1"/>
  <c r="E12"/>
  <c r="H12"/>
  <c r="M12"/>
  <c r="Q12"/>
  <c r="R12" s="1"/>
  <c r="AF12"/>
  <c r="BA12"/>
  <c r="BC12" s="1"/>
  <c r="DB13"/>
  <c r="DE13" s="1"/>
  <c r="C14"/>
  <c r="D14" s="1"/>
  <c r="E14"/>
  <c r="H14"/>
  <c r="M14"/>
  <c r="Q14"/>
  <c r="R14" s="1"/>
  <c r="AF14"/>
  <c r="BA14"/>
  <c r="BC14" s="1"/>
  <c r="DB15"/>
  <c r="DE15" s="1"/>
  <c r="C16"/>
  <c r="D16" s="1"/>
  <c r="E16"/>
  <c r="H16"/>
  <c r="M16"/>
  <c r="Q16"/>
  <c r="R16" s="1"/>
  <c r="AF16"/>
  <c r="BA16"/>
  <c r="BC16" s="1"/>
  <c r="DB17"/>
  <c r="DE17" s="1"/>
  <c r="C18"/>
  <c r="D18" s="1"/>
  <c r="E18"/>
  <c r="H18"/>
  <c r="M18"/>
  <c r="Q18"/>
  <c r="R18" s="1"/>
  <c r="DF18"/>
  <c r="D20"/>
  <c r="R20"/>
  <c r="BH18"/>
  <c r="BA18"/>
  <c r="BC18" s="1"/>
  <c r="AW18"/>
  <c r="BH20"/>
  <c r="BA20"/>
  <c r="BC20" s="1"/>
  <c r="AW20"/>
  <c r="AH20"/>
  <c r="U20"/>
  <c r="F20"/>
  <c r="AY23"/>
  <c r="BB23"/>
  <c r="DB8"/>
  <c r="DE8" s="1"/>
  <c r="DB10"/>
  <c r="DE10" s="1"/>
  <c r="DB12"/>
  <c r="DE12" s="1"/>
  <c r="DB14"/>
  <c r="DE14" s="1"/>
  <c r="DB16"/>
  <c r="DE16" s="1"/>
  <c r="R19"/>
  <c r="BH24"/>
  <c r="R25"/>
  <c r="R26"/>
  <c r="R27"/>
  <c r="R28"/>
  <c r="R29"/>
  <c r="R30"/>
  <c r="R31"/>
  <c r="R32"/>
  <c r="R33"/>
  <c r="R34"/>
  <c r="R35"/>
  <c r="R36"/>
  <c r="R37"/>
  <c r="AH37"/>
  <c r="AW37"/>
  <c r="BA37"/>
  <c r="BC37" s="1"/>
  <c r="BS39"/>
  <c r="BU39"/>
  <c r="BW39"/>
  <c r="BY39"/>
  <c r="CA39"/>
  <c r="CC39"/>
  <c r="CE39"/>
  <c r="F21"/>
  <c r="AH21"/>
  <c r="AW21"/>
  <c r="BA21"/>
  <c r="F22"/>
  <c r="U22"/>
  <c r="AH22"/>
  <c r="AW22"/>
  <c r="BA22"/>
  <c r="BC22" s="1"/>
  <c r="F23"/>
  <c r="U23"/>
  <c r="AH23"/>
  <c r="AW23"/>
  <c r="BA23"/>
  <c r="BC23" s="1"/>
  <c r="F24"/>
  <c r="U24"/>
  <c r="AH24"/>
  <c r="DB24"/>
  <c r="DE24" s="1"/>
  <c r="C25"/>
  <c r="D25" s="1"/>
  <c r="DB25"/>
  <c r="DE25" s="1"/>
  <c r="C26"/>
  <c r="D26" s="1"/>
  <c r="DB26"/>
  <c r="DE26" s="1"/>
  <c r="C27"/>
  <c r="D27" s="1"/>
  <c r="DB27"/>
  <c r="DE27" s="1"/>
  <c r="C28"/>
  <c r="D28" s="1"/>
  <c r="DB28"/>
  <c r="DE28" s="1"/>
  <c r="C29"/>
  <c r="D29" s="1"/>
  <c r="DB29"/>
  <c r="DE29" s="1"/>
  <c r="C30"/>
  <c r="D30" s="1"/>
  <c r="DB30"/>
  <c r="DE30" s="1"/>
  <c r="C31"/>
  <c r="D31" s="1"/>
  <c r="DB31"/>
  <c r="DE31" s="1"/>
  <c r="C32"/>
  <c r="D32" s="1"/>
  <c r="DB32"/>
  <c r="DE32" s="1"/>
  <c r="C33"/>
  <c r="D33" s="1"/>
  <c r="DB33"/>
  <c r="DE33" s="1"/>
  <c r="C34"/>
  <c r="D34" s="1"/>
  <c r="DB34"/>
  <c r="DE34" s="1"/>
  <c r="C35"/>
  <c r="D35" s="1"/>
  <c r="DB35"/>
  <c r="DE35" s="1"/>
  <c r="C36"/>
  <c r="D36" s="1"/>
  <c r="DB36"/>
  <c r="DE36" s="1"/>
  <c r="C37"/>
  <c r="D37" s="1"/>
  <c r="DB37"/>
  <c r="DE37" s="1"/>
  <c r="AS39"/>
  <c r="AM39" s="1"/>
  <c r="AS41"/>
  <c r="U37" l="1"/>
  <c r="U35"/>
  <c r="U33"/>
  <c r="U31"/>
  <c r="U21"/>
  <c r="U17"/>
  <c r="U36"/>
  <c r="U34"/>
  <c r="U32"/>
  <c r="AY19"/>
  <c r="U13"/>
  <c r="U15"/>
  <c r="F39" i="87"/>
  <c r="F41" s="1"/>
  <c r="U39"/>
  <c r="U41" s="1"/>
  <c r="F19" i="86"/>
  <c r="BB19"/>
  <c r="BB11"/>
  <c r="BB17"/>
  <c r="BB15"/>
  <c r="BB13"/>
  <c r="F37"/>
  <c r="AY37"/>
  <c r="F36"/>
  <c r="AY36"/>
  <c r="F35"/>
  <c r="AY35"/>
  <c r="F34"/>
  <c r="AY34"/>
  <c r="DD38" i="87"/>
  <c r="AY33" i="86"/>
  <c r="F33"/>
  <c r="F32"/>
  <c r="AY32"/>
  <c r="F31"/>
  <c r="AY31"/>
  <c r="BB39" i="87"/>
  <c r="AY38"/>
  <c r="AY39" s="1"/>
  <c r="AY21" i="86"/>
  <c r="BH38"/>
  <c r="AY11"/>
  <c r="AY13"/>
  <c r="F13"/>
  <c r="CP39"/>
  <c r="BI9"/>
  <c r="BI10" s="1"/>
  <c r="BI11" s="1"/>
  <c r="BI12" s="1"/>
  <c r="BI13" s="1"/>
  <c r="BI14" s="1"/>
  <c r="BI15" s="1"/>
  <c r="BI16" s="1"/>
  <c r="BI17" s="1"/>
  <c r="CR39"/>
  <c r="AY17"/>
  <c r="F17"/>
  <c r="F15"/>
  <c r="AY9"/>
  <c r="F11"/>
  <c r="U29"/>
  <c r="U27"/>
  <c r="U25"/>
  <c r="U19"/>
  <c r="U18"/>
  <c r="U16"/>
  <c r="U14"/>
  <c r="U12"/>
  <c r="U10"/>
  <c r="U8"/>
  <c r="BB37"/>
  <c r="BB36"/>
  <c r="BB35"/>
  <c r="BB34"/>
  <c r="BB33"/>
  <c r="BB32"/>
  <c r="BB31"/>
  <c r="U30"/>
  <c r="U28"/>
  <c r="U26"/>
  <c r="E39"/>
  <c r="C39"/>
  <c r="BA38"/>
  <c r="BA39" s="1"/>
  <c r="BB30"/>
  <c r="AY30"/>
  <c r="F30"/>
  <c r="BB29"/>
  <c r="AY29"/>
  <c r="F29"/>
  <c r="BB28"/>
  <c r="AY28"/>
  <c r="F28"/>
  <c r="BB27"/>
  <c r="AY27"/>
  <c r="F27"/>
  <c r="BB26"/>
  <c r="AY26"/>
  <c r="F26"/>
  <c r="BB25"/>
  <c r="AY25"/>
  <c r="F25"/>
  <c r="AY18"/>
  <c r="BB18"/>
  <c r="F18"/>
  <c r="BB16"/>
  <c r="F16"/>
  <c r="AY16"/>
  <c r="BB14"/>
  <c r="F14"/>
  <c r="AY14"/>
  <c r="BB12"/>
  <c r="F12"/>
  <c r="AY12"/>
  <c r="BB10"/>
  <c r="F10"/>
  <c r="AY10"/>
  <c r="BB8"/>
  <c r="F8"/>
  <c r="AY8"/>
  <c r="R38"/>
  <c r="U7"/>
  <c r="D38"/>
  <c r="AY7"/>
  <c r="BB7"/>
  <c r="F7"/>
  <c r="AX39"/>
  <c r="AW39" s="1"/>
  <c r="AH39"/>
  <c r="AF39"/>
  <c r="H39"/>
  <c r="BC21"/>
  <c r="CP40"/>
  <c r="BC38"/>
  <c r="BC39" s="1"/>
  <c r="DF38"/>
  <c r="X39"/>
  <c r="Q39"/>
  <c r="Q41" s="1"/>
  <c r="BI18"/>
  <c r="BI19" s="1"/>
  <c r="BI20" s="1"/>
  <c r="BI21" s="1"/>
  <c r="BI22" s="1"/>
  <c r="BI23" s="1"/>
  <c r="BI24" s="1"/>
  <c r="BI25" s="1"/>
  <c r="BI26" s="1"/>
  <c r="BI27" s="1"/>
  <c r="BI28" s="1"/>
  <c r="BI29" s="1"/>
  <c r="BI30" s="1"/>
  <c r="BI31" s="1"/>
  <c r="BI32" s="1"/>
  <c r="BI33" s="1"/>
  <c r="BI34" s="1"/>
  <c r="BI35" s="1"/>
  <c r="BI36" s="1"/>
  <c r="BI37" s="1"/>
  <c r="AY48" s="1"/>
  <c r="AY51" s="1"/>
  <c r="AY20"/>
  <c r="BB20"/>
  <c r="DB38"/>
  <c r="DC38" s="1"/>
  <c r="DE7"/>
  <c r="DE38" s="1"/>
  <c r="CW39"/>
  <c r="AB39"/>
  <c r="F39" l="1"/>
  <c r="F41" s="1"/>
  <c r="U39"/>
  <c r="U41" s="1"/>
  <c r="BB39"/>
  <c r="DD38"/>
  <c r="AY38"/>
  <c r="AY39" s="1"/>
  <c r="AP7" i="98" l="1"/>
  <c r="AO38"/>
  <c r="AK7"/>
  <c r="BE7"/>
  <c r="AI7"/>
  <c r="H7"/>
  <c r="M7"/>
  <c r="BD7"/>
  <c r="BD38" s="1"/>
  <c r="BD39" s="1"/>
  <c r="BH7"/>
  <c r="BH8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K7"/>
  <c r="BL7" s="1"/>
  <c r="BL8" s="1"/>
  <c r="BL9" s="1"/>
  <c r="BL10" s="1"/>
  <c r="BL11" s="1"/>
  <c r="BL12" s="1"/>
  <c r="BL13" s="1"/>
  <c r="BL14" s="1"/>
  <c r="BL15" s="1"/>
  <c r="BL16" s="1"/>
  <c r="BL17" s="1"/>
  <c r="BL18" s="1"/>
  <c r="BL19" s="1"/>
  <c r="BL20" s="1"/>
  <c r="BL21" s="1"/>
  <c r="BL22" s="1"/>
  <c r="BL23" s="1"/>
  <c r="BA38"/>
  <c r="AA39" s="1"/>
  <c r="BH26" l="1"/>
  <c r="BH27" s="1"/>
  <c r="BH28" s="1"/>
  <c r="BH29" s="1"/>
  <c r="BH30" s="1"/>
  <c r="BH31" s="1"/>
  <c r="BH32" s="1"/>
  <c r="BH33" s="1"/>
  <c r="BH34" s="1"/>
  <c r="BH35" s="1"/>
  <c r="BH36" s="1"/>
  <c r="BH37" s="1"/>
  <c r="BH24"/>
  <c r="BH25" s="1"/>
  <c r="BL26"/>
  <c r="BL27" s="1"/>
  <c r="BL28" s="1"/>
  <c r="BL29" s="1"/>
  <c r="BL30" s="1"/>
  <c r="BL31" s="1"/>
  <c r="BL32" s="1"/>
  <c r="BL33" s="1"/>
  <c r="BL34" s="1"/>
  <c r="BL35" s="1"/>
  <c r="BL36" s="1"/>
  <c r="BL37" s="1"/>
  <c r="BL24"/>
  <c r="BL25" s="1"/>
  <c r="BK38"/>
  <c r="AO39"/>
  <c r="AP39" s="1"/>
  <c r="AO44"/>
  <c r="F41"/>
  <c r="BB48"/>
  <c r="BB51" s="1"/>
  <c r="BF7"/>
  <c r="BF38" s="1"/>
  <c r="BF39" s="1"/>
  <c r="BA39"/>
  <c r="AZ39" s="1"/>
  <c r="W39"/>
  <c r="AI39"/>
  <c r="H39"/>
  <c r="AE39"/>
  <c r="BE39" s="1"/>
  <c r="AK39"/>
  <c r="M39"/>
  <c r="W41" l="1"/>
  <c r="X39"/>
  <c r="BF58" i="109" l="1"/>
  <c r="BF60" s="1"/>
  <c r="BF58" i="112"/>
  <c r="BF60" s="1"/>
  <c r="BF58" i="108"/>
  <c r="BF60" s="1"/>
  <c r="BF58" i="114"/>
  <c r="BF60" s="1"/>
  <c r="BF58" i="115"/>
  <c r="BF60" s="1"/>
  <c r="BF58" i="100" l="1"/>
  <c r="BF60" s="1"/>
  <c r="BF58" i="98"/>
  <c r="BF60" s="1"/>
  <c r="BF58" i="103"/>
  <c r="BF60" s="1"/>
  <c r="BF58" i="104"/>
  <c r="BF60" s="1"/>
  <c r="BF58" i="101"/>
  <c r="BF60" s="1"/>
  <c r="BF58" i="106"/>
  <c r="BF60" s="1"/>
  <c r="BF58" i="110" l="1"/>
  <c r="BF60" s="1"/>
  <c r="BF58" i="105"/>
  <c r="BF60" s="1"/>
  <c r="BF58" i="107"/>
  <c r="BF60" s="1"/>
  <c r="BF58" i="116" l="1"/>
  <c r="BF60" s="1"/>
  <c r="BF58" i="111"/>
  <c r="BF60" s="1"/>
  <c r="BF58" i="113"/>
  <c r="BF60" s="1"/>
</calcChain>
</file>

<file path=xl/sharedStrings.xml><?xml version="1.0" encoding="utf-8"?>
<sst xmlns="http://schemas.openxmlformats.org/spreadsheetml/2006/main" count="5869" uniqueCount="507">
  <si>
    <t>Сведения по учету производства ферромарганца в АО "СЧПЗ" — ДП-3</t>
  </si>
  <si>
    <t>на</t>
  </si>
  <si>
    <t>января</t>
  </si>
  <si>
    <t>Дата</t>
  </si>
  <si>
    <t>Расх.добавок, флюсов</t>
  </si>
  <si>
    <t xml:space="preserve">        Расход кокса</t>
  </si>
  <si>
    <t>Производство FeMn78 т</t>
  </si>
  <si>
    <t>Производство FeMn с Si&lt;1, т</t>
  </si>
  <si>
    <t>Сод. Si в сплаве %</t>
  </si>
  <si>
    <t>Температура колош. газа, °С</t>
  </si>
  <si>
    <t>Темпе-ратура гор. дутья, °С</t>
  </si>
  <si>
    <t>Расход гор. дутья, м3/мин / фурмы,шт</t>
  </si>
  <si>
    <t>Средн. содерж. Mn в сплаве, %</t>
  </si>
  <si>
    <t>Количество подач,шт</t>
  </si>
  <si>
    <t>Количество выпусков, шт</t>
  </si>
  <si>
    <t xml:space="preserve">Количество  пыли  </t>
  </si>
  <si>
    <t>Количество шлака</t>
  </si>
  <si>
    <t>Перевал,  т</t>
  </si>
  <si>
    <t xml:space="preserve">Зеленый шлак </t>
  </si>
  <si>
    <t>Мелочь Фмн</t>
  </si>
  <si>
    <t>Осн-ть</t>
  </si>
  <si>
    <t>Сод MgO в шлаке, %</t>
  </si>
  <si>
    <t>Сод. MnO в шлаке, %</t>
  </si>
  <si>
    <t>Производство фактическое, т</t>
  </si>
  <si>
    <t>Теорети-    ческий выход FeMn, т</t>
  </si>
  <si>
    <t>Потери Mn со шлаком расчетно, т</t>
  </si>
  <si>
    <t>Факт.    коэф-т извлеч. Mn из расплава</t>
  </si>
  <si>
    <t>Средняя значения кофицент извлечения Mn из  расплава</t>
  </si>
  <si>
    <t>Проплавлено    руды (влаж.), т</t>
  </si>
  <si>
    <t>Влажность руды , %</t>
  </si>
  <si>
    <t>Сод. Mn в руде, %</t>
  </si>
  <si>
    <t>Сожжено кокса сух., т</t>
  </si>
  <si>
    <t>Влажность кокса, %</t>
  </si>
  <si>
    <t>Сухой руды, т</t>
  </si>
  <si>
    <t>Fe содер. материалов, т</t>
  </si>
  <si>
    <t>Кварцит, т</t>
  </si>
  <si>
    <t>Агломерат, т</t>
  </si>
  <si>
    <t>Удельн.расход агломерата, т</t>
  </si>
  <si>
    <t>Сожжено кокса (влаж.), т</t>
  </si>
  <si>
    <t>Сухого скипо-  вого кокса, т</t>
  </si>
  <si>
    <t>Выход кокс. мелочи, т</t>
  </si>
  <si>
    <t>Сухого кокса (заданный), т</t>
  </si>
  <si>
    <t>Удельн. расход сухого кокса, т</t>
  </si>
  <si>
    <t>всего,             т</t>
  </si>
  <si>
    <t>на т FeMn, кг</t>
  </si>
  <si>
    <t>на т FeMn,     кг</t>
  </si>
  <si>
    <t>Разлито жидкого</t>
  </si>
  <si>
    <t>из шлака</t>
  </si>
  <si>
    <t xml:space="preserve"> c перевала</t>
  </si>
  <si>
    <t>с отвала</t>
  </si>
  <si>
    <t>% с отвала от годного</t>
  </si>
  <si>
    <t>Всего годного</t>
  </si>
  <si>
    <t>химические</t>
  </si>
  <si>
    <t>физические</t>
  </si>
  <si>
    <t>FeMn
НИ</t>
  </si>
  <si>
    <t>План</t>
  </si>
  <si>
    <t>План по нараст.</t>
  </si>
  <si>
    <t>Чиатури</t>
  </si>
  <si>
    <t>е</t>
  </si>
  <si>
    <t>ср.</t>
  </si>
  <si>
    <t>пл.</t>
  </si>
  <si>
    <t>±</t>
  </si>
  <si>
    <t>Отклонения</t>
  </si>
  <si>
    <t>по выпускам</t>
  </si>
  <si>
    <t>ССП</t>
  </si>
  <si>
    <t xml:space="preserve">     тн</t>
  </si>
  <si>
    <t>Дней</t>
  </si>
  <si>
    <t xml:space="preserve">Средний вес выпуска: </t>
  </si>
  <si>
    <t>План:</t>
  </si>
  <si>
    <t>Суток работы</t>
  </si>
  <si>
    <t>Среднесуточное пр-во</t>
  </si>
  <si>
    <t>Отставание (-) 
опережение (+)</t>
  </si>
  <si>
    <t>Тн</t>
  </si>
  <si>
    <t>%</t>
  </si>
  <si>
    <t>Диспетчер АО "СЧПЗ"</t>
  </si>
  <si>
    <t>Расход Mn шихты</t>
  </si>
  <si>
    <t>Проплавлено шихты (влаж.), т</t>
  </si>
  <si>
    <t>Влажность шихты , %</t>
  </si>
  <si>
    <t>Сод. Mn в марг. шихте, %</t>
  </si>
  <si>
    <t>Удельн расход марг. шихты, т</t>
  </si>
  <si>
    <t>Удельн расход руды, т</t>
  </si>
  <si>
    <t xml:space="preserve">Агломерат </t>
  </si>
  <si>
    <t xml:space="preserve">Отсев  агломерата, т </t>
  </si>
  <si>
    <t xml:space="preserve">Отсев руды ,т </t>
  </si>
  <si>
    <t>Губаха +25</t>
  </si>
  <si>
    <t>Агломерат</t>
  </si>
  <si>
    <t>Удельн.расход мелочи, т</t>
  </si>
  <si>
    <t>Тяж.шлак ,т</t>
  </si>
  <si>
    <t>Тяжелый шлак</t>
  </si>
  <si>
    <t>Кол-во, т</t>
  </si>
  <si>
    <t>W</t>
  </si>
  <si>
    <t>Mn</t>
  </si>
  <si>
    <t>ИТОГО</t>
  </si>
  <si>
    <t xml:space="preserve">кокс Губаха +25 </t>
  </si>
  <si>
    <t xml:space="preserve">Маматван  </t>
  </si>
  <si>
    <t xml:space="preserve">Маматван </t>
  </si>
  <si>
    <t xml:space="preserve"> Казахстан(10-100)</t>
  </si>
  <si>
    <t>Казахстан        (10-100)</t>
  </si>
  <si>
    <t xml:space="preserve"> Каражал</t>
  </si>
  <si>
    <t>Глория</t>
  </si>
  <si>
    <t>Известняк, т</t>
  </si>
  <si>
    <t>Агломерат кисл</t>
  </si>
  <si>
    <t>Алтай</t>
  </si>
  <si>
    <t>кокс Алтай</t>
  </si>
  <si>
    <t>Габон</t>
  </si>
  <si>
    <t>Сод. Al2O3 в шлаке, %</t>
  </si>
  <si>
    <t>Кемерово</t>
  </si>
  <si>
    <t>2020г.</t>
  </si>
  <si>
    <t>Н. Тагил</t>
  </si>
  <si>
    <t>774/12</t>
  </si>
  <si>
    <t>1,08/1,32</t>
  </si>
  <si>
    <t>776/12</t>
  </si>
  <si>
    <t>1,18/1,42</t>
  </si>
  <si>
    <t>1,31/1,56</t>
  </si>
  <si>
    <t>763-12</t>
  </si>
  <si>
    <t>1,30/1,53</t>
  </si>
  <si>
    <t>743/12</t>
  </si>
  <si>
    <t>1,24/1,47</t>
  </si>
  <si>
    <t>749/12</t>
  </si>
  <si>
    <t>1,19/1,43</t>
  </si>
  <si>
    <t>724/12</t>
  </si>
  <si>
    <t>1,24/1,48</t>
  </si>
  <si>
    <t>683/12</t>
  </si>
  <si>
    <t>1,09/1,34</t>
  </si>
  <si>
    <t>748/12</t>
  </si>
  <si>
    <t>0,81/1,04</t>
  </si>
  <si>
    <t>1,11/1,35</t>
  </si>
  <si>
    <t>735/12</t>
  </si>
  <si>
    <t>1,32/1,58</t>
  </si>
  <si>
    <t>715/12</t>
  </si>
  <si>
    <t>1,10/1,36</t>
  </si>
  <si>
    <t>726/12</t>
  </si>
  <si>
    <t>1,20/1,48</t>
  </si>
  <si>
    <t>730/12</t>
  </si>
  <si>
    <t>740/12</t>
  </si>
  <si>
    <t>1,06/1,32</t>
  </si>
  <si>
    <t>706/12</t>
  </si>
  <si>
    <t>1,14/1,38</t>
  </si>
  <si>
    <t>702/12</t>
  </si>
  <si>
    <t>1,04/1,30</t>
  </si>
  <si>
    <t>759/12</t>
  </si>
  <si>
    <t>1,31/1,58</t>
  </si>
  <si>
    <t>773/12</t>
  </si>
  <si>
    <t>1,29/1,56</t>
  </si>
  <si>
    <t>787/12</t>
  </si>
  <si>
    <t>1,26/1,53</t>
  </si>
  <si>
    <t>1,42/1,67</t>
  </si>
  <si>
    <t>Каражал</t>
  </si>
  <si>
    <t>1,35/1,6</t>
  </si>
  <si>
    <t>783/12</t>
  </si>
  <si>
    <t>1,34/1,57</t>
  </si>
  <si>
    <t>февраля</t>
  </si>
  <si>
    <t>758/12</t>
  </si>
  <si>
    <t>1,33/1,56</t>
  </si>
  <si>
    <t>744/12</t>
  </si>
  <si>
    <t>1,31/1,55</t>
  </si>
  <si>
    <t>1,32/1,56</t>
  </si>
  <si>
    <t>742/12</t>
  </si>
  <si>
    <t>1,23/1,47</t>
  </si>
  <si>
    <t>1,30/1,54</t>
  </si>
  <si>
    <t>737/10</t>
  </si>
  <si>
    <t>1,16/1,41</t>
  </si>
  <si>
    <t>Тренина С.А.</t>
  </si>
  <si>
    <t>781/12</t>
  </si>
  <si>
    <t>1,19/1,44</t>
  </si>
  <si>
    <t>788/12</t>
  </si>
  <si>
    <t>1,20/1,45</t>
  </si>
  <si>
    <t>778/12</t>
  </si>
  <si>
    <t>1,29/1,54</t>
  </si>
  <si>
    <t>751/12</t>
  </si>
  <si>
    <t>1,34/1,59</t>
  </si>
  <si>
    <t>784/12</t>
  </si>
  <si>
    <t>1,27/1,53</t>
  </si>
  <si>
    <t>1,15/1,40</t>
  </si>
  <si>
    <t>808/12</t>
  </si>
  <si>
    <t>1,22/1,47</t>
  </si>
  <si>
    <t>801/12</t>
  </si>
  <si>
    <t>1,24/1,49</t>
  </si>
  <si>
    <t>796/12</t>
  </si>
  <si>
    <t>1,20/1,46</t>
  </si>
  <si>
    <t>1,22/1,48</t>
  </si>
  <si>
    <t>799/12</t>
  </si>
  <si>
    <t>1,21/1,46</t>
  </si>
  <si>
    <t>810/12</t>
  </si>
  <si>
    <t>805/12</t>
  </si>
  <si>
    <t>1,43/1,67</t>
  </si>
  <si>
    <t>1,37/1,61</t>
  </si>
  <si>
    <t>782/12</t>
  </si>
  <si>
    <t>1,3/1,54</t>
  </si>
  <si>
    <t>1,26/1,48</t>
  </si>
  <si>
    <t>1,23/1,43</t>
  </si>
  <si>
    <t>1,25/1,46</t>
  </si>
  <si>
    <t>785/12</t>
  </si>
  <si>
    <t>1,21/1,42</t>
  </si>
  <si>
    <t>1,20/1,41</t>
  </si>
  <si>
    <t>марта</t>
  </si>
  <si>
    <t>789/12</t>
  </si>
  <si>
    <t>1,21/1,41</t>
  </si>
  <si>
    <t>803/12</t>
  </si>
  <si>
    <t>1,31/1,52</t>
  </si>
  <si>
    <t>797/12</t>
  </si>
  <si>
    <t>1,29/1,52</t>
  </si>
  <si>
    <t>1,28/1,51</t>
  </si>
  <si>
    <t>786/12</t>
  </si>
  <si>
    <t>1,32/1,54</t>
  </si>
  <si>
    <t>772/12</t>
  </si>
  <si>
    <t>1,25/1,48</t>
  </si>
  <si>
    <t>806/12</t>
  </si>
  <si>
    <t>1,24/1,46</t>
  </si>
  <si>
    <t>1,24/1,44</t>
  </si>
  <si>
    <t>Барчук Л.Ю.</t>
  </si>
  <si>
    <t>775/12</t>
  </si>
  <si>
    <t>1,28/1,50</t>
  </si>
  <si>
    <t>752/12</t>
  </si>
  <si>
    <t>681/12</t>
  </si>
  <si>
    <t>1,25/1,47</t>
  </si>
  <si>
    <t>672/12</t>
  </si>
  <si>
    <t>804/12</t>
  </si>
  <si>
    <t>1,31/1,54</t>
  </si>
  <si>
    <t>791/12</t>
  </si>
  <si>
    <t>1,33/1,53</t>
  </si>
  <si>
    <t>800/12</t>
  </si>
  <si>
    <t>793/12</t>
  </si>
  <si>
    <t>1,30/1,51</t>
  </si>
  <si>
    <t>1,29/1,50</t>
  </si>
  <si>
    <t>1,26/1,49</t>
  </si>
  <si>
    <t>762/12</t>
  </si>
  <si>
    <t>508/6</t>
  </si>
  <si>
    <t>1,29/1,51</t>
  </si>
  <si>
    <t>605/9</t>
  </si>
  <si>
    <t>1,31/1,49</t>
  </si>
  <si>
    <t>1,33/1,51</t>
  </si>
  <si>
    <t>795/12</t>
  </si>
  <si>
    <t>1,31/1,53</t>
  </si>
  <si>
    <t>812/12</t>
  </si>
  <si>
    <t>1,19/1,41</t>
  </si>
  <si>
    <t>792/12</t>
  </si>
  <si>
    <t>апреля</t>
  </si>
  <si>
    <t>1,23/1,46</t>
  </si>
  <si>
    <t>777/12</t>
  </si>
  <si>
    <t>1,32/1,55</t>
  </si>
  <si>
    <t>731/12</t>
  </si>
  <si>
    <t>1,27/1,50</t>
  </si>
  <si>
    <t>699/12</t>
  </si>
  <si>
    <t>1,33/1,54</t>
  </si>
  <si>
    <t>707/12</t>
  </si>
  <si>
    <t>708/12</t>
  </si>
  <si>
    <t>1,27/1,49</t>
  </si>
  <si>
    <t>700/12</t>
  </si>
  <si>
    <t>1,26/1,50</t>
  </si>
  <si>
    <t>1,29/1,53</t>
  </si>
  <si>
    <t>722/12</t>
  </si>
  <si>
    <t>798/12</t>
  </si>
  <si>
    <t>787/11</t>
  </si>
  <si>
    <t>763/11</t>
  </si>
  <si>
    <t>762/11</t>
  </si>
  <si>
    <t>757/11</t>
  </si>
  <si>
    <t>753/11</t>
  </si>
  <si>
    <t>747/11</t>
  </si>
  <si>
    <t>1,28//1,50</t>
  </si>
  <si>
    <t>755/11</t>
  </si>
  <si>
    <t>мая</t>
  </si>
  <si>
    <t>752/11</t>
  </si>
  <si>
    <t>760/11</t>
  </si>
  <si>
    <t>766/11</t>
  </si>
  <si>
    <t>773/11</t>
  </si>
  <si>
    <t>772/11</t>
  </si>
  <si>
    <t>758/11</t>
  </si>
  <si>
    <t>761/11</t>
  </si>
  <si>
    <t>749/11</t>
  </si>
  <si>
    <t>1,27/1,48</t>
  </si>
  <si>
    <t>748/11</t>
  </si>
  <si>
    <t>754/11</t>
  </si>
  <si>
    <t>1,24/1,45</t>
  </si>
  <si>
    <t>722/11</t>
  </si>
  <si>
    <t>764/10</t>
  </si>
  <si>
    <t>1,23/1,45</t>
  </si>
  <si>
    <t>1,27/1,47</t>
  </si>
  <si>
    <t>743/10</t>
  </si>
  <si>
    <t>722/10</t>
  </si>
  <si>
    <t>730/10</t>
  </si>
  <si>
    <t>1,33/1,55</t>
  </si>
  <si>
    <t>701/10</t>
  </si>
  <si>
    <t>1,3/1,53</t>
  </si>
  <si>
    <t>731/10</t>
  </si>
  <si>
    <t>710/10</t>
  </si>
  <si>
    <t>719/10</t>
  </si>
  <si>
    <t>725/10</t>
  </si>
  <si>
    <t>735/10</t>
  </si>
  <si>
    <t>1,22/1,44</t>
  </si>
  <si>
    <t>1,18/1,38</t>
  </si>
  <si>
    <t>733/10</t>
  </si>
  <si>
    <t>1,15/1,35</t>
  </si>
  <si>
    <t>1,17/1,36</t>
  </si>
  <si>
    <t>1,16/1,35</t>
  </si>
  <si>
    <t>713/10</t>
  </si>
  <si>
    <t>Новорос - ая</t>
  </si>
  <si>
    <t>712/10</t>
  </si>
  <si>
    <t>1,17/1,37</t>
  </si>
  <si>
    <t>714/10</t>
  </si>
  <si>
    <t>1,18/1,41</t>
  </si>
  <si>
    <t>1,17/1,39</t>
  </si>
  <si>
    <t>724/10</t>
  </si>
  <si>
    <t>1,18/1,40</t>
  </si>
  <si>
    <t>717/10</t>
  </si>
  <si>
    <t>729/10</t>
  </si>
  <si>
    <t>1,16/1,37</t>
  </si>
  <si>
    <t>718/10</t>
  </si>
  <si>
    <t>июня</t>
  </si>
  <si>
    <t>723/10</t>
  </si>
  <si>
    <t>1,19/1,39</t>
  </si>
  <si>
    <t>721/10</t>
  </si>
  <si>
    <t>1,20/1,40</t>
  </si>
  <si>
    <t>726/10</t>
  </si>
  <si>
    <t>727/10</t>
  </si>
  <si>
    <t>1,26/1,51</t>
  </si>
  <si>
    <t>693/10</t>
  </si>
  <si>
    <t>1,21/1,43</t>
  </si>
  <si>
    <t>728/10</t>
  </si>
  <si>
    <t>1,28/1,52</t>
  </si>
  <si>
    <t>1,20/1,44</t>
  </si>
  <si>
    <t>720/10</t>
  </si>
  <si>
    <t>715/10</t>
  </si>
  <si>
    <t>1,25/1,50</t>
  </si>
  <si>
    <t>1,27/1,51</t>
  </si>
  <si>
    <t>706/10</t>
  </si>
  <si>
    <t>1,24/1,50</t>
  </si>
  <si>
    <t>698/10</t>
  </si>
  <si>
    <t>1,2/1,47</t>
  </si>
  <si>
    <t>1,20/1,47</t>
  </si>
  <si>
    <t>697/10</t>
  </si>
  <si>
    <t>1,18/1,45</t>
  </si>
  <si>
    <t>705/10</t>
  </si>
  <si>
    <t>703/10</t>
  </si>
  <si>
    <t>1,18/1,43</t>
  </si>
  <si>
    <t>1,17/1,41</t>
  </si>
  <si>
    <t>1,16/1,40</t>
  </si>
  <si>
    <t>июля</t>
  </si>
  <si>
    <t>Шалахманова А.В.</t>
  </si>
  <si>
    <t>675/10</t>
  </si>
  <si>
    <t>690/10</t>
  </si>
  <si>
    <t>1,25/1,51</t>
  </si>
  <si>
    <t>658/10</t>
  </si>
  <si>
    <t>1,23/1,49</t>
  </si>
  <si>
    <t>1,23/1,51</t>
  </si>
  <si>
    <t>672/10</t>
  </si>
  <si>
    <t>709/10</t>
  </si>
  <si>
    <t>1,24/1,51</t>
  </si>
  <si>
    <t>1,19/1,46</t>
  </si>
  <si>
    <t>744/10</t>
  </si>
  <si>
    <t>765/10</t>
  </si>
  <si>
    <t>1,21/1,47</t>
  </si>
  <si>
    <t>741/10</t>
  </si>
  <si>
    <t>1,27/1,55</t>
  </si>
  <si>
    <t>Удельный расход мелочь ФМн ср.</t>
  </si>
  <si>
    <t>т</t>
  </si>
  <si>
    <t>Мелочь ФМн с н. м.</t>
  </si>
  <si>
    <t>план</t>
  </si>
  <si>
    <t>факт</t>
  </si>
  <si>
    <t>Отклонение</t>
  </si>
  <si>
    <t>747/10</t>
  </si>
  <si>
    <t>1,28/1,57</t>
  </si>
  <si>
    <t>1,27/1,56</t>
  </si>
  <si>
    <t>745/10</t>
  </si>
  <si>
    <t>1,26/1,55</t>
  </si>
  <si>
    <t>751/10</t>
  </si>
  <si>
    <t>740/10</t>
  </si>
  <si>
    <t>1,29/1,58</t>
  </si>
  <si>
    <t>1,29/1,60</t>
  </si>
  <si>
    <t>1,28/1,58</t>
  </si>
  <si>
    <t>746/10</t>
  </si>
  <si>
    <t>1,25/1,56</t>
  </si>
  <si>
    <t>Коксовый орешек,т</t>
  </si>
  <si>
    <t>755/10</t>
  </si>
  <si>
    <t>1,26/1,56</t>
  </si>
  <si>
    <t>752/10</t>
  </si>
  <si>
    <t>1,26/1,54</t>
  </si>
  <si>
    <t>738/10</t>
  </si>
  <si>
    <t>1,33/1,65</t>
  </si>
  <si>
    <t>1,28/1,6</t>
  </si>
  <si>
    <t>1,23/1,52</t>
  </si>
  <si>
    <t>749/10</t>
  </si>
  <si>
    <t>1,23/1,53</t>
  </si>
  <si>
    <t>августа</t>
  </si>
  <si>
    <t>Маматван</t>
  </si>
  <si>
    <t>1,30/1,62</t>
  </si>
  <si>
    <t>1,29/1,59</t>
  </si>
  <si>
    <t>Габон/Маматван</t>
  </si>
  <si>
    <t>Кудумани</t>
  </si>
  <si>
    <t xml:space="preserve">Агломерат 18%, 16пр </t>
  </si>
  <si>
    <t>Агломерат 7%, 14пр</t>
  </si>
  <si>
    <t>Агломерат 18%, 16пр</t>
  </si>
  <si>
    <t>1,30/1,59</t>
  </si>
  <si>
    <t>Кленина М.В.</t>
  </si>
  <si>
    <t>1,35/1,56</t>
  </si>
  <si>
    <t>Удельн. расход сухого коксового орешка, т</t>
  </si>
  <si>
    <t>Всего удельн. расход  кокса, т</t>
  </si>
  <si>
    <t>Сухой коксовый орешек,т</t>
  </si>
  <si>
    <t>Коксовый орешек</t>
  </si>
  <si>
    <t>Известняк,т</t>
  </si>
  <si>
    <t>736/10</t>
  </si>
  <si>
    <t>1,26/1,46</t>
  </si>
  <si>
    <t>1,28/1,48</t>
  </si>
  <si>
    <t>1,26/1,47</t>
  </si>
  <si>
    <t>716/10</t>
  </si>
  <si>
    <t>684/10</t>
  </si>
  <si>
    <t>1,29/1,49</t>
  </si>
  <si>
    <t>696/10</t>
  </si>
  <si>
    <t>769/10</t>
  </si>
  <si>
    <t>1,32/1,5</t>
  </si>
  <si>
    <t>773/10</t>
  </si>
  <si>
    <t>762/10</t>
  </si>
  <si>
    <t>761/10</t>
  </si>
  <si>
    <t>1,23/1,44</t>
  </si>
  <si>
    <t>760/10</t>
  </si>
  <si>
    <t>1,29/1,5</t>
  </si>
  <si>
    <t>1,35/1,57</t>
  </si>
  <si>
    <t>1,32/1,53</t>
  </si>
  <si>
    <t>742/10</t>
  </si>
  <si>
    <t>1,21/1,44</t>
  </si>
  <si>
    <t xml:space="preserve">Агломерат 18%, 5-6пр </t>
  </si>
  <si>
    <t>524/6</t>
  </si>
  <si>
    <t>сентября</t>
  </si>
  <si>
    <t>631/10</t>
  </si>
  <si>
    <t>1,25/1,45</t>
  </si>
  <si>
    <t>Агломерат 3 пр</t>
  </si>
  <si>
    <t>815/12</t>
  </si>
  <si>
    <t>1,36/1,60</t>
  </si>
  <si>
    <t>1,34/1,58</t>
  </si>
  <si>
    <t>794/12</t>
  </si>
  <si>
    <t>1,27/1,5</t>
  </si>
  <si>
    <t>1,22/1,45</t>
  </si>
  <si>
    <t>766/12</t>
  </si>
  <si>
    <t>1,27/1,52</t>
  </si>
  <si>
    <t>780/12</t>
  </si>
  <si>
    <t>769/12</t>
  </si>
  <si>
    <t>октября</t>
  </si>
  <si>
    <t>1,25/1,52</t>
  </si>
  <si>
    <t>807/12</t>
  </si>
  <si>
    <t>1,17/1,46</t>
  </si>
  <si>
    <t>Челябинск</t>
  </si>
  <si>
    <t>кокс Челябинск</t>
  </si>
  <si>
    <t>1,22/1,49</t>
  </si>
  <si>
    <t>771/12</t>
  </si>
  <si>
    <t>817/12</t>
  </si>
  <si>
    <t>1,15/1,42</t>
  </si>
  <si>
    <t>823/12</t>
  </si>
  <si>
    <t>833/12</t>
  </si>
  <si>
    <t>838/12</t>
  </si>
  <si>
    <t>1,24/1,52</t>
  </si>
  <si>
    <t>814/12</t>
  </si>
  <si>
    <t>1,23/1,48</t>
  </si>
  <si>
    <t>1,25/1,54</t>
  </si>
  <si>
    <t>1,27/1,57</t>
  </si>
  <si>
    <t>790/12</t>
  </si>
  <si>
    <t xml:space="preserve">Агломерат , 4-5пр </t>
  </si>
  <si>
    <t>Агломерат, 4-5 пр</t>
  </si>
  <si>
    <t xml:space="preserve">Агломерат, 13% 6-7 пр </t>
  </si>
  <si>
    <t>Агломерат,13% 6-7 пр</t>
  </si>
  <si>
    <t>1,3/1,6</t>
  </si>
  <si>
    <t>1,32/1,61</t>
  </si>
  <si>
    <t>809/12</t>
  </si>
  <si>
    <t>Новотроицк</t>
  </si>
  <si>
    <t>813/12</t>
  </si>
  <si>
    <t>1,22/1,52</t>
  </si>
  <si>
    <t>1,18/1,47</t>
  </si>
  <si>
    <t>811/12</t>
  </si>
  <si>
    <t>1,21/1,51</t>
  </si>
  <si>
    <t>1,21/1,49</t>
  </si>
  <si>
    <t>818/12</t>
  </si>
  <si>
    <t>1,23/1,54</t>
  </si>
  <si>
    <t>ноября</t>
  </si>
  <si>
    <t>1,25/1,53</t>
  </si>
  <si>
    <t>754/12</t>
  </si>
  <si>
    <t>1,24/1,53</t>
  </si>
  <si>
    <t>1,22/1,51</t>
  </si>
  <si>
    <t>824/12</t>
  </si>
  <si>
    <t>1,19/1,47</t>
  </si>
  <si>
    <t>821/12</t>
  </si>
  <si>
    <t>Агломерат, 6-7/ 16 пр</t>
  </si>
  <si>
    <t xml:space="preserve">Агломерат,  6-7/ 16 пр </t>
  </si>
  <si>
    <t xml:space="preserve">Агломерат, 6-7 / 16пр </t>
  </si>
  <si>
    <t>Сединкина Т.В.</t>
  </si>
  <si>
    <t>1,28/1,59</t>
  </si>
  <si>
    <t>765/12</t>
  </si>
  <si>
    <t>1,16/1,44</t>
  </si>
  <si>
    <t>1,23/1,50</t>
  </si>
  <si>
    <t>1,17/1,45</t>
  </si>
  <si>
    <t>768/12</t>
  </si>
  <si>
    <t>1,24/1,54</t>
  </si>
  <si>
    <t>декабря</t>
  </si>
  <si>
    <t>1,14/1,42</t>
  </si>
  <si>
    <t>1,22/1,5</t>
  </si>
  <si>
    <t>1,30/1,61</t>
  </si>
  <si>
    <t>1,18/1,44</t>
  </si>
  <si>
    <t>704/12</t>
  </si>
  <si>
    <t>1,28/1,5</t>
  </si>
  <si>
    <t>819/12</t>
  </si>
  <si>
    <t>822/12</t>
  </si>
  <si>
    <t>816/12</t>
  </si>
  <si>
    <t>828/12</t>
  </si>
  <si>
    <t>835/12</t>
  </si>
  <si>
    <t>826/12</t>
  </si>
  <si>
    <t>1,28/1,49</t>
  </si>
  <si>
    <t>1,20/1,42</t>
  </si>
  <si>
    <t>820/12</t>
  </si>
  <si>
    <t>831/12</t>
  </si>
</sst>
</file>

<file path=xl/styles.xml><?xml version="1.0" encoding="utf-8"?>
<styleSheet xmlns="http://schemas.openxmlformats.org/spreadsheetml/2006/main">
  <numFmts count="8">
    <numFmt numFmtId="164" formatCode="_-* #,##0.00_р_._-;\-* #,##0.00_р_._-;_-* \-??_р_._-;_-@_-"/>
    <numFmt numFmtId="165" formatCode="0.000"/>
    <numFmt numFmtId="166" formatCode="#,##0.000"/>
    <numFmt numFmtId="167" formatCode="0.0"/>
    <numFmt numFmtId="168" formatCode="#,##0.00;[Red]\-#,##0.00"/>
    <numFmt numFmtId="169" formatCode="0.0000000"/>
    <numFmt numFmtId="170" formatCode="0.0000"/>
    <numFmt numFmtId="171" formatCode="#,###.00"/>
  </numFmts>
  <fonts count="58">
    <font>
      <sz val="10"/>
      <name val="Arial Cyr"/>
      <family val="2"/>
      <charset val="204"/>
    </font>
    <font>
      <sz val="12"/>
      <name val="Arial Cyr"/>
      <family val="2"/>
      <charset val="204"/>
    </font>
    <font>
      <sz val="10"/>
      <name val="Arial"/>
      <family val="2"/>
      <charset val="204"/>
    </font>
    <font>
      <sz val="11"/>
      <name val="Arial Cyr"/>
      <family val="2"/>
      <charset val="204"/>
    </font>
    <font>
      <sz val="8"/>
      <name val="Times New Roman CYR"/>
      <family val="1"/>
      <charset val="204"/>
    </font>
    <font>
      <sz val="10"/>
      <name val="Times New Roman CYR"/>
      <family val="1"/>
      <charset val="204"/>
    </font>
    <font>
      <sz val="8"/>
      <name val="Arial Cyr"/>
      <family val="2"/>
      <charset val="204"/>
    </font>
    <font>
      <sz val="10"/>
      <color indexed="12"/>
      <name val="Times New Roman CYR"/>
      <family val="1"/>
      <charset val="204"/>
    </font>
    <font>
      <sz val="10"/>
      <color indexed="12"/>
      <name val="Arial Cyr"/>
      <family val="2"/>
      <charset val="204"/>
    </font>
    <font>
      <sz val="8"/>
      <color indexed="12"/>
      <name val="Arial Cyr"/>
      <family val="2"/>
      <charset val="204"/>
    </font>
    <font>
      <sz val="10"/>
      <color indexed="17"/>
      <name val="Arial Cyr"/>
      <family val="2"/>
      <charset val="204"/>
    </font>
    <font>
      <b/>
      <sz val="12"/>
      <color indexed="12"/>
      <name val="Arial Cyr"/>
      <family val="2"/>
      <charset val="204"/>
    </font>
    <font>
      <b/>
      <sz val="11"/>
      <color indexed="12"/>
      <name val="Arial Cyr"/>
      <family val="2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sz val="12"/>
      <name val="Arial"/>
      <family val="2"/>
      <charset val="204"/>
    </font>
    <font>
      <b/>
      <sz val="10"/>
      <name val="Arial Cyr"/>
      <charset val="204"/>
    </font>
    <font>
      <b/>
      <sz val="10"/>
      <color indexed="12"/>
      <name val="Arial Cyr"/>
      <charset val="204"/>
    </font>
    <font>
      <sz val="10"/>
      <name val="Arial Cyr"/>
      <charset val="204"/>
    </font>
    <font>
      <sz val="10"/>
      <color indexed="9"/>
      <name val="Arial Cyr"/>
      <charset val="204"/>
    </font>
    <font>
      <sz val="10"/>
      <color indexed="12"/>
      <name val="Arial Cyr"/>
      <charset val="204"/>
    </font>
    <font>
      <sz val="12"/>
      <color indexed="10"/>
      <name val="Arial Cyr"/>
      <family val="2"/>
      <charset val="204"/>
    </font>
    <font>
      <b/>
      <sz val="10"/>
      <color indexed="17"/>
      <name val="Arial Cyr"/>
      <charset val="204"/>
    </font>
    <font>
      <i/>
      <sz val="10"/>
      <name val="Arial Cyr"/>
      <charset val="204"/>
    </font>
    <font>
      <b/>
      <i/>
      <sz val="10"/>
      <name val="Arial Cyr"/>
      <charset val="204"/>
    </font>
    <font>
      <sz val="11"/>
      <name val="Arial Cyr"/>
      <charset val="204"/>
    </font>
    <font>
      <sz val="11"/>
      <color indexed="12"/>
      <name val="Arial Cyr"/>
      <charset val="204"/>
    </font>
    <font>
      <sz val="11"/>
      <color indexed="8"/>
      <name val="Arial Cyr"/>
      <charset val="204"/>
    </font>
    <font>
      <b/>
      <sz val="9"/>
      <color indexed="12"/>
      <name val="Arial Cyr"/>
      <charset val="204"/>
    </font>
    <font>
      <b/>
      <sz val="8"/>
      <color indexed="12"/>
      <name val="Arial Cyr"/>
      <charset val="204"/>
    </font>
    <font>
      <b/>
      <sz val="10"/>
      <color indexed="10"/>
      <name val="Arial Cyr"/>
      <family val="2"/>
      <charset val="204"/>
    </font>
    <font>
      <b/>
      <sz val="10"/>
      <color indexed="10"/>
      <name val="Lucida Console"/>
      <family val="3"/>
      <charset val="204"/>
    </font>
    <font>
      <b/>
      <sz val="11"/>
      <name val="Arial Cyr"/>
      <charset val="204"/>
    </font>
    <font>
      <sz val="8"/>
      <name val="Arial CYR"/>
      <charset val="204"/>
    </font>
    <font>
      <sz val="11"/>
      <color indexed="48"/>
      <name val="Arial Cyr"/>
      <charset val="204"/>
    </font>
    <font>
      <b/>
      <sz val="10"/>
      <color indexed="12"/>
      <name val="Arial"/>
      <family val="2"/>
      <charset val="204"/>
    </font>
    <font>
      <b/>
      <sz val="10"/>
      <name val="Lucida Console"/>
      <family val="3"/>
      <charset val="204"/>
    </font>
    <font>
      <b/>
      <i/>
      <sz val="14"/>
      <name val="Arial Cyr"/>
      <charset val="204"/>
    </font>
    <font>
      <b/>
      <sz val="14"/>
      <color indexed="12"/>
      <name val="Arial Cyr"/>
      <charset val="204"/>
    </font>
    <font>
      <b/>
      <sz val="12"/>
      <color indexed="12"/>
      <name val="Arial Cyr"/>
      <charset val="204"/>
    </font>
    <font>
      <b/>
      <sz val="14"/>
      <name val="Arial Cyr"/>
      <charset val="204"/>
    </font>
    <font>
      <b/>
      <sz val="14"/>
      <color indexed="10"/>
      <name val="Arial Cyr"/>
      <charset val="204"/>
    </font>
    <font>
      <b/>
      <sz val="12"/>
      <name val="Arial Cyr"/>
      <charset val="204"/>
    </font>
    <font>
      <b/>
      <sz val="9"/>
      <name val="Arial Cyr"/>
      <charset val="204"/>
    </font>
    <font>
      <b/>
      <sz val="11"/>
      <color indexed="12"/>
      <name val="Arial Cyr"/>
      <charset val="204"/>
    </font>
    <font>
      <b/>
      <sz val="11"/>
      <color indexed="17"/>
      <name val="Arial Cyr"/>
      <charset val="204"/>
    </font>
    <font>
      <sz val="9"/>
      <color indexed="12"/>
      <name val="Arial Cyr"/>
      <charset val="204"/>
    </font>
    <font>
      <sz val="14"/>
      <name val="Arial Cyr"/>
      <family val="2"/>
      <charset val="204"/>
    </font>
    <font>
      <b/>
      <sz val="9"/>
      <color indexed="12"/>
      <name val="Arial Cyr"/>
      <family val="2"/>
      <charset val="204"/>
    </font>
    <font>
      <b/>
      <sz val="10"/>
      <color indexed="12"/>
      <name val="Arial Cyr"/>
      <family val="2"/>
      <charset val="204"/>
    </font>
    <font>
      <sz val="11"/>
      <color rgb="FF0000FF"/>
      <name val="Arial Cyr"/>
      <charset val="204"/>
    </font>
    <font>
      <b/>
      <i/>
      <sz val="11"/>
      <name val="Arial Cyr"/>
      <charset val="204"/>
    </font>
    <font>
      <sz val="12"/>
      <name val="Arial Cyr"/>
      <charset val="204"/>
    </font>
    <font>
      <b/>
      <sz val="12"/>
      <color rgb="FFFF0000"/>
      <name val="Arial Cyr"/>
      <charset val="204"/>
    </font>
    <font>
      <sz val="10"/>
      <color rgb="FFC00000"/>
      <name val="Arial Cyr"/>
      <family val="2"/>
      <charset val="204"/>
    </font>
    <font>
      <b/>
      <sz val="11"/>
      <color rgb="FF009900"/>
      <name val="Arial Cyr"/>
      <charset val="204"/>
    </font>
    <font>
      <sz val="10"/>
      <color indexed="8"/>
      <name val="Arial Cyr"/>
      <charset val="204"/>
    </font>
    <font>
      <sz val="9"/>
      <name val="Arial Cyr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43"/>
        <bgColor indexed="26"/>
      </patternFill>
    </fill>
    <fill>
      <patternFill patternType="solid">
        <fgColor indexed="51"/>
        <bgColor indexed="13"/>
      </patternFill>
    </fill>
    <fill>
      <patternFill patternType="solid">
        <fgColor indexed="13"/>
        <bgColor indexed="34"/>
      </patternFill>
    </fill>
    <fill>
      <patternFill patternType="solid">
        <fgColor indexed="9"/>
        <bgColor indexed="26"/>
      </patternFill>
    </fill>
    <fill>
      <patternFill patternType="solid">
        <fgColor indexed="9"/>
        <bgColor indexed="34"/>
      </patternFill>
    </fill>
    <fill>
      <patternFill patternType="solid">
        <fgColor indexed="13"/>
        <bgColor indexed="26"/>
      </patternFill>
    </fill>
  </fills>
  <borders count="210">
    <border>
      <left/>
      <right/>
      <top/>
      <bottom/>
      <diagonal/>
    </border>
    <border>
      <left/>
      <right style="medium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/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thin">
        <color indexed="12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/>
      <diagonal/>
    </border>
    <border>
      <left style="thin">
        <color indexed="12"/>
      </left>
      <right style="thin">
        <color indexed="12"/>
      </right>
      <top/>
      <bottom style="thin">
        <color indexed="12"/>
      </bottom>
      <diagonal/>
    </border>
    <border>
      <left/>
      <right style="thin">
        <color indexed="12"/>
      </right>
      <top/>
      <bottom style="thin">
        <color indexed="12"/>
      </bottom>
      <diagonal/>
    </border>
    <border>
      <left style="thin">
        <color indexed="12"/>
      </left>
      <right style="thin">
        <color indexed="12"/>
      </right>
      <top/>
      <bottom/>
      <diagonal/>
    </border>
    <border>
      <left/>
      <right style="thin">
        <color indexed="12"/>
      </right>
      <top/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12"/>
      </left>
      <right/>
      <top style="medium">
        <color indexed="12"/>
      </top>
      <bottom/>
      <diagonal/>
    </border>
    <border>
      <left style="medium">
        <color indexed="12"/>
      </left>
      <right style="medium">
        <color indexed="12"/>
      </right>
      <top/>
      <bottom style="medium">
        <color indexed="12"/>
      </bottom>
      <diagonal/>
    </border>
    <border>
      <left/>
      <right/>
      <top style="medium">
        <color indexed="12"/>
      </top>
      <bottom/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 style="thin">
        <color indexed="12"/>
      </right>
      <top style="thin">
        <color indexed="12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64"/>
      </bottom>
      <diagonal/>
    </border>
    <border>
      <left style="thin">
        <color indexed="64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12"/>
      </left>
      <right style="thin">
        <color indexed="12"/>
      </right>
      <top/>
      <bottom style="medium">
        <color indexed="12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/>
      <bottom style="medium">
        <color indexed="12"/>
      </bottom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medium">
        <color indexed="12"/>
      </bottom>
      <diagonal/>
    </border>
    <border>
      <left/>
      <right style="thin">
        <color indexed="12"/>
      </right>
      <top style="medium">
        <color indexed="12"/>
      </top>
      <bottom/>
      <diagonal/>
    </border>
    <border>
      <left style="thin">
        <color indexed="12"/>
      </left>
      <right style="thin">
        <color indexed="12"/>
      </right>
      <top style="thin">
        <color indexed="56"/>
      </top>
      <bottom style="thin">
        <color indexed="56"/>
      </bottom>
      <diagonal/>
    </border>
    <border>
      <left/>
      <right style="medium">
        <color indexed="12"/>
      </right>
      <top style="medium">
        <color indexed="12"/>
      </top>
      <bottom style="thin">
        <color indexed="12"/>
      </bottom>
      <diagonal/>
    </border>
    <border>
      <left/>
      <right style="medium">
        <color indexed="12"/>
      </right>
      <top style="thin">
        <color indexed="12"/>
      </top>
      <bottom style="thin">
        <color indexed="12"/>
      </bottom>
      <diagonal/>
    </border>
    <border>
      <left/>
      <right style="medium">
        <color indexed="12"/>
      </right>
      <top/>
      <bottom style="thin">
        <color indexed="12"/>
      </bottom>
      <diagonal/>
    </border>
    <border>
      <left/>
      <right style="medium">
        <color indexed="12"/>
      </right>
      <top/>
      <bottom/>
      <diagonal/>
    </border>
    <border>
      <left/>
      <right style="medium">
        <color indexed="12"/>
      </right>
      <top style="thin">
        <color indexed="12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/>
      <diagonal/>
    </border>
    <border>
      <left style="medium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medium">
        <color indexed="12"/>
      </left>
      <right style="thin">
        <color indexed="12"/>
      </right>
      <top style="thin">
        <color indexed="12"/>
      </top>
      <bottom style="medium">
        <color indexed="12"/>
      </bottom>
      <diagonal/>
    </border>
    <border>
      <left style="thin">
        <color indexed="8"/>
      </left>
      <right style="medium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 style="medium">
        <color indexed="8"/>
      </right>
      <top style="thin">
        <color indexed="64"/>
      </top>
      <bottom style="medium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medium">
        <color indexed="8"/>
      </bottom>
      <diagonal/>
    </border>
    <border>
      <left style="thin">
        <color indexed="64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medium">
        <color indexed="64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/>
      <diagonal/>
    </border>
    <border>
      <left style="medium">
        <color indexed="64"/>
      </left>
      <right style="thin">
        <color indexed="8"/>
      </right>
      <top style="thin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12"/>
      </left>
      <right/>
      <top style="medium">
        <color indexed="12"/>
      </top>
      <bottom style="medium">
        <color rgb="FF0000FF"/>
      </bottom>
      <diagonal/>
    </border>
    <border>
      <left style="medium">
        <color rgb="FF0000FF"/>
      </left>
      <right style="medium">
        <color indexed="64"/>
      </right>
      <top/>
      <bottom/>
      <diagonal/>
    </border>
    <border>
      <left style="medium">
        <color rgb="FF0000FF"/>
      </left>
      <right/>
      <top style="medium">
        <color rgb="FF0000FF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64"/>
      </top>
      <bottom style="medium">
        <color indexed="8"/>
      </bottom>
      <diagonal/>
    </border>
    <border>
      <left/>
      <right style="thin">
        <color indexed="8"/>
      </right>
      <top style="medium">
        <color indexed="64"/>
      </top>
      <bottom style="medium">
        <color indexed="8"/>
      </bottom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8"/>
      </bottom>
      <diagonal/>
    </border>
    <border>
      <left style="medium">
        <color indexed="64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/>
      <diagonal/>
    </border>
    <border>
      <left style="thin">
        <color indexed="64"/>
      </left>
      <right style="thin">
        <color indexed="8"/>
      </right>
      <top style="medium">
        <color indexed="64"/>
      </top>
      <bottom style="medium">
        <color indexed="8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64"/>
      </right>
      <top style="medium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64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64"/>
      </right>
      <top/>
      <bottom style="thin">
        <color indexed="12"/>
      </bottom>
      <diagonal/>
    </border>
    <border>
      <left style="thin">
        <color indexed="12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1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ill="0" applyBorder="0" applyAlignment="0" applyProtection="0"/>
  </cellStyleXfs>
  <cellXfs count="722">
    <xf numFmtId="0" fontId="0" fillId="0" borderId="0" xfId="0"/>
    <xf numFmtId="0" fontId="1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NumberFormat="1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4" xfId="0" applyBorder="1" applyAlignment="1">
      <alignment horizontal="center" vertical="center" wrapText="1"/>
    </xf>
    <xf numFmtId="0" fontId="6" fillId="0" borderId="0" xfId="0" applyFont="1" applyFill="1"/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/>
    <xf numFmtId="0" fontId="4" fillId="0" borderId="0" xfId="0" applyNumberFormat="1" applyFont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/>
    </xf>
    <xf numFmtId="2" fontId="9" fillId="0" borderId="0" xfId="0" applyNumberFormat="1" applyFont="1" applyBorder="1"/>
    <xf numFmtId="0" fontId="9" fillId="0" borderId="0" xfId="0" applyNumberFormat="1" applyFont="1" applyBorder="1"/>
    <xf numFmtId="2" fontId="9" fillId="0" borderId="1" xfId="0" applyNumberFormat="1" applyFont="1" applyBorder="1"/>
    <xf numFmtId="0" fontId="1" fillId="0" borderId="7" xfId="0" applyFont="1" applyBorder="1"/>
    <xf numFmtId="0" fontId="1" fillId="0" borderId="8" xfId="0" applyFont="1" applyBorder="1"/>
    <xf numFmtId="165" fontId="10" fillId="0" borderId="9" xfId="0" applyNumberFormat="1" applyFont="1" applyBorder="1"/>
    <xf numFmtId="165" fontId="10" fillId="0" borderId="10" xfId="0" applyNumberFormat="1" applyFont="1" applyBorder="1"/>
    <xf numFmtId="0" fontId="1" fillId="0" borderId="11" xfId="0" applyFont="1" applyBorder="1"/>
    <xf numFmtId="165" fontId="10" fillId="0" borderId="12" xfId="0" applyNumberFormat="1" applyFont="1" applyBorder="1"/>
    <xf numFmtId="165" fontId="10" fillId="0" borderId="13" xfId="0" applyNumberFormat="1" applyFont="1" applyBorder="1"/>
    <xf numFmtId="165" fontId="10" fillId="0" borderId="14" xfId="0" applyNumberFormat="1" applyFont="1" applyBorder="1"/>
    <xf numFmtId="165" fontId="10" fillId="0" borderId="15" xfId="0" applyNumberFormat="1" applyFont="1" applyBorder="1"/>
    <xf numFmtId="165" fontId="10" fillId="0" borderId="16" xfId="0" applyNumberFormat="1" applyFont="1" applyBorder="1"/>
    <xf numFmtId="165" fontId="10" fillId="0" borderId="17" xfId="0" applyNumberFormat="1" applyFont="1" applyBorder="1"/>
    <xf numFmtId="165" fontId="10" fillId="0" borderId="18" xfId="0" applyNumberFormat="1" applyFont="1" applyBorder="1"/>
    <xf numFmtId="0" fontId="1" fillId="0" borderId="19" xfId="0" applyFont="1" applyBorder="1"/>
    <xf numFmtId="165" fontId="10" fillId="0" borderId="20" xfId="0" applyNumberFormat="1" applyFont="1" applyBorder="1"/>
    <xf numFmtId="0" fontId="9" fillId="0" borderId="1" xfId="0" applyNumberFormat="1" applyFont="1" applyBorder="1"/>
    <xf numFmtId="2" fontId="11" fillId="0" borderId="6" xfId="0" applyNumberFormat="1" applyFont="1" applyBorder="1"/>
    <xf numFmtId="2" fontId="11" fillId="0" borderId="21" xfId="0" applyNumberFormat="1" applyFont="1" applyBorder="1"/>
    <xf numFmtId="2" fontId="11" fillId="0" borderId="22" xfId="0" applyNumberFormat="1" applyFont="1" applyBorder="1"/>
    <xf numFmtId="0" fontId="1" fillId="0" borderId="6" xfId="0" applyFont="1" applyBorder="1"/>
    <xf numFmtId="165" fontId="11" fillId="0" borderId="21" xfId="0" applyNumberFormat="1" applyFont="1" applyBorder="1"/>
    <xf numFmtId="165" fontId="12" fillId="0" borderId="21" xfId="0" applyNumberFormat="1" applyFont="1" applyBorder="1"/>
    <xf numFmtId="165" fontId="11" fillId="0" borderId="22" xfId="0" applyNumberFormat="1" applyFont="1" applyBorder="1"/>
    <xf numFmtId="2" fontId="11" fillId="0" borderId="11" xfId="0" applyNumberFormat="1" applyFont="1" applyBorder="1"/>
    <xf numFmtId="2" fontId="11" fillId="0" borderId="23" xfId="0" applyNumberFormat="1" applyFont="1" applyBorder="1"/>
    <xf numFmtId="0" fontId="1" fillId="0" borderId="23" xfId="0" applyFont="1" applyBorder="1"/>
    <xf numFmtId="2" fontId="11" fillId="0" borderId="19" xfId="0" applyNumberFormat="1" applyFont="1" applyBorder="1"/>
    <xf numFmtId="2" fontId="11" fillId="0" borderId="7" xfId="0" applyNumberFormat="1" applyFont="1" applyBorder="1"/>
    <xf numFmtId="2" fontId="11" fillId="0" borderId="8" xfId="0" applyNumberFormat="1" applyFont="1" applyBorder="1"/>
    <xf numFmtId="2" fontId="6" fillId="0" borderId="0" xfId="0" applyNumberFormat="1" applyFont="1" applyBorder="1"/>
    <xf numFmtId="2" fontId="6" fillId="0" borderId="1" xfId="0" applyNumberFormat="1" applyFont="1" applyBorder="1"/>
    <xf numFmtId="0" fontId="1" fillId="0" borderId="0" xfId="0" applyFont="1"/>
    <xf numFmtId="0" fontId="13" fillId="0" borderId="0" xfId="0" applyFont="1"/>
    <xf numFmtId="0" fontId="8" fillId="0" borderId="24" xfId="0" applyFont="1" applyFill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2" fillId="0" borderId="0" xfId="0" applyFont="1"/>
    <xf numFmtId="0" fontId="16" fillId="0" borderId="27" xfId="0" applyFont="1" applyFill="1" applyBorder="1" applyAlignment="1">
      <alignment vertical="center"/>
    </xf>
    <xf numFmtId="0" fontId="16" fillId="0" borderId="28" xfId="0" applyFont="1" applyFill="1" applyBorder="1" applyAlignment="1">
      <alignment vertical="center"/>
    </xf>
    <xf numFmtId="0" fontId="16" fillId="0" borderId="28" xfId="0" applyFont="1" applyFill="1" applyBorder="1"/>
    <xf numFmtId="0" fontId="16" fillId="0" borderId="29" xfId="0" applyFont="1" applyBorder="1" applyAlignment="1">
      <alignment horizontal="center"/>
    </xf>
    <xf numFmtId="0" fontId="18" fillId="0" borderId="0" xfId="0" applyFont="1" applyBorder="1"/>
    <xf numFmtId="0" fontId="18" fillId="0" borderId="0" xfId="0" applyFont="1"/>
    <xf numFmtId="0" fontId="19" fillId="0" borderId="0" xfId="0" applyFont="1"/>
    <xf numFmtId="0" fontId="16" fillId="0" borderId="30" xfId="0" applyFont="1" applyBorder="1"/>
    <xf numFmtId="0" fontId="16" fillId="0" borderId="0" xfId="0" applyFont="1" applyBorder="1"/>
    <xf numFmtId="0" fontId="18" fillId="0" borderId="0" xfId="0" applyFont="1" applyBorder="1" applyAlignment="1">
      <alignment horizontal="center" vertical="center"/>
    </xf>
    <xf numFmtId="0" fontId="16" fillId="0" borderId="31" xfId="0" applyFont="1" applyBorder="1"/>
    <xf numFmtId="0" fontId="16" fillId="0" borderId="5" xfId="0" applyFont="1" applyBorder="1"/>
    <xf numFmtId="0" fontId="18" fillId="0" borderId="5" xfId="0" applyFont="1" applyBorder="1"/>
    <xf numFmtId="0" fontId="20" fillId="0" borderId="0" xfId="0" applyFont="1" applyFill="1" applyBorder="1"/>
    <xf numFmtId="0" fontId="18" fillId="0" borderId="0" xfId="0" applyFont="1" applyAlignment="1">
      <alignment wrapText="1"/>
    </xf>
    <xf numFmtId="0" fontId="16" fillId="0" borderId="32" xfId="0" applyFont="1" applyFill="1" applyBorder="1" applyAlignment="1">
      <alignment vertical="center" wrapText="1" shrinkToFit="1"/>
    </xf>
    <xf numFmtId="0" fontId="16" fillId="0" borderId="30" xfId="0" applyFont="1" applyFill="1" applyBorder="1" applyAlignment="1">
      <alignment vertical="center" wrapText="1" shrinkToFit="1"/>
    </xf>
    <xf numFmtId="0" fontId="16" fillId="0" borderId="31" xfId="0" applyFont="1" applyFill="1" applyBorder="1" applyAlignment="1">
      <alignment vertical="center" wrapText="1" shrinkToFit="1"/>
    </xf>
    <xf numFmtId="0" fontId="16" fillId="2" borderId="23" xfId="0" applyFont="1" applyFill="1" applyBorder="1" applyAlignment="1">
      <alignment horizontal="center" vertical="center" wrapText="1" shrinkToFit="1"/>
    </xf>
    <xf numFmtId="0" fontId="16" fillId="2" borderId="34" xfId="0" applyFont="1" applyFill="1" applyBorder="1" applyAlignment="1">
      <alignment horizontal="center" vertical="center" wrapText="1" shrinkToFit="1"/>
    </xf>
    <xf numFmtId="9" fontId="16" fillId="3" borderId="34" xfId="0" applyNumberFormat="1" applyFont="1" applyFill="1" applyBorder="1" applyAlignment="1">
      <alignment horizontal="center" vertical="center" wrapText="1" shrinkToFit="1"/>
    </xf>
    <xf numFmtId="0" fontId="13" fillId="0" borderId="0" xfId="0" applyFont="1" applyBorder="1" applyAlignment="1">
      <alignment horizontal="left"/>
    </xf>
    <xf numFmtId="0" fontId="13" fillId="0" borderId="35" xfId="0" applyFont="1" applyBorder="1"/>
    <xf numFmtId="164" fontId="15" fillId="0" borderId="0" xfId="1" applyFont="1" applyFill="1" applyBorder="1" applyAlignment="1" applyProtection="1"/>
    <xf numFmtId="0" fontId="13" fillId="0" borderId="0" xfId="0" applyFont="1" applyBorder="1"/>
    <xf numFmtId="0" fontId="13" fillId="0" borderId="36" xfId="0" applyFont="1" applyBorder="1"/>
    <xf numFmtId="0" fontId="21" fillId="0" borderId="0" xfId="0" applyFont="1" applyAlignment="1">
      <alignment horizontal="center"/>
    </xf>
    <xf numFmtId="2" fontId="16" fillId="0" borderId="23" xfId="0" applyNumberFormat="1" applyFont="1" applyBorder="1"/>
    <xf numFmtId="2" fontId="16" fillId="0" borderId="0" xfId="0" applyNumberFormat="1" applyFont="1" applyBorder="1"/>
    <xf numFmtId="2" fontId="22" fillId="0" borderId="23" xfId="0" applyNumberFormat="1" applyFont="1" applyBorder="1"/>
    <xf numFmtId="0" fontId="17" fillId="0" borderId="23" xfId="0" applyFont="1" applyBorder="1"/>
    <xf numFmtId="2" fontId="17" fillId="4" borderId="23" xfId="0" applyNumberFormat="1" applyFont="1" applyFill="1" applyBorder="1" applyAlignment="1">
      <alignment horizontal="center"/>
    </xf>
    <xf numFmtId="2" fontId="17" fillId="0" borderId="23" xfId="0" applyNumberFormat="1" applyFont="1" applyBorder="1" applyProtection="1">
      <protection locked="0"/>
    </xf>
    <xf numFmtId="0" fontId="17" fillId="0" borderId="34" xfId="0" applyFont="1" applyBorder="1"/>
    <xf numFmtId="166" fontId="18" fillId="0" borderId="0" xfId="0" applyNumberFormat="1" applyFont="1" applyBorder="1"/>
    <xf numFmtId="0" fontId="18" fillId="0" borderId="0" xfId="0" applyFont="1" applyAlignment="1">
      <alignment horizontal="right"/>
    </xf>
    <xf numFmtId="0" fontId="16" fillId="0" borderId="0" xfId="0" applyFont="1"/>
    <xf numFmtId="2" fontId="16" fillId="0" borderId="0" xfId="0" applyNumberFormat="1" applyFont="1"/>
    <xf numFmtId="0" fontId="23" fillId="0" borderId="0" xfId="0" applyFont="1"/>
    <xf numFmtId="0" fontId="23" fillId="0" borderId="0" xfId="0" applyFont="1" applyAlignment="1">
      <alignment horizontal="right"/>
    </xf>
    <xf numFmtId="0" fontId="24" fillId="2" borderId="0" xfId="0" applyFont="1" applyFill="1"/>
    <xf numFmtId="0" fontId="24" fillId="5" borderId="0" xfId="0" applyFont="1" applyFill="1"/>
    <xf numFmtId="4" fontId="24" fillId="0" borderId="0" xfId="0" applyNumberFormat="1" applyFont="1" applyFill="1"/>
    <xf numFmtId="2" fontId="18" fillId="0" borderId="0" xfId="0" applyNumberFormat="1" applyFont="1"/>
    <xf numFmtId="0" fontId="18" fillId="0" borderId="1" xfId="0" applyFont="1" applyBorder="1"/>
    <xf numFmtId="0" fontId="18" fillId="0" borderId="41" xfId="0" applyFont="1" applyBorder="1"/>
    <xf numFmtId="0" fontId="18" fillId="0" borderId="42" xfId="0" applyFont="1" applyBorder="1"/>
    <xf numFmtId="0" fontId="25" fillId="0" borderId="27" xfId="0" applyFont="1" applyBorder="1"/>
    <xf numFmtId="165" fontId="26" fillId="0" borderId="21" xfId="0" applyNumberFormat="1" applyFont="1" applyBorder="1"/>
    <xf numFmtId="2" fontId="26" fillId="0" borderId="21" xfId="0" applyNumberFormat="1" applyFont="1" applyFill="1" applyBorder="1"/>
    <xf numFmtId="2" fontId="26" fillId="0" borderId="21" xfId="0" applyNumberFormat="1" applyFont="1" applyBorder="1" applyProtection="1"/>
    <xf numFmtId="2" fontId="25" fillId="0" borderId="21" xfId="0" applyNumberFormat="1" applyFont="1" applyBorder="1"/>
    <xf numFmtId="165" fontId="26" fillId="0" borderId="21" xfId="0" applyNumberFormat="1" applyFont="1" applyBorder="1" applyAlignment="1">
      <alignment horizontal="right"/>
    </xf>
    <xf numFmtId="2" fontId="26" fillId="0" borderId="21" xfId="0" applyNumberFormat="1" applyFont="1" applyBorder="1" applyAlignment="1">
      <alignment horizontal="right"/>
    </xf>
    <xf numFmtId="2" fontId="26" fillId="0" borderId="23" xfId="0" applyNumberFormat="1" applyFont="1" applyBorder="1"/>
    <xf numFmtId="166" fontId="26" fillId="0" borderId="21" xfId="0" applyNumberFormat="1" applyFont="1" applyBorder="1"/>
    <xf numFmtId="4" fontId="27" fillId="0" borderId="21" xfId="0" applyNumberFormat="1" applyFont="1" applyBorder="1"/>
    <xf numFmtId="1" fontId="25" fillId="0" borderId="21" xfId="0" applyNumberFormat="1" applyFont="1" applyBorder="1"/>
    <xf numFmtId="0" fontId="25" fillId="0" borderId="43" xfId="0" applyNumberFormat="1" applyFont="1" applyBorder="1" applyAlignment="1">
      <alignment horizontal="center"/>
    </xf>
    <xf numFmtId="0" fontId="25" fillId="0" borderId="21" xfId="0" applyFont="1" applyBorder="1"/>
    <xf numFmtId="167" fontId="26" fillId="0" borderId="21" xfId="0" applyNumberFormat="1" applyFont="1" applyBorder="1"/>
    <xf numFmtId="2" fontId="25" fillId="0" borderId="11" xfId="0" applyNumberFormat="1" applyFont="1" applyBorder="1"/>
    <xf numFmtId="2" fontId="27" fillId="0" borderId="6" xfId="0" applyNumberFormat="1" applyFont="1" applyBorder="1"/>
    <xf numFmtId="2" fontId="27" fillId="0" borderId="21" xfId="0" applyNumberFormat="1" applyFont="1" applyBorder="1"/>
    <xf numFmtId="167" fontId="27" fillId="0" borderId="21" xfId="0" applyNumberFormat="1" applyFont="1" applyBorder="1" applyAlignment="1">
      <alignment horizontal="center"/>
    </xf>
    <xf numFmtId="2" fontId="27" fillId="0" borderId="21" xfId="0" applyNumberFormat="1" applyFont="1" applyBorder="1" applyAlignment="1">
      <alignment horizontal="right"/>
    </xf>
    <xf numFmtId="2" fontId="25" fillId="0" borderId="4" xfId="0" applyNumberFormat="1" applyFont="1" applyBorder="1"/>
    <xf numFmtId="0" fontId="25" fillId="0" borderId="43" xfId="0" applyFont="1" applyBorder="1"/>
    <xf numFmtId="0" fontId="25" fillId="0" borderId="6" xfId="0" applyFont="1" applyBorder="1"/>
    <xf numFmtId="2" fontId="26" fillId="0" borderId="21" xfId="0" applyNumberFormat="1" applyFont="1" applyBorder="1"/>
    <xf numFmtId="167" fontId="26" fillId="0" borderId="21" xfId="0" applyNumberFormat="1" applyFont="1" applyFill="1" applyBorder="1"/>
    <xf numFmtId="165" fontId="27" fillId="0" borderId="22" xfId="0" applyNumberFormat="1" applyFont="1" applyBorder="1"/>
    <xf numFmtId="0" fontId="25" fillId="0" borderId="28" xfId="0" applyFont="1" applyBorder="1"/>
    <xf numFmtId="165" fontId="26" fillId="0" borderId="23" xfId="0" applyNumberFormat="1" applyFont="1" applyBorder="1"/>
    <xf numFmtId="4" fontId="27" fillId="0" borderId="23" xfId="0" applyNumberFormat="1" applyFont="1" applyBorder="1"/>
    <xf numFmtId="4" fontId="27" fillId="0" borderId="23" xfId="0" applyNumberFormat="1" applyFont="1" applyBorder="1" applyAlignment="1">
      <alignment horizontal="right"/>
    </xf>
    <xf numFmtId="2" fontId="25" fillId="0" borderId="23" xfId="0" applyNumberFormat="1" applyFont="1" applyBorder="1"/>
    <xf numFmtId="0" fontId="25" fillId="0" borderId="0" xfId="0" applyNumberFormat="1" applyFont="1" applyBorder="1" applyAlignment="1">
      <alignment horizontal="center"/>
    </xf>
    <xf numFmtId="1" fontId="25" fillId="0" borderId="23" xfId="0" applyNumberFormat="1" applyFont="1" applyBorder="1"/>
    <xf numFmtId="0" fontId="25" fillId="0" borderId="23" xfId="0" applyFont="1" applyBorder="1"/>
    <xf numFmtId="2" fontId="27" fillId="0" borderId="11" xfId="0" applyNumberFormat="1" applyFont="1" applyBorder="1"/>
    <xf numFmtId="2" fontId="27" fillId="0" borderId="23" xfId="0" applyNumberFormat="1" applyFont="1" applyBorder="1"/>
    <xf numFmtId="167" fontId="27" fillId="0" borderId="23" xfId="0" applyNumberFormat="1" applyFont="1" applyBorder="1" applyAlignment="1">
      <alignment horizontal="center"/>
    </xf>
    <xf numFmtId="2" fontId="27" fillId="0" borderId="23" xfId="0" applyNumberFormat="1" applyFont="1" applyBorder="1" applyAlignment="1">
      <alignment horizontal="right"/>
    </xf>
    <xf numFmtId="2" fontId="25" fillId="0" borderId="8" xfId="0" applyNumberFormat="1" applyFont="1" applyBorder="1"/>
    <xf numFmtId="167" fontId="26" fillId="0" borderId="23" xfId="0" applyNumberFormat="1" applyFont="1" applyFill="1" applyBorder="1"/>
    <xf numFmtId="167" fontId="26" fillId="0" borderId="23" xfId="0" applyNumberFormat="1" applyFont="1" applyBorder="1"/>
    <xf numFmtId="165" fontId="27" fillId="0" borderId="19" xfId="0" applyNumberFormat="1" applyFont="1" applyBorder="1"/>
    <xf numFmtId="2" fontId="26" fillId="0" borderId="23" xfId="0" applyNumberFormat="1" applyFont="1" applyBorder="1" applyProtection="1"/>
    <xf numFmtId="0" fontId="25" fillId="0" borderId="37" xfId="0" applyNumberFormat="1" applyFont="1" applyFill="1" applyBorder="1" applyAlignment="1">
      <alignment horizontal="center"/>
    </xf>
    <xf numFmtId="2" fontId="25" fillId="0" borderId="0" xfId="0" applyNumberFormat="1" applyFont="1" applyBorder="1"/>
    <xf numFmtId="1" fontId="25" fillId="0" borderId="21" xfId="0" applyNumberFormat="1" applyFont="1" applyFill="1" applyBorder="1"/>
    <xf numFmtId="1" fontId="25" fillId="0" borderId="23" xfId="0" applyNumberFormat="1" applyFont="1" applyFill="1" applyBorder="1"/>
    <xf numFmtId="2" fontId="25" fillId="0" borderId="11" xfId="0" applyNumberFormat="1" applyFont="1" applyFill="1" applyBorder="1"/>
    <xf numFmtId="2" fontId="25" fillId="0" borderId="23" xfId="0" applyNumberFormat="1" applyFont="1" applyFill="1" applyBorder="1"/>
    <xf numFmtId="2" fontId="27" fillId="0" borderId="23" xfId="0" applyNumberFormat="1" applyFont="1" applyBorder="1" applyAlignment="1">
      <alignment horizontal="center"/>
    </xf>
    <xf numFmtId="0" fontId="25" fillId="0" borderId="23" xfId="0" applyNumberFormat="1" applyFont="1" applyBorder="1" applyAlignment="1">
      <alignment horizontal="center"/>
    </xf>
    <xf numFmtId="1" fontId="25" fillId="0" borderId="37" xfId="0" applyNumberFormat="1" applyFont="1" applyFill="1" applyBorder="1"/>
    <xf numFmtId="167" fontId="25" fillId="0" borderId="23" xfId="0" applyNumberFormat="1" applyFont="1" applyBorder="1"/>
    <xf numFmtId="4" fontId="27" fillId="0" borderId="23" xfId="0" applyNumberFormat="1" applyFont="1" applyFill="1" applyBorder="1"/>
    <xf numFmtId="0" fontId="25" fillId="0" borderId="23" xfId="0" applyFont="1" applyFill="1" applyBorder="1"/>
    <xf numFmtId="2" fontId="25" fillId="0" borderId="8" xfId="0" applyNumberFormat="1" applyFont="1" applyFill="1" applyBorder="1"/>
    <xf numFmtId="2" fontId="27" fillId="0" borderId="23" xfId="0" applyNumberFormat="1" applyFont="1" applyFill="1" applyBorder="1"/>
    <xf numFmtId="167" fontId="27" fillId="0" borderId="23" xfId="0" applyNumberFormat="1" applyFont="1" applyFill="1" applyBorder="1" applyAlignment="1">
      <alignment horizontal="center"/>
    </xf>
    <xf numFmtId="2" fontId="27" fillId="0" borderId="23" xfId="0" applyNumberFormat="1" applyFont="1" applyFill="1" applyBorder="1" applyAlignment="1">
      <alignment horizontal="right"/>
    </xf>
    <xf numFmtId="2" fontId="26" fillId="0" borderId="23" xfId="0" applyNumberFormat="1" applyFont="1" applyFill="1" applyBorder="1"/>
    <xf numFmtId="165" fontId="26" fillId="0" borderId="23" xfId="0" applyNumberFormat="1" applyFont="1" applyFill="1" applyBorder="1"/>
    <xf numFmtId="165" fontId="27" fillId="0" borderId="19" xfId="0" applyNumberFormat="1" applyFont="1" applyFill="1" applyBorder="1"/>
    <xf numFmtId="2" fontId="25" fillId="0" borderId="21" xfId="0" applyNumberFormat="1" applyFont="1" applyFill="1" applyBorder="1"/>
    <xf numFmtId="2" fontId="25" fillId="5" borderId="11" xfId="0" applyNumberFormat="1" applyFont="1" applyFill="1" applyBorder="1"/>
    <xf numFmtId="165" fontId="25" fillId="0" borderId="19" xfId="0" applyNumberFormat="1" applyFont="1" applyBorder="1"/>
    <xf numFmtId="2" fontId="25" fillId="0" borderId="37" xfId="0" applyNumberFormat="1" applyFont="1" applyBorder="1"/>
    <xf numFmtId="2" fontId="27" fillId="0" borderId="37" xfId="0" applyNumberFormat="1" applyFont="1" applyBorder="1"/>
    <xf numFmtId="167" fontId="27" fillId="0" borderId="37" xfId="0" applyNumberFormat="1" applyFont="1" applyBorder="1" applyAlignment="1">
      <alignment horizontal="center"/>
    </xf>
    <xf numFmtId="2" fontId="27" fillId="0" borderId="37" xfId="0" applyNumberFormat="1" applyFont="1" applyBorder="1" applyAlignment="1">
      <alignment horizontal="right"/>
    </xf>
    <xf numFmtId="0" fontId="25" fillId="0" borderId="37" xfId="0" applyFont="1" applyBorder="1"/>
    <xf numFmtId="2" fontId="25" fillId="0" borderId="44" xfId="0" applyNumberFormat="1" applyFont="1" applyBorder="1"/>
    <xf numFmtId="0" fontId="25" fillId="0" borderId="29" xfId="0" applyFont="1" applyBorder="1"/>
    <xf numFmtId="2" fontId="26" fillId="0" borderId="34" xfId="0" applyNumberFormat="1" applyFont="1" applyBorder="1" applyProtection="1"/>
    <xf numFmtId="165" fontId="26" fillId="0" borderId="34" xfId="0" applyNumberFormat="1" applyFont="1" applyBorder="1"/>
    <xf numFmtId="2" fontId="26" fillId="0" borderId="37" xfId="0" applyNumberFormat="1" applyFont="1" applyBorder="1"/>
    <xf numFmtId="2" fontId="25" fillId="0" borderId="34" xfId="0" applyNumberFormat="1" applyFont="1" applyBorder="1"/>
    <xf numFmtId="2" fontId="27" fillId="0" borderId="34" xfId="0" applyNumberFormat="1" applyFont="1" applyBorder="1"/>
    <xf numFmtId="1" fontId="25" fillId="0" borderId="34" xfId="0" applyNumberFormat="1" applyFont="1" applyBorder="1"/>
    <xf numFmtId="0" fontId="25" fillId="0" borderId="34" xfId="0" applyNumberFormat="1" applyFont="1" applyFill="1" applyBorder="1" applyAlignment="1">
      <alignment horizontal="center"/>
    </xf>
    <xf numFmtId="0" fontId="25" fillId="0" borderId="34" xfId="0" applyFont="1" applyBorder="1"/>
    <xf numFmtId="167" fontId="26" fillId="0" borderId="34" xfId="0" applyNumberFormat="1" applyFont="1" applyBorder="1"/>
    <xf numFmtId="2" fontId="25" fillId="0" borderId="38" xfId="0" applyNumberFormat="1" applyFont="1" applyBorder="1"/>
    <xf numFmtId="167" fontId="27" fillId="0" borderId="34" xfId="0" applyNumberFormat="1" applyFont="1" applyBorder="1" applyAlignment="1">
      <alignment horizontal="center"/>
    </xf>
    <xf numFmtId="2" fontId="27" fillId="0" borderId="34" xfId="0" applyNumberFormat="1" applyFont="1" applyBorder="1" applyAlignment="1">
      <alignment horizontal="right"/>
    </xf>
    <xf numFmtId="2" fontId="26" fillId="0" borderId="34" xfId="0" applyNumberFormat="1" applyFont="1" applyBorder="1"/>
    <xf numFmtId="167" fontId="26" fillId="0" borderId="34" xfId="0" applyNumberFormat="1" applyFont="1" applyFill="1" applyBorder="1"/>
    <xf numFmtId="165" fontId="25" fillId="0" borderId="40" xfId="0" applyNumberFormat="1" applyFont="1" applyBorder="1"/>
    <xf numFmtId="165" fontId="28" fillId="0" borderId="43" xfId="0" applyNumberFormat="1" applyFont="1" applyBorder="1"/>
    <xf numFmtId="165" fontId="30" fillId="0" borderId="45" xfId="0" applyNumberFormat="1" applyFont="1" applyBorder="1"/>
    <xf numFmtId="165" fontId="30" fillId="0" borderId="46" xfId="0" applyNumberFormat="1" applyFont="1" applyBorder="1"/>
    <xf numFmtId="165" fontId="30" fillId="0" borderId="47" xfId="0" applyNumberFormat="1" applyFont="1" applyBorder="1"/>
    <xf numFmtId="165" fontId="30" fillId="0" borderId="48" xfId="0" applyNumberFormat="1" applyFont="1" applyBorder="1"/>
    <xf numFmtId="0" fontId="14" fillId="0" borderId="47" xfId="0" applyFont="1" applyBorder="1"/>
    <xf numFmtId="2" fontId="28" fillId="0" borderId="21" xfId="0" applyNumberFormat="1" applyFont="1" applyBorder="1"/>
    <xf numFmtId="165" fontId="3" fillId="0" borderId="31" xfId="0" applyNumberFormat="1" applyFont="1" applyBorder="1"/>
    <xf numFmtId="165" fontId="3" fillId="0" borderId="11" xfId="0" applyNumberFormat="1" applyFont="1" applyBorder="1"/>
    <xf numFmtId="165" fontId="3" fillId="0" borderId="23" xfId="0" applyNumberFormat="1" applyFont="1" applyBorder="1"/>
    <xf numFmtId="165" fontId="3" fillId="0" borderId="19" xfId="0" applyNumberFormat="1" applyFont="1" applyBorder="1"/>
    <xf numFmtId="0" fontId="3" fillId="0" borderId="11" xfId="0" applyFont="1" applyBorder="1"/>
    <xf numFmtId="2" fontId="3" fillId="0" borderId="23" xfId="0" applyNumberFormat="1" applyFont="1" applyBorder="1"/>
    <xf numFmtId="2" fontId="3" fillId="0" borderId="19" xfId="0" applyNumberFormat="1" applyFont="1" applyBorder="1"/>
    <xf numFmtId="2" fontId="3" fillId="0" borderId="11" xfId="0" applyNumberFormat="1" applyFont="1" applyBorder="1"/>
    <xf numFmtId="0" fontId="3" fillId="0" borderId="8" xfId="0" applyFont="1" applyBorder="1"/>
    <xf numFmtId="165" fontId="3" fillId="0" borderId="28" xfId="0" applyNumberFormat="1" applyFont="1" applyBorder="1"/>
    <xf numFmtId="2" fontId="3" fillId="0" borderId="49" xfId="0" applyNumberFormat="1" applyFont="1" applyBorder="1"/>
    <xf numFmtId="2" fontId="3" fillId="0" borderId="50" xfId="0" applyNumberFormat="1" applyFont="1" applyBorder="1"/>
    <xf numFmtId="2" fontId="3" fillId="0" borderId="51" xfId="0" applyNumberFormat="1" applyFont="1" applyBorder="1"/>
    <xf numFmtId="2" fontId="3" fillId="0" borderId="8" xfId="0" applyNumberFormat="1" applyFont="1" applyBorder="1"/>
    <xf numFmtId="0" fontId="3" fillId="0" borderId="19" xfId="0" applyFont="1" applyBorder="1"/>
    <xf numFmtId="165" fontId="3" fillId="0" borderId="23" xfId="0" applyNumberFormat="1" applyFont="1" applyFill="1" applyBorder="1"/>
    <xf numFmtId="0" fontId="3" fillId="0" borderId="19" xfId="0" applyFont="1" applyFill="1" applyBorder="1"/>
    <xf numFmtId="0" fontId="3" fillId="0" borderId="11" xfId="0" applyFont="1" applyFill="1" applyBorder="1"/>
    <xf numFmtId="2" fontId="3" fillId="0" borderId="23" xfId="0" applyNumberFormat="1" applyFont="1" applyFill="1" applyBorder="1"/>
    <xf numFmtId="2" fontId="3" fillId="0" borderId="19" xfId="0" applyNumberFormat="1" applyFont="1" applyFill="1" applyBorder="1"/>
    <xf numFmtId="2" fontId="3" fillId="0" borderId="11" xfId="0" applyNumberFormat="1" applyFont="1" applyFill="1" applyBorder="1"/>
    <xf numFmtId="2" fontId="3" fillId="0" borderId="21" xfId="0" applyNumberFormat="1" applyFont="1" applyFill="1" applyBorder="1"/>
    <xf numFmtId="165" fontId="3" fillId="0" borderId="34" xfId="0" applyNumberFormat="1" applyFont="1" applyBorder="1"/>
    <xf numFmtId="0" fontId="3" fillId="0" borderId="40" xfId="0" applyFont="1" applyBorder="1"/>
    <xf numFmtId="0" fontId="3" fillId="0" borderId="39" xfId="0" applyFont="1" applyBorder="1"/>
    <xf numFmtId="2" fontId="3" fillId="0" borderId="34" xfId="0" applyNumberFormat="1" applyFont="1" applyBorder="1"/>
    <xf numFmtId="2" fontId="3" fillId="0" borderId="40" xfId="0" applyNumberFormat="1" applyFont="1" applyBorder="1"/>
    <xf numFmtId="2" fontId="3" fillId="0" borderId="39" xfId="0" applyNumberFormat="1" applyFont="1" applyBorder="1"/>
    <xf numFmtId="165" fontId="3" fillId="0" borderId="40" xfId="0" applyNumberFormat="1" applyFont="1" applyBorder="1"/>
    <xf numFmtId="2" fontId="3" fillId="0" borderId="38" xfId="0" applyNumberFormat="1" applyFont="1" applyBorder="1"/>
    <xf numFmtId="49" fontId="5" fillId="0" borderId="33" xfId="0" applyNumberFormat="1" applyFont="1" applyFill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166" fontId="26" fillId="0" borderId="53" xfId="0" applyNumberFormat="1" applyFont="1" applyBorder="1"/>
    <xf numFmtId="165" fontId="11" fillId="0" borderId="6" xfId="0" applyNumberFormat="1" applyFont="1" applyBorder="1"/>
    <xf numFmtId="0" fontId="7" fillId="0" borderId="24" xfId="0" applyFont="1" applyBorder="1" applyAlignment="1">
      <alignment horizontal="center" vertical="center" wrapText="1"/>
    </xf>
    <xf numFmtId="165" fontId="3" fillId="0" borderId="8" xfId="0" applyNumberFormat="1" applyFont="1" applyBorder="1"/>
    <xf numFmtId="2" fontId="3" fillId="0" borderId="54" xfId="0" applyNumberFormat="1" applyFont="1" applyBorder="1"/>
    <xf numFmtId="0" fontId="0" fillId="0" borderId="55" xfId="0" applyFill="1" applyBorder="1" applyAlignment="1">
      <alignment horizontal="center" vertical="center" wrapText="1"/>
    </xf>
    <xf numFmtId="165" fontId="3" fillId="0" borderId="8" xfId="0" applyNumberFormat="1" applyFont="1" applyFill="1" applyBorder="1"/>
    <xf numFmtId="165" fontId="3" fillId="0" borderId="38" xfId="0" applyNumberFormat="1" applyFont="1" applyBorder="1"/>
    <xf numFmtId="2" fontId="3" fillId="0" borderId="8" xfId="0" applyNumberFormat="1" applyFont="1" applyFill="1" applyBorder="1"/>
    <xf numFmtId="2" fontId="11" fillId="0" borderId="31" xfId="0" applyNumberFormat="1" applyFont="1" applyBorder="1"/>
    <xf numFmtId="165" fontId="10" fillId="0" borderId="56" xfId="0" applyNumberFormat="1" applyFont="1" applyBorder="1"/>
    <xf numFmtId="0" fontId="25" fillId="0" borderId="57" xfId="0" applyNumberFormat="1" applyFont="1" applyFill="1" applyBorder="1" applyAlignment="1">
      <alignment horizontal="center"/>
    </xf>
    <xf numFmtId="166" fontId="33" fillId="0" borderId="0" xfId="0" applyNumberFormat="1" applyFont="1" applyBorder="1"/>
    <xf numFmtId="2" fontId="11" fillId="0" borderId="58" xfId="0" applyNumberFormat="1" applyFont="1" applyBorder="1"/>
    <xf numFmtId="2" fontId="11" fillId="0" borderId="59" xfId="0" applyNumberFormat="1" applyFont="1" applyBorder="1"/>
    <xf numFmtId="2" fontId="11" fillId="0" borderId="54" xfId="0" applyNumberFormat="1" applyFont="1" applyBorder="1"/>
    <xf numFmtId="0" fontId="1" fillId="0" borderId="54" xfId="0" applyFont="1" applyBorder="1"/>
    <xf numFmtId="165" fontId="3" fillId="0" borderId="5" xfId="0" applyNumberFormat="1" applyFont="1" applyBorder="1"/>
    <xf numFmtId="0" fontId="8" fillId="0" borderId="48" xfId="0" applyFont="1" applyFill="1" applyBorder="1" applyAlignment="1">
      <alignment horizontal="center" vertical="center" wrapText="1"/>
    </xf>
    <xf numFmtId="165" fontId="10" fillId="0" borderId="60" xfId="0" applyNumberFormat="1" applyFont="1" applyBorder="1"/>
    <xf numFmtId="165" fontId="0" fillId="0" borderId="0" xfId="0" applyNumberFormat="1"/>
    <xf numFmtId="165" fontId="3" fillId="0" borderId="61" xfId="0" applyNumberFormat="1" applyFont="1" applyBorder="1"/>
    <xf numFmtId="165" fontId="3" fillId="0" borderId="62" xfId="0" applyNumberFormat="1" applyFont="1" applyBorder="1"/>
    <xf numFmtId="165" fontId="3" fillId="0" borderId="63" xfId="0" applyNumberFormat="1" applyFont="1" applyBorder="1"/>
    <xf numFmtId="0" fontId="7" fillId="0" borderId="48" xfId="0" applyFont="1" applyBorder="1" applyAlignment="1">
      <alignment horizontal="center" vertical="center" wrapText="1"/>
    </xf>
    <xf numFmtId="2" fontId="28" fillId="0" borderId="43" xfId="0" applyNumberFormat="1" applyFont="1" applyBorder="1"/>
    <xf numFmtId="0" fontId="18" fillId="0" borderId="28" xfId="0" applyFont="1" applyBorder="1"/>
    <xf numFmtId="165" fontId="3" fillId="0" borderId="54" xfId="0" applyNumberFormat="1" applyFont="1" applyBorder="1"/>
    <xf numFmtId="165" fontId="3" fillId="0" borderId="54" xfId="0" applyNumberFormat="1" applyFont="1" applyFill="1" applyBorder="1"/>
    <xf numFmtId="165" fontId="3" fillId="0" borderId="64" xfId="0" applyNumberFormat="1" applyFont="1" applyBorder="1"/>
    <xf numFmtId="165" fontId="3" fillId="0" borderId="25" xfId="0" applyNumberFormat="1" applyFont="1" applyBorder="1"/>
    <xf numFmtId="0" fontId="3" fillId="0" borderId="65" xfId="0" applyFont="1" applyBorder="1"/>
    <xf numFmtId="165" fontId="3" fillId="0" borderId="65" xfId="0" applyNumberFormat="1" applyFont="1" applyBorder="1"/>
    <xf numFmtId="0" fontId="3" fillId="0" borderId="65" xfId="0" applyFont="1" applyFill="1" applyBorder="1"/>
    <xf numFmtId="165" fontId="3" fillId="0" borderId="55" xfId="0" applyNumberFormat="1" applyFont="1" applyBorder="1"/>
    <xf numFmtId="0" fontId="3" fillId="0" borderId="66" xfId="0" applyFont="1" applyBorder="1"/>
    <xf numFmtId="49" fontId="5" fillId="0" borderId="67" xfId="0" applyNumberFormat="1" applyFont="1" applyFill="1" applyBorder="1" applyAlignment="1">
      <alignment horizontal="center" vertical="center" wrapText="1"/>
    </xf>
    <xf numFmtId="165" fontId="3" fillId="0" borderId="44" xfId="0" applyNumberFormat="1" applyFont="1" applyBorder="1"/>
    <xf numFmtId="165" fontId="3" fillId="0" borderId="68" xfId="0" applyNumberFormat="1" applyFont="1" applyBorder="1"/>
    <xf numFmtId="165" fontId="3" fillId="0" borderId="69" xfId="0" applyNumberFormat="1" applyFont="1" applyBorder="1"/>
    <xf numFmtId="165" fontId="3" fillId="0" borderId="58" xfId="0" applyNumberFormat="1" applyFont="1" applyBorder="1"/>
    <xf numFmtId="165" fontId="3" fillId="0" borderId="70" xfId="0" applyNumberFormat="1" applyFont="1" applyBorder="1"/>
    <xf numFmtId="2" fontId="3" fillId="0" borderId="71" xfId="0" applyNumberFormat="1" applyFont="1" applyBorder="1"/>
    <xf numFmtId="2" fontId="3" fillId="0" borderId="7" xfId="0" applyNumberFormat="1" applyFont="1" applyBorder="1"/>
    <xf numFmtId="165" fontId="3" fillId="0" borderId="37" xfId="0" applyNumberFormat="1" applyFont="1" applyBorder="1"/>
    <xf numFmtId="0" fontId="0" fillId="0" borderId="72" xfId="0" applyBorder="1"/>
    <xf numFmtId="49" fontId="7" fillId="0" borderId="46" xfId="0" applyNumberFormat="1" applyFont="1" applyFill="1" applyBorder="1" applyAlignment="1">
      <alignment horizontal="center" vertical="center" wrapText="1"/>
    </xf>
    <xf numFmtId="0" fontId="6" fillId="0" borderId="72" xfId="0" applyFont="1" applyFill="1" applyBorder="1"/>
    <xf numFmtId="0" fontId="7" fillId="0" borderId="73" xfId="0" applyFont="1" applyBorder="1" applyAlignment="1">
      <alignment horizontal="center" vertical="center"/>
    </xf>
    <xf numFmtId="165" fontId="10" fillId="0" borderId="74" xfId="0" applyNumberFormat="1" applyFont="1" applyBorder="1"/>
    <xf numFmtId="165" fontId="10" fillId="0" borderId="75" xfId="0" applyNumberFormat="1" applyFont="1" applyBorder="1"/>
    <xf numFmtId="165" fontId="30" fillId="0" borderId="24" xfId="0" applyNumberFormat="1" applyFont="1" applyBorder="1"/>
    <xf numFmtId="165" fontId="10" fillId="0" borderId="76" xfId="0" applyNumberFormat="1" applyFont="1" applyBorder="1"/>
    <xf numFmtId="165" fontId="10" fillId="0" borderId="77" xfId="0" applyNumberFormat="1" applyFont="1" applyBorder="1"/>
    <xf numFmtId="165" fontId="10" fillId="0" borderId="78" xfId="0" applyNumberFormat="1" applyFont="1" applyBorder="1"/>
    <xf numFmtId="165" fontId="10" fillId="0" borderId="79" xfId="0" applyNumberFormat="1" applyFont="1" applyBorder="1"/>
    <xf numFmtId="165" fontId="10" fillId="0" borderId="80" xfId="0" applyNumberFormat="1" applyFont="1" applyBorder="1"/>
    <xf numFmtId="165" fontId="0" fillId="0" borderId="0" xfId="0" applyNumberFormat="1" applyBorder="1"/>
    <xf numFmtId="165" fontId="10" fillId="0" borderId="81" xfId="0" applyNumberFormat="1" applyFont="1" applyBorder="1"/>
    <xf numFmtId="165" fontId="10" fillId="0" borderId="82" xfId="0" applyNumberFormat="1" applyFont="1" applyBorder="1"/>
    <xf numFmtId="165" fontId="10" fillId="0" borderId="83" xfId="0" applyNumberFormat="1" applyFont="1" applyBorder="1"/>
    <xf numFmtId="49" fontId="5" fillId="0" borderId="84" xfId="0" applyNumberFormat="1" applyFont="1" applyFill="1" applyBorder="1" applyAlignment="1">
      <alignment horizontal="center" vertical="center" wrapText="1"/>
    </xf>
    <xf numFmtId="165" fontId="3" fillId="0" borderId="85" xfId="0" applyNumberFormat="1" applyFont="1" applyBorder="1"/>
    <xf numFmtId="0" fontId="6" fillId="0" borderId="87" xfId="0" applyFont="1" applyFill="1" applyBorder="1" applyAlignment="1">
      <alignment horizontal="center" vertical="center" wrapText="1"/>
    </xf>
    <xf numFmtId="0" fontId="6" fillId="0" borderId="88" xfId="0" applyFont="1" applyFill="1" applyBorder="1" applyAlignment="1">
      <alignment horizontal="center" vertical="center"/>
    </xf>
    <xf numFmtId="0" fontId="6" fillId="0" borderId="89" xfId="0" applyFont="1" applyFill="1" applyBorder="1" applyAlignment="1">
      <alignment horizontal="center" vertical="center"/>
    </xf>
    <xf numFmtId="165" fontId="8" fillId="0" borderId="69" xfId="0" applyNumberFormat="1" applyFont="1" applyBorder="1"/>
    <xf numFmtId="0" fontId="14" fillId="0" borderId="69" xfId="0" applyFont="1" applyBorder="1"/>
    <xf numFmtId="165" fontId="34" fillId="0" borderId="23" xfId="0" applyNumberFormat="1" applyFont="1" applyBorder="1" applyAlignment="1" applyProtection="1">
      <alignment horizontal="right"/>
      <protection locked="0"/>
    </xf>
    <xf numFmtId="2" fontId="8" fillId="0" borderId="69" xfId="0" applyNumberFormat="1" applyFont="1" applyBorder="1"/>
    <xf numFmtId="2" fontId="14" fillId="0" borderId="69" xfId="0" applyNumberFormat="1" applyFont="1" applyBorder="1"/>
    <xf numFmtId="0" fontId="14" fillId="0" borderId="90" xfId="0" applyFont="1" applyBorder="1"/>
    <xf numFmtId="165" fontId="35" fillId="0" borderId="91" xfId="0" applyNumberFormat="1" applyFont="1" applyBorder="1"/>
    <xf numFmtId="2" fontId="35" fillId="0" borderId="92" xfId="0" applyNumberFormat="1" applyFont="1" applyBorder="1"/>
    <xf numFmtId="165" fontId="35" fillId="0" borderId="93" xfId="0" applyNumberFormat="1" applyFont="1" applyBorder="1"/>
    <xf numFmtId="0" fontId="36" fillId="0" borderId="94" xfId="0" applyFont="1" applyBorder="1"/>
    <xf numFmtId="0" fontId="36" fillId="0" borderId="69" xfId="0" applyFont="1" applyBorder="1"/>
    <xf numFmtId="0" fontId="36" fillId="0" borderId="95" xfId="0" applyFont="1" applyBorder="1"/>
    <xf numFmtId="0" fontId="36" fillId="0" borderId="96" xfId="0" applyFont="1" applyBorder="1"/>
    <xf numFmtId="0" fontId="36" fillId="0" borderId="97" xfId="0" applyFont="1" applyBorder="1"/>
    <xf numFmtId="0" fontId="36" fillId="0" borderId="98" xfId="0" applyFont="1" applyBorder="1"/>
    <xf numFmtId="0" fontId="36" fillId="0" borderId="99" xfId="0" applyFont="1" applyBorder="1"/>
    <xf numFmtId="0" fontId="36" fillId="0" borderId="100" xfId="0" applyFont="1" applyBorder="1"/>
    <xf numFmtId="0" fontId="5" fillId="0" borderId="55" xfId="0" applyFont="1" applyBorder="1" applyAlignment="1">
      <alignment horizontal="center" vertical="center" wrapText="1"/>
    </xf>
    <xf numFmtId="9" fontId="0" fillId="0" borderId="0" xfId="0" applyNumberFormat="1"/>
    <xf numFmtId="49" fontId="5" fillId="0" borderId="101" xfId="0" applyNumberFormat="1" applyFont="1" applyFill="1" applyBorder="1" applyAlignment="1">
      <alignment horizontal="center" vertical="center" wrapText="1"/>
    </xf>
    <xf numFmtId="165" fontId="3" fillId="0" borderId="7" xfId="0" applyNumberFormat="1" applyFont="1" applyBorder="1"/>
    <xf numFmtId="2" fontId="25" fillId="5" borderId="102" xfId="0" applyNumberFormat="1" applyFont="1" applyFill="1" applyBorder="1" applyAlignment="1" applyProtection="1">
      <alignment horizontal="center"/>
      <protection locked="0"/>
    </xf>
    <xf numFmtId="2" fontId="25" fillId="5" borderId="23" xfId="0" applyNumberFormat="1" applyFont="1" applyFill="1" applyBorder="1" applyAlignment="1" applyProtection="1">
      <alignment horizontal="center"/>
      <protection locked="0"/>
    </xf>
    <xf numFmtId="0" fontId="37" fillId="0" borderId="0" xfId="0" applyFont="1"/>
    <xf numFmtId="0" fontId="37" fillId="0" borderId="0" xfId="0" applyFont="1" applyAlignment="1">
      <alignment wrapText="1"/>
    </xf>
    <xf numFmtId="0" fontId="37" fillId="0" borderId="0" xfId="0" applyFont="1" applyBorder="1"/>
    <xf numFmtId="0" fontId="38" fillId="0" borderId="0" xfId="0" applyFont="1" applyBorder="1" applyAlignment="1"/>
    <xf numFmtId="0" fontId="39" fillId="0" borderId="0" xfId="0" applyFont="1" applyBorder="1" applyAlignment="1"/>
    <xf numFmtId="0" fontId="40" fillId="0" borderId="0" xfId="0" applyFont="1"/>
    <xf numFmtId="0" fontId="41" fillId="0" borderId="0" xfId="0" applyFont="1"/>
    <xf numFmtId="0" fontId="40" fillId="0" borderId="35" xfId="0" applyFont="1" applyBorder="1" applyAlignment="1"/>
    <xf numFmtId="0" fontId="42" fillId="0" borderId="0" xfId="0" applyFont="1"/>
    <xf numFmtId="0" fontId="33" fillId="0" borderId="0" xfId="0" applyFont="1"/>
    <xf numFmtId="2" fontId="43" fillId="0" borderId="43" xfId="0" applyNumberFormat="1" applyFont="1" applyFill="1" applyBorder="1"/>
    <xf numFmtId="165" fontId="28" fillId="0" borderId="21" xfId="0" applyNumberFormat="1" applyFont="1" applyBorder="1"/>
    <xf numFmtId="165" fontId="20" fillId="0" borderId="21" xfId="0" applyNumberFormat="1" applyFont="1" applyBorder="1"/>
    <xf numFmtId="165" fontId="3" fillId="0" borderId="103" xfId="0" applyNumberFormat="1" applyFont="1" applyBorder="1"/>
    <xf numFmtId="2" fontId="3" fillId="0" borderId="58" xfId="0" applyNumberFormat="1" applyFont="1" applyBorder="1"/>
    <xf numFmtId="165" fontId="29" fillId="0" borderId="43" xfId="0" applyNumberFormat="1" applyFont="1" applyBorder="1"/>
    <xf numFmtId="0" fontId="5" fillId="0" borderId="104" xfId="0" applyFont="1" applyBorder="1" applyAlignment="1">
      <alignment horizontal="center" vertical="center" wrapText="1"/>
    </xf>
    <xf numFmtId="0" fontId="0" fillId="0" borderId="105" xfId="0" applyFill="1" applyBorder="1" applyAlignment="1">
      <alignment horizontal="center" vertical="center" wrapText="1"/>
    </xf>
    <xf numFmtId="0" fontId="5" fillId="0" borderId="106" xfId="0" applyFont="1" applyBorder="1" applyAlignment="1">
      <alignment horizontal="center" vertical="center" wrapText="1"/>
    </xf>
    <xf numFmtId="49" fontId="5" fillId="0" borderId="107" xfId="0" applyNumberFormat="1" applyFont="1" applyFill="1" applyBorder="1" applyAlignment="1">
      <alignment horizontal="center" vertical="center" wrapText="1"/>
    </xf>
    <xf numFmtId="165" fontId="3" fillId="0" borderId="108" xfId="0" applyNumberFormat="1" applyFont="1" applyBorder="1"/>
    <xf numFmtId="2" fontId="17" fillId="0" borderId="21" xfId="0" applyNumberFormat="1" applyFont="1" applyBorder="1"/>
    <xf numFmtId="2" fontId="17" fillId="0" borderId="31" xfId="0" applyNumberFormat="1" applyFont="1" applyBorder="1"/>
    <xf numFmtId="2" fontId="44" fillId="0" borderId="43" xfId="0" applyNumberFormat="1" applyFont="1" applyFill="1" applyBorder="1"/>
    <xf numFmtId="165" fontId="44" fillId="0" borderId="21" xfId="0" applyNumberFormat="1" applyFont="1" applyBorder="1"/>
    <xf numFmtId="2" fontId="44" fillId="0" borderId="43" xfId="0" applyNumberFormat="1" applyFont="1" applyBorder="1"/>
    <xf numFmtId="165" fontId="44" fillId="0" borderId="43" xfId="0" applyNumberFormat="1" applyFont="1" applyBorder="1"/>
    <xf numFmtId="2" fontId="44" fillId="0" borderId="21" xfId="0" applyNumberFormat="1" applyFont="1" applyBorder="1"/>
    <xf numFmtId="166" fontId="44" fillId="0" borderId="102" xfId="0" applyNumberFormat="1" applyFont="1" applyBorder="1"/>
    <xf numFmtId="2" fontId="32" fillId="0" borderId="21" xfId="0" applyNumberFormat="1" applyFont="1" applyBorder="1"/>
    <xf numFmtId="166" fontId="44" fillId="0" borderId="21" xfId="0" applyNumberFormat="1" applyFont="1" applyBorder="1"/>
    <xf numFmtId="1" fontId="44" fillId="0" borderId="21" xfId="0" applyNumberFormat="1" applyFont="1" applyBorder="1"/>
    <xf numFmtId="1" fontId="32" fillId="0" borderId="53" xfId="0" applyNumberFormat="1" applyFont="1" applyFill="1" applyBorder="1"/>
    <xf numFmtId="167" fontId="44" fillId="0" borderId="43" xfId="0" applyNumberFormat="1" applyFont="1" applyBorder="1"/>
    <xf numFmtId="166" fontId="44" fillId="0" borderId="86" xfId="0" applyNumberFormat="1" applyFont="1" applyBorder="1"/>
    <xf numFmtId="167" fontId="44" fillId="0" borderId="21" xfId="0" applyNumberFormat="1" applyFont="1" applyBorder="1"/>
    <xf numFmtId="0" fontId="44" fillId="0" borderId="21" xfId="0" applyFont="1" applyBorder="1"/>
    <xf numFmtId="2" fontId="44" fillId="0" borderId="22" xfId="0" applyNumberFormat="1" applyFont="1" applyBorder="1"/>
    <xf numFmtId="2" fontId="45" fillId="0" borderId="23" xfId="0" applyNumberFormat="1" applyFont="1" applyBorder="1"/>
    <xf numFmtId="165" fontId="45" fillId="0" borderId="23" xfId="0" applyNumberFormat="1" applyFont="1" applyBorder="1"/>
    <xf numFmtId="2" fontId="45" fillId="0" borderId="8" xfId="0" applyNumberFormat="1" applyFont="1" applyBorder="1"/>
    <xf numFmtId="167" fontId="44" fillId="0" borderId="23" xfId="0" applyNumberFormat="1" applyFont="1" applyBorder="1"/>
    <xf numFmtId="166" fontId="45" fillId="0" borderId="23" xfId="0" applyNumberFormat="1" applyFont="1" applyBorder="1"/>
    <xf numFmtId="1" fontId="45" fillId="0" borderId="23" xfId="0" applyNumberFormat="1" applyFont="1" applyBorder="1"/>
    <xf numFmtId="167" fontId="45" fillId="0" borderId="23" xfId="0" applyNumberFormat="1" applyFont="1" applyFill="1" applyBorder="1"/>
    <xf numFmtId="167" fontId="45" fillId="0" borderId="23" xfId="0" applyNumberFormat="1" applyFont="1" applyBorder="1"/>
    <xf numFmtId="2" fontId="44" fillId="0" borderId="23" xfId="0" applyNumberFormat="1" applyFont="1" applyBorder="1"/>
    <xf numFmtId="167" fontId="45" fillId="0" borderId="37" xfId="0" applyNumberFormat="1" applyFont="1" applyBorder="1"/>
    <xf numFmtId="2" fontId="45" fillId="0" borderId="19" xfId="0" applyNumberFormat="1" applyFont="1" applyBorder="1"/>
    <xf numFmtId="2" fontId="44" fillId="4" borderId="23" xfId="0" applyNumberFormat="1" applyFont="1" applyFill="1" applyBorder="1"/>
    <xf numFmtId="165" fontId="44" fillId="4" borderId="23" xfId="0" applyNumberFormat="1" applyFont="1" applyFill="1" applyBorder="1"/>
    <xf numFmtId="0" fontId="44" fillId="0" borderId="23" xfId="0" applyFont="1" applyFill="1" applyBorder="1"/>
    <xf numFmtId="167" fontId="44" fillId="4" borderId="23" xfId="0" applyNumberFormat="1" applyFont="1" applyFill="1" applyBorder="1"/>
    <xf numFmtId="166" fontId="44" fillId="4" borderId="23" xfId="0" applyNumberFormat="1" applyFont="1" applyFill="1" applyBorder="1"/>
    <xf numFmtId="0" fontId="44" fillId="4" borderId="37" xfId="0" applyNumberFormat="1" applyFont="1" applyFill="1" applyBorder="1"/>
    <xf numFmtId="166" fontId="32" fillId="0" borderId="37" xfId="0" applyNumberFormat="1" applyFont="1" applyFill="1" applyBorder="1"/>
    <xf numFmtId="1" fontId="44" fillId="4" borderId="37" xfId="0" applyNumberFormat="1" applyFont="1" applyFill="1" applyBorder="1"/>
    <xf numFmtId="1" fontId="44" fillId="0" borderId="37" xfId="0" applyNumberFormat="1" applyFont="1" applyFill="1" applyBorder="1"/>
    <xf numFmtId="0" fontId="44" fillId="4" borderId="23" xfId="0" applyFont="1" applyFill="1" applyBorder="1"/>
    <xf numFmtId="0" fontId="44" fillId="4" borderId="23" xfId="0" applyFont="1" applyFill="1" applyBorder="1" applyAlignment="1">
      <alignment horizontal="center"/>
    </xf>
    <xf numFmtId="0" fontId="44" fillId="0" borderId="21" xfId="0" applyFont="1" applyFill="1" applyBorder="1"/>
    <xf numFmtId="0" fontId="44" fillId="0" borderId="8" xfId="0" applyFont="1" applyFill="1" applyBorder="1"/>
    <xf numFmtId="0" fontId="44" fillId="4" borderId="37" xfId="0" applyFont="1" applyFill="1" applyBorder="1" applyAlignment="1"/>
    <xf numFmtId="2" fontId="44" fillId="7" borderId="23" xfId="0" applyNumberFormat="1" applyFont="1" applyFill="1" applyBorder="1" applyAlignment="1"/>
    <xf numFmtId="0" fontId="44" fillId="5" borderId="3" xfId="0" applyFont="1" applyFill="1" applyBorder="1" applyAlignment="1"/>
    <xf numFmtId="0" fontId="44" fillId="6" borderId="23" xfId="0" applyFont="1" applyFill="1" applyBorder="1"/>
    <xf numFmtId="0" fontId="44" fillId="0" borderId="23" xfId="0" applyFont="1" applyBorder="1"/>
    <xf numFmtId="0" fontId="44" fillId="0" borderId="19" xfId="0" applyFont="1" applyBorder="1"/>
    <xf numFmtId="0" fontId="44" fillId="0" borderId="34" xfId="0" applyFont="1" applyBorder="1"/>
    <xf numFmtId="166" fontId="44" fillId="0" borderId="34" xfId="0" applyNumberFormat="1" applyFont="1" applyFill="1" applyBorder="1"/>
    <xf numFmtId="2" fontId="44" fillId="0" borderId="34" xfId="0" applyNumberFormat="1" applyFont="1" applyBorder="1"/>
    <xf numFmtId="4" fontId="44" fillId="0" borderId="34" xfId="0" applyNumberFormat="1" applyFont="1" applyFill="1" applyBorder="1"/>
    <xf numFmtId="0" fontId="44" fillId="0" borderId="34" xfId="0" applyFont="1" applyFill="1" applyBorder="1"/>
    <xf numFmtId="3" fontId="44" fillId="0" borderId="34" xfId="0" applyNumberFormat="1" applyFont="1" applyFill="1" applyBorder="1"/>
    <xf numFmtId="1" fontId="44" fillId="0" borderId="34" xfId="0" applyNumberFormat="1" applyFont="1" applyFill="1" applyBorder="1"/>
    <xf numFmtId="0" fontId="44" fillId="0" borderId="38" xfId="0" applyFont="1" applyBorder="1"/>
    <xf numFmtId="1" fontId="44" fillId="0" borderId="34" xfId="0" applyNumberFormat="1" applyFont="1" applyBorder="1" applyAlignment="1"/>
    <xf numFmtId="0" fontId="44" fillId="0" borderId="39" xfId="0" applyFont="1" applyBorder="1"/>
    <xf numFmtId="0" fontId="44" fillId="0" borderId="40" xfId="0" applyFont="1" applyBorder="1"/>
    <xf numFmtId="168" fontId="29" fillId="0" borderId="21" xfId="0" applyNumberFormat="1" applyFont="1" applyBorder="1" applyAlignment="1">
      <alignment horizontal="right"/>
    </xf>
    <xf numFmtId="0" fontId="5" fillId="0" borderId="109" xfId="0" applyFont="1" applyBorder="1" applyAlignment="1">
      <alignment horizontal="center" vertical="center" wrapText="1"/>
    </xf>
    <xf numFmtId="0" fontId="5" fillId="0" borderId="98" xfId="0" applyFont="1" applyBorder="1" applyAlignment="1">
      <alignment horizontal="center" vertical="center" wrapText="1"/>
    </xf>
    <xf numFmtId="0" fontId="5" fillId="0" borderId="110" xfId="0" applyFont="1" applyBorder="1" applyAlignment="1">
      <alignment horizontal="center" vertical="center" wrapText="1"/>
    </xf>
    <xf numFmtId="0" fontId="5" fillId="0" borderId="111" xfId="0" applyFont="1" applyBorder="1" applyAlignment="1">
      <alignment horizontal="center" vertical="center" wrapText="1"/>
    </xf>
    <xf numFmtId="0" fontId="0" fillId="0" borderId="112" xfId="0" applyFill="1" applyBorder="1" applyAlignment="1">
      <alignment horizontal="center" vertical="center" wrapText="1"/>
    </xf>
    <xf numFmtId="170" fontId="44" fillId="4" borderId="23" xfId="0" applyNumberFormat="1" applyFont="1" applyFill="1" applyBorder="1"/>
    <xf numFmtId="169" fontId="0" fillId="0" borderId="0" xfId="0" applyNumberFormat="1"/>
    <xf numFmtId="2" fontId="27" fillId="0" borderId="21" xfId="0" applyNumberFormat="1" applyFont="1" applyBorder="1" applyAlignment="1">
      <alignment horizontal="center"/>
    </xf>
    <xf numFmtId="2" fontId="27" fillId="0" borderId="23" xfId="0" applyNumberFormat="1" applyFont="1" applyFill="1" applyBorder="1" applyAlignment="1">
      <alignment horizontal="center"/>
    </xf>
    <xf numFmtId="2" fontId="27" fillId="0" borderId="37" xfId="0" applyNumberFormat="1" applyFont="1" applyBorder="1" applyAlignment="1">
      <alignment horizontal="center"/>
    </xf>
    <xf numFmtId="2" fontId="27" fillId="0" borderId="34" xfId="0" applyNumberFormat="1" applyFont="1" applyBorder="1" applyAlignment="1">
      <alignment horizontal="center"/>
    </xf>
    <xf numFmtId="0" fontId="16" fillId="0" borderId="33" xfId="0" applyFont="1" applyFill="1" applyBorder="1" applyAlignment="1">
      <alignment horizontal="center" vertical="center" wrapText="1" shrinkToFit="1"/>
    </xf>
    <xf numFmtId="165" fontId="17" fillId="4" borderId="23" xfId="0" applyNumberFormat="1" applyFont="1" applyFill="1" applyBorder="1"/>
    <xf numFmtId="0" fontId="16" fillId="0" borderId="33" xfId="0" applyFont="1" applyFill="1" applyBorder="1" applyAlignment="1">
      <alignment horizontal="center" vertical="center" wrapText="1" shrinkToFit="1"/>
    </xf>
    <xf numFmtId="0" fontId="16" fillId="0" borderId="33" xfId="0" applyFont="1" applyFill="1" applyBorder="1" applyAlignment="1">
      <alignment horizontal="center" vertical="center" wrapText="1" shrinkToFit="1"/>
    </xf>
    <xf numFmtId="2" fontId="0" fillId="0" borderId="0" xfId="0" applyNumberFormat="1"/>
    <xf numFmtId="0" fontId="16" fillId="0" borderId="33" xfId="0" applyFont="1" applyFill="1" applyBorder="1" applyAlignment="1">
      <alignment horizontal="center" vertical="center" wrapText="1" shrinkToFit="1"/>
    </xf>
    <xf numFmtId="0" fontId="16" fillId="0" borderId="33" xfId="0" applyFont="1" applyFill="1" applyBorder="1" applyAlignment="1">
      <alignment horizontal="center" vertical="center" wrapText="1" shrinkToFit="1"/>
    </xf>
    <xf numFmtId="165" fontId="30" fillId="0" borderId="0" xfId="0" applyNumberFormat="1" applyFont="1" applyBorder="1"/>
    <xf numFmtId="165" fontId="46" fillId="0" borderId="21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12" fillId="0" borderId="6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0" xfId="0" applyNumberFormat="1" applyFont="1" applyBorder="1"/>
    <xf numFmtId="165" fontId="47" fillId="0" borderId="0" xfId="0" applyNumberFormat="1" applyFont="1"/>
    <xf numFmtId="165" fontId="3" fillId="0" borderId="0" xfId="0" applyNumberFormat="1" applyFont="1" applyFill="1" applyBorder="1"/>
    <xf numFmtId="0" fontId="47" fillId="0" borderId="0" xfId="0" applyFont="1"/>
    <xf numFmtId="0" fontId="16" fillId="0" borderId="33" xfId="0" applyFont="1" applyFill="1" applyBorder="1" applyAlignment="1">
      <alignment horizontal="center" vertical="center" wrapText="1" shrinkToFit="1"/>
    </xf>
    <xf numFmtId="165" fontId="48" fillId="0" borderId="6" xfId="0" applyNumberFormat="1" applyFont="1" applyBorder="1"/>
    <xf numFmtId="2" fontId="25" fillId="5" borderId="141" xfId="0" applyNumberFormat="1" applyFont="1" applyFill="1" applyBorder="1" applyAlignment="1" applyProtection="1">
      <alignment horizontal="center"/>
      <protection locked="0"/>
    </xf>
    <xf numFmtId="2" fontId="25" fillId="0" borderId="33" xfId="0" applyNumberFormat="1" applyFont="1" applyBorder="1"/>
    <xf numFmtId="2" fontId="25" fillId="5" borderId="69" xfId="0" applyNumberFormat="1" applyFont="1" applyFill="1" applyBorder="1" applyAlignment="1" applyProtection="1">
      <alignment horizontal="center"/>
      <protection locked="0"/>
    </xf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11" xfId="0" applyNumberFormat="1" applyFont="1" applyFill="1" applyBorder="1"/>
    <xf numFmtId="165" fontId="3" fillId="0" borderId="142" xfId="0" applyNumberFormat="1" applyFont="1" applyBorder="1"/>
    <xf numFmtId="165" fontId="3" fillId="0" borderId="143" xfId="0" applyNumberFormat="1" applyFont="1" applyBorder="1"/>
    <xf numFmtId="165" fontId="3" fillId="0" borderId="128" xfId="0" applyNumberFormat="1" applyFont="1" applyBorder="1"/>
    <xf numFmtId="0" fontId="5" fillId="0" borderId="144" xfId="0" applyFont="1" applyBorder="1" applyAlignment="1">
      <alignment horizontal="center" vertical="center" wrapText="1"/>
    </xf>
    <xf numFmtId="0" fontId="5" fillId="0" borderId="37" xfId="0" applyFont="1" applyBorder="1" applyAlignment="1">
      <alignment horizontal="center" vertical="center"/>
    </xf>
    <xf numFmtId="0" fontId="0" fillId="0" borderId="44" xfId="0" applyFill="1" applyBorder="1" applyAlignment="1">
      <alignment horizontal="center" vertical="center" wrapText="1"/>
    </xf>
    <xf numFmtId="0" fontId="5" fillId="0" borderId="145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90" xfId="0" applyFont="1" applyBorder="1" applyAlignment="1">
      <alignment horizontal="center" vertical="center" wrapText="1"/>
    </xf>
    <xf numFmtId="165" fontId="3" fillId="0" borderId="146" xfId="0" applyNumberFormat="1" applyFont="1" applyBorder="1"/>
    <xf numFmtId="165" fontId="3" fillId="0" borderId="147" xfId="0" applyNumberFormat="1" applyFont="1" applyBorder="1"/>
    <xf numFmtId="165" fontId="3" fillId="0" borderId="94" xfId="0" applyNumberFormat="1" applyFont="1" applyBorder="1"/>
    <xf numFmtId="165" fontId="3" fillId="0" borderId="97" xfId="0" applyNumberFormat="1" applyFont="1" applyBorder="1"/>
    <xf numFmtId="165" fontId="3" fillId="0" borderId="148" xfId="0" applyNumberFormat="1" applyFont="1" applyBorder="1"/>
    <xf numFmtId="165" fontId="3" fillId="0" borderId="2" xfId="0" applyNumberFormat="1" applyFont="1" applyBorder="1"/>
    <xf numFmtId="165" fontId="3" fillId="0" borderId="149" xfId="0" applyNumberFormat="1" applyFont="1" applyBorder="1"/>
    <xf numFmtId="165" fontId="3" fillId="0" borderId="150" xfId="0" applyNumberFormat="1" applyFont="1" applyBorder="1"/>
    <xf numFmtId="165" fontId="26" fillId="0" borderId="21" xfId="0" applyNumberFormat="1" applyFont="1" applyBorder="1" applyProtection="1"/>
    <xf numFmtId="165" fontId="26" fillId="0" borderId="23" xfId="0" applyNumberFormat="1" applyFont="1" applyBorder="1" applyProtection="1"/>
    <xf numFmtId="0" fontId="16" fillId="0" borderId="33" xfId="0" applyFont="1" applyFill="1" applyBorder="1" applyAlignment="1">
      <alignment horizontal="center" vertical="center" wrapText="1" shrinkToFit="1"/>
    </xf>
    <xf numFmtId="4" fontId="44" fillId="4" borderId="23" xfId="0" applyNumberFormat="1" applyFont="1" applyFill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151" xfId="0" applyNumberFormat="1" applyFont="1" applyBorder="1"/>
    <xf numFmtId="165" fontId="3" fillId="0" borderId="134" xfId="0" applyNumberFormat="1" applyFont="1" applyBorder="1"/>
    <xf numFmtId="165" fontId="3" fillId="0" borderId="152" xfId="0" applyNumberFormat="1" applyFont="1" applyBorder="1"/>
    <xf numFmtId="165" fontId="3" fillId="0" borderId="153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49" fillId="0" borderId="21" xfId="0" applyNumberFormat="1" applyFont="1" applyBorder="1"/>
    <xf numFmtId="2" fontId="18" fillId="0" borderId="23" xfId="0" applyNumberFormat="1" applyFont="1" applyBorder="1"/>
    <xf numFmtId="1" fontId="17" fillId="0" borderId="21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154" xfId="0" applyNumberFormat="1" applyFont="1" applyBorder="1"/>
    <xf numFmtId="165" fontId="3" fillId="0" borderId="155" xfId="0" applyNumberFormat="1" applyFont="1" applyBorder="1"/>
    <xf numFmtId="165" fontId="3" fillId="0" borderId="156" xfId="0" applyNumberFormat="1" applyFont="1" applyBorder="1"/>
    <xf numFmtId="165" fontId="3" fillId="0" borderId="157" xfId="0" applyNumberFormat="1" applyFont="1" applyBorder="1"/>
    <xf numFmtId="165" fontId="3" fillId="0" borderId="119" xfId="0" applyNumberFormat="1" applyFont="1" applyBorder="1"/>
    <xf numFmtId="2" fontId="50" fillId="0" borderId="21" xfId="0" applyNumberFormat="1" applyFont="1" applyBorder="1"/>
    <xf numFmtId="0" fontId="51" fillId="0" borderId="87" xfId="0" applyFont="1" applyBorder="1" applyAlignment="1"/>
    <xf numFmtId="0" fontId="24" fillId="0" borderId="89" xfId="0" applyFont="1" applyBorder="1" applyAlignment="1"/>
    <xf numFmtId="165" fontId="24" fillId="0" borderId="88" xfId="0" applyNumberFormat="1" applyFont="1" applyBorder="1"/>
    <xf numFmtId="0" fontId="18" fillId="0" borderId="89" xfId="0" applyFont="1" applyBorder="1"/>
    <xf numFmtId="0" fontId="16" fillId="0" borderId="120" xfId="0" applyFont="1" applyBorder="1"/>
    <xf numFmtId="0" fontId="42" fillId="0" borderId="158" xfId="0" applyFont="1" applyBorder="1"/>
    <xf numFmtId="0" fontId="52" fillId="0" borderId="159" xfId="0" applyFont="1" applyBorder="1"/>
    <xf numFmtId="0" fontId="52" fillId="0" borderId="160" xfId="0" applyFont="1" applyBorder="1"/>
    <xf numFmtId="0" fontId="52" fillId="0" borderId="161" xfId="0" applyFont="1" applyBorder="1"/>
    <xf numFmtId="0" fontId="52" fillId="0" borderId="0" xfId="0" applyFont="1" applyBorder="1"/>
    <xf numFmtId="0" fontId="52" fillId="0" borderId="163" xfId="0" applyFont="1" applyBorder="1"/>
    <xf numFmtId="0" fontId="52" fillId="0" borderId="36" xfId="0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54" fillId="0" borderId="82" xfId="0" applyNumberFormat="1" applyFont="1" applyBorder="1"/>
    <xf numFmtId="0" fontId="5" fillId="0" borderId="25" xfId="0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165" fontId="17" fillId="0" borderId="43" xfId="0" applyNumberFormat="1" applyFont="1" applyBorder="1"/>
    <xf numFmtId="166" fontId="44" fillId="4" borderId="37" xfId="0" applyNumberFormat="1" applyFont="1" applyFill="1" applyBorder="1"/>
    <xf numFmtId="166" fontId="26" fillId="0" borderId="31" xfId="0" applyNumberFormat="1" applyFont="1" applyBorder="1"/>
    <xf numFmtId="166" fontId="26" fillId="0" borderId="30" xfId="0" applyNumberFormat="1" applyFont="1" applyBorder="1"/>
    <xf numFmtId="4" fontId="27" fillId="0" borderId="11" xfId="0" applyNumberFormat="1" applyFont="1" applyBorder="1"/>
    <xf numFmtId="4" fontId="27" fillId="0" borderId="11" xfId="0" applyNumberFormat="1" applyFont="1" applyFill="1" applyBorder="1"/>
    <xf numFmtId="2" fontId="27" fillId="0" borderId="11" xfId="0" applyNumberFormat="1" applyFont="1" applyFill="1" applyBorder="1"/>
    <xf numFmtId="2" fontId="27" fillId="0" borderId="39" xfId="0" applyNumberFormat="1" applyFont="1" applyBorder="1"/>
    <xf numFmtId="165" fontId="20" fillId="0" borderId="31" xfId="0" applyNumberFormat="1" applyFont="1" applyBorder="1"/>
    <xf numFmtId="165" fontId="20" fillId="0" borderId="6" xfId="0" applyNumberFormat="1" applyFont="1" applyBorder="1"/>
    <xf numFmtId="2" fontId="25" fillId="0" borderId="53" xfId="0" applyNumberFormat="1" applyFont="1" applyBorder="1"/>
    <xf numFmtId="2" fontId="25" fillId="0" borderId="69" xfId="0" applyNumberFormat="1" applyFont="1" applyBorder="1"/>
    <xf numFmtId="166" fontId="26" fillId="0" borderId="69" xfId="0" applyNumberFormat="1" applyFont="1" applyBorder="1"/>
    <xf numFmtId="49" fontId="5" fillId="0" borderId="112" xfId="0" applyNumberFormat="1" applyFont="1" applyFill="1" applyBorder="1" applyAlignment="1">
      <alignment horizontal="center" vertical="center" wrapText="1"/>
    </xf>
    <xf numFmtId="0" fontId="14" fillId="0" borderId="0" xfId="0" applyFont="1" applyBorder="1"/>
    <xf numFmtId="165" fontId="30" fillId="0" borderId="133" xfId="0" applyNumberFormat="1" applyFont="1" applyBorder="1"/>
    <xf numFmtId="0" fontId="0" fillId="0" borderId="162" xfId="0" applyBorder="1"/>
    <xf numFmtId="165" fontId="30" fillId="0" borderId="172" xfId="0" applyNumberFormat="1" applyFont="1" applyBorder="1"/>
    <xf numFmtId="0" fontId="0" fillId="0" borderId="173" xfId="0" applyBorder="1"/>
    <xf numFmtId="165" fontId="30" fillId="0" borderId="174" xfId="0" applyNumberFormat="1" applyFont="1" applyBorder="1" applyAlignment="1">
      <alignment horizontal="center"/>
    </xf>
    <xf numFmtId="2" fontId="3" fillId="0" borderId="108" xfId="0" applyNumberFormat="1" applyFont="1" applyBorder="1"/>
    <xf numFmtId="165" fontId="55" fillId="0" borderId="21" xfId="0" applyNumberFormat="1" applyFont="1" applyBorder="1"/>
    <xf numFmtId="165" fontId="26" fillId="0" borderId="25" xfId="0" applyNumberFormat="1" applyFont="1" applyBorder="1"/>
    <xf numFmtId="166" fontId="26" fillId="0" borderId="90" xfId="0" applyNumberFormat="1" applyFont="1" applyBorder="1"/>
    <xf numFmtId="165" fontId="26" fillId="0" borderId="175" xfId="0" applyNumberFormat="1" applyFont="1" applyBorder="1"/>
    <xf numFmtId="165" fontId="10" fillId="0" borderId="176" xfId="0" applyNumberFormat="1" applyFont="1" applyBorder="1"/>
    <xf numFmtId="166" fontId="26" fillId="0" borderId="178" xfId="0" applyNumberFormat="1" applyFont="1" applyBorder="1"/>
    <xf numFmtId="166" fontId="26" fillId="0" borderId="177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70" fontId="17" fillId="4" borderId="23" xfId="0" applyNumberFormat="1" applyFont="1" applyFill="1" applyBorder="1"/>
    <xf numFmtId="2" fontId="17" fillId="4" borderId="23" xfId="0" applyNumberFormat="1" applyFont="1" applyFill="1" applyBorder="1"/>
    <xf numFmtId="165" fontId="30" fillId="0" borderId="0" xfId="0" applyNumberFormat="1" applyFont="1" applyBorder="1" applyAlignment="1">
      <alignment horizontal="center"/>
    </xf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7" xfId="0" applyNumberFormat="1" applyFont="1" applyFill="1" applyBorder="1"/>
    <xf numFmtId="165" fontId="3" fillId="0" borderId="21" xfId="0" applyNumberFormat="1" applyFont="1" applyBorder="1"/>
    <xf numFmtId="165" fontId="3" fillId="0" borderId="179" xfId="0" applyNumberFormat="1" applyFont="1" applyBorder="1"/>
    <xf numFmtId="165" fontId="3" fillId="0" borderId="180" xfId="0" applyNumberFormat="1" applyFont="1" applyBorder="1"/>
    <xf numFmtId="165" fontId="3" fillId="0" borderId="180" xfId="0" applyNumberFormat="1" applyFont="1" applyFill="1" applyBorder="1"/>
    <xf numFmtId="165" fontId="3" fillId="0" borderId="181" xfId="0" applyNumberFormat="1" applyFont="1" applyBorder="1"/>
    <xf numFmtId="165" fontId="3" fillId="0" borderId="182" xfId="0" applyNumberFormat="1" applyFont="1" applyBorder="1"/>
    <xf numFmtId="0" fontId="5" fillId="0" borderId="37" xfId="0" applyFont="1" applyBorder="1" applyAlignment="1">
      <alignment horizontal="center" vertical="center" wrapText="1"/>
    </xf>
    <xf numFmtId="165" fontId="3" fillId="0" borderId="183" xfId="0" applyNumberFormat="1" applyFont="1" applyBorder="1"/>
    <xf numFmtId="49" fontId="5" fillId="0" borderId="167" xfId="0" applyNumberFormat="1" applyFont="1" applyFill="1" applyBorder="1" applyAlignment="1">
      <alignment horizontal="center" vertical="center" wrapText="1"/>
    </xf>
    <xf numFmtId="0" fontId="40" fillId="0" borderId="0" xfId="0" applyFont="1" applyBorder="1" applyAlignment="1"/>
    <xf numFmtId="2" fontId="43" fillId="0" borderId="21" xfId="0" applyNumberFormat="1" applyFont="1" applyFill="1" applyBorder="1"/>
    <xf numFmtId="2" fontId="44" fillId="0" borderId="21" xfId="0" applyNumberFormat="1" applyFont="1" applyFill="1" applyBorder="1"/>
    <xf numFmtId="165" fontId="29" fillId="0" borderId="21" xfId="0" applyNumberFormat="1" applyFont="1" applyBorder="1"/>
    <xf numFmtId="166" fontId="44" fillId="0" borderId="185" xfId="0" applyNumberFormat="1" applyFont="1" applyBorder="1"/>
    <xf numFmtId="0" fontId="16" fillId="0" borderId="190" xfId="0" applyFont="1" applyFill="1" applyBorder="1" applyAlignment="1">
      <alignment vertical="center" wrapText="1" shrinkToFit="1"/>
    </xf>
    <xf numFmtId="0" fontId="25" fillId="0" borderId="194" xfId="0" applyFont="1" applyBorder="1"/>
    <xf numFmtId="165" fontId="27" fillId="0" borderId="63" xfId="0" applyNumberFormat="1" applyFont="1" applyBorder="1"/>
    <xf numFmtId="0" fontId="25" fillId="0" borderId="54" xfId="0" applyFont="1" applyBorder="1"/>
    <xf numFmtId="165" fontId="27" fillId="0" borderId="65" xfId="0" applyNumberFormat="1" applyFont="1" applyBorder="1"/>
    <xf numFmtId="0" fontId="18" fillId="0" borderId="54" xfId="0" applyFont="1" applyBorder="1"/>
    <xf numFmtId="165" fontId="27" fillId="0" borderId="65" xfId="0" applyNumberFormat="1" applyFont="1" applyFill="1" applyBorder="1"/>
    <xf numFmtId="165" fontId="25" fillId="0" borderId="65" xfId="0" applyNumberFormat="1" applyFont="1" applyBorder="1"/>
    <xf numFmtId="0" fontId="25" fillId="0" borderId="64" xfId="0" applyFont="1" applyBorder="1"/>
    <xf numFmtId="165" fontId="26" fillId="0" borderId="105" xfId="0" applyNumberFormat="1" applyFont="1" applyBorder="1"/>
    <xf numFmtId="2" fontId="26" fillId="0" borderId="105" xfId="0" applyNumberFormat="1" applyFont="1" applyFill="1" applyBorder="1"/>
    <xf numFmtId="2" fontId="26" fillId="0" borderId="25" xfId="0" applyNumberFormat="1" applyFont="1" applyBorder="1" applyProtection="1"/>
    <xf numFmtId="2" fontId="25" fillId="0" borderId="105" xfId="0" applyNumberFormat="1" applyFont="1" applyBorder="1"/>
    <xf numFmtId="165" fontId="26" fillId="0" borderId="105" xfId="0" applyNumberFormat="1" applyFont="1" applyBorder="1" applyAlignment="1">
      <alignment horizontal="right"/>
    </xf>
    <xf numFmtId="165" fontId="20" fillId="0" borderId="105" xfId="0" applyNumberFormat="1" applyFont="1" applyBorder="1"/>
    <xf numFmtId="2" fontId="26" fillId="0" borderId="105" xfId="0" applyNumberFormat="1" applyFont="1" applyBorder="1" applyAlignment="1">
      <alignment horizontal="right"/>
    </xf>
    <xf numFmtId="2" fontId="26" fillId="0" borderId="25" xfId="0" applyNumberFormat="1" applyFont="1" applyBorder="1"/>
    <xf numFmtId="2" fontId="25" fillId="0" borderId="25" xfId="0" applyNumberFormat="1" applyFont="1" applyBorder="1"/>
    <xf numFmtId="166" fontId="26" fillId="0" borderId="105" xfId="0" applyNumberFormat="1" applyFont="1" applyBorder="1"/>
    <xf numFmtId="2" fontId="27" fillId="0" borderId="25" xfId="0" applyNumberFormat="1" applyFont="1" applyBorder="1"/>
    <xf numFmtId="1" fontId="25" fillId="0" borderId="25" xfId="0" applyNumberFormat="1" applyFont="1" applyBorder="1"/>
    <xf numFmtId="0" fontId="25" fillId="0" borderId="25" xfId="0" applyNumberFormat="1" applyFont="1" applyFill="1" applyBorder="1" applyAlignment="1">
      <alignment horizontal="center"/>
    </xf>
    <xf numFmtId="0" fontId="25" fillId="0" borderId="25" xfId="0" applyFont="1" applyBorder="1"/>
    <xf numFmtId="167" fontId="26" fillId="0" borderId="105" xfId="0" applyNumberFormat="1" applyFont="1" applyBorder="1"/>
    <xf numFmtId="167" fontId="26" fillId="0" borderId="25" xfId="0" applyNumberFormat="1" applyFont="1" applyBorder="1"/>
    <xf numFmtId="2" fontId="25" fillId="0" borderId="55" xfId="0" applyNumberFormat="1" applyFont="1" applyBorder="1"/>
    <xf numFmtId="2" fontId="50" fillId="0" borderId="105" xfId="0" applyNumberFormat="1" applyFont="1" applyBorder="1"/>
    <xf numFmtId="167" fontId="27" fillId="0" borderId="25" xfId="0" applyNumberFormat="1" applyFont="1" applyBorder="1" applyAlignment="1">
      <alignment horizontal="center"/>
    </xf>
    <xf numFmtId="2" fontId="27" fillId="0" borderId="25" xfId="0" applyNumberFormat="1" applyFont="1" applyBorder="1" applyAlignment="1">
      <alignment horizontal="center"/>
    </xf>
    <xf numFmtId="2" fontId="27" fillId="0" borderId="25" xfId="0" applyNumberFormat="1" applyFont="1" applyBorder="1" applyAlignment="1">
      <alignment horizontal="right"/>
    </xf>
    <xf numFmtId="167" fontId="26" fillId="0" borderId="25" xfId="0" applyNumberFormat="1" applyFont="1" applyFill="1" applyBorder="1"/>
    <xf numFmtId="165" fontId="25" fillId="0" borderId="66" xfId="0" applyNumberFormat="1" applyFont="1" applyBorder="1"/>
    <xf numFmtId="165" fontId="10" fillId="0" borderId="195" xfId="0" applyNumberFormat="1" applyFont="1" applyBorder="1"/>
    <xf numFmtId="165" fontId="30" fillId="0" borderId="88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25" fillId="0" borderId="21" xfId="0" applyNumberFormat="1" applyFont="1" applyBorder="1"/>
    <xf numFmtId="165" fontId="20" fillId="0" borderId="25" xfId="0" applyNumberFormat="1" applyFont="1" applyBorder="1"/>
    <xf numFmtId="165" fontId="26" fillId="0" borderId="53" xfId="0" applyNumberFormat="1" applyFont="1" applyBorder="1"/>
    <xf numFmtId="165" fontId="29" fillId="0" borderId="102" xfId="0" applyNumberFormat="1" applyFont="1" applyBorder="1"/>
    <xf numFmtId="165" fontId="17" fillId="4" borderId="21" xfId="0" applyNumberFormat="1" applyFont="1" applyFill="1" applyBorder="1"/>
    <xf numFmtId="0" fontId="16" fillId="0" borderId="33" xfId="0" applyFont="1" applyFill="1" applyBorder="1" applyAlignment="1">
      <alignment horizontal="center" vertical="center" wrapText="1" shrinkToFit="1"/>
    </xf>
    <xf numFmtId="2" fontId="45" fillId="0" borderId="175" xfId="0" applyNumberFormat="1" applyFont="1" applyBorder="1"/>
    <xf numFmtId="165" fontId="20" fillId="0" borderId="53" xfId="0" applyNumberFormat="1" applyFont="1" applyBorder="1"/>
    <xf numFmtId="165" fontId="28" fillId="0" borderId="102" xfId="0" applyNumberFormat="1" applyFont="1" applyBorder="1"/>
    <xf numFmtId="165" fontId="44" fillId="0" borderId="102" xfId="0" applyNumberFormat="1" applyFont="1" applyBorder="1"/>
    <xf numFmtId="165" fontId="25" fillId="0" borderId="25" xfId="0" applyNumberFormat="1" applyFont="1" applyBorder="1"/>
    <xf numFmtId="2" fontId="56" fillId="0" borderId="23" xfId="0" applyNumberFormat="1" applyFont="1" applyBorder="1" applyAlignment="1">
      <alignment horizontal="center"/>
    </xf>
    <xf numFmtId="2" fontId="18" fillId="0" borderId="21" xfId="0" applyNumberFormat="1" applyFont="1" applyBorder="1"/>
    <xf numFmtId="165" fontId="25" fillId="0" borderId="53" xfId="0" applyNumberFormat="1" applyFont="1" applyBorder="1"/>
    <xf numFmtId="2" fontId="44" fillId="0" borderId="102" xfId="0" applyNumberFormat="1" applyFont="1" applyBorder="1"/>
    <xf numFmtId="166" fontId="26" fillId="0" borderId="25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95" xfId="0" applyNumberFormat="1" applyFont="1" applyBorder="1"/>
    <xf numFmtId="165" fontId="3" fillId="0" borderId="6" xfId="0" applyNumberFormat="1" applyFont="1" applyBorder="1"/>
    <xf numFmtId="165" fontId="3" fillId="0" borderId="158" xfId="0" applyNumberFormat="1" applyFont="1" applyBorder="1"/>
    <xf numFmtId="165" fontId="3" fillId="0" borderId="198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0" fontId="16" fillId="0" borderId="33" xfId="0" applyFont="1" applyFill="1" applyBorder="1" applyAlignment="1">
      <alignment horizontal="center" vertical="center" wrapText="1" shrinkToFit="1"/>
    </xf>
    <xf numFmtId="165" fontId="10" fillId="0" borderId="199" xfId="0" applyNumberFormat="1" applyFont="1" applyBorder="1"/>
    <xf numFmtId="0" fontId="8" fillId="0" borderId="69" xfId="0" applyFont="1" applyFill="1" applyBorder="1" applyAlignment="1">
      <alignment horizontal="center" vertical="center" wrapText="1"/>
    </xf>
    <xf numFmtId="165" fontId="10" fillId="0" borderId="200" xfId="0" applyNumberFormat="1" applyFont="1" applyBorder="1"/>
    <xf numFmtId="165" fontId="10" fillId="0" borderId="201" xfId="0" applyNumberFormat="1" applyFont="1" applyBorder="1"/>
    <xf numFmtId="165" fontId="10" fillId="0" borderId="202" xfId="0" applyNumberFormat="1" applyFont="1" applyBorder="1"/>
    <xf numFmtId="165" fontId="10" fillId="0" borderId="203" xfId="0" applyNumberFormat="1" applyFont="1" applyBorder="1"/>
    <xf numFmtId="0" fontId="8" fillId="0" borderId="204" xfId="0" applyFont="1" applyFill="1" applyBorder="1" applyAlignment="1">
      <alignment horizontal="center" vertical="center" wrapText="1"/>
    </xf>
    <xf numFmtId="0" fontId="8" fillId="0" borderId="90" xfId="0" applyFont="1" applyFill="1" applyBorder="1" applyAlignment="1">
      <alignment horizontal="center" vertical="center" wrapText="1"/>
    </xf>
    <xf numFmtId="0" fontId="8" fillId="0" borderId="205" xfId="0" applyFont="1" applyFill="1" applyBorder="1" applyAlignment="1">
      <alignment horizontal="center" vertical="center" wrapText="1"/>
    </xf>
    <xf numFmtId="2" fontId="26" fillId="0" borderId="23" xfId="0" applyNumberFormat="1" applyFont="1" applyBorder="1" applyProtection="1">
      <protection locked="0"/>
    </xf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69" xfId="0" applyNumberFormat="1" applyFont="1" applyFill="1" applyBorder="1"/>
    <xf numFmtId="165" fontId="3" fillId="0" borderId="184" xfId="0" applyNumberFormat="1" applyFont="1" applyBorder="1"/>
    <xf numFmtId="165" fontId="3" fillId="0" borderId="93" xfId="0" applyNumberFormat="1" applyFont="1" applyBorder="1"/>
    <xf numFmtId="165" fontId="3" fillId="0" borderId="96" xfId="0" applyNumberFormat="1" applyFont="1" applyBorder="1"/>
    <xf numFmtId="0" fontId="3" fillId="0" borderId="96" xfId="0" applyFont="1" applyBorder="1"/>
    <xf numFmtId="0" fontId="3" fillId="0" borderId="96" xfId="0" applyFont="1" applyFill="1" applyBorder="1"/>
    <xf numFmtId="165" fontId="3" fillId="0" borderId="98" xfId="0" applyNumberFormat="1" applyFont="1" applyBorder="1"/>
    <xf numFmtId="0" fontId="3" fillId="0" borderId="100" xfId="0" applyFont="1" applyBorder="1"/>
    <xf numFmtId="0" fontId="3" fillId="0" borderId="7" xfId="0" applyFont="1" applyBorder="1"/>
    <xf numFmtId="0" fontId="3" fillId="0" borderId="7" xfId="0" applyFont="1" applyFill="1" applyBorder="1"/>
    <xf numFmtId="0" fontId="3" fillId="0" borderId="206" xfId="0" applyFont="1" applyBorder="1"/>
    <xf numFmtId="2" fontId="3" fillId="0" borderId="207" xfId="0" applyNumberFormat="1" applyFont="1" applyBorder="1"/>
    <xf numFmtId="49" fontId="5" fillId="0" borderId="155" xfId="0" applyNumberFormat="1" applyFont="1" applyFill="1" applyBorder="1" applyAlignment="1">
      <alignment horizontal="center" vertical="center" wrapText="1"/>
    </xf>
    <xf numFmtId="49" fontId="5" fillId="0" borderId="53" xfId="0" applyNumberFormat="1" applyFont="1" applyFill="1" applyBorder="1" applyAlignment="1">
      <alignment horizontal="center" vertical="center" wrapText="1"/>
    </xf>
    <xf numFmtId="49" fontId="5" fillId="0" borderId="208" xfId="0" applyNumberFormat="1" applyFont="1" applyFill="1" applyBorder="1" applyAlignment="1">
      <alignment horizontal="center" vertical="center" wrapText="1"/>
    </xf>
    <xf numFmtId="165" fontId="57" fillId="0" borderId="21" xfId="0" applyNumberFormat="1" applyFont="1" applyBorder="1"/>
    <xf numFmtId="2" fontId="32" fillId="0" borderId="21" xfId="0" applyNumberFormat="1" applyFont="1" applyFill="1" applyBorder="1"/>
    <xf numFmtId="2" fontId="44" fillId="0" borderId="31" xfId="0" applyNumberFormat="1" applyFont="1" applyBorder="1"/>
    <xf numFmtId="168" fontId="44" fillId="0" borderId="21" xfId="0" applyNumberFormat="1" applyFont="1" applyBorder="1" applyAlignment="1">
      <alignment horizontal="right"/>
    </xf>
    <xf numFmtId="2" fontId="50" fillId="0" borderId="25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26" xfId="0" applyNumberFormat="1" applyFont="1" applyBorder="1"/>
    <xf numFmtId="0" fontId="16" fillId="0" borderId="33" xfId="0" applyFont="1" applyFill="1" applyBorder="1" applyAlignment="1">
      <alignment horizontal="center" vertical="center" wrapText="1" shrinkToFit="1"/>
    </xf>
    <xf numFmtId="0" fontId="5" fillId="0" borderId="209" xfId="0" applyFont="1" applyBorder="1" applyAlignment="1">
      <alignment horizontal="center" vertical="center" wrapText="1"/>
    </xf>
    <xf numFmtId="0" fontId="16" fillId="0" borderId="33" xfId="0" applyFont="1" applyFill="1" applyBorder="1" applyAlignment="1">
      <alignment horizontal="center" vertical="center" wrapText="1" shrinkToFit="1"/>
    </xf>
    <xf numFmtId="0" fontId="16" fillId="0" borderId="33" xfId="0" applyFont="1" applyFill="1" applyBorder="1" applyAlignment="1">
      <alignment horizontal="center" vertical="center" wrapText="1" shrinkToFit="1"/>
    </xf>
    <xf numFmtId="0" fontId="16" fillId="0" borderId="33" xfId="0" applyFont="1" applyFill="1" applyBorder="1" applyAlignment="1">
      <alignment horizontal="center" vertical="center" wrapText="1" shrinkToFit="1"/>
    </xf>
    <xf numFmtId="165" fontId="3" fillId="0" borderId="105" xfId="0" applyNumberFormat="1" applyFont="1" applyBorder="1"/>
    <xf numFmtId="0" fontId="16" fillId="0" borderId="124" xfId="0" applyFont="1" applyFill="1" applyBorder="1" applyAlignment="1">
      <alignment horizontal="center" vertical="center" textRotation="255" wrapText="1" shrinkToFit="1"/>
    </xf>
    <xf numFmtId="0" fontId="16" fillId="0" borderId="125" xfId="0" applyFont="1" applyBorder="1" applyAlignment="1">
      <alignment horizontal="center" vertical="center"/>
    </xf>
    <xf numFmtId="0" fontId="16" fillId="0" borderId="126" xfId="0" applyFont="1" applyBorder="1" applyAlignment="1">
      <alignment horizontal="center" vertical="center"/>
    </xf>
    <xf numFmtId="0" fontId="16" fillId="0" borderId="118" xfId="0" applyFont="1" applyBorder="1" applyAlignment="1">
      <alignment horizontal="center" vertical="center"/>
    </xf>
    <xf numFmtId="0" fontId="16" fillId="0" borderId="114" xfId="0" applyFont="1" applyFill="1" applyBorder="1" applyAlignment="1">
      <alignment horizontal="center" vertical="center" wrapText="1" shrinkToFit="1"/>
    </xf>
    <xf numFmtId="0" fontId="16" fillId="0" borderId="127" xfId="0" applyFont="1" applyFill="1" applyBorder="1" applyAlignment="1">
      <alignment horizontal="center" vertical="center" wrapText="1" shrinkToFit="1"/>
    </xf>
    <xf numFmtId="0" fontId="16" fillId="0" borderId="128" xfId="0" applyFont="1" applyFill="1" applyBorder="1" applyAlignment="1">
      <alignment horizontal="center" vertical="center" wrapText="1" shrinkToFit="1"/>
    </xf>
    <xf numFmtId="0" fontId="16" fillId="0" borderId="86" xfId="0" applyFont="1" applyFill="1" applyBorder="1" applyAlignment="1">
      <alignment horizontal="center" vertical="center" wrapText="1" shrinkToFit="1"/>
    </xf>
    <xf numFmtId="0" fontId="16" fillId="0" borderId="129" xfId="0" applyFont="1" applyFill="1" applyBorder="1" applyAlignment="1">
      <alignment horizontal="center" vertical="center" wrapText="1" shrinkToFit="1"/>
    </xf>
    <xf numFmtId="0" fontId="16" fillId="0" borderId="115" xfId="0" applyFont="1" applyBorder="1" applyAlignment="1">
      <alignment horizontal="left" vertical="center" indent="1"/>
    </xf>
    <xf numFmtId="0" fontId="16" fillId="0" borderId="116" xfId="0" applyFont="1" applyBorder="1" applyAlignment="1">
      <alignment horizontal="left" vertical="center" indent="1"/>
    </xf>
    <xf numFmtId="0" fontId="16" fillId="0" borderId="117" xfId="0" applyFont="1" applyBorder="1" applyAlignment="1">
      <alignment horizontal="left" vertical="center" indent="1"/>
    </xf>
    <xf numFmtId="0" fontId="16" fillId="0" borderId="33" xfId="0" applyFont="1" applyFill="1" applyBorder="1" applyAlignment="1">
      <alignment horizontal="center" vertical="center" wrapText="1" shrinkToFit="1"/>
    </xf>
    <xf numFmtId="165" fontId="16" fillId="0" borderId="33" xfId="0" applyNumberFormat="1" applyFont="1" applyFill="1" applyBorder="1" applyAlignment="1">
      <alignment horizontal="center" vertical="center" wrapText="1" shrinkToFit="1"/>
    </xf>
    <xf numFmtId="0" fontId="16" fillId="0" borderId="118" xfId="0" applyFont="1" applyFill="1" applyBorder="1" applyAlignment="1">
      <alignment horizontal="center" vertical="center" wrapText="1" shrinkToFit="1"/>
    </xf>
    <xf numFmtId="0" fontId="16" fillId="0" borderId="34" xfId="0" applyFont="1" applyFill="1" applyBorder="1" applyAlignment="1">
      <alignment horizontal="center" vertical="center" wrapText="1" shrinkToFit="1"/>
    </xf>
    <xf numFmtId="0" fontId="16" fillId="0" borderId="114" xfId="0" applyFont="1" applyBorder="1" applyAlignment="1">
      <alignment horizontal="center" vertical="center" wrapText="1"/>
    </xf>
    <xf numFmtId="0" fontId="16" fillId="0" borderId="43" xfId="0" applyFont="1" applyFill="1" applyBorder="1" applyAlignment="1">
      <alignment horizontal="center" vertical="center" wrapText="1" shrinkToFit="1"/>
    </xf>
    <xf numFmtId="0" fontId="16" fillId="0" borderId="113" xfId="0" applyFont="1" applyFill="1" applyBorder="1" applyAlignment="1">
      <alignment horizontal="center" vertical="center" wrapText="1" shrinkToFit="1"/>
    </xf>
    <xf numFmtId="0" fontId="16" fillId="0" borderId="53" xfId="0" applyFont="1" applyFill="1" applyBorder="1" applyAlignment="1">
      <alignment horizontal="center" vertical="center" wrapText="1" shrinkToFit="1"/>
    </xf>
    <xf numFmtId="0" fontId="16" fillId="0" borderId="121" xfId="0" applyFont="1" applyFill="1" applyBorder="1" applyAlignment="1">
      <alignment horizontal="center" vertical="center" wrapText="1" shrinkToFit="1"/>
    </xf>
    <xf numFmtId="0" fontId="5" fillId="0" borderId="7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23" xfId="0" applyFont="1" applyBorder="1" applyAlignment="1">
      <alignment horizontal="center" vertical="center" wrapText="1"/>
    </xf>
    <xf numFmtId="0" fontId="5" fillId="0" borderId="135" xfId="0" applyFont="1" applyBorder="1" applyAlignment="1">
      <alignment horizontal="center" vertical="center" wrapText="1"/>
    </xf>
    <xf numFmtId="0" fontId="5" fillId="0" borderId="140" xfId="0" applyFont="1" applyBorder="1" applyAlignment="1">
      <alignment horizontal="center" vertical="center" wrapText="1"/>
    </xf>
    <xf numFmtId="0" fontId="5" fillId="0" borderId="134" xfId="0" applyFont="1" applyBorder="1" applyAlignment="1">
      <alignment horizontal="center" vertical="center" wrapText="1"/>
    </xf>
    <xf numFmtId="0" fontId="5" fillId="0" borderId="136" xfId="0" applyFont="1" applyBorder="1" applyAlignment="1">
      <alignment horizontal="center" vertical="center" wrapText="1"/>
    </xf>
    <xf numFmtId="0" fontId="16" fillId="2" borderId="43" xfId="0" applyFont="1" applyFill="1" applyBorder="1" applyAlignment="1">
      <alignment horizontal="center" vertical="center" wrapText="1" shrinkToFit="1"/>
    </xf>
    <xf numFmtId="0" fontId="16" fillId="0" borderId="34" xfId="0" applyFont="1" applyFill="1" applyBorder="1" applyAlignment="1">
      <alignment horizontal="center" vertical="center" wrapText="1"/>
    </xf>
    <xf numFmtId="0" fontId="16" fillId="0" borderId="119" xfId="0" applyFont="1" applyFill="1" applyBorder="1" applyAlignment="1">
      <alignment horizontal="center" vertical="center" wrapText="1" shrinkToFit="1"/>
    </xf>
    <xf numFmtId="0" fontId="16" fillId="0" borderId="130" xfId="0" applyFont="1" applyFill="1" applyBorder="1" applyAlignment="1">
      <alignment horizontal="center" vertical="center" wrapText="1" shrinkToFit="1"/>
    </xf>
    <xf numFmtId="0" fontId="16" fillId="0" borderId="131" xfId="0" applyFont="1" applyFill="1" applyBorder="1" applyAlignment="1">
      <alignment horizontal="center" vertical="center" wrapText="1" shrinkToFit="1"/>
    </xf>
    <xf numFmtId="0" fontId="16" fillId="0" borderId="132" xfId="0" applyFont="1" applyFill="1" applyBorder="1" applyAlignment="1">
      <alignment horizontal="center" vertical="center" wrapText="1" shrinkToFit="1"/>
    </xf>
    <xf numFmtId="0" fontId="16" fillId="0" borderId="139" xfId="0" applyFont="1" applyBorder="1" applyAlignment="1">
      <alignment horizontal="center" vertical="center" wrapText="1"/>
    </xf>
    <xf numFmtId="0" fontId="14" fillId="0" borderId="87" xfId="0" applyFont="1" applyFill="1" applyBorder="1" applyAlignment="1">
      <alignment horizontal="center"/>
    </xf>
    <xf numFmtId="0" fontId="14" fillId="0" borderId="89" xfId="0" applyFont="1" applyFill="1" applyBorder="1" applyAlignment="1">
      <alignment horizontal="center"/>
    </xf>
    <xf numFmtId="0" fontId="14" fillId="0" borderId="120" xfId="0" applyFont="1" applyFill="1" applyBorder="1" applyAlignment="1">
      <alignment horizontal="center"/>
    </xf>
    <xf numFmtId="165" fontId="30" fillId="0" borderId="133" xfId="0" applyNumberFormat="1" applyFont="1" applyBorder="1" applyAlignment="1">
      <alignment horizontal="center"/>
    </xf>
    <xf numFmtId="165" fontId="30" fillId="0" borderId="48" xfId="0" applyNumberFormat="1" applyFont="1" applyBorder="1" applyAlignment="1">
      <alignment horizontal="center"/>
    </xf>
    <xf numFmtId="165" fontId="30" fillId="0" borderId="24" xfId="0" applyNumberFormat="1" applyFont="1" applyBorder="1" applyAlignment="1">
      <alignment horizontal="center"/>
    </xf>
    <xf numFmtId="0" fontId="5" fillId="0" borderId="19" xfId="0" applyFont="1" applyBorder="1" applyAlignment="1">
      <alignment horizontal="center" vertical="center" wrapText="1"/>
    </xf>
    <xf numFmtId="0" fontId="5" fillId="0" borderId="122" xfId="0" applyFont="1" applyBorder="1" applyAlignment="1">
      <alignment horizontal="center" vertical="center" wrapText="1"/>
    </xf>
    <xf numFmtId="2" fontId="16" fillId="0" borderId="138" xfId="0" applyNumberFormat="1" applyFont="1" applyBorder="1" applyAlignment="1">
      <alignment horizontal="center" vertical="center"/>
    </xf>
    <xf numFmtId="0" fontId="16" fillId="0" borderId="35" xfId="0" applyFont="1" applyBorder="1" applyAlignment="1">
      <alignment vertical="center"/>
    </xf>
    <xf numFmtId="0" fontId="37" fillId="0" borderId="0" xfId="0" applyFont="1" applyAlignment="1">
      <alignment horizontal="center"/>
    </xf>
    <xf numFmtId="0" fontId="37" fillId="0" borderId="0" xfId="0" applyFont="1" applyBorder="1" applyAlignment="1">
      <alignment horizontal="center"/>
    </xf>
    <xf numFmtId="165" fontId="31" fillId="0" borderId="46" xfId="0" applyNumberFormat="1" applyFont="1" applyBorder="1" applyAlignment="1">
      <alignment horizontal="center"/>
    </xf>
    <xf numFmtId="0" fontId="18" fillId="0" borderId="21" xfId="0" applyFont="1" applyBorder="1" applyAlignment="1">
      <alignment horizontal="center" vertical="center"/>
    </xf>
    <xf numFmtId="167" fontId="19" fillId="0" borderId="0" xfId="0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0" fontId="16" fillId="0" borderId="137" xfId="0" applyFont="1" applyBorder="1" applyAlignment="1">
      <alignment wrapText="1"/>
    </xf>
    <xf numFmtId="2" fontId="16" fillId="0" borderId="41" xfId="0" applyNumberFormat="1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171" fontId="42" fillId="0" borderId="0" xfId="0" applyNumberFormat="1" applyFont="1" applyBorder="1" applyAlignment="1">
      <alignment horizontal="center"/>
    </xf>
    <xf numFmtId="171" fontId="42" fillId="0" borderId="162" xfId="0" applyNumberFormat="1" applyFont="1" applyBorder="1" applyAlignment="1">
      <alignment horizontal="center"/>
    </xf>
    <xf numFmtId="2" fontId="42" fillId="0" borderId="0" xfId="0" applyNumberFormat="1" applyFont="1" applyBorder="1" applyAlignment="1">
      <alignment horizontal="center"/>
    </xf>
    <xf numFmtId="0" fontId="42" fillId="0" borderId="162" xfId="0" applyFont="1" applyBorder="1" applyAlignment="1">
      <alignment horizontal="center"/>
    </xf>
    <xf numFmtId="2" fontId="53" fillId="0" borderId="87" xfId="0" applyNumberFormat="1" applyFont="1" applyBorder="1" applyAlignment="1">
      <alignment horizontal="center"/>
    </xf>
    <xf numFmtId="0" fontId="53" fillId="0" borderId="120" xfId="0" applyFont="1" applyBorder="1" applyAlignment="1">
      <alignment horizontal="center"/>
    </xf>
    <xf numFmtId="49" fontId="5" fillId="0" borderId="169" xfId="0" applyNumberFormat="1" applyFont="1" applyFill="1" applyBorder="1" applyAlignment="1">
      <alignment horizontal="center" vertical="center" wrapText="1"/>
    </xf>
    <xf numFmtId="49" fontId="5" fillId="0" borderId="170" xfId="0" applyNumberFormat="1" applyFont="1" applyFill="1" applyBorder="1" applyAlignment="1">
      <alignment horizontal="center" vertical="center" wrapText="1"/>
    </xf>
    <xf numFmtId="49" fontId="5" fillId="0" borderId="171" xfId="0" applyNumberFormat="1" applyFont="1" applyFill="1" applyBorder="1" applyAlignment="1">
      <alignment horizontal="center" vertical="center" wrapText="1"/>
    </xf>
    <xf numFmtId="0" fontId="16" fillId="0" borderId="87" xfId="0" applyFont="1" applyBorder="1" applyAlignment="1">
      <alignment horizontal="center" vertical="center"/>
    </xf>
    <xf numFmtId="0" fontId="16" fillId="0" borderId="89" xfId="0" applyFont="1" applyBorder="1" applyAlignment="1">
      <alignment horizontal="center" vertical="center"/>
    </xf>
    <xf numFmtId="0" fontId="16" fillId="0" borderId="120" xfId="0" applyFont="1" applyBorder="1" applyAlignment="1">
      <alignment horizontal="center" vertical="center"/>
    </xf>
    <xf numFmtId="0" fontId="16" fillId="0" borderId="164" xfId="0" applyFont="1" applyFill="1" applyBorder="1" applyAlignment="1">
      <alignment horizontal="center" vertical="center" wrapText="1" shrinkToFit="1"/>
    </xf>
    <xf numFmtId="0" fontId="16" fillId="0" borderId="165" xfId="0" applyFont="1" applyFill="1" applyBorder="1" applyAlignment="1">
      <alignment horizontal="center" vertical="center" wrapText="1" shrinkToFit="1"/>
    </xf>
    <xf numFmtId="0" fontId="16" fillId="0" borderId="131" xfId="0" applyFont="1" applyBorder="1" applyAlignment="1">
      <alignment horizontal="center" vertical="center" wrapText="1"/>
    </xf>
    <xf numFmtId="0" fontId="16" fillId="0" borderId="93" xfId="0" applyFont="1" applyBorder="1" applyAlignment="1">
      <alignment horizontal="center" vertical="center"/>
    </xf>
    <xf numFmtId="0" fontId="16" fillId="0" borderId="166" xfId="0" applyFont="1" applyBorder="1" applyAlignment="1">
      <alignment horizontal="center" vertical="center"/>
    </xf>
    <xf numFmtId="0" fontId="16" fillId="0" borderId="147" xfId="0" applyFont="1" applyBorder="1" applyAlignment="1">
      <alignment horizontal="center" vertical="center"/>
    </xf>
    <xf numFmtId="0" fontId="16" fillId="0" borderId="146" xfId="0" applyFont="1" applyBorder="1" applyAlignment="1">
      <alignment horizontal="center" vertical="center"/>
    </xf>
    <xf numFmtId="0" fontId="16" fillId="0" borderId="167" xfId="0" applyFont="1" applyFill="1" applyBorder="1" applyAlignment="1">
      <alignment horizontal="center" vertical="center" wrapText="1" shrinkToFit="1"/>
    </xf>
    <xf numFmtId="0" fontId="5" fillId="0" borderId="168" xfId="0" applyFont="1" applyBorder="1" applyAlignment="1">
      <alignment horizontal="center" vertical="center" wrapText="1"/>
    </xf>
    <xf numFmtId="0" fontId="16" fillId="0" borderId="189" xfId="0" applyFont="1" applyBorder="1" applyAlignment="1">
      <alignment horizontal="center" vertical="center" wrapText="1"/>
    </xf>
    <xf numFmtId="0" fontId="16" fillId="0" borderId="188" xfId="0" applyFont="1" applyFill="1" applyBorder="1" applyAlignment="1">
      <alignment horizontal="center" vertical="center" wrapText="1" shrinkToFit="1"/>
    </xf>
    <xf numFmtId="0" fontId="16" fillId="0" borderId="141" xfId="0" applyFont="1" applyFill="1" applyBorder="1" applyAlignment="1">
      <alignment horizontal="center" vertical="center" wrapText="1" shrinkToFit="1"/>
    </xf>
    <xf numFmtId="0" fontId="16" fillId="0" borderId="191" xfId="0" applyFont="1" applyFill="1" applyBorder="1" applyAlignment="1">
      <alignment horizontal="center" vertical="center" wrapText="1" shrinkToFit="1"/>
    </xf>
    <xf numFmtId="0" fontId="16" fillId="0" borderId="193" xfId="0" applyFont="1" applyFill="1" applyBorder="1" applyAlignment="1">
      <alignment horizontal="center" vertical="center" wrapText="1" shrinkToFit="1"/>
    </xf>
    <xf numFmtId="0" fontId="16" fillId="0" borderId="102" xfId="0" applyFont="1" applyFill="1" applyBorder="1" applyAlignment="1">
      <alignment horizontal="center" vertical="center" wrapText="1" shrinkToFit="1"/>
    </xf>
    <xf numFmtId="0" fontId="16" fillId="2" borderId="102" xfId="0" applyFont="1" applyFill="1" applyBorder="1" applyAlignment="1">
      <alignment horizontal="center" vertical="center" wrapText="1" shrinkToFit="1"/>
    </xf>
    <xf numFmtId="0" fontId="16" fillId="0" borderId="92" xfId="0" applyFont="1" applyFill="1" applyBorder="1" applyAlignment="1">
      <alignment horizontal="center" vertical="center" wrapText="1" shrinkToFit="1"/>
    </xf>
    <xf numFmtId="0" fontId="16" fillId="0" borderId="188" xfId="0" applyFont="1" applyBorder="1" applyAlignment="1">
      <alignment horizontal="center" vertical="center" wrapText="1"/>
    </xf>
    <xf numFmtId="0" fontId="16" fillId="0" borderId="186" xfId="0" applyFont="1" applyFill="1" applyBorder="1" applyAlignment="1">
      <alignment horizontal="center" vertical="center" textRotation="255" wrapText="1" shrinkToFit="1"/>
    </xf>
    <xf numFmtId="0" fontId="16" fillId="0" borderId="192" xfId="0" applyFont="1" applyFill="1" applyBorder="1" applyAlignment="1">
      <alignment horizontal="center" vertical="center" textRotation="255" wrapText="1" shrinkToFit="1"/>
    </xf>
    <xf numFmtId="0" fontId="16" fillId="0" borderId="61" xfId="0" applyFont="1" applyBorder="1" applyAlignment="1">
      <alignment horizontal="center" vertical="center"/>
    </xf>
    <xf numFmtId="0" fontId="16" fillId="0" borderId="187" xfId="0" applyFont="1" applyBorder="1" applyAlignment="1">
      <alignment horizontal="center" vertical="center"/>
    </xf>
    <xf numFmtId="0" fontId="16" fillId="0" borderId="92" xfId="0" applyFont="1" applyBorder="1" applyAlignment="1">
      <alignment horizontal="center" vertical="center"/>
    </xf>
    <xf numFmtId="0" fontId="16" fillId="0" borderId="184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 wrapText="1"/>
    </xf>
    <xf numFmtId="0" fontId="16" fillId="0" borderId="38" xfId="0" applyFont="1" applyFill="1" applyBorder="1" applyAlignment="1">
      <alignment horizontal="center" vertical="center" wrapText="1" shrinkToFit="1"/>
    </xf>
  </cellXfs>
  <cellStyles count="2">
    <cellStyle name="Обычный" xfId="0" builtinId="0"/>
    <cellStyle name="Финансовый" xfId="1" builtinId="3"/>
  </cellStyles>
  <dxfs count="0"/>
  <tableStyles count="0" defaultTableStyle="TableStyleMedium9" defaultPivotStyle="PivotStyleLight16"/>
  <colors>
    <mruColors>
      <color rgb="FF009900"/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'январь 20'!$BE$6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'январь 20'!$BE$7:$BE$37</c:f>
              <c:numCache>
                <c:formatCode>0.00</c:formatCode>
                <c:ptCount val="31"/>
                <c:pt idx="0">
                  <c:v>230.78999999999996</c:v>
                </c:pt>
                <c:pt idx="1">
                  <c:v>444.86999999999995</c:v>
                </c:pt>
                <c:pt idx="2">
                  <c:v>724.31</c:v>
                </c:pt>
                <c:pt idx="3">
                  <c:v>951.7299999999999</c:v>
                </c:pt>
                <c:pt idx="4">
                  <c:v>1169.78</c:v>
                </c:pt>
                <c:pt idx="5">
                  <c:v>1372.1799999999998</c:v>
                </c:pt>
                <c:pt idx="6">
                  <c:v>1584.36</c:v>
                </c:pt>
                <c:pt idx="7">
                  <c:v>1790.6299999999999</c:v>
                </c:pt>
                <c:pt idx="8">
                  <c:v>2011.7599999999998</c:v>
                </c:pt>
                <c:pt idx="9">
                  <c:v>2222.2099999999996</c:v>
                </c:pt>
                <c:pt idx="10">
                  <c:v>2436.6599999999994</c:v>
                </c:pt>
                <c:pt idx="11">
                  <c:v>2518.7399999999993</c:v>
                </c:pt>
                <c:pt idx="12">
                  <c:v>2690.5599999999995</c:v>
                </c:pt>
                <c:pt idx="13">
                  <c:v>2875.8299999999995</c:v>
                </c:pt>
                <c:pt idx="14">
                  <c:v>3081.4499999999994</c:v>
                </c:pt>
                <c:pt idx="15">
                  <c:v>3227.3799999999992</c:v>
                </c:pt>
                <c:pt idx="16">
                  <c:v>3400.8999999999992</c:v>
                </c:pt>
                <c:pt idx="17">
                  <c:v>3656.6899999999991</c:v>
                </c:pt>
                <c:pt idx="18">
                  <c:v>3874.2099999999991</c:v>
                </c:pt>
                <c:pt idx="19">
                  <c:v>4086.2399999999993</c:v>
                </c:pt>
                <c:pt idx="20">
                  <c:v>4314.4399999999996</c:v>
                </c:pt>
                <c:pt idx="21">
                  <c:v>4543.1799999999994</c:v>
                </c:pt>
                <c:pt idx="22">
                  <c:v>4774.8099999999995</c:v>
                </c:pt>
                <c:pt idx="23">
                  <c:v>5000.87</c:v>
                </c:pt>
                <c:pt idx="24">
                  <c:v>5231.49</c:v>
                </c:pt>
                <c:pt idx="25">
                  <c:v>5452.79</c:v>
                </c:pt>
                <c:pt idx="26">
                  <c:v>5661.01</c:v>
                </c:pt>
                <c:pt idx="27">
                  <c:v>5875.8600000000006</c:v>
                </c:pt>
                <c:pt idx="28">
                  <c:v>5977.6100000000006</c:v>
                </c:pt>
                <c:pt idx="29">
                  <c:v>6186.5300000000007</c:v>
                </c:pt>
                <c:pt idx="30">
                  <c:v>6419.380000000001</c:v>
                </c:pt>
              </c:numCache>
            </c:numRef>
          </c:val>
        </c:ser>
        <c:ser>
          <c:idx val="1"/>
          <c:order val="1"/>
          <c:tx>
            <c:strRef>
              <c:f>'январь 20'!$BG$6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'январь 20'!$BG$7:$BG$37</c:f>
              <c:numCache>
                <c:formatCode>0.00</c:formatCode>
                <c:ptCount val="31"/>
                <c:pt idx="0">
                  <c:v>209.67741935483872</c:v>
                </c:pt>
                <c:pt idx="1">
                  <c:v>419.35483870967744</c:v>
                </c:pt>
                <c:pt idx="2">
                  <c:v>629.0322580645161</c:v>
                </c:pt>
                <c:pt idx="3">
                  <c:v>838.70967741935488</c:v>
                </c:pt>
                <c:pt idx="4">
                  <c:v>1048.3870967741937</c:v>
                </c:pt>
                <c:pt idx="5">
                  <c:v>1258.0645161290324</c:v>
                </c:pt>
                <c:pt idx="6">
                  <c:v>1467.7419354838712</c:v>
                </c:pt>
                <c:pt idx="7">
                  <c:v>1677.41935483871</c:v>
                </c:pt>
                <c:pt idx="8">
                  <c:v>1887.0967741935488</c:v>
                </c:pt>
                <c:pt idx="9">
                  <c:v>2096.7741935483873</c:v>
                </c:pt>
                <c:pt idx="10">
                  <c:v>2306.4516129032259</c:v>
                </c:pt>
                <c:pt idx="11">
                  <c:v>2516.1290322580644</c:v>
                </c:pt>
                <c:pt idx="12">
                  <c:v>2725.8064516129029</c:v>
                </c:pt>
                <c:pt idx="13">
                  <c:v>2935.4838709677415</c:v>
                </c:pt>
                <c:pt idx="14">
                  <c:v>3145.16129032258</c:v>
                </c:pt>
                <c:pt idx="15">
                  <c:v>3354.8387096774186</c:v>
                </c:pt>
                <c:pt idx="16">
                  <c:v>3564.5161290322571</c:v>
                </c:pt>
                <c:pt idx="17">
                  <c:v>3774.1935483870957</c:v>
                </c:pt>
                <c:pt idx="18">
                  <c:v>3983.8709677419342</c:v>
                </c:pt>
                <c:pt idx="19">
                  <c:v>4193.5483870967728</c:v>
                </c:pt>
                <c:pt idx="20">
                  <c:v>4403.2258064516118</c:v>
                </c:pt>
                <c:pt idx="21">
                  <c:v>4612.9032258064508</c:v>
                </c:pt>
                <c:pt idx="22">
                  <c:v>4822.5806451612898</c:v>
                </c:pt>
                <c:pt idx="23">
                  <c:v>5032.2580645161288</c:v>
                </c:pt>
                <c:pt idx="24">
                  <c:v>5241.9354838709678</c:v>
                </c:pt>
                <c:pt idx="25">
                  <c:v>5451.6129032258068</c:v>
                </c:pt>
                <c:pt idx="26">
                  <c:v>5661.2903225806458</c:v>
                </c:pt>
                <c:pt idx="27">
                  <c:v>5870.9677419354848</c:v>
                </c:pt>
                <c:pt idx="28">
                  <c:v>6080.6451612903238</c:v>
                </c:pt>
                <c:pt idx="29">
                  <c:v>6290.3225806451628</c:v>
                </c:pt>
                <c:pt idx="30">
                  <c:v>6500.0000000000018</c:v>
                </c:pt>
              </c:numCache>
            </c:numRef>
          </c:val>
        </c:ser>
        <c:marker val="1"/>
        <c:axId val="121719424"/>
        <c:axId val="122839424"/>
      </c:lineChart>
      <c:catAx>
        <c:axId val="12171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2839424"/>
        <c:crossesAt val="0"/>
        <c:auto val="1"/>
        <c:lblAlgn val="ctr"/>
        <c:lblOffset val="100"/>
        <c:tickLblSkip val="1"/>
        <c:tickMarkSkip val="1"/>
      </c:catAx>
      <c:valAx>
        <c:axId val="122839424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171942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'январь 20 (+руда,-агл,-кокс)'!$BE$6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'январь 20 (+руда,-агл,-кокс)'!$BE$7:$BE$37</c:f>
              <c:numCache>
                <c:formatCode>0.00</c:formatCode>
                <c:ptCount val="31"/>
                <c:pt idx="0">
                  <c:v>230.78999999999996</c:v>
                </c:pt>
                <c:pt idx="1">
                  <c:v>444.86999999999995</c:v>
                </c:pt>
                <c:pt idx="2">
                  <c:v>724.31</c:v>
                </c:pt>
                <c:pt idx="3">
                  <c:v>951.7299999999999</c:v>
                </c:pt>
                <c:pt idx="4">
                  <c:v>1169.78</c:v>
                </c:pt>
                <c:pt idx="5">
                  <c:v>1372.1799999999998</c:v>
                </c:pt>
                <c:pt idx="6">
                  <c:v>1584.36</c:v>
                </c:pt>
                <c:pt idx="7">
                  <c:v>1790.6299999999999</c:v>
                </c:pt>
                <c:pt idx="8">
                  <c:v>2011.7599999999998</c:v>
                </c:pt>
                <c:pt idx="9">
                  <c:v>2222.2099999999996</c:v>
                </c:pt>
                <c:pt idx="10">
                  <c:v>2436.6599999999994</c:v>
                </c:pt>
                <c:pt idx="11">
                  <c:v>2518.7399999999993</c:v>
                </c:pt>
                <c:pt idx="12">
                  <c:v>2690.5599999999995</c:v>
                </c:pt>
                <c:pt idx="13">
                  <c:v>2875.8299999999995</c:v>
                </c:pt>
                <c:pt idx="14">
                  <c:v>3081.4499999999994</c:v>
                </c:pt>
                <c:pt idx="15">
                  <c:v>3227.3799999999992</c:v>
                </c:pt>
                <c:pt idx="16">
                  <c:v>3400.8999999999992</c:v>
                </c:pt>
                <c:pt idx="17">
                  <c:v>3656.6899999999991</c:v>
                </c:pt>
                <c:pt idx="18">
                  <c:v>3874.2099999999991</c:v>
                </c:pt>
                <c:pt idx="19">
                  <c:v>4086.2399999999993</c:v>
                </c:pt>
                <c:pt idx="20">
                  <c:v>4314.4399999999996</c:v>
                </c:pt>
                <c:pt idx="21">
                  <c:v>4543.1799999999994</c:v>
                </c:pt>
                <c:pt idx="22">
                  <c:v>4774.8099999999995</c:v>
                </c:pt>
                <c:pt idx="23">
                  <c:v>5000.87</c:v>
                </c:pt>
                <c:pt idx="24">
                  <c:v>5231.49</c:v>
                </c:pt>
                <c:pt idx="25">
                  <c:v>5452.79</c:v>
                </c:pt>
                <c:pt idx="26">
                  <c:v>5661.01</c:v>
                </c:pt>
                <c:pt idx="27">
                  <c:v>5875.8600000000006</c:v>
                </c:pt>
                <c:pt idx="28">
                  <c:v>5977.6100000000006</c:v>
                </c:pt>
                <c:pt idx="29">
                  <c:v>6186.5300000000007</c:v>
                </c:pt>
                <c:pt idx="30">
                  <c:v>6419.380000000001</c:v>
                </c:pt>
              </c:numCache>
            </c:numRef>
          </c:val>
        </c:ser>
        <c:ser>
          <c:idx val="1"/>
          <c:order val="1"/>
          <c:tx>
            <c:strRef>
              <c:f>'январь 20 (+руда,-агл,-кокс)'!$BG$6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'январь 20 (+руда,-агл,-кокс)'!$BG$7:$BG$37</c:f>
              <c:numCache>
                <c:formatCode>0.00</c:formatCode>
                <c:ptCount val="31"/>
                <c:pt idx="0">
                  <c:v>209.67741935483872</c:v>
                </c:pt>
                <c:pt idx="1">
                  <c:v>419.35483870967744</c:v>
                </c:pt>
                <c:pt idx="2">
                  <c:v>629.0322580645161</c:v>
                </c:pt>
                <c:pt idx="3">
                  <c:v>838.70967741935488</c:v>
                </c:pt>
                <c:pt idx="4">
                  <c:v>1048.3870967741937</c:v>
                </c:pt>
                <c:pt idx="5">
                  <c:v>1258.0645161290324</c:v>
                </c:pt>
                <c:pt idx="6">
                  <c:v>1467.7419354838712</c:v>
                </c:pt>
                <c:pt idx="7">
                  <c:v>1677.41935483871</c:v>
                </c:pt>
                <c:pt idx="8">
                  <c:v>1887.0967741935488</c:v>
                </c:pt>
                <c:pt idx="9">
                  <c:v>2096.7741935483873</c:v>
                </c:pt>
                <c:pt idx="10">
                  <c:v>2306.4516129032259</c:v>
                </c:pt>
                <c:pt idx="11">
                  <c:v>2516.1290322580644</c:v>
                </c:pt>
                <c:pt idx="12">
                  <c:v>2725.8064516129029</c:v>
                </c:pt>
                <c:pt idx="13">
                  <c:v>2935.4838709677415</c:v>
                </c:pt>
                <c:pt idx="14">
                  <c:v>3145.16129032258</c:v>
                </c:pt>
                <c:pt idx="15">
                  <c:v>3354.8387096774186</c:v>
                </c:pt>
                <c:pt idx="16">
                  <c:v>3564.5161290322571</c:v>
                </c:pt>
                <c:pt idx="17">
                  <c:v>3774.1935483870957</c:v>
                </c:pt>
                <c:pt idx="18">
                  <c:v>3983.8709677419342</c:v>
                </c:pt>
                <c:pt idx="19">
                  <c:v>4193.5483870967728</c:v>
                </c:pt>
                <c:pt idx="20">
                  <c:v>4403.2258064516118</c:v>
                </c:pt>
                <c:pt idx="21">
                  <c:v>4612.9032258064508</c:v>
                </c:pt>
                <c:pt idx="22">
                  <c:v>4822.5806451612898</c:v>
                </c:pt>
                <c:pt idx="23">
                  <c:v>5032.2580645161288</c:v>
                </c:pt>
                <c:pt idx="24">
                  <c:v>5241.9354838709678</c:v>
                </c:pt>
                <c:pt idx="25">
                  <c:v>5451.6129032258068</c:v>
                </c:pt>
                <c:pt idx="26">
                  <c:v>5661.2903225806458</c:v>
                </c:pt>
                <c:pt idx="27">
                  <c:v>5870.9677419354848</c:v>
                </c:pt>
                <c:pt idx="28">
                  <c:v>6080.6451612903238</c:v>
                </c:pt>
                <c:pt idx="29">
                  <c:v>6290.3225806451628</c:v>
                </c:pt>
                <c:pt idx="30">
                  <c:v>6500.0000000000018</c:v>
                </c:pt>
              </c:numCache>
            </c:numRef>
          </c:val>
        </c:ser>
        <c:marker val="1"/>
        <c:axId val="123412864"/>
        <c:axId val="123414400"/>
      </c:lineChart>
      <c:catAx>
        <c:axId val="1234128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3414400"/>
        <c:crossesAt val="0"/>
        <c:auto val="1"/>
        <c:lblAlgn val="ctr"/>
        <c:lblOffset val="100"/>
        <c:tickLblSkip val="1"/>
        <c:tickMarkSkip val="1"/>
      </c:catAx>
      <c:valAx>
        <c:axId val="12341440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341286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'[2]январь 20 (-руда,агл)'!$BE$6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'[2]январь 20 (-руда,агл)'!$BE$7:$BE$37</c:f>
              <c:numCache>
                <c:formatCode>General</c:formatCode>
                <c:ptCount val="31"/>
                <c:pt idx="0">
                  <c:v>230.78999999999996</c:v>
                </c:pt>
                <c:pt idx="1">
                  <c:v>444.86999999999995</c:v>
                </c:pt>
                <c:pt idx="2">
                  <c:v>724.31</c:v>
                </c:pt>
                <c:pt idx="3">
                  <c:v>951.7299999999999</c:v>
                </c:pt>
                <c:pt idx="4">
                  <c:v>1169.78</c:v>
                </c:pt>
                <c:pt idx="5">
                  <c:v>1372.1799999999998</c:v>
                </c:pt>
                <c:pt idx="6">
                  <c:v>1584.36</c:v>
                </c:pt>
                <c:pt idx="7">
                  <c:v>1790.6299999999999</c:v>
                </c:pt>
                <c:pt idx="8">
                  <c:v>2011.7599999999998</c:v>
                </c:pt>
                <c:pt idx="9">
                  <c:v>2222.2099999999996</c:v>
                </c:pt>
                <c:pt idx="10">
                  <c:v>2436.6599999999994</c:v>
                </c:pt>
                <c:pt idx="11">
                  <c:v>2518.7399999999993</c:v>
                </c:pt>
                <c:pt idx="12">
                  <c:v>2690.5599999999995</c:v>
                </c:pt>
                <c:pt idx="13">
                  <c:v>2875.8299999999995</c:v>
                </c:pt>
                <c:pt idx="14">
                  <c:v>3081.4499999999994</c:v>
                </c:pt>
                <c:pt idx="15">
                  <c:v>3227.3799999999992</c:v>
                </c:pt>
                <c:pt idx="16">
                  <c:v>3400.8999999999992</c:v>
                </c:pt>
                <c:pt idx="17">
                  <c:v>3656.6899999999991</c:v>
                </c:pt>
                <c:pt idx="18">
                  <c:v>3874.2099999999991</c:v>
                </c:pt>
                <c:pt idx="19">
                  <c:v>4086.2399999999993</c:v>
                </c:pt>
                <c:pt idx="20">
                  <c:v>4314.4399999999996</c:v>
                </c:pt>
                <c:pt idx="21">
                  <c:v>4543.1799999999994</c:v>
                </c:pt>
                <c:pt idx="22">
                  <c:v>4774.8099999999995</c:v>
                </c:pt>
                <c:pt idx="23">
                  <c:v>5000.87</c:v>
                </c:pt>
                <c:pt idx="24">
                  <c:v>5231.49</c:v>
                </c:pt>
                <c:pt idx="25">
                  <c:v>5452.79</c:v>
                </c:pt>
                <c:pt idx="26">
                  <c:v>5661.01</c:v>
                </c:pt>
                <c:pt idx="27">
                  <c:v>5875.8600000000006</c:v>
                </c:pt>
                <c:pt idx="28">
                  <c:v>5977.6100000000006</c:v>
                </c:pt>
                <c:pt idx="29">
                  <c:v>6186.5300000000007</c:v>
                </c:pt>
                <c:pt idx="30">
                  <c:v>6419.380000000001</c:v>
                </c:pt>
              </c:numCache>
            </c:numRef>
          </c:val>
        </c:ser>
        <c:ser>
          <c:idx val="1"/>
          <c:order val="1"/>
          <c:tx>
            <c:strRef>
              <c:f>'[2]январь 20 (-руда,агл)'!$BG$6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'[2]январь 20 (-руда,агл)'!$BG$7:$BG$37</c:f>
              <c:numCache>
                <c:formatCode>General</c:formatCode>
                <c:ptCount val="31"/>
                <c:pt idx="0">
                  <c:v>209.67741935483872</c:v>
                </c:pt>
                <c:pt idx="1">
                  <c:v>419.35483870967744</c:v>
                </c:pt>
                <c:pt idx="2">
                  <c:v>629.0322580645161</c:v>
                </c:pt>
                <c:pt idx="3">
                  <c:v>838.70967741935488</c:v>
                </c:pt>
                <c:pt idx="4">
                  <c:v>1048.3870967741937</c:v>
                </c:pt>
                <c:pt idx="5">
                  <c:v>1258.0645161290324</c:v>
                </c:pt>
                <c:pt idx="6">
                  <c:v>1467.7419354838712</c:v>
                </c:pt>
                <c:pt idx="7">
                  <c:v>1677.41935483871</c:v>
                </c:pt>
                <c:pt idx="8">
                  <c:v>1887.0967741935488</c:v>
                </c:pt>
                <c:pt idx="9">
                  <c:v>2096.7741935483873</c:v>
                </c:pt>
                <c:pt idx="10">
                  <c:v>2306.4516129032259</c:v>
                </c:pt>
                <c:pt idx="11">
                  <c:v>2516.1290322580644</c:v>
                </c:pt>
                <c:pt idx="12">
                  <c:v>2725.8064516129029</c:v>
                </c:pt>
                <c:pt idx="13">
                  <c:v>2935.4838709677415</c:v>
                </c:pt>
                <c:pt idx="14">
                  <c:v>3145.16129032258</c:v>
                </c:pt>
                <c:pt idx="15">
                  <c:v>3354.8387096774186</c:v>
                </c:pt>
                <c:pt idx="16">
                  <c:v>3564.5161290322571</c:v>
                </c:pt>
                <c:pt idx="17">
                  <c:v>3774.1935483870957</c:v>
                </c:pt>
                <c:pt idx="18">
                  <c:v>3983.8709677419342</c:v>
                </c:pt>
                <c:pt idx="19">
                  <c:v>4193.5483870967728</c:v>
                </c:pt>
                <c:pt idx="20">
                  <c:v>4403.2258064516118</c:v>
                </c:pt>
                <c:pt idx="21">
                  <c:v>4612.9032258064508</c:v>
                </c:pt>
                <c:pt idx="22">
                  <c:v>4822.5806451612898</c:v>
                </c:pt>
                <c:pt idx="23">
                  <c:v>5032.2580645161288</c:v>
                </c:pt>
                <c:pt idx="24">
                  <c:v>5241.9354838709678</c:v>
                </c:pt>
                <c:pt idx="25">
                  <c:v>5451.6129032258068</c:v>
                </c:pt>
                <c:pt idx="26">
                  <c:v>5661.2903225806458</c:v>
                </c:pt>
                <c:pt idx="27">
                  <c:v>5870.9677419354848</c:v>
                </c:pt>
                <c:pt idx="28">
                  <c:v>6080.6451612903238</c:v>
                </c:pt>
                <c:pt idx="29">
                  <c:v>6290.3225806451628</c:v>
                </c:pt>
                <c:pt idx="30">
                  <c:v>6500.0000000000018</c:v>
                </c:pt>
              </c:numCache>
            </c:numRef>
          </c:val>
        </c:ser>
        <c:marker val="1"/>
        <c:axId val="121583104"/>
        <c:axId val="121584640"/>
      </c:lineChart>
      <c:catAx>
        <c:axId val="1215831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1584640"/>
        <c:crossesAt val="0"/>
        <c:auto val="1"/>
        <c:lblAlgn val="ctr"/>
        <c:lblOffset val="100"/>
        <c:tickLblSkip val="1"/>
        <c:tickMarkSkip val="1"/>
      </c:catAx>
      <c:valAx>
        <c:axId val="12158464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158310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'февраль 20'!$BE$6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'февраль 20'!$BE$7:$BE$37</c:f>
              <c:numCache>
                <c:formatCode>0.00</c:formatCode>
                <c:ptCount val="31"/>
                <c:pt idx="0">
                  <c:v>225.87999999999997</c:v>
                </c:pt>
                <c:pt idx="1">
                  <c:v>458.08999999999992</c:v>
                </c:pt>
                <c:pt idx="2">
                  <c:v>680.38999999999987</c:v>
                </c:pt>
                <c:pt idx="3">
                  <c:v>923.07999999999993</c:v>
                </c:pt>
                <c:pt idx="4">
                  <c:v>1144.06</c:v>
                </c:pt>
                <c:pt idx="5">
                  <c:v>1395.33</c:v>
                </c:pt>
                <c:pt idx="6">
                  <c:v>1642.57</c:v>
                </c:pt>
                <c:pt idx="7">
                  <c:v>1870.54</c:v>
                </c:pt>
                <c:pt idx="8">
                  <c:v>2120.9899999999998</c:v>
                </c:pt>
                <c:pt idx="9">
                  <c:v>2359.12</c:v>
                </c:pt>
                <c:pt idx="10">
                  <c:v>2585.5099999999998</c:v>
                </c:pt>
                <c:pt idx="11">
                  <c:v>2833.49</c:v>
                </c:pt>
                <c:pt idx="12">
                  <c:v>3063.79</c:v>
                </c:pt>
                <c:pt idx="13">
                  <c:v>3297.66</c:v>
                </c:pt>
                <c:pt idx="14">
                  <c:v>3535.0499999999997</c:v>
                </c:pt>
                <c:pt idx="15">
                  <c:v>3742.58</c:v>
                </c:pt>
                <c:pt idx="16">
                  <c:v>3994.7799999999997</c:v>
                </c:pt>
                <c:pt idx="17">
                  <c:v>4089.06</c:v>
                </c:pt>
                <c:pt idx="18">
                  <c:v>4319.95</c:v>
                </c:pt>
                <c:pt idx="19">
                  <c:v>4523</c:v>
                </c:pt>
                <c:pt idx="20">
                  <c:v>4758.28</c:v>
                </c:pt>
                <c:pt idx="21">
                  <c:v>4985.49</c:v>
                </c:pt>
                <c:pt idx="22">
                  <c:v>5219.76</c:v>
                </c:pt>
                <c:pt idx="23">
                  <c:v>5464.8600000000006</c:v>
                </c:pt>
                <c:pt idx="24">
                  <c:v>5688.3600000000006</c:v>
                </c:pt>
                <c:pt idx="25">
                  <c:v>5931.8200000000006</c:v>
                </c:pt>
                <c:pt idx="26">
                  <c:v>6171.380000000001</c:v>
                </c:pt>
                <c:pt idx="27">
                  <c:v>6368.0100000000011</c:v>
                </c:pt>
                <c:pt idx="28">
                  <c:v>6595.5500000000011</c:v>
                </c:pt>
                <c:pt idx="29">
                  <c:v>6595.5500000000011</c:v>
                </c:pt>
                <c:pt idx="30">
                  <c:v>6595.5500000000011</c:v>
                </c:pt>
              </c:numCache>
            </c:numRef>
          </c:val>
        </c:ser>
        <c:ser>
          <c:idx val="1"/>
          <c:order val="1"/>
          <c:tx>
            <c:strRef>
              <c:f>'февраль 20'!$BG$6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'февраль 20'!$BG$7:$BG$37</c:f>
              <c:numCache>
                <c:formatCode>0.00</c:formatCode>
                <c:ptCount val="31"/>
                <c:pt idx="0">
                  <c:v>221.10344827586206</c:v>
                </c:pt>
                <c:pt idx="1">
                  <c:v>442.20689655172413</c:v>
                </c:pt>
                <c:pt idx="2">
                  <c:v>663.31034482758616</c:v>
                </c:pt>
                <c:pt idx="3">
                  <c:v>884.41379310344826</c:v>
                </c:pt>
                <c:pt idx="4">
                  <c:v>1105.5172413793102</c:v>
                </c:pt>
                <c:pt idx="5">
                  <c:v>1326.6206896551723</c:v>
                </c:pt>
                <c:pt idx="6">
                  <c:v>1547.7241379310344</c:v>
                </c:pt>
                <c:pt idx="7">
                  <c:v>1768.8275862068965</c:v>
                </c:pt>
                <c:pt idx="8">
                  <c:v>1989.9310344827586</c:v>
                </c:pt>
                <c:pt idx="9">
                  <c:v>2211.0344827586205</c:v>
                </c:pt>
                <c:pt idx="10">
                  <c:v>2432.1379310344823</c:v>
                </c:pt>
                <c:pt idx="11">
                  <c:v>2653.2413793103442</c:v>
                </c:pt>
                <c:pt idx="12">
                  <c:v>2874.3448275862061</c:v>
                </c:pt>
                <c:pt idx="13">
                  <c:v>3095.4482758620679</c:v>
                </c:pt>
                <c:pt idx="14">
                  <c:v>3316.5517241379298</c:v>
                </c:pt>
                <c:pt idx="15">
                  <c:v>3537.6551724137917</c:v>
                </c:pt>
                <c:pt idx="16">
                  <c:v>3758.7586206896535</c:v>
                </c:pt>
                <c:pt idx="17">
                  <c:v>3979.8620689655154</c:v>
                </c:pt>
                <c:pt idx="18">
                  <c:v>4200.9655172413777</c:v>
                </c:pt>
                <c:pt idx="19">
                  <c:v>4422.06896551724</c:v>
                </c:pt>
                <c:pt idx="20">
                  <c:v>4643.1724137931024</c:v>
                </c:pt>
                <c:pt idx="21">
                  <c:v>4864.2758620689647</c:v>
                </c:pt>
                <c:pt idx="22">
                  <c:v>5085.379310344827</c:v>
                </c:pt>
                <c:pt idx="23">
                  <c:v>5306.4827586206893</c:v>
                </c:pt>
                <c:pt idx="24">
                  <c:v>5527.5862068965516</c:v>
                </c:pt>
                <c:pt idx="25">
                  <c:v>5748.6896551724139</c:v>
                </c:pt>
                <c:pt idx="26">
                  <c:v>5969.7931034482763</c:v>
                </c:pt>
                <c:pt idx="27">
                  <c:v>6190.8965517241386</c:v>
                </c:pt>
                <c:pt idx="28">
                  <c:v>6412.0000000000009</c:v>
                </c:pt>
                <c:pt idx="29">
                  <c:v>6412.0000000000009</c:v>
                </c:pt>
                <c:pt idx="30">
                  <c:v>6412.0000000000009</c:v>
                </c:pt>
              </c:numCache>
            </c:numRef>
          </c:val>
        </c:ser>
        <c:marker val="1"/>
        <c:axId val="123628544"/>
        <c:axId val="123642624"/>
      </c:lineChart>
      <c:catAx>
        <c:axId val="1236285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3642624"/>
        <c:crossesAt val="0"/>
        <c:auto val="1"/>
        <c:lblAlgn val="ctr"/>
        <c:lblOffset val="100"/>
        <c:tickLblSkip val="1"/>
        <c:tickMarkSkip val="1"/>
      </c:catAx>
      <c:valAx>
        <c:axId val="123642624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2362854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'февраль 20 (-руда,+агл)'!$BE$6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'февраль 20 (-руда,+агл)'!$BE$7:$BE$37</c:f>
              <c:numCache>
                <c:formatCode>0.00</c:formatCode>
                <c:ptCount val="31"/>
                <c:pt idx="0">
                  <c:v>225.87999999999997</c:v>
                </c:pt>
                <c:pt idx="1">
                  <c:v>458.08999999999992</c:v>
                </c:pt>
                <c:pt idx="2">
                  <c:v>680.38999999999987</c:v>
                </c:pt>
                <c:pt idx="3">
                  <c:v>923.07999999999993</c:v>
                </c:pt>
                <c:pt idx="4">
                  <c:v>1144.06</c:v>
                </c:pt>
                <c:pt idx="5">
                  <c:v>1395.33</c:v>
                </c:pt>
                <c:pt idx="6">
                  <c:v>1642.57</c:v>
                </c:pt>
                <c:pt idx="7">
                  <c:v>1870.54</c:v>
                </c:pt>
                <c:pt idx="8">
                  <c:v>2120.9899999999998</c:v>
                </c:pt>
                <c:pt idx="9">
                  <c:v>2359.12</c:v>
                </c:pt>
                <c:pt idx="10">
                  <c:v>2585.5099999999998</c:v>
                </c:pt>
                <c:pt idx="11">
                  <c:v>2833.49</c:v>
                </c:pt>
                <c:pt idx="12">
                  <c:v>3063.79</c:v>
                </c:pt>
                <c:pt idx="13">
                  <c:v>3297.66</c:v>
                </c:pt>
                <c:pt idx="14">
                  <c:v>3535.0499999999997</c:v>
                </c:pt>
                <c:pt idx="15">
                  <c:v>3742.58</c:v>
                </c:pt>
                <c:pt idx="16">
                  <c:v>3994.7799999999997</c:v>
                </c:pt>
                <c:pt idx="17">
                  <c:v>4089.06</c:v>
                </c:pt>
                <c:pt idx="18">
                  <c:v>4319.95</c:v>
                </c:pt>
                <c:pt idx="19">
                  <c:v>4523</c:v>
                </c:pt>
                <c:pt idx="20">
                  <c:v>4758.28</c:v>
                </c:pt>
                <c:pt idx="21">
                  <c:v>4985.49</c:v>
                </c:pt>
                <c:pt idx="22">
                  <c:v>5219.76</c:v>
                </c:pt>
                <c:pt idx="23">
                  <c:v>5464.8600000000006</c:v>
                </c:pt>
                <c:pt idx="24">
                  <c:v>5688.3600000000006</c:v>
                </c:pt>
                <c:pt idx="25">
                  <c:v>5931.8200000000006</c:v>
                </c:pt>
                <c:pt idx="26">
                  <c:v>6171.380000000001</c:v>
                </c:pt>
                <c:pt idx="27">
                  <c:v>6368.0100000000011</c:v>
                </c:pt>
                <c:pt idx="28">
                  <c:v>6595.5500000000011</c:v>
                </c:pt>
                <c:pt idx="29">
                  <c:v>6595.5500000000011</c:v>
                </c:pt>
                <c:pt idx="30">
                  <c:v>6595.5500000000011</c:v>
                </c:pt>
              </c:numCache>
            </c:numRef>
          </c:val>
        </c:ser>
        <c:ser>
          <c:idx val="1"/>
          <c:order val="1"/>
          <c:tx>
            <c:strRef>
              <c:f>'февраль 20 (-руда,+агл)'!$BG$6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'февраль 20 (-руда,+агл)'!$BG$7:$BG$37</c:f>
              <c:numCache>
                <c:formatCode>0.00</c:formatCode>
                <c:ptCount val="31"/>
                <c:pt idx="0">
                  <c:v>221.10344827586206</c:v>
                </c:pt>
                <c:pt idx="1">
                  <c:v>442.20689655172413</c:v>
                </c:pt>
                <c:pt idx="2">
                  <c:v>663.31034482758616</c:v>
                </c:pt>
                <c:pt idx="3">
                  <c:v>884.41379310344826</c:v>
                </c:pt>
                <c:pt idx="4">
                  <c:v>1105.5172413793102</c:v>
                </c:pt>
                <c:pt idx="5">
                  <c:v>1326.6206896551723</c:v>
                </c:pt>
                <c:pt idx="6">
                  <c:v>1547.7241379310344</c:v>
                </c:pt>
                <c:pt idx="7">
                  <c:v>1768.8275862068965</c:v>
                </c:pt>
                <c:pt idx="8">
                  <c:v>1989.9310344827586</c:v>
                </c:pt>
                <c:pt idx="9">
                  <c:v>2211.0344827586205</c:v>
                </c:pt>
                <c:pt idx="10">
                  <c:v>2432.1379310344823</c:v>
                </c:pt>
                <c:pt idx="11">
                  <c:v>2653.2413793103442</c:v>
                </c:pt>
                <c:pt idx="12">
                  <c:v>2874.3448275862061</c:v>
                </c:pt>
                <c:pt idx="13">
                  <c:v>3095.4482758620679</c:v>
                </c:pt>
                <c:pt idx="14">
                  <c:v>3316.5517241379298</c:v>
                </c:pt>
                <c:pt idx="15">
                  <c:v>3537.6551724137917</c:v>
                </c:pt>
                <c:pt idx="16">
                  <c:v>3758.7586206896535</c:v>
                </c:pt>
                <c:pt idx="17">
                  <c:v>3979.8620689655154</c:v>
                </c:pt>
                <c:pt idx="18">
                  <c:v>4200.9655172413777</c:v>
                </c:pt>
                <c:pt idx="19">
                  <c:v>4422.06896551724</c:v>
                </c:pt>
                <c:pt idx="20">
                  <c:v>4643.1724137931024</c:v>
                </c:pt>
                <c:pt idx="21">
                  <c:v>4864.2758620689647</c:v>
                </c:pt>
                <c:pt idx="22">
                  <c:v>5085.379310344827</c:v>
                </c:pt>
                <c:pt idx="23">
                  <c:v>5306.4827586206893</c:v>
                </c:pt>
                <c:pt idx="24">
                  <c:v>5527.5862068965516</c:v>
                </c:pt>
                <c:pt idx="25">
                  <c:v>5748.6896551724139</c:v>
                </c:pt>
                <c:pt idx="26">
                  <c:v>5969.7931034482763</c:v>
                </c:pt>
                <c:pt idx="27">
                  <c:v>6190.8965517241386</c:v>
                </c:pt>
                <c:pt idx="28">
                  <c:v>6412.0000000000009</c:v>
                </c:pt>
                <c:pt idx="29">
                  <c:v>6412.0000000000009</c:v>
                </c:pt>
                <c:pt idx="30">
                  <c:v>6412.0000000000009</c:v>
                </c:pt>
              </c:numCache>
            </c:numRef>
          </c:val>
        </c:ser>
        <c:marker val="1"/>
        <c:axId val="131330816"/>
        <c:axId val="131332352"/>
      </c:lineChart>
      <c:catAx>
        <c:axId val="1313308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332352"/>
        <c:crossesAt val="0"/>
        <c:auto val="1"/>
        <c:lblAlgn val="ctr"/>
        <c:lblOffset val="100"/>
        <c:tickLblSkip val="1"/>
        <c:tickMarkSkip val="1"/>
      </c:catAx>
      <c:valAx>
        <c:axId val="13133235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330816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'март 20 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'март 20 '!$BE$7:$BE$37</c:f>
              <c:numCache>
                <c:formatCode>0.00</c:formatCode>
                <c:ptCount val="31"/>
                <c:pt idx="0">
                  <c:v>211.76000000000002</c:v>
                </c:pt>
                <c:pt idx="1">
                  <c:v>421.09000000000003</c:v>
                </c:pt>
                <c:pt idx="2">
                  <c:v>584.46</c:v>
                </c:pt>
                <c:pt idx="3">
                  <c:v>684.23</c:v>
                </c:pt>
                <c:pt idx="4">
                  <c:v>833.66000000000008</c:v>
                </c:pt>
                <c:pt idx="5">
                  <c:v>1068.8900000000001</c:v>
                </c:pt>
                <c:pt idx="6">
                  <c:v>1298.98</c:v>
                </c:pt>
                <c:pt idx="7">
                  <c:v>1548.63</c:v>
                </c:pt>
                <c:pt idx="8">
                  <c:v>1777.29</c:v>
                </c:pt>
                <c:pt idx="9">
                  <c:v>1980.25</c:v>
                </c:pt>
                <c:pt idx="10">
                  <c:v>2155.5700000000002</c:v>
                </c:pt>
                <c:pt idx="11">
                  <c:v>2243.42</c:v>
                </c:pt>
                <c:pt idx="12">
                  <c:v>2307.58</c:v>
                </c:pt>
                <c:pt idx="13">
                  <c:v>2434.15</c:v>
                </c:pt>
                <c:pt idx="14">
                  <c:v>2617.85</c:v>
                </c:pt>
                <c:pt idx="15">
                  <c:v>2856.29</c:v>
                </c:pt>
                <c:pt idx="16">
                  <c:v>3089.11</c:v>
                </c:pt>
                <c:pt idx="17">
                  <c:v>3324.6000000000004</c:v>
                </c:pt>
                <c:pt idx="18">
                  <c:v>3555.8</c:v>
                </c:pt>
                <c:pt idx="19">
                  <c:v>3781.86</c:v>
                </c:pt>
                <c:pt idx="20">
                  <c:v>3997.15</c:v>
                </c:pt>
                <c:pt idx="21">
                  <c:v>4242.72</c:v>
                </c:pt>
                <c:pt idx="22">
                  <c:v>4481.33</c:v>
                </c:pt>
                <c:pt idx="23">
                  <c:v>4708.99</c:v>
                </c:pt>
                <c:pt idx="24">
                  <c:v>4937.63</c:v>
                </c:pt>
                <c:pt idx="25">
                  <c:v>5171.1000000000004</c:v>
                </c:pt>
                <c:pt idx="26">
                  <c:v>5371.14</c:v>
                </c:pt>
                <c:pt idx="27">
                  <c:v>5562.64</c:v>
                </c:pt>
                <c:pt idx="28">
                  <c:v>5743.3200000000006</c:v>
                </c:pt>
                <c:pt idx="29">
                  <c:v>5903.9600000000009</c:v>
                </c:pt>
                <c:pt idx="30">
                  <c:v>6083.9800000000014</c:v>
                </c:pt>
              </c:numCache>
            </c:numRef>
          </c:val>
        </c:ser>
        <c:ser>
          <c:idx val="1"/>
          <c:order val="1"/>
          <c:tx>
            <c:strRef>
              <c:f>'март 20 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'март 20 '!$BG$7:$BG$37</c:f>
              <c:numCache>
                <c:formatCode>0.00</c:formatCode>
                <c:ptCount val="31"/>
                <c:pt idx="0">
                  <c:v>220.96774193548387</c:v>
                </c:pt>
                <c:pt idx="1">
                  <c:v>441.93548387096774</c:v>
                </c:pt>
                <c:pt idx="2">
                  <c:v>662.90322580645159</c:v>
                </c:pt>
                <c:pt idx="3">
                  <c:v>883.87096774193549</c:v>
                </c:pt>
                <c:pt idx="4">
                  <c:v>1104.8387096774193</c:v>
                </c:pt>
                <c:pt idx="5">
                  <c:v>1325.8064516129032</c:v>
                </c:pt>
                <c:pt idx="6">
                  <c:v>1546.7741935483871</c:v>
                </c:pt>
                <c:pt idx="7">
                  <c:v>1767.741935483871</c:v>
                </c:pt>
                <c:pt idx="8">
                  <c:v>1988.7096774193549</c:v>
                </c:pt>
                <c:pt idx="9">
                  <c:v>2209.6774193548385</c:v>
                </c:pt>
                <c:pt idx="10">
                  <c:v>2430.6451612903224</c:v>
                </c:pt>
                <c:pt idx="11">
                  <c:v>2651.6129032258063</c:v>
                </c:pt>
                <c:pt idx="12">
                  <c:v>2872.5806451612902</c:v>
                </c:pt>
                <c:pt idx="13">
                  <c:v>3093.5483870967741</c:v>
                </c:pt>
                <c:pt idx="14">
                  <c:v>3314.516129032258</c:v>
                </c:pt>
                <c:pt idx="15">
                  <c:v>3535.483870967742</c:v>
                </c:pt>
                <c:pt idx="16">
                  <c:v>3756.4516129032259</c:v>
                </c:pt>
                <c:pt idx="17">
                  <c:v>3977.4193548387098</c:v>
                </c:pt>
                <c:pt idx="18">
                  <c:v>4198.3870967741932</c:v>
                </c:pt>
                <c:pt idx="19">
                  <c:v>4419.3548387096771</c:v>
                </c:pt>
                <c:pt idx="20">
                  <c:v>4640.322580645161</c:v>
                </c:pt>
                <c:pt idx="21">
                  <c:v>4861.2903225806449</c:v>
                </c:pt>
                <c:pt idx="22">
                  <c:v>5082.2580645161288</c:v>
                </c:pt>
                <c:pt idx="23">
                  <c:v>5303.2258064516127</c:v>
                </c:pt>
                <c:pt idx="24">
                  <c:v>5524.1935483870966</c:v>
                </c:pt>
                <c:pt idx="25">
                  <c:v>5745.1612903225805</c:v>
                </c:pt>
                <c:pt idx="26">
                  <c:v>5966.1290322580644</c:v>
                </c:pt>
                <c:pt idx="27">
                  <c:v>6187.0967741935483</c:v>
                </c:pt>
                <c:pt idx="28">
                  <c:v>6408.0645161290322</c:v>
                </c:pt>
                <c:pt idx="29">
                  <c:v>6629.0322580645161</c:v>
                </c:pt>
                <c:pt idx="30">
                  <c:v>6850</c:v>
                </c:pt>
              </c:numCache>
            </c:numRef>
          </c:val>
        </c:ser>
        <c:marker val="1"/>
        <c:axId val="131361024"/>
        <c:axId val="131391488"/>
      </c:lineChart>
      <c:catAx>
        <c:axId val="1313610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391488"/>
        <c:crossesAt val="0"/>
        <c:auto val="1"/>
        <c:lblAlgn val="ctr"/>
        <c:lblOffset val="100"/>
        <c:tickLblSkip val="1"/>
        <c:tickMarkSkip val="1"/>
      </c:catAx>
      <c:valAx>
        <c:axId val="131391488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36102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'март 20  (-руда,+агл)'!$BE$6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'март 20  (-руда,+агл)'!$BE$7:$BE$37</c:f>
              <c:numCache>
                <c:formatCode>0.00</c:formatCode>
                <c:ptCount val="31"/>
                <c:pt idx="0">
                  <c:v>211.76000000000002</c:v>
                </c:pt>
                <c:pt idx="1">
                  <c:v>421.09000000000003</c:v>
                </c:pt>
                <c:pt idx="2">
                  <c:v>584.46</c:v>
                </c:pt>
                <c:pt idx="3">
                  <c:v>684.23</c:v>
                </c:pt>
                <c:pt idx="4">
                  <c:v>833.66000000000008</c:v>
                </c:pt>
                <c:pt idx="5">
                  <c:v>1068.8900000000001</c:v>
                </c:pt>
                <c:pt idx="6">
                  <c:v>1298.98</c:v>
                </c:pt>
                <c:pt idx="7">
                  <c:v>1548.63</c:v>
                </c:pt>
                <c:pt idx="8">
                  <c:v>1777.29</c:v>
                </c:pt>
                <c:pt idx="9">
                  <c:v>1980.25</c:v>
                </c:pt>
                <c:pt idx="10">
                  <c:v>2155.5700000000002</c:v>
                </c:pt>
                <c:pt idx="11">
                  <c:v>2243.42</c:v>
                </c:pt>
                <c:pt idx="12">
                  <c:v>2307.58</c:v>
                </c:pt>
                <c:pt idx="13">
                  <c:v>2434.15</c:v>
                </c:pt>
                <c:pt idx="14">
                  <c:v>2617.85</c:v>
                </c:pt>
                <c:pt idx="15">
                  <c:v>2856.29</c:v>
                </c:pt>
                <c:pt idx="16">
                  <c:v>3089.11</c:v>
                </c:pt>
                <c:pt idx="17">
                  <c:v>3324.6000000000004</c:v>
                </c:pt>
                <c:pt idx="18">
                  <c:v>3555.8</c:v>
                </c:pt>
                <c:pt idx="19">
                  <c:v>3781.86</c:v>
                </c:pt>
                <c:pt idx="20">
                  <c:v>3997.15</c:v>
                </c:pt>
                <c:pt idx="21">
                  <c:v>4242.72</c:v>
                </c:pt>
                <c:pt idx="22">
                  <c:v>4481.33</c:v>
                </c:pt>
                <c:pt idx="23">
                  <c:v>4708.99</c:v>
                </c:pt>
                <c:pt idx="24">
                  <c:v>4937.63</c:v>
                </c:pt>
                <c:pt idx="25">
                  <c:v>5171.1000000000004</c:v>
                </c:pt>
                <c:pt idx="26">
                  <c:v>5371.14</c:v>
                </c:pt>
                <c:pt idx="27">
                  <c:v>5562.64</c:v>
                </c:pt>
                <c:pt idx="28">
                  <c:v>5743.3200000000006</c:v>
                </c:pt>
                <c:pt idx="29">
                  <c:v>5903.9600000000009</c:v>
                </c:pt>
                <c:pt idx="30">
                  <c:v>6083.9800000000014</c:v>
                </c:pt>
              </c:numCache>
            </c:numRef>
          </c:val>
        </c:ser>
        <c:ser>
          <c:idx val="1"/>
          <c:order val="1"/>
          <c:tx>
            <c:strRef>
              <c:f>'март 20  (-руда,+агл)'!$BG$6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'март 20  (-руда,+агл)'!$BG$7:$BG$37</c:f>
              <c:numCache>
                <c:formatCode>0.00</c:formatCode>
                <c:ptCount val="31"/>
                <c:pt idx="0">
                  <c:v>220.96774193548387</c:v>
                </c:pt>
                <c:pt idx="1">
                  <c:v>441.93548387096774</c:v>
                </c:pt>
                <c:pt idx="2">
                  <c:v>662.90322580645159</c:v>
                </c:pt>
                <c:pt idx="3">
                  <c:v>883.87096774193549</c:v>
                </c:pt>
                <c:pt idx="4">
                  <c:v>1104.8387096774193</c:v>
                </c:pt>
                <c:pt idx="5">
                  <c:v>1325.8064516129032</c:v>
                </c:pt>
                <c:pt idx="6">
                  <c:v>1546.7741935483871</c:v>
                </c:pt>
                <c:pt idx="7">
                  <c:v>1767.741935483871</c:v>
                </c:pt>
                <c:pt idx="8">
                  <c:v>1988.7096774193549</c:v>
                </c:pt>
                <c:pt idx="9">
                  <c:v>2209.6774193548385</c:v>
                </c:pt>
                <c:pt idx="10">
                  <c:v>2430.6451612903224</c:v>
                </c:pt>
                <c:pt idx="11">
                  <c:v>2651.6129032258063</c:v>
                </c:pt>
                <c:pt idx="12">
                  <c:v>2872.5806451612902</c:v>
                </c:pt>
                <c:pt idx="13">
                  <c:v>3093.5483870967741</c:v>
                </c:pt>
                <c:pt idx="14">
                  <c:v>3314.516129032258</c:v>
                </c:pt>
                <c:pt idx="15">
                  <c:v>3535.483870967742</c:v>
                </c:pt>
                <c:pt idx="16">
                  <c:v>3756.4516129032259</c:v>
                </c:pt>
                <c:pt idx="17">
                  <c:v>3977.4193548387098</c:v>
                </c:pt>
                <c:pt idx="18">
                  <c:v>4198.3870967741932</c:v>
                </c:pt>
                <c:pt idx="19">
                  <c:v>4419.3548387096771</c:v>
                </c:pt>
                <c:pt idx="20">
                  <c:v>4640.322580645161</c:v>
                </c:pt>
                <c:pt idx="21">
                  <c:v>4861.2903225806449</c:v>
                </c:pt>
                <c:pt idx="22">
                  <c:v>5082.2580645161288</c:v>
                </c:pt>
                <c:pt idx="23">
                  <c:v>5303.2258064516127</c:v>
                </c:pt>
                <c:pt idx="24">
                  <c:v>5524.1935483870966</c:v>
                </c:pt>
                <c:pt idx="25">
                  <c:v>5745.1612903225805</c:v>
                </c:pt>
                <c:pt idx="26">
                  <c:v>5966.1290322580644</c:v>
                </c:pt>
                <c:pt idx="27">
                  <c:v>6187.0967741935483</c:v>
                </c:pt>
                <c:pt idx="28">
                  <c:v>6408.0645161290322</c:v>
                </c:pt>
                <c:pt idx="29">
                  <c:v>6629.0322580645161</c:v>
                </c:pt>
                <c:pt idx="30">
                  <c:v>6850</c:v>
                </c:pt>
              </c:numCache>
            </c:numRef>
          </c:val>
        </c:ser>
        <c:marker val="1"/>
        <c:axId val="131702784"/>
        <c:axId val="131704320"/>
      </c:lineChart>
      <c:catAx>
        <c:axId val="1317027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704320"/>
        <c:crossesAt val="0"/>
        <c:auto val="1"/>
        <c:lblAlgn val="ctr"/>
        <c:lblOffset val="100"/>
        <c:tickLblSkip val="1"/>
        <c:tickMarkSkip val="1"/>
      </c:catAx>
      <c:valAx>
        <c:axId val="13170432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70278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'[3]март 20  (-руда,+агл)'!$BE$6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'[3]март 20  (-руда,+агл)'!$BE$7:$BE$37</c:f>
              <c:numCache>
                <c:formatCode>General</c:formatCode>
                <c:ptCount val="31"/>
                <c:pt idx="0">
                  <c:v>211.76000000000002</c:v>
                </c:pt>
                <c:pt idx="1">
                  <c:v>421.09000000000003</c:v>
                </c:pt>
                <c:pt idx="2">
                  <c:v>584.46</c:v>
                </c:pt>
                <c:pt idx="3">
                  <c:v>684.23</c:v>
                </c:pt>
                <c:pt idx="4">
                  <c:v>833.66000000000008</c:v>
                </c:pt>
                <c:pt idx="5">
                  <c:v>1068.8900000000001</c:v>
                </c:pt>
                <c:pt idx="6">
                  <c:v>1298.98</c:v>
                </c:pt>
                <c:pt idx="7">
                  <c:v>1548.63</c:v>
                </c:pt>
                <c:pt idx="8">
                  <c:v>1777.29</c:v>
                </c:pt>
                <c:pt idx="9">
                  <c:v>1980.25</c:v>
                </c:pt>
                <c:pt idx="10">
                  <c:v>2155.5700000000002</c:v>
                </c:pt>
                <c:pt idx="11">
                  <c:v>2243.42</c:v>
                </c:pt>
                <c:pt idx="12">
                  <c:v>2307.58</c:v>
                </c:pt>
                <c:pt idx="13">
                  <c:v>2434.15</c:v>
                </c:pt>
                <c:pt idx="14">
                  <c:v>2617.85</c:v>
                </c:pt>
                <c:pt idx="15">
                  <c:v>2856.29</c:v>
                </c:pt>
                <c:pt idx="16">
                  <c:v>3089.11</c:v>
                </c:pt>
                <c:pt idx="17">
                  <c:v>3324.6000000000004</c:v>
                </c:pt>
                <c:pt idx="18">
                  <c:v>3555.8</c:v>
                </c:pt>
                <c:pt idx="19">
                  <c:v>3781.86</c:v>
                </c:pt>
                <c:pt idx="20">
                  <c:v>3997.15</c:v>
                </c:pt>
                <c:pt idx="21">
                  <c:v>4242.72</c:v>
                </c:pt>
                <c:pt idx="22">
                  <c:v>4481.33</c:v>
                </c:pt>
                <c:pt idx="23">
                  <c:v>4708.99</c:v>
                </c:pt>
                <c:pt idx="24">
                  <c:v>4937.63</c:v>
                </c:pt>
                <c:pt idx="25">
                  <c:v>5171.1000000000004</c:v>
                </c:pt>
                <c:pt idx="26">
                  <c:v>5371.14</c:v>
                </c:pt>
                <c:pt idx="27">
                  <c:v>5562.64</c:v>
                </c:pt>
                <c:pt idx="28">
                  <c:v>5743.3200000000006</c:v>
                </c:pt>
                <c:pt idx="29">
                  <c:v>5903.9600000000009</c:v>
                </c:pt>
                <c:pt idx="30">
                  <c:v>6083.9800000000014</c:v>
                </c:pt>
              </c:numCache>
            </c:numRef>
          </c:val>
        </c:ser>
        <c:ser>
          <c:idx val="1"/>
          <c:order val="1"/>
          <c:tx>
            <c:strRef>
              <c:f>'[3]март 20  (-руда,+агл)'!$BG$6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'[3]март 20  (-руда,+агл)'!$BG$7:$BG$37</c:f>
              <c:numCache>
                <c:formatCode>General</c:formatCode>
                <c:ptCount val="31"/>
                <c:pt idx="0">
                  <c:v>220.96774193548387</c:v>
                </c:pt>
                <c:pt idx="1">
                  <c:v>441.93548387096774</c:v>
                </c:pt>
                <c:pt idx="2">
                  <c:v>662.90322580645159</c:v>
                </c:pt>
                <c:pt idx="3">
                  <c:v>883.87096774193549</c:v>
                </c:pt>
                <c:pt idx="4">
                  <c:v>1104.8387096774193</c:v>
                </c:pt>
                <c:pt idx="5">
                  <c:v>1325.8064516129032</c:v>
                </c:pt>
                <c:pt idx="6">
                  <c:v>1546.7741935483871</c:v>
                </c:pt>
                <c:pt idx="7">
                  <c:v>1767.741935483871</c:v>
                </c:pt>
                <c:pt idx="8">
                  <c:v>1988.7096774193549</c:v>
                </c:pt>
                <c:pt idx="9">
                  <c:v>2209.6774193548385</c:v>
                </c:pt>
                <c:pt idx="10">
                  <c:v>2430.6451612903224</c:v>
                </c:pt>
                <c:pt idx="11">
                  <c:v>2651.6129032258063</c:v>
                </c:pt>
                <c:pt idx="12">
                  <c:v>2872.5806451612902</c:v>
                </c:pt>
                <c:pt idx="13">
                  <c:v>3093.5483870967741</c:v>
                </c:pt>
                <c:pt idx="14">
                  <c:v>3314.516129032258</c:v>
                </c:pt>
                <c:pt idx="15">
                  <c:v>3535.483870967742</c:v>
                </c:pt>
                <c:pt idx="16">
                  <c:v>3756.4516129032259</c:v>
                </c:pt>
                <c:pt idx="17">
                  <c:v>3977.4193548387098</c:v>
                </c:pt>
                <c:pt idx="18">
                  <c:v>4198.3870967741932</c:v>
                </c:pt>
                <c:pt idx="19">
                  <c:v>4419.3548387096771</c:v>
                </c:pt>
                <c:pt idx="20">
                  <c:v>4640.322580645161</c:v>
                </c:pt>
                <c:pt idx="21">
                  <c:v>4861.2903225806449</c:v>
                </c:pt>
                <c:pt idx="22">
                  <c:v>5082.2580645161288</c:v>
                </c:pt>
                <c:pt idx="23">
                  <c:v>5303.2258064516127</c:v>
                </c:pt>
                <c:pt idx="24">
                  <c:v>5524.1935483870966</c:v>
                </c:pt>
                <c:pt idx="25">
                  <c:v>5745.1612903225805</c:v>
                </c:pt>
                <c:pt idx="26">
                  <c:v>5966.1290322580644</c:v>
                </c:pt>
                <c:pt idx="27">
                  <c:v>6187.0967741935483</c:v>
                </c:pt>
                <c:pt idx="28">
                  <c:v>6408.0645161290322</c:v>
                </c:pt>
                <c:pt idx="29">
                  <c:v>6629.0322580645161</c:v>
                </c:pt>
                <c:pt idx="30">
                  <c:v>6850</c:v>
                </c:pt>
              </c:numCache>
            </c:numRef>
          </c:val>
        </c:ser>
        <c:marker val="1"/>
        <c:axId val="131556480"/>
        <c:axId val="131558016"/>
      </c:lineChart>
      <c:catAx>
        <c:axId val="1315564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558016"/>
        <c:crossesAt val="0"/>
        <c:auto val="1"/>
        <c:lblAlgn val="ctr"/>
        <c:lblOffset val="100"/>
        <c:tickLblSkip val="1"/>
        <c:tickMarkSkip val="1"/>
      </c:catAx>
      <c:valAx>
        <c:axId val="131558016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556480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'апрель 20 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'апрель 20 '!$BE$7:$BE$37</c:f>
              <c:numCache>
                <c:formatCode>0.00</c:formatCode>
                <c:ptCount val="31"/>
                <c:pt idx="0">
                  <c:v>176.72</c:v>
                </c:pt>
                <c:pt idx="1">
                  <c:v>367.12</c:v>
                </c:pt>
                <c:pt idx="2">
                  <c:v>574.1</c:v>
                </c:pt>
                <c:pt idx="3">
                  <c:v>803.29</c:v>
                </c:pt>
                <c:pt idx="4">
                  <c:v>1024.6300000000001</c:v>
                </c:pt>
                <c:pt idx="5">
                  <c:v>1255.0900000000001</c:v>
                </c:pt>
                <c:pt idx="6">
                  <c:v>1499.17</c:v>
                </c:pt>
                <c:pt idx="7">
                  <c:v>1714.97</c:v>
                </c:pt>
                <c:pt idx="8">
                  <c:v>1936.9</c:v>
                </c:pt>
                <c:pt idx="9">
                  <c:v>2135.0500000000002</c:v>
                </c:pt>
                <c:pt idx="10">
                  <c:v>2345.8300000000004</c:v>
                </c:pt>
                <c:pt idx="11">
                  <c:v>2549.4100000000003</c:v>
                </c:pt>
                <c:pt idx="12">
                  <c:v>2750.7000000000003</c:v>
                </c:pt>
                <c:pt idx="13">
                  <c:v>2948.9300000000003</c:v>
                </c:pt>
                <c:pt idx="14">
                  <c:v>3123.01</c:v>
                </c:pt>
                <c:pt idx="15">
                  <c:v>3340.1000000000004</c:v>
                </c:pt>
                <c:pt idx="16">
                  <c:v>3548.0800000000004</c:v>
                </c:pt>
                <c:pt idx="17">
                  <c:v>3759.2700000000004</c:v>
                </c:pt>
                <c:pt idx="18">
                  <c:v>3979.5900000000006</c:v>
                </c:pt>
                <c:pt idx="19">
                  <c:v>4185.0400000000009</c:v>
                </c:pt>
                <c:pt idx="20">
                  <c:v>4388.2900000000009</c:v>
                </c:pt>
                <c:pt idx="21">
                  <c:v>4591.6200000000008</c:v>
                </c:pt>
                <c:pt idx="22">
                  <c:v>4795.3200000000006</c:v>
                </c:pt>
                <c:pt idx="23">
                  <c:v>4999.7100000000009</c:v>
                </c:pt>
                <c:pt idx="24">
                  <c:v>5212.1200000000008</c:v>
                </c:pt>
                <c:pt idx="25">
                  <c:v>5418.9400000000005</c:v>
                </c:pt>
                <c:pt idx="26">
                  <c:v>5621.55</c:v>
                </c:pt>
                <c:pt idx="27">
                  <c:v>5734.6900000000005</c:v>
                </c:pt>
                <c:pt idx="28">
                  <c:v>5926.5300000000007</c:v>
                </c:pt>
                <c:pt idx="29">
                  <c:v>6129.3000000000011</c:v>
                </c:pt>
                <c:pt idx="30">
                  <c:v>6129.3000000000011</c:v>
                </c:pt>
              </c:numCache>
            </c:numRef>
          </c:val>
        </c:ser>
        <c:ser>
          <c:idx val="1"/>
          <c:order val="1"/>
          <c:tx>
            <c:strRef>
              <c:f>'апрель 20 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'апрель 20 '!$BG$7:$BG$37</c:f>
              <c:numCache>
                <c:formatCode>0.00</c:formatCode>
                <c:ptCount val="31"/>
                <c:pt idx="0">
                  <c:v>223.33333333333334</c:v>
                </c:pt>
                <c:pt idx="1">
                  <c:v>446.66666666666669</c:v>
                </c:pt>
                <c:pt idx="2">
                  <c:v>670</c:v>
                </c:pt>
                <c:pt idx="3">
                  <c:v>893.33333333333337</c:v>
                </c:pt>
                <c:pt idx="4">
                  <c:v>1116.6666666666667</c:v>
                </c:pt>
                <c:pt idx="5">
                  <c:v>1340</c:v>
                </c:pt>
                <c:pt idx="6">
                  <c:v>1563.3333333333333</c:v>
                </c:pt>
                <c:pt idx="7">
                  <c:v>1786.6666666666665</c:v>
                </c:pt>
                <c:pt idx="8">
                  <c:v>2009.9999999999998</c:v>
                </c:pt>
                <c:pt idx="9">
                  <c:v>2233.333333333333</c:v>
                </c:pt>
                <c:pt idx="10">
                  <c:v>2456.6666666666665</c:v>
                </c:pt>
                <c:pt idx="11">
                  <c:v>2680</c:v>
                </c:pt>
                <c:pt idx="12">
                  <c:v>2903.3333333333335</c:v>
                </c:pt>
                <c:pt idx="13">
                  <c:v>3126.666666666667</c:v>
                </c:pt>
                <c:pt idx="14">
                  <c:v>3350.0000000000005</c:v>
                </c:pt>
                <c:pt idx="15">
                  <c:v>3573.3333333333339</c:v>
                </c:pt>
                <c:pt idx="16">
                  <c:v>3796.6666666666674</c:v>
                </c:pt>
                <c:pt idx="17">
                  <c:v>4020.0000000000009</c:v>
                </c:pt>
                <c:pt idx="18">
                  <c:v>4243.3333333333339</c:v>
                </c:pt>
                <c:pt idx="19">
                  <c:v>4466.666666666667</c:v>
                </c:pt>
                <c:pt idx="20">
                  <c:v>4690</c:v>
                </c:pt>
                <c:pt idx="21">
                  <c:v>4913.333333333333</c:v>
                </c:pt>
                <c:pt idx="22">
                  <c:v>5136.6666666666661</c:v>
                </c:pt>
                <c:pt idx="23">
                  <c:v>5359.9999999999991</c:v>
                </c:pt>
                <c:pt idx="24">
                  <c:v>5583.3333333333321</c:v>
                </c:pt>
                <c:pt idx="25">
                  <c:v>5806.6666666666652</c:v>
                </c:pt>
                <c:pt idx="26">
                  <c:v>6029.9999999999982</c:v>
                </c:pt>
                <c:pt idx="27">
                  <c:v>6253.3333333333312</c:v>
                </c:pt>
                <c:pt idx="28">
                  <c:v>6476.6666666666642</c:v>
                </c:pt>
                <c:pt idx="29">
                  <c:v>6699.9999999999973</c:v>
                </c:pt>
                <c:pt idx="30">
                  <c:v>6699.9999999999973</c:v>
                </c:pt>
              </c:numCache>
            </c:numRef>
          </c:val>
        </c:ser>
        <c:marker val="1"/>
        <c:axId val="131930752"/>
        <c:axId val="131936640"/>
      </c:lineChart>
      <c:catAx>
        <c:axId val="13193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936640"/>
        <c:crossesAt val="0"/>
        <c:auto val="1"/>
        <c:lblAlgn val="ctr"/>
        <c:lblOffset val="100"/>
        <c:tickLblSkip val="1"/>
        <c:tickMarkSkip val="1"/>
      </c:catAx>
      <c:valAx>
        <c:axId val="13193664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193075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'апрель 20  (+371т,+ру,кок)'!$BE$6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'апрель 20  (+371т,+ру,кок)'!$BE$7:$BE$37</c:f>
              <c:numCache>
                <c:formatCode>0.00</c:formatCode>
                <c:ptCount val="31"/>
                <c:pt idx="0">
                  <c:v>189.02</c:v>
                </c:pt>
                <c:pt idx="1">
                  <c:v>391.72</c:v>
                </c:pt>
                <c:pt idx="2">
                  <c:v>611</c:v>
                </c:pt>
                <c:pt idx="3">
                  <c:v>852.49</c:v>
                </c:pt>
                <c:pt idx="4">
                  <c:v>1086.1300000000001</c:v>
                </c:pt>
                <c:pt idx="5">
                  <c:v>1328.89</c:v>
                </c:pt>
                <c:pt idx="6">
                  <c:v>1585.27</c:v>
                </c:pt>
                <c:pt idx="7">
                  <c:v>1813.37</c:v>
                </c:pt>
                <c:pt idx="8">
                  <c:v>2047.6</c:v>
                </c:pt>
                <c:pt idx="9">
                  <c:v>2258.0499999999997</c:v>
                </c:pt>
                <c:pt idx="10">
                  <c:v>2481.1299999999997</c:v>
                </c:pt>
                <c:pt idx="11">
                  <c:v>2697.0099999999998</c:v>
                </c:pt>
                <c:pt idx="12">
                  <c:v>2910.6</c:v>
                </c:pt>
                <c:pt idx="13">
                  <c:v>3121.13</c:v>
                </c:pt>
                <c:pt idx="14">
                  <c:v>3307.51</c:v>
                </c:pt>
                <c:pt idx="15">
                  <c:v>3536.9</c:v>
                </c:pt>
                <c:pt idx="16">
                  <c:v>3757.1800000000003</c:v>
                </c:pt>
                <c:pt idx="17">
                  <c:v>3980.6700000000005</c:v>
                </c:pt>
                <c:pt idx="18">
                  <c:v>4213.2900000000009</c:v>
                </c:pt>
                <c:pt idx="19">
                  <c:v>4431.0400000000009</c:v>
                </c:pt>
                <c:pt idx="20">
                  <c:v>4646.5900000000011</c:v>
                </c:pt>
                <c:pt idx="21">
                  <c:v>4862.2200000000012</c:v>
                </c:pt>
                <c:pt idx="22">
                  <c:v>5078.2200000000012</c:v>
                </c:pt>
                <c:pt idx="23">
                  <c:v>5294.9100000000008</c:v>
                </c:pt>
                <c:pt idx="24">
                  <c:v>5519.6200000000008</c:v>
                </c:pt>
                <c:pt idx="25">
                  <c:v>5738.7400000000007</c:v>
                </c:pt>
                <c:pt idx="26">
                  <c:v>5953.6500000000005</c:v>
                </c:pt>
                <c:pt idx="27">
                  <c:v>6079.09</c:v>
                </c:pt>
                <c:pt idx="28">
                  <c:v>6283.2300000000005</c:v>
                </c:pt>
                <c:pt idx="29">
                  <c:v>6500.3</c:v>
                </c:pt>
                <c:pt idx="30">
                  <c:v>6500.3</c:v>
                </c:pt>
              </c:numCache>
            </c:numRef>
          </c:val>
        </c:ser>
        <c:ser>
          <c:idx val="1"/>
          <c:order val="1"/>
          <c:tx>
            <c:strRef>
              <c:f>'апрель 20  (+371т,+ру,кок)'!$BG$6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'апрель 20  (+371т,+ру,кок)'!$BG$7:$BG$37</c:f>
              <c:numCache>
                <c:formatCode>0.00</c:formatCode>
                <c:ptCount val="31"/>
                <c:pt idx="0">
                  <c:v>223.33333333333334</c:v>
                </c:pt>
                <c:pt idx="1">
                  <c:v>446.66666666666669</c:v>
                </c:pt>
                <c:pt idx="2">
                  <c:v>670</c:v>
                </c:pt>
                <c:pt idx="3">
                  <c:v>893.33333333333337</c:v>
                </c:pt>
                <c:pt idx="4">
                  <c:v>1116.6666666666667</c:v>
                </c:pt>
                <c:pt idx="5">
                  <c:v>1340</c:v>
                </c:pt>
                <c:pt idx="6">
                  <c:v>1563.3333333333333</c:v>
                </c:pt>
                <c:pt idx="7">
                  <c:v>1786.6666666666665</c:v>
                </c:pt>
                <c:pt idx="8">
                  <c:v>2009.9999999999998</c:v>
                </c:pt>
                <c:pt idx="9">
                  <c:v>2233.333333333333</c:v>
                </c:pt>
                <c:pt idx="10">
                  <c:v>2456.6666666666665</c:v>
                </c:pt>
                <c:pt idx="11">
                  <c:v>2680</c:v>
                </c:pt>
                <c:pt idx="12">
                  <c:v>2903.3333333333335</c:v>
                </c:pt>
                <c:pt idx="13">
                  <c:v>3126.666666666667</c:v>
                </c:pt>
                <c:pt idx="14">
                  <c:v>3350.0000000000005</c:v>
                </c:pt>
                <c:pt idx="15">
                  <c:v>3573.3333333333339</c:v>
                </c:pt>
                <c:pt idx="16">
                  <c:v>3796.6666666666674</c:v>
                </c:pt>
                <c:pt idx="17">
                  <c:v>4020.0000000000009</c:v>
                </c:pt>
                <c:pt idx="18">
                  <c:v>4243.3333333333339</c:v>
                </c:pt>
                <c:pt idx="19">
                  <c:v>4466.666666666667</c:v>
                </c:pt>
                <c:pt idx="20">
                  <c:v>4690</c:v>
                </c:pt>
                <c:pt idx="21">
                  <c:v>4913.333333333333</c:v>
                </c:pt>
                <c:pt idx="22">
                  <c:v>5136.6666666666661</c:v>
                </c:pt>
                <c:pt idx="23">
                  <c:v>5359.9999999999991</c:v>
                </c:pt>
                <c:pt idx="24">
                  <c:v>5583.3333333333321</c:v>
                </c:pt>
                <c:pt idx="25">
                  <c:v>5806.6666666666652</c:v>
                </c:pt>
                <c:pt idx="26">
                  <c:v>6029.9999999999982</c:v>
                </c:pt>
                <c:pt idx="27">
                  <c:v>6253.3333333333312</c:v>
                </c:pt>
                <c:pt idx="28">
                  <c:v>6476.6666666666642</c:v>
                </c:pt>
                <c:pt idx="29">
                  <c:v>6699.9999999999973</c:v>
                </c:pt>
                <c:pt idx="30">
                  <c:v>6699.9999999999973</c:v>
                </c:pt>
              </c:numCache>
            </c:numRef>
          </c:val>
        </c:ser>
        <c:marker val="1"/>
        <c:axId val="132088192"/>
        <c:axId val="132089728"/>
      </c:lineChart>
      <c:catAx>
        <c:axId val="1320881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2089728"/>
        <c:crossesAt val="0"/>
        <c:auto val="1"/>
        <c:lblAlgn val="ctr"/>
        <c:lblOffset val="100"/>
        <c:tickLblSkip val="1"/>
        <c:tickMarkSkip val="1"/>
      </c:catAx>
      <c:valAx>
        <c:axId val="132089728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208819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'май 20'!$BE$6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'май 20'!$BE$7:$BE$37</c:f>
              <c:numCache>
                <c:formatCode>0.00</c:formatCode>
                <c:ptCount val="31"/>
                <c:pt idx="0">
                  <c:v>188.76</c:v>
                </c:pt>
                <c:pt idx="1">
                  <c:v>378.62</c:v>
                </c:pt>
                <c:pt idx="2">
                  <c:v>564.59</c:v>
                </c:pt>
                <c:pt idx="3">
                  <c:v>761.03</c:v>
                </c:pt>
                <c:pt idx="4">
                  <c:v>946.3599999999999</c:v>
                </c:pt>
                <c:pt idx="5">
                  <c:v>1133.04</c:v>
                </c:pt>
                <c:pt idx="6">
                  <c:v>1318.99</c:v>
                </c:pt>
                <c:pt idx="7">
                  <c:v>1511.68</c:v>
                </c:pt>
                <c:pt idx="8">
                  <c:v>1703.63</c:v>
                </c:pt>
                <c:pt idx="9">
                  <c:v>1889.9900000000002</c:v>
                </c:pt>
                <c:pt idx="10">
                  <c:v>2077.2300000000005</c:v>
                </c:pt>
                <c:pt idx="11">
                  <c:v>2253.2000000000003</c:v>
                </c:pt>
                <c:pt idx="12">
                  <c:v>2426.1600000000003</c:v>
                </c:pt>
                <c:pt idx="13">
                  <c:v>2606.2200000000003</c:v>
                </c:pt>
                <c:pt idx="14">
                  <c:v>2802.53</c:v>
                </c:pt>
                <c:pt idx="15">
                  <c:v>2983.1600000000003</c:v>
                </c:pt>
                <c:pt idx="16">
                  <c:v>3169.9300000000003</c:v>
                </c:pt>
                <c:pt idx="17">
                  <c:v>3347.8300000000004</c:v>
                </c:pt>
                <c:pt idx="18">
                  <c:v>3544.9500000000003</c:v>
                </c:pt>
                <c:pt idx="19">
                  <c:v>3662.8</c:v>
                </c:pt>
                <c:pt idx="20">
                  <c:v>3854.36</c:v>
                </c:pt>
                <c:pt idx="21">
                  <c:v>4032.76</c:v>
                </c:pt>
                <c:pt idx="22">
                  <c:v>4218.4800000000005</c:v>
                </c:pt>
                <c:pt idx="23">
                  <c:v>4404.4000000000005</c:v>
                </c:pt>
                <c:pt idx="24">
                  <c:v>4592.4000000000005</c:v>
                </c:pt>
                <c:pt idx="25">
                  <c:v>4769.920000000001</c:v>
                </c:pt>
                <c:pt idx="26">
                  <c:v>4953.3400000000011</c:v>
                </c:pt>
                <c:pt idx="27">
                  <c:v>5141.0200000000013</c:v>
                </c:pt>
                <c:pt idx="28">
                  <c:v>5342.7900000000009</c:v>
                </c:pt>
                <c:pt idx="29">
                  <c:v>5536.5100000000011</c:v>
                </c:pt>
                <c:pt idx="30">
                  <c:v>5738.5800000000008</c:v>
                </c:pt>
              </c:numCache>
            </c:numRef>
          </c:val>
        </c:ser>
        <c:ser>
          <c:idx val="1"/>
          <c:order val="1"/>
          <c:tx>
            <c:strRef>
              <c:f>'май 20'!$BG$6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'май 20'!$BG$7:$BG$37</c:f>
              <c:numCache>
                <c:formatCode>0.00</c:formatCode>
                <c:ptCount val="31"/>
                <c:pt idx="0">
                  <c:v>175.80645161290323</c:v>
                </c:pt>
                <c:pt idx="1">
                  <c:v>351.61290322580646</c:v>
                </c:pt>
                <c:pt idx="2">
                  <c:v>527.41935483870975</c:v>
                </c:pt>
                <c:pt idx="3">
                  <c:v>703.22580645161293</c:v>
                </c:pt>
                <c:pt idx="4">
                  <c:v>879.0322580645161</c:v>
                </c:pt>
                <c:pt idx="5">
                  <c:v>1054.8387096774193</c:v>
                </c:pt>
                <c:pt idx="6">
                  <c:v>1230.6451612903224</c:v>
                </c:pt>
                <c:pt idx="7">
                  <c:v>1406.4516129032256</c:v>
                </c:pt>
                <c:pt idx="8">
                  <c:v>1582.2580645161288</c:v>
                </c:pt>
                <c:pt idx="9">
                  <c:v>1758.064516129032</c:v>
                </c:pt>
                <c:pt idx="10">
                  <c:v>1933.8709677419351</c:v>
                </c:pt>
                <c:pt idx="11">
                  <c:v>2109.6774193548385</c:v>
                </c:pt>
                <c:pt idx="12">
                  <c:v>2285.483870967742</c:v>
                </c:pt>
                <c:pt idx="13">
                  <c:v>2461.2903225806454</c:v>
                </c:pt>
                <c:pt idx="14">
                  <c:v>2637.0967741935488</c:v>
                </c:pt>
                <c:pt idx="15">
                  <c:v>2812.9032258064522</c:v>
                </c:pt>
                <c:pt idx="16">
                  <c:v>2988.7096774193556</c:v>
                </c:pt>
                <c:pt idx="17">
                  <c:v>3164.516129032259</c:v>
                </c:pt>
                <c:pt idx="18">
                  <c:v>3340.3225806451624</c:v>
                </c:pt>
                <c:pt idx="19">
                  <c:v>3516.1290322580658</c:v>
                </c:pt>
                <c:pt idx="20">
                  <c:v>3691.9354838709692</c:v>
                </c:pt>
                <c:pt idx="21">
                  <c:v>3867.7419354838726</c:v>
                </c:pt>
                <c:pt idx="22">
                  <c:v>4043.548387096776</c:v>
                </c:pt>
                <c:pt idx="23">
                  <c:v>4219.3548387096789</c:v>
                </c:pt>
                <c:pt idx="24">
                  <c:v>4395.1612903225823</c:v>
                </c:pt>
                <c:pt idx="25">
                  <c:v>4570.9677419354857</c:v>
                </c:pt>
                <c:pt idx="26">
                  <c:v>4746.7741935483891</c:v>
                </c:pt>
                <c:pt idx="27">
                  <c:v>4922.5806451612925</c:v>
                </c:pt>
                <c:pt idx="28">
                  <c:v>5098.3870967741959</c:v>
                </c:pt>
                <c:pt idx="29">
                  <c:v>5274.1935483870993</c:v>
                </c:pt>
                <c:pt idx="30">
                  <c:v>5450.0000000000027</c:v>
                </c:pt>
              </c:numCache>
            </c:numRef>
          </c:val>
        </c:ser>
        <c:marker val="1"/>
        <c:axId val="132245376"/>
        <c:axId val="132246912"/>
      </c:lineChart>
      <c:catAx>
        <c:axId val="1322453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2246912"/>
        <c:crossesAt val="0"/>
        <c:auto val="1"/>
        <c:lblAlgn val="ctr"/>
        <c:lblOffset val="100"/>
        <c:tickLblSkip val="1"/>
        <c:tickMarkSkip val="1"/>
      </c:catAx>
      <c:valAx>
        <c:axId val="13224691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2245376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'май 20 (+руда,+кокс,-агл)'!$BE$6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'май 20 (+руда,+кокс,-агл)'!$BE$7:$BE$37</c:f>
              <c:numCache>
                <c:formatCode>0.00</c:formatCode>
                <c:ptCount val="31"/>
                <c:pt idx="0">
                  <c:v>188.76</c:v>
                </c:pt>
                <c:pt idx="1">
                  <c:v>378.62</c:v>
                </c:pt>
                <c:pt idx="2">
                  <c:v>564.59</c:v>
                </c:pt>
                <c:pt idx="3">
                  <c:v>761.03</c:v>
                </c:pt>
                <c:pt idx="4">
                  <c:v>946.3599999999999</c:v>
                </c:pt>
                <c:pt idx="5">
                  <c:v>1133.04</c:v>
                </c:pt>
                <c:pt idx="6">
                  <c:v>1318.99</c:v>
                </c:pt>
                <c:pt idx="7">
                  <c:v>1511.68</c:v>
                </c:pt>
                <c:pt idx="8">
                  <c:v>1703.63</c:v>
                </c:pt>
                <c:pt idx="9">
                  <c:v>1889.9900000000002</c:v>
                </c:pt>
                <c:pt idx="10">
                  <c:v>2077.2300000000005</c:v>
                </c:pt>
                <c:pt idx="11">
                  <c:v>2253.2000000000003</c:v>
                </c:pt>
                <c:pt idx="12">
                  <c:v>2426.1600000000003</c:v>
                </c:pt>
                <c:pt idx="13">
                  <c:v>2606.2200000000003</c:v>
                </c:pt>
                <c:pt idx="14">
                  <c:v>2802.53</c:v>
                </c:pt>
                <c:pt idx="15">
                  <c:v>2983.1600000000003</c:v>
                </c:pt>
                <c:pt idx="16">
                  <c:v>3169.9300000000003</c:v>
                </c:pt>
                <c:pt idx="17">
                  <c:v>3347.8300000000004</c:v>
                </c:pt>
                <c:pt idx="18">
                  <c:v>3544.9500000000003</c:v>
                </c:pt>
                <c:pt idx="19">
                  <c:v>3662.8</c:v>
                </c:pt>
                <c:pt idx="20">
                  <c:v>3854.36</c:v>
                </c:pt>
                <c:pt idx="21">
                  <c:v>4032.76</c:v>
                </c:pt>
                <c:pt idx="22">
                  <c:v>4218.4800000000005</c:v>
                </c:pt>
                <c:pt idx="23">
                  <c:v>4404.4000000000005</c:v>
                </c:pt>
                <c:pt idx="24">
                  <c:v>4592.4000000000005</c:v>
                </c:pt>
                <c:pt idx="25">
                  <c:v>4769.920000000001</c:v>
                </c:pt>
                <c:pt idx="26">
                  <c:v>4953.3400000000011</c:v>
                </c:pt>
                <c:pt idx="27">
                  <c:v>5141.0200000000013</c:v>
                </c:pt>
                <c:pt idx="28">
                  <c:v>5342.7900000000009</c:v>
                </c:pt>
                <c:pt idx="29">
                  <c:v>5536.5100000000011</c:v>
                </c:pt>
                <c:pt idx="30">
                  <c:v>5738.5800000000008</c:v>
                </c:pt>
              </c:numCache>
            </c:numRef>
          </c:val>
        </c:ser>
        <c:ser>
          <c:idx val="1"/>
          <c:order val="1"/>
          <c:tx>
            <c:strRef>
              <c:f>'май 20 (+руда,+кокс,-агл)'!$BG$6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'май 20 (+руда,+кокс,-агл)'!$BG$7:$BG$37</c:f>
              <c:numCache>
                <c:formatCode>0.00</c:formatCode>
                <c:ptCount val="31"/>
                <c:pt idx="0">
                  <c:v>175.80645161290323</c:v>
                </c:pt>
                <c:pt idx="1">
                  <c:v>351.61290322580646</c:v>
                </c:pt>
                <c:pt idx="2">
                  <c:v>527.41935483870975</c:v>
                </c:pt>
                <c:pt idx="3">
                  <c:v>703.22580645161293</c:v>
                </c:pt>
                <c:pt idx="4">
                  <c:v>879.0322580645161</c:v>
                </c:pt>
                <c:pt idx="5">
                  <c:v>1054.8387096774193</c:v>
                </c:pt>
                <c:pt idx="6">
                  <c:v>1230.6451612903224</c:v>
                </c:pt>
                <c:pt idx="7">
                  <c:v>1406.4516129032256</c:v>
                </c:pt>
                <c:pt idx="8">
                  <c:v>1582.2580645161288</c:v>
                </c:pt>
                <c:pt idx="9">
                  <c:v>1758.064516129032</c:v>
                </c:pt>
                <c:pt idx="10">
                  <c:v>1933.8709677419351</c:v>
                </c:pt>
                <c:pt idx="11">
                  <c:v>2109.6774193548385</c:v>
                </c:pt>
                <c:pt idx="12">
                  <c:v>2285.483870967742</c:v>
                </c:pt>
                <c:pt idx="13">
                  <c:v>2461.2903225806454</c:v>
                </c:pt>
                <c:pt idx="14">
                  <c:v>2637.0967741935488</c:v>
                </c:pt>
                <c:pt idx="15">
                  <c:v>2812.9032258064522</c:v>
                </c:pt>
                <c:pt idx="16">
                  <c:v>2988.7096774193556</c:v>
                </c:pt>
                <c:pt idx="17">
                  <c:v>3164.516129032259</c:v>
                </c:pt>
                <c:pt idx="18">
                  <c:v>3340.3225806451624</c:v>
                </c:pt>
                <c:pt idx="19">
                  <c:v>3516.1290322580658</c:v>
                </c:pt>
                <c:pt idx="20">
                  <c:v>3691.9354838709692</c:v>
                </c:pt>
                <c:pt idx="21">
                  <c:v>3867.7419354838726</c:v>
                </c:pt>
                <c:pt idx="22">
                  <c:v>4043.548387096776</c:v>
                </c:pt>
                <c:pt idx="23">
                  <c:v>4219.3548387096789</c:v>
                </c:pt>
                <c:pt idx="24">
                  <c:v>4395.1612903225823</c:v>
                </c:pt>
                <c:pt idx="25">
                  <c:v>4570.9677419354857</c:v>
                </c:pt>
                <c:pt idx="26">
                  <c:v>4746.7741935483891</c:v>
                </c:pt>
                <c:pt idx="27">
                  <c:v>4922.5806451612925</c:v>
                </c:pt>
                <c:pt idx="28">
                  <c:v>5098.3870967741959</c:v>
                </c:pt>
                <c:pt idx="29">
                  <c:v>5274.1935483870993</c:v>
                </c:pt>
                <c:pt idx="30">
                  <c:v>5450.0000000000027</c:v>
                </c:pt>
              </c:numCache>
            </c:numRef>
          </c:val>
        </c:ser>
        <c:marker val="1"/>
        <c:axId val="134561152"/>
        <c:axId val="134571136"/>
      </c:lineChart>
      <c:catAx>
        <c:axId val="1345611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571136"/>
        <c:crossesAt val="0"/>
        <c:auto val="1"/>
        <c:lblAlgn val="ctr"/>
        <c:lblOffset val="100"/>
        <c:tickLblSkip val="1"/>
        <c:tickMarkSkip val="1"/>
      </c:catAx>
      <c:valAx>
        <c:axId val="134571136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56115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'июнь 20'!$BE$6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'июнь 20'!$BE$7:$BE$37</c:f>
              <c:numCache>
                <c:formatCode>0.00</c:formatCode>
                <c:ptCount val="31"/>
                <c:pt idx="0">
                  <c:v>199.36999999999998</c:v>
                </c:pt>
                <c:pt idx="1">
                  <c:v>287.02</c:v>
                </c:pt>
                <c:pt idx="2">
                  <c:v>464.25</c:v>
                </c:pt>
                <c:pt idx="3">
                  <c:v>657.54</c:v>
                </c:pt>
                <c:pt idx="4">
                  <c:v>849.17</c:v>
                </c:pt>
                <c:pt idx="5">
                  <c:v>1042.5</c:v>
                </c:pt>
                <c:pt idx="6">
                  <c:v>1231.42</c:v>
                </c:pt>
                <c:pt idx="7">
                  <c:v>1423.8600000000001</c:v>
                </c:pt>
                <c:pt idx="8">
                  <c:v>1607.6100000000001</c:v>
                </c:pt>
                <c:pt idx="9">
                  <c:v>1797.5300000000002</c:v>
                </c:pt>
                <c:pt idx="10">
                  <c:v>1977.3200000000002</c:v>
                </c:pt>
                <c:pt idx="11">
                  <c:v>2157.5700000000002</c:v>
                </c:pt>
                <c:pt idx="12">
                  <c:v>2343.79</c:v>
                </c:pt>
                <c:pt idx="13">
                  <c:v>2542.6999999999998</c:v>
                </c:pt>
                <c:pt idx="14">
                  <c:v>2746.0699999999997</c:v>
                </c:pt>
                <c:pt idx="15">
                  <c:v>2927.0299999999997</c:v>
                </c:pt>
                <c:pt idx="16">
                  <c:v>3116.4599999999996</c:v>
                </c:pt>
                <c:pt idx="17">
                  <c:v>3306.0999999999995</c:v>
                </c:pt>
                <c:pt idx="18">
                  <c:v>3492.4899999999993</c:v>
                </c:pt>
                <c:pt idx="19">
                  <c:v>3680.8099999999995</c:v>
                </c:pt>
                <c:pt idx="20">
                  <c:v>3872.8499999999995</c:v>
                </c:pt>
                <c:pt idx="21">
                  <c:v>4053.8699999999994</c:v>
                </c:pt>
                <c:pt idx="22">
                  <c:v>4217.3799999999992</c:v>
                </c:pt>
                <c:pt idx="23">
                  <c:v>4403.5499999999993</c:v>
                </c:pt>
                <c:pt idx="24">
                  <c:v>4576.3099999999995</c:v>
                </c:pt>
                <c:pt idx="25">
                  <c:v>4753.1899999999996</c:v>
                </c:pt>
                <c:pt idx="26">
                  <c:v>4930.95</c:v>
                </c:pt>
                <c:pt idx="27">
                  <c:v>5111.1899999999996</c:v>
                </c:pt>
                <c:pt idx="28">
                  <c:v>5281.7</c:v>
                </c:pt>
                <c:pt idx="29">
                  <c:v>5383.37</c:v>
                </c:pt>
                <c:pt idx="30">
                  <c:v>5383.37</c:v>
                </c:pt>
              </c:numCache>
            </c:numRef>
          </c:val>
        </c:ser>
        <c:ser>
          <c:idx val="1"/>
          <c:order val="1"/>
          <c:tx>
            <c:strRef>
              <c:f>'июнь 20'!$BG$6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'июнь 20'!$BG$7:$BG$37</c:f>
              <c:numCache>
                <c:formatCode>0.00</c:formatCode>
                <c:ptCount val="31"/>
                <c:pt idx="0">
                  <c:v>183.33333333333334</c:v>
                </c:pt>
                <c:pt idx="1">
                  <c:v>366.66666666666669</c:v>
                </c:pt>
                <c:pt idx="2">
                  <c:v>550</c:v>
                </c:pt>
                <c:pt idx="3">
                  <c:v>733.33333333333337</c:v>
                </c:pt>
                <c:pt idx="4">
                  <c:v>916.66666666666674</c:v>
                </c:pt>
                <c:pt idx="5">
                  <c:v>1100</c:v>
                </c:pt>
                <c:pt idx="6">
                  <c:v>1283.3333333333333</c:v>
                </c:pt>
                <c:pt idx="7">
                  <c:v>1466.6666666666665</c:v>
                </c:pt>
                <c:pt idx="8">
                  <c:v>1649.9999999999998</c:v>
                </c:pt>
                <c:pt idx="9">
                  <c:v>1833.333333333333</c:v>
                </c:pt>
                <c:pt idx="10">
                  <c:v>2016.6666666666663</c:v>
                </c:pt>
                <c:pt idx="11">
                  <c:v>2199.9999999999995</c:v>
                </c:pt>
                <c:pt idx="12">
                  <c:v>2383.333333333333</c:v>
                </c:pt>
                <c:pt idx="13">
                  <c:v>2566.6666666666665</c:v>
                </c:pt>
                <c:pt idx="14">
                  <c:v>2750</c:v>
                </c:pt>
                <c:pt idx="15">
                  <c:v>2933.3333333333335</c:v>
                </c:pt>
                <c:pt idx="16">
                  <c:v>3116.666666666667</c:v>
                </c:pt>
                <c:pt idx="17">
                  <c:v>3300.0000000000005</c:v>
                </c:pt>
                <c:pt idx="18">
                  <c:v>3483.3333333333339</c:v>
                </c:pt>
                <c:pt idx="19">
                  <c:v>3666.6666666666674</c:v>
                </c:pt>
                <c:pt idx="20">
                  <c:v>3850.0000000000009</c:v>
                </c:pt>
                <c:pt idx="21">
                  <c:v>4033.3333333333344</c:v>
                </c:pt>
                <c:pt idx="22">
                  <c:v>4216.6666666666679</c:v>
                </c:pt>
                <c:pt idx="23">
                  <c:v>4400.0000000000009</c:v>
                </c:pt>
                <c:pt idx="24">
                  <c:v>4583.3333333333339</c:v>
                </c:pt>
                <c:pt idx="25">
                  <c:v>4766.666666666667</c:v>
                </c:pt>
                <c:pt idx="26">
                  <c:v>4950</c:v>
                </c:pt>
                <c:pt idx="27">
                  <c:v>5133.333333333333</c:v>
                </c:pt>
                <c:pt idx="28">
                  <c:v>5316.6666666666661</c:v>
                </c:pt>
                <c:pt idx="29">
                  <c:v>5499.9999999999991</c:v>
                </c:pt>
                <c:pt idx="30">
                  <c:v>5499.9999999999991</c:v>
                </c:pt>
              </c:numCache>
            </c:numRef>
          </c:val>
        </c:ser>
        <c:marker val="1"/>
        <c:axId val="134825088"/>
        <c:axId val="134826624"/>
      </c:lineChart>
      <c:catAx>
        <c:axId val="1348250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826624"/>
        <c:crossesAt val="0"/>
        <c:auto val="1"/>
        <c:lblAlgn val="ctr"/>
        <c:lblOffset val="100"/>
        <c:tickLblSkip val="1"/>
        <c:tickMarkSkip val="1"/>
      </c:catAx>
      <c:valAx>
        <c:axId val="134826624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825088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'июнь 20 (+руда,кокс)'!$BE$6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'июнь 20 (+руда,кокс)'!$BE$7:$BE$37</c:f>
              <c:numCache>
                <c:formatCode>0.00</c:formatCode>
                <c:ptCount val="31"/>
                <c:pt idx="0">
                  <c:v>199.36999999999998</c:v>
                </c:pt>
                <c:pt idx="1">
                  <c:v>287.02</c:v>
                </c:pt>
                <c:pt idx="2">
                  <c:v>464.25</c:v>
                </c:pt>
                <c:pt idx="3">
                  <c:v>657.54</c:v>
                </c:pt>
                <c:pt idx="4">
                  <c:v>849.17</c:v>
                </c:pt>
                <c:pt idx="5">
                  <c:v>1042.5</c:v>
                </c:pt>
                <c:pt idx="6">
                  <c:v>1231.42</c:v>
                </c:pt>
                <c:pt idx="7">
                  <c:v>1423.8600000000001</c:v>
                </c:pt>
                <c:pt idx="8">
                  <c:v>1607.6100000000001</c:v>
                </c:pt>
                <c:pt idx="9">
                  <c:v>1797.5300000000002</c:v>
                </c:pt>
                <c:pt idx="10">
                  <c:v>1977.3200000000002</c:v>
                </c:pt>
                <c:pt idx="11">
                  <c:v>2157.5700000000002</c:v>
                </c:pt>
                <c:pt idx="12">
                  <c:v>2343.79</c:v>
                </c:pt>
                <c:pt idx="13">
                  <c:v>2542.6999999999998</c:v>
                </c:pt>
                <c:pt idx="14">
                  <c:v>2746.0699999999997</c:v>
                </c:pt>
                <c:pt idx="15">
                  <c:v>2927.0299999999997</c:v>
                </c:pt>
                <c:pt idx="16">
                  <c:v>3116.4599999999996</c:v>
                </c:pt>
                <c:pt idx="17">
                  <c:v>3306.0999999999995</c:v>
                </c:pt>
                <c:pt idx="18">
                  <c:v>3492.4899999999993</c:v>
                </c:pt>
                <c:pt idx="19">
                  <c:v>3680.8099999999995</c:v>
                </c:pt>
                <c:pt idx="20">
                  <c:v>3872.8499999999995</c:v>
                </c:pt>
                <c:pt idx="21">
                  <c:v>4053.8699999999994</c:v>
                </c:pt>
                <c:pt idx="22">
                  <c:v>4217.3799999999992</c:v>
                </c:pt>
                <c:pt idx="23">
                  <c:v>4403.5499999999993</c:v>
                </c:pt>
                <c:pt idx="24">
                  <c:v>4576.3099999999995</c:v>
                </c:pt>
                <c:pt idx="25">
                  <c:v>4753.1899999999996</c:v>
                </c:pt>
                <c:pt idx="26">
                  <c:v>4930.95</c:v>
                </c:pt>
                <c:pt idx="27">
                  <c:v>5111.1899999999996</c:v>
                </c:pt>
                <c:pt idx="28">
                  <c:v>5281.7</c:v>
                </c:pt>
                <c:pt idx="29">
                  <c:v>5383.37</c:v>
                </c:pt>
                <c:pt idx="30">
                  <c:v>5383.37</c:v>
                </c:pt>
              </c:numCache>
            </c:numRef>
          </c:val>
        </c:ser>
        <c:ser>
          <c:idx val="1"/>
          <c:order val="1"/>
          <c:tx>
            <c:strRef>
              <c:f>'июнь 20 (+руда,кокс)'!$BG$6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'июнь 20 (+руда,кокс)'!$BG$7:$BG$37</c:f>
              <c:numCache>
                <c:formatCode>0.00</c:formatCode>
                <c:ptCount val="31"/>
                <c:pt idx="0">
                  <c:v>183.33333333333334</c:v>
                </c:pt>
                <c:pt idx="1">
                  <c:v>366.66666666666669</c:v>
                </c:pt>
                <c:pt idx="2">
                  <c:v>550</c:v>
                </c:pt>
                <c:pt idx="3">
                  <c:v>733.33333333333337</c:v>
                </c:pt>
                <c:pt idx="4">
                  <c:v>916.66666666666674</c:v>
                </c:pt>
                <c:pt idx="5">
                  <c:v>1100</c:v>
                </c:pt>
                <c:pt idx="6">
                  <c:v>1283.3333333333333</c:v>
                </c:pt>
                <c:pt idx="7">
                  <c:v>1466.6666666666665</c:v>
                </c:pt>
                <c:pt idx="8">
                  <c:v>1649.9999999999998</c:v>
                </c:pt>
                <c:pt idx="9">
                  <c:v>1833.333333333333</c:v>
                </c:pt>
                <c:pt idx="10">
                  <c:v>2016.6666666666663</c:v>
                </c:pt>
                <c:pt idx="11">
                  <c:v>2199.9999999999995</c:v>
                </c:pt>
                <c:pt idx="12">
                  <c:v>2383.333333333333</c:v>
                </c:pt>
                <c:pt idx="13">
                  <c:v>2566.6666666666665</c:v>
                </c:pt>
                <c:pt idx="14">
                  <c:v>2750</c:v>
                </c:pt>
                <c:pt idx="15">
                  <c:v>2933.3333333333335</c:v>
                </c:pt>
                <c:pt idx="16">
                  <c:v>3116.666666666667</c:v>
                </c:pt>
                <c:pt idx="17">
                  <c:v>3300.0000000000005</c:v>
                </c:pt>
                <c:pt idx="18">
                  <c:v>3483.3333333333339</c:v>
                </c:pt>
                <c:pt idx="19">
                  <c:v>3666.6666666666674</c:v>
                </c:pt>
                <c:pt idx="20">
                  <c:v>3850.0000000000009</c:v>
                </c:pt>
                <c:pt idx="21">
                  <c:v>4033.3333333333344</c:v>
                </c:pt>
                <c:pt idx="22">
                  <c:v>4216.6666666666679</c:v>
                </c:pt>
                <c:pt idx="23">
                  <c:v>4400.0000000000009</c:v>
                </c:pt>
                <c:pt idx="24">
                  <c:v>4583.3333333333339</c:v>
                </c:pt>
                <c:pt idx="25">
                  <c:v>4766.666666666667</c:v>
                </c:pt>
                <c:pt idx="26">
                  <c:v>4950</c:v>
                </c:pt>
                <c:pt idx="27">
                  <c:v>5133.333333333333</c:v>
                </c:pt>
                <c:pt idx="28">
                  <c:v>5316.6666666666661</c:v>
                </c:pt>
                <c:pt idx="29">
                  <c:v>5499.9999999999991</c:v>
                </c:pt>
                <c:pt idx="30">
                  <c:v>5499.9999999999991</c:v>
                </c:pt>
              </c:numCache>
            </c:numRef>
          </c:val>
        </c:ser>
        <c:marker val="1"/>
        <c:axId val="135031424"/>
        <c:axId val="135037312"/>
      </c:lineChart>
      <c:catAx>
        <c:axId val="135031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037312"/>
        <c:crossesAt val="0"/>
        <c:auto val="1"/>
        <c:lblAlgn val="ctr"/>
        <c:lblOffset val="100"/>
        <c:tickLblSkip val="1"/>
        <c:tickMarkSkip val="1"/>
      </c:catAx>
      <c:valAx>
        <c:axId val="13503731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03142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'июль 20 (факт)'!$BH$6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'июль 20 (факт)'!$BH$7:$BH$37</c:f>
              <c:numCache>
                <c:formatCode>0.00</c:formatCode>
                <c:ptCount val="31"/>
                <c:pt idx="0">
                  <c:v>171.51</c:v>
                </c:pt>
                <c:pt idx="1">
                  <c:v>340.3</c:v>
                </c:pt>
                <c:pt idx="2">
                  <c:v>417.70000000000005</c:v>
                </c:pt>
                <c:pt idx="3">
                  <c:v>589.85</c:v>
                </c:pt>
                <c:pt idx="4">
                  <c:v>757.34</c:v>
                </c:pt>
                <c:pt idx="5">
                  <c:v>945.16000000000008</c:v>
                </c:pt>
                <c:pt idx="6">
                  <c:v>1131.5700000000002</c:v>
                </c:pt>
                <c:pt idx="7">
                  <c:v>1329.0000000000002</c:v>
                </c:pt>
                <c:pt idx="8">
                  <c:v>1513.3800000000003</c:v>
                </c:pt>
                <c:pt idx="9">
                  <c:v>1701.8900000000003</c:v>
                </c:pt>
                <c:pt idx="10">
                  <c:v>1882.9400000000003</c:v>
                </c:pt>
                <c:pt idx="11">
                  <c:v>2068.7000000000003</c:v>
                </c:pt>
                <c:pt idx="12">
                  <c:v>2267.1800000000003</c:v>
                </c:pt>
                <c:pt idx="13">
                  <c:v>2460.11</c:v>
                </c:pt>
                <c:pt idx="14">
                  <c:v>2642.63</c:v>
                </c:pt>
                <c:pt idx="15">
                  <c:v>2816.55</c:v>
                </c:pt>
                <c:pt idx="16">
                  <c:v>2990.9100000000003</c:v>
                </c:pt>
                <c:pt idx="17">
                  <c:v>3178.26</c:v>
                </c:pt>
                <c:pt idx="18">
                  <c:v>3364.82</c:v>
                </c:pt>
                <c:pt idx="19">
                  <c:v>3565.9900000000002</c:v>
                </c:pt>
                <c:pt idx="20">
                  <c:v>3753.6200000000003</c:v>
                </c:pt>
                <c:pt idx="21">
                  <c:v>3932.28</c:v>
                </c:pt>
                <c:pt idx="22">
                  <c:v>4121.29</c:v>
                </c:pt>
                <c:pt idx="23">
                  <c:v>4313.58</c:v>
                </c:pt>
                <c:pt idx="24">
                  <c:v>4484.75</c:v>
                </c:pt>
                <c:pt idx="25">
                  <c:v>4671.07</c:v>
                </c:pt>
                <c:pt idx="26">
                  <c:v>4862.57</c:v>
                </c:pt>
                <c:pt idx="27">
                  <c:v>5043.1399999999994</c:v>
                </c:pt>
                <c:pt idx="28">
                  <c:v>5217.7099999999991</c:v>
                </c:pt>
                <c:pt idx="29">
                  <c:v>5387.73</c:v>
                </c:pt>
                <c:pt idx="30">
                  <c:v>5562.86</c:v>
                </c:pt>
              </c:numCache>
            </c:numRef>
          </c:val>
        </c:ser>
        <c:ser>
          <c:idx val="1"/>
          <c:order val="1"/>
          <c:tx>
            <c:strRef>
              <c:f>'июль 20 (факт)'!$BJ$6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'июль 20 (факт)'!$BJ$7:$BJ$37</c:f>
              <c:numCache>
                <c:formatCode>0.00</c:formatCode>
                <c:ptCount val="31"/>
                <c:pt idx="0">
                  <c:v>182.25806451612902</c:v>
                </c:pt>
                <c:pt idx="1">
                  <c:v>364.51612903225805</c:v>
                </c:pt>
                <c:pt idx="2">
                  <c:v>546.77419354838707</c:v>
                </c:pt>
                <c:pt idx="3">
                  <c:v>729.0322580645161</c:v>
                </c:pt>
                <c:pt idx="4">
                  <c:v>911.29032258064512</c:v>
                </c:pt>
                <c:pt idx="5">
                  <c:v>1093.5483870967741</c:v>
                </c:pt>
                <c:pt idx="6">
                  <c:v>1275.8064516129032</c:v>
                </c:pt>
                <c:pt idx="7">
                  <c:v>1458.0645161290322</c:v>
                </c:pt>
                <c:pt idx="8">
                  <c:v>1640.3225806451612</c:v>
                </c:pt>
                <c:pt idx="9">
                  <c:v>1822.5806451612902</c:v>
                </c:pt>
                <c:pt idx="10">
                  <c:v>2004.8387096774193</c:v>
                </c:pt>
                <c:pt idx="11">
                  <c:v>2187.0967741935483</c:v>
                </c:pt>
                <c:pt idx="12">
                  <c:v>2369.3548387096771</c:v>
                </c:pt>
                <c:pt idx="13">
                  <c:v>2551.6129032258059</c:v>
                </c:pt>
                <c:pt idx="14">
                  <c:v>2733.8709677419347</c:v>
                </c:pt>
                <c:pt idx="15">
                  <c:v>2916.1290322580635</c:v>
                </c:pt>
                <c:pt idx="16">
                  <c:v>3098.3870967741923</c:v>
                </c:pt>
                <c:pt idx="17">
                  <c:v>3280.6451612903211</c:v>
                </c:pt>
                <c:pt idx="18">
                  <c:v>3462.9032258064499</c:v>
                </c:pt>
                <c:pt idx="19">
                  <c:v>3645.1612903225787</c:v>
                </c:pt>
                <c:pt idx="20">
                  <c:v>3827.4193548387075</c:v>
                </c:pt>
                <c:pt idx="21">
                  <c:v>4009.6774193548363</c:v>
                </c:pt>
                <c:pt idx="22">
                  <c:v>4191.9354838709651</c:v>
                </c:pt>
                <c:pt idx="23">
                  <c:v>4374.1935483870939</c:v>
                </c:pt>
                <c:pt idx="24">
                  <c:v>4556.4516129032227</c:v>
                </c:pt>
                <c:pt idx="25">
                  <c:v>4738.7096774193515</c:v>
                </c:pt>
                <c:pt idx="26">
                  <c:v>4920.9677419354803</c:v>
                </c:pt>
                <c:pt idx="27">
                  <c:v>5103.2258064516091</c:v>
                </c:pt>
                <c:pt idx="28">
                  <c:v>5285.4838709677379</c:v>
                </c:pt>
                <c:pt idx="29">
                  <c:v>5467.7419354838667</c:v>
                </c:pt>
                <c:pt idx="30">
                  <c:v>5649.9999999999955</c:v>
                </c:pt>
              </c:numCache>
            </c:numRef>
          </c:val>
        </c:ser>
        <c:marker val="1"/>
        <c:axId val="134427008"/>
        <c:axId val="134428544"/>
      </c:lineChart>
      <c:catAx>
        <c:axId val="1344270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428544"/>
        <c:crossesAt val="0"/>
        <c:auto val="1"/>
        <c:lblAlgn val="ctr"/>
        <c:lblOffset val="100"/>
        <c:tickLblSkip val="1"/>
        <c:tickMarkSkip val="1"/>
      </c:catAx>
      <c:valAx>
        <c:axId val="134428544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4427008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'июль 20'!$BH$6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'июль 20'!$BH$7:$BH$37</c:f>
              <c:numCache>
                <c:formatCode>0.00</c:formatCode>
                <c:ptCount val="31"/>
                <c:pt idx="0">
                  <c:v>173.89100000000002</c:v>
                </c:pt>
                <c:pt idx="1">
                  <c:v>333.34900000000005</c:v>
                </c:pt>
                <c:pt idx="2">
                  <c:v>405.61350000000004</c:v>
                </c:pt>
                <c:pt idx="3">
                  <c:v>573.38100000000009</c:v>
                </c:pt>
                <c:pt idx="4">
                  <c:v>741.13450000000012</c:v>
                </c:pt>
                <c:pt idx="5">
                  <c:v>916.36200000000008</c:v>
                </c:pt>
                <c:pt idx="6">
                  <c:v>1098.345</c:v>
                </c:pt>
                <c:pt idx="7">
                  <c:v>1285.2750000000001</c:v>
                </c:pt>
                <c:pt idx="8">
                  <c:v>1466.5480000000002</c:v>
                </c:pt>
                <c:pt idx="9">
                  <c:v>1651.5225000000003</c:v>
                </c:pt>
                <c:pt idx="10">
                  <c:v>1830.0425000000002</c:v>
                </c:pt>
                <c:pt idx="11">
                  <c:v>2014.1205000000002</c:v>
                </c:pt>
                <c:pt idx="12">
                  <c:v>2206.4520000000002</c:v>
                </c:pt>
                <c:pt idx="13">
                  <c:v>2393.6475</c:v>
                </c:pt>
                <c:pt idx="14">
                  <c:v>2577.433</c:v>
                </c:pt>
                <c:pt idx="15">
                  <c:v>2752.692</c:v>
                </c:pt>
                <c:pt idx="16">
                  <c:v>2934.8955000000001</c:v>
                </c:pt>
                <c:pt idx="17">
                  <c:v>3124.0484999999999</c:v>
                </c:pt>
                <c:pt idx="18">
                  <c:v>3311.9614999999999</c:v>
                </c:pt>
                <c:pt idx="19">
                  <c:v>3512.3274999999999</c:v>
                </c:pt>
                <c:pt idx="20">
                  <c:v>3703.3199999999997</c:v>
                </c:pt>
                <c:pt idx="21">
                  <c:v>3887.4269999999997</c:v>
                </c:pt>
                <c:pt idx="22">
                  <c:v>4081.7684999999997</c:v>
                </c:pt>
                <c:pt idx="23">
                  <c:v>4270.5014999999994</c:v>
                </c:pt>
                <c:pt idx="24">
                  <c:v>4451.2074999999995</c:v>
                </c:pt>
                <c:pt idx="25">
                  <c:v>4640.7719999999999</c:v>
                </c:pt>
                <c:pt idx="26">
                  <c:v>4833.2354999999998</c:v>
                </c:pt>
                <c:pt idx="27">
                  <c:v>5012.2109999999993</c:v>
                </c:pt>
                <c:pt idx="28">
                  <c:v>5184.5919999999996</c:v>
                </c:pt>
                <c:pt idx="29">
                  <c:v>5360.0144999999993</c:v>
                </c:pt>
                <c:pt idx="30">
                  <c:v>5562.8644999999997</c:v>
                </c:pt>
              </c:numCache>
            </c:numRef>
          </c:val>
        </c:ser>
        <c:ser>
          <c:idx val="1"/>
          <c:order val="1"/>
          <c:tx>
            <c:strRef>
              <c:f>'июль 20'!$BJ$6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'июль 20'!$BJ$7:$BJ$37</c:f>
              <c:numCache>
                <c:formatCode>0.00</c:formatCode>
                <c:ptCount val="31"/>
                <c:pt idx="0">
                  <c:v>182.25806451612902</c:v>
                </c:pt>
                <c:pt idx="1">
                  <c:v>364.51612903225805</c:v>
                </c:pt>
                <c:pt idx="2">
                  <c:v>546.77419354838707</c:v>
                </c:pt>
                <c:pt idx="3">
                  <c:v>729.0322580645161</c:v>
                </c:pt>
                <c:pt idx="4">
                  <c:v>911.29032258064512</c:v>
                </c:pt>
                <c:pt idx="5">
                  <c:v>1093.5483870967741</c:v>
                </c:pt>
                <c:pt idx="6">
                  <c:v>1275.8064516129032</c:v>
                </c:pt>
                <c:pt idx="7">
                  <c:v>1458.0645161290322</c:v>
                </c:pt>
                <c:pt idx="8">
                  <c:v>1640.3225806451612</c:v>
                </c:pt>
                <c:pt idx="9">
                  <c:v>1822.5806451612902</c:v>
                </c:pt>
                <c:pt idx="10">
                  <c:v>2004.8387096774193</c:v>
                </c:pt>
                <c:pt idx="11">
                  <c:v>2187.0967741935483</c:v>
                </c:pt>
                <c:pt idx="12">
                  <c:v>2369.3548387096771</c:v>
                </c:pt>
                <c:pt idx="13">
                  <c:v>2551.6129032258059</c:v>
                </c:pt>
                <c:pt idx="14">
                  <c:v>2733.8709677419347</c:v>
                </c:pt>
                <c:pt idx="15">
                  <c:v>2916.1290322580635</c:v>
                </c:pt>
                <c:pt idx="16">
                  <c:v>3098.3870967741923</c:v>
                </c:pt>
                <c:pt idx="17">
                  <c:v>3280.6451612903211</c:v>
                </c:pt>
                <c:pt idx="18">
                  <c:v>3462.9032258064499</c:v>
                </c:pt>
                <c:pt idx="19">
                  <c:v>3645.1612903225787</c:v>
                </c:pt>
                <c:pt idx="20">
                  <c:v>3827.4193548387075</c:v>
                </c:pt>
                <c:pt idx="21">
                  <c:v>4009.6774193548363</c:v>
                </c:pt>
                <c:pt idx="22">
                  <c:v>4191.9354838709651</c:v>
                </c:pt>
                <c:pt idx="23">
                  <c:v>4374.1935483870939</c:v>
                </c:pt>
                <c:pt idx="24">
                  <c:v>4556.4516129032227</c:v>
                </c:pt>
                <c:pt idx="25">
                  <c:v>4738.7096774193515</c:v>
                </c:pt>
                <c:pt idx="26">
                  <c:v>4920.9677419354803</c:v>
                </c:pt>
                <c:pt idx="27">
                  <c:v>5103.2258064516091</c:v>
                </c:pt>
                <c:pt idx="28">
                  <c:v>5285.4838709677379</c:v>
                </c:pt>
                <c:pt idx="29">
                  <c:v>5467.7419354838667</c:v>
                </c:pt>
                <c:pt idx="30">
                  <c:v>5649.9999999999955</c:v>
                </c:pt>
              </c:numCache>
            </c:numRef>
          </c:val>
        </c:ser>
        <c:marker val="1"/>
        <c:axId val="135223168"/>
        <c:axId val="135224704"/>
      </c:lineChart>
      <c:catAx>
        <c:axId val="1352231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224704"/>
        <c:crossesAt val="0"/>
        <c:auto val="1"/>
        <c:lblAlgn val="ctr"/>
        <c:lblOffset val="100"/>
        <c:tickLblSkip val="1"/>
        <c:tickMarkSkip val="1"/>
      </c:catAx>
      <c:valAx>
        <c:axId val="135224704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223168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'июль 20 (+руда,кокс,агл)'!$BH$6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'июль 20 (+руда,кокс,агл)'!$BH$7:$BH$37</c:f>
              <c:numCache>
                <c:formatCode>0.00</c:formatCode>
                <c:ptCount val="31"/>
                <c:pt idx="0">
                  <c:v>173.89100000000002</c:v>
                </c:pt>
                <c:pt idx="1">
                  <c:v>333.34900000000005</c:v>
                </c:pt>
                <c:pt idx="2">
                  <c:v>405.61350000000004</c:v>
                </c:pt>
                <c:pt idx="3">
                  <c:v>573.38100000000009</c:v>
                </c:pt>
                <c:pt idx="4">
                  <c:v>741.13450000000012</c:v>
                </c:pt>
                <c:pt idx="5">
                  <c:v>916.36200000000008</c:v>
                </c:pt>
                <c:pt idx="6">
                  <c:v>1098.345</c:v>
                </c:pt>
                <c:pt idx="7">
                  <c:v>1285.2750000000001</c:v>
                </c:pt>
                <c:pt idx="8">
                  <c:v>1466.5480000000002</c:v>
                </c:pt>
                <c:pt idx="9">
                  <c:v>1651.5225000000003</c:v>
                </c:pt>
                <c:pt idx="10">
                  <c:v>1830.0425000000002</c:v>
                </c:pt>
                <c:pt idx="11">
                  <c:v>2014.1205000000002</c:v>
                </c:pt>
                <c:pt idx="12">
                  <c:v>2206.4520000000002</c:v>
                </c:pt>
                <c:pt idx="13">
                  <c:v>2393.6475</c:v>
                </c:pt>
                <c:pt idx="14">
                  <c:v>2577.433</c:v>
                </c:pt>
                <c:pt idx="15">
                  <c:v>2752.692</c:v>
                </c:pt>
                <c:pt idx="16">
                  <c:v>2934.8955000000001</c:v>
                </c:pt>
                <c:pt idx="17">
                  <c:v>3124.0484999999999</c:v>
                </c:pt>
                <c:pt idx="18">
                  <c:v>3311.9614999999999</c:v>
                </c:pt>
                <c:pt idx="19">
                  <c:v>3512.3274999999999</c:v>
                </c:pt>
                <c:pt idx="20">
                  <c:v>3703.3199999999997</c:v>
                </c:pt>
                <c:pt idx="21">
                  <c:v>3887.4269999999997</c:v>
                </c:pt>
                <c:pt idx="22">
                  <c:v>4081.7684999999997</c:v>
                </c:pt>
                <c:pt idx="23">
                  <c:v>4270.5014999999994</c:v>
                </c:pt>
                <c:pt idx="24">
                  <c:v>4451.2074999999995</c:v>
                </c:pt>
                <c:pt idx="25">
                  <c:v>4640.7719999999999</c:v>
                </c:pt>
                <c:pt idx="26">
                  <c:v>4833.2354999999998</c:v>
                </c:pt>
                <c:pt idx="27">
                  <c:v>5012.2109999999993</c:v>
                </c:pt>
                <c:pt idx="28">
                  <c:v>5184.5919999999996</c:v>
                </c:pt>
                <c:pt idx="29">
                  <c:v>5360.0144999999993</c:v>
                </c:pt>
                <c:pt idx="30">
                  <c:v>5562.8644999999997</c:v>
                </c:pt>
              </c:numCache>
            </c:numRef>
          </c:val>
        </c:ser>
        <c:ser>
          <c:idx val="1"/>
          <c:order val="1"/>
          <c:tx>
            <c:strRef>
              <c:f>'июль 20 (+руда,кокс,агл)'!$BJ$6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'июль 20 (+руда,кокс,агл)'!$BJ$7:$BJ$37</c:f>
              <c:numCache>
                <c:formatCode>0.00</c:formatCode>
                <c:ptCount val="31"/>
                <c:pt idx="0">
                  <c:v>182.25806451612902</c:v>
                </c:pt>
                <c:pt idx="1">
                  <c:v>364.51612903225805</c:v>
                </c:pt>
                <c:pt idx="2">
                  <c:v>546.77419354838707</c:v>
                </c:pt>
                <c:pt idx="3">
                  <c:v>729.0322580645161</c:v>
                </c:pt>
                <c:pt idx="4">
                  <c:v>911.29032258064512</c:v>
                </c:pt>
                <c:pt idx="5">
                  <c:v>1093.5483870967741</c:v>
                </c:pt>
                <c:pt idx="6">
                  <c:v>1275.8064516129032</c:v>
                </c:pt>
                <c:pt idx="7">
                  <c:v>1458.0645161290322</c:v>
                </c:pt>
                <c:pt idx="8">
                  <c:v>1640.3225806451612</c:v>
                </c:pt>
                <c:pt idx="9">
                  <c:v>1822.5806451612902</c:v>
                </c:pt>
                <c:pt idx="10">
                  <c:v>2004.8387096774193</c:v>
                </c:pt>
                <c:pt idx="11">
                  <c:v>2187.0967741935483</c:v>
                </c:pt>
                <c:pt idx="12">
                  <c:v>2369.3548387096771</c:v>
                </c:pt>
                <c:pt idx="13">
                  <c:v>2551.6129032258059</c:v>
                </c:pt>
                <c:pt idx="14">
                  <c:v>2733.8709677419347</c:v>
                </c:pt>
                <c:pt idx="15">
                  <c:v>2916.1290322580635</c:v>
                </c:pt>
                <c:pt idx="16">
                  <c:v>3098.3870967741923</c:v>
                </c:pt>
                <c:pt idx="17">
                  <c:v>3280.6451612903211</c:v>
                </c:pt>
                <c:pt idx="18">
                  <c:v>3462.9032258064499</c:v>
                </c:pt>
                <c:pt idx="19">
                  <c:v>3645.1612903225787</c:v>
                </c:pt>
                <c:pt idx="20">
                  <c:v>3827.4193548387075</c:v>
                </c:pt>
                <c:pt idx="21">
                  <c:v>4009.6774193548363</c:v>
                </c:pt>
                <c:pt idx="22">
                  <c:v>4191.9354838709651</c:v>
                </c:pt>
                <c:pt idx="23">
                  <c:v>4374.1935483870939</c:v>
                </c:pt>
                <c:pt idx="24">
                  <c:v>4556.4516129032227</c:v>
                </c:pt>
                <c:pt idx="25">
                  <c:v>4738.7096774193515</c:v>
                </c:pt>
                <c:pt idx="26">
                  <c:v>4920.9677419354803</c:v>
                </c:pt>
                <c:pt idx="27">
                  <c:v>5103.2258064516091</c:v>
                </c:pt>
                <c:pt idx="28">
                  <c:v>5285.4838709677379</c:v>
                </c:pt>
                <c:pt idx="29">
                  <c:v>5467.7419354838667</c:v>
                </c:pt>
                <c:pt idx="30">
                  <c:v>5649.9999999999955</c:v>
                </c:pt>
              </c:numCache>
            </c:numRef>
          </c:val>
        </c:ser>
        <c:marker val="1"/>
        <c:axId val="135609728"/>
        <c:axId val="135619712"/>
      </c:lineChart>
      <c:catAx>
        <c:axId val="13560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619712"/>
        <c:crossesAt val="0"/>
        <c:auto val="1"/>
        <c:lblAlgn val="ctr"/>
        <c:lblOffset val="100"/>
        <c:tickLblSkip val="1"/>
        <c:tickMarkSkip val="1"/>
      </c:catAx>
      <c:valAx>
        <c:axId val="13561971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609728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'август 20  (факт)'!$BH$6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'август 20  (факт)'!$BH$7:$BH$37</c:f>
              <c:numCache>
                <c:formatCode>0.00</c:formatCode>
                <c:ptCount val="31"/>
                <c:pt idx="0">
                  <c:v>203.29000000000002</c:v>
                </c:pt>
                <c:pt idx="1">
                  <c:v>385.15000000000003</c:v>
                </c:pt>
                <c:pt idx="2">
                  <c:v>572.47</c:v>
                </c:pt>
                <c:pt idx="3">
                  <c:v>756.8900000000001</c:v>
                </c:pt>
                <c:pt idx="4">
                  <c:v>944.81000000000006</c:v>
                </c:pt>
                <c:pt idx="5">
                  <c:v>1121.67</c:v>
                </c:pt>
                <c:pt idx="6">
                  <c:v>1299.8400000000001</c:v>
                </c:pt>
                <c:pt idx="7">
                  <c:v>1477.93</c:v>
                </c:pt>
                <c:pt idx="8">
                  <c:v>1653.8500000000001</c:v>
                </c:pt>
                <c:pt idx="9">
                  <c:v>1836.3000000000002</c:v>
                </c:pt>
                <c:pt idx="10">
                  <c:v>2017.3200000000002</c:v>
                </c:pt>
                <c:pt idx="11">
                  <c:v>2089.17</c:v>
                </c:pt>
                <c:pt idx="12">
                  <c:v>2294.23</c:v>
                </c:pt>
                <c:pt idx="13">
                  <c:v>2475.6799999999998</c:v>
                </c:pt>
                <c:pt idx="14">
                  <c:v>2674.31</c:v>
                </c:pt>
                <c:pt idx="15">
                  <c:v>2870.19</c:v>
                </c:pt>
                <c:pt idx="16">
                  <c:v>3057.59</c:v>
                </c:pt>
                <c:pt idx="17">
                  <c:v>3263.6400000000003</c:v>
                </c:pt>
                <c:pt idx="18">
                  <c:v>3476.3900000000003</c:v>
                </c:pt>
                <c:pt idx="19">
                  <c:v>3676.8100000000004</c:v>
                </c:pt>
                <c:pt idx="20">
                  <c:v>3854.2000000000003</c:v>
                </c:pt>
                <c:pt idx="21">
                  <c:v>4029.17</c:v>
                </c:pt>
                <c:pt idx="22">
                  <c:v>4212.18</c:v>
                </c:pt>
                <c:pt idx="23">
                  <c:v>4395.13</c:v>
                </c:pt>
                <c:pt idx="24">
                  <c:v>4475.3500000000004</c:v>
                </c:pt>
                <c:pt idx="25">
                  <c:v>4475.3500000000004</c:v>
                </c:pt>
                <c:pt idx="26">
                  <c:v>4558.3600000000006</c:v>
                </c:pt>
                <c:pt idx="27">
                  <c:v>4758.7700000000004</c:v>
                </c:pt>
                <c:pt idx="28">
                  <c:v>4971.8900000000003</c:v>
                </c:pt>
                <c:pt idx="29">
                  <c:v>5173.1100000000006</c:v>
                </c:pt>
                <c:pt idx="30">
                  <c:v>5382.4900000000007</c:v>
                </c:pt>
              </c:numCache>
            </c:numRef>
          </c:val>
        </c:ser>
        <c:ser>
          <c:idx val="1"/>
          <c:order val="1"/>
          <c:tx>
            <c:strRef>
              <c:f>'август 20  (факт)'!$BJ$6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'август 20  (факт)'!$BJ$7:$BJ$37</c:f>
              <c:numCache>
                <c:formatCode>0.00</c:formatCode>
                <c:ptCount val="31"/>
                <c:pt idx="0">
                  <c:v>187.09677419354838</c:v>
                </c:pt>
                <c:pt idx="1">
                  <c:v>374.19354838709677</c:v>
                </c:pt>
                <c:pt idx="2">
                  <c:v>561.29032258064512</c:v>
                </c:pt>
                <c:pt idx="3">
                  <c:v>748.38709677419354</c:v>
                </c:pt>
                <c:pt idx="4">
                  <c:v>935.48387096774195</c:v>
                </c:pt>
                <c:pt idx="5">
                  <c:v>1122.5806451612902</c:v>
                </c:pt>
                <c:pt idx="6">
                  <c:v>1309.6774193548385</c:v>
                </c:pt>
                <c:pt idx="7">
                  <c:v>1496.7741935483868</c:v>
                </c:pt>
                <c:pt idx="8">
                  <c:v>1683.8709677419351</c:v>
                </c:pt>
                <c:pt idx="9">
                  <c:v>1870.9677419354834</c:v>
                </c:pt>
                <c:pt idx="10">
                  <c:v>2058.0645161290317</c:v>
                </c:pt>
                <c:pt idx="11">
                  <c:v>2245.16129032258</c:v>
                </c:pt>
                <c:pt idx="12">
                  <c:v>2432.2580645161283</c:v>
                </c:pt>
                <c:pt idx="13">
                  <c:v>2619.3548387096766</c:v>
                </c:pt>
                <c:pt idx="14">
                  <c:v>2806.4516129032249</c:v>
                </c:pt>
                <c:pt idx="15">
                  <c:v>2993.5483870967732</c:v>
                </c:pt>
                <c:pt idx="16">
                  <c:v>3180.6451612903215</c:v>
                </c:pt>
                <c:pt idx="17">
                  <c:v>3367.7419354838698</c:v>
                </c:pt>
                <c:pt idx="18">
                  <c:v>3554.8387096774181</c:v>
                </c:pt>
                <c:pt idx="19">
                  <c:v>3741.9354838709664</c:v>
                </c:pt>
                <c:pt idx="20">
                  <c:v>3929.0322580645147</c:v>
                </c:pt>
                <c:pt idx="21">
                  <c:v>4116.1290322580635</c:v>
                </c:pt>
                <c:pt idx="22">
                  <c:v>4303.2258064516118</c:v>
                </c:pt>
                <c:pt idx="23">
                  <c:v>4490.3225806451601</c:v>
                </c:pt>
                <c:pt idx="24">
                  <c:v>4677.4193548387084</c:v>
                </c:pt>
                <c:pt idx="25">
                  <c:v>4864.5161290322567</c:v>
                </c:pt>
                <c:pt idx="26">
                  <c:v>5051.612903225805</c:v>
                </c:pt>
                <c:pt idx="27">
                  <c:v>5238.7096774193533</c:v>
                </c:pt>
                <c:pt idx="28">
                  <c:v>5425.8064516129016</c:v>
                </c:pt>
                <c:pt idx="29">
                  <c:v>5612.9032258064499</c:v>
                </c:pt>
                <c:pt idx="30">
                  <c:v>5799.9999999999982</c:v>
                </c:pt>
              </c:numCache>
            </c:numRef>
          </c:val>
        </c:ser>
        <c:marker val="1"/>
        <c:axId val="135763072"/>
        <c:axId val="135764608"/>
      </c:lineChart>
      <c:catAx>
        <c:axId val="1357630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764608"/>
        <c:crossesAt val="0"/>
        <c:auto val="1"/>
        <c:lblAlgn val="ctr"/>
        <c:lblOffset val="100"/>
        <c:tickLblSkip val="1"/>
        <c:tickMarkSkip val="1"/>
      </c:catAx>
      <c:valAx>
        <c:axId val="135764608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76307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'август 20 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'август 20 '!$BH$7:$BH$37</c:f>
              <c:numCache>
                <c:formatCode>0.00</c:formatCode>
                <c:ptCount val="31"/>
                <c:pt idx="0">
                  <c:v>203.57400000000001</c:v>
                </c:pt>
                <c:pt idx="1">
                  <c:v>383.83500000000004</c:v>
                </c:pt>
                <c:pt idx="2">
                  <c:v>574.64100000000008</c:v>
                </c:pt>
                <c:pt idx="3">
                  <c:v>759.90750000000003</c:v>
                </c:pt>
                <c:pt idx="4">
                  <c:v>951.32850000000008</c:v>
                </c:pt>
                <c:pt idx="5">
                  <c:v>1130.627</c:v>
                </c:pt>
                <c:pt idx="6">
                  <c:v>1312.11</c:v>
                </c:pt>
                <c:pt idx="7">
                  <c:v>1493.232</c:v>
                </c:pt>
                <c:pt idx="8">
                  <c:v>1671.2355</c:v>
                </c:pt>
                <c:pt idx="9">
                  <c:v>1857.9389999999999</c:v>
                </c:pt>
                <c:pt idx="10">
                  <c:v>2042.5144999999998</c:v>
                </c:pt>
                <c:pt idx="11">
                  <c:v>2118.4955</c:v>
                </c:pt>
                <c:pt idx="12">
                  <c:v>2321.5774999999999</c:v>
                </c:pt>
                <c:pt idx="13">
                  <c:v>2500.1709999999998</c:v>
                </c:pt>
                <c:pt idx="14">
                  <c:v>2703.2894999999999</c:v>
                </c:pt>
                <c:pt idx="15">
                  <c:v>2899.4579999999996</c:v>
                </c:pt>
                <c:pt idx="16">
                  <c:v>3092.5684999999994</c:v>
                </c:pt>
                <c:pt idx="17">
                  <c:v>3298.5599999999995</c:v>
                </c:pt>
                <c:pt idx="18">
                  <c:v>3476.3899999999994</c:v>
                </c:pt>
                <c:pt idx="19">
                  <c:v>3676.3104999999996</c:v>
                </c:pt>
                <c:pt idx="20">
                  <c:v>3855.4149999999995</c:v>
                </c:pt>
                <c:pt idx="21">
                  <c:v>4037.0824999999995</c:v>
                </c:pt>
                <c:pt idx="22">
                  <c:v>4225.1374999999998</c:v>
                </c:pt>
                <c:pt idx="23">
                  <c:v>4416.5149999999994</c:v>
                </c:pt>
                <c:pt idx="24">
                  <c:v>4479.4449999999997</c:v>
                </c:pt>
                <c:pt idx="25">
                  <c:v>4479.4449999999997</c:v>
                </c:pt>
                <c:pt idx="26">
                  <c:v>4590.9719999999998</c:v>
                </c:pt>
                <c:pt idx="27">
                  <c:v>4791.1965</c:v>
                </c:pt>
                <c:pt idx="28">
                  <c:v>4999.3595000000005</c:v>
                </c:pt>
                <c:pt idx="29">
                  <c:v>5204.4030000000002</c:v>
                </c:pt>
                <c:pt idx="30">
                  <c:v>5382.4930000000004</c:v>
                </c:pt>
              </c:numCache>
            </c:numRef>
          </c:val>
        </c:ser>
        <c:ser>
          <c:idx val="1"/>
          <c:order val="1"/>
          <c:tx>
            <c:strRef>
              <c:f>'август 20 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'август 20 '!$BJ$7:$BJ$37</c:f>
              <c:numCache>
                <c:formatCode>0.00</c:formatCode>
                <c:ptCount val="31"/>
                <c:pt idx="0">
                  <c:v>187.09677419354838</c:v>
                </c:pt>
                <c:pt idx="1">
                  <c:v>374.19354838709677</c:v>
                </c:pt>
                <c:pt idx="2">
                  <c:v>561.29032258064512</c:v>
                </c:pt>
                <c:pt idx="3">
                  <c:v>748.38709677419354</c:v>
                </c:pt>
                <c:pt idx="4">
                  <c:v>935.48387096774195</c:v>
                </c:pt>
                <c:pt idx="5">
                  <c:v>1122.5806451612902</c:v>
                </c:pt>
                <c:pt idx="6">
                  <c:v>1309.6774193548385</c:v>
                </c:pt>
                <c:pt idx="7">
                  <c:v>1496.7741935483868</c:v>
                </c:pt>
                <c:pt idx="8">
                  <c:v>1683.8709677419351</c:v>
                </c:pt>
                <c:pt idx="9">
                  <c:v>1870.9677419354834</c:v>
                </c:pt>
                <c:pt idx="10">
                  <c:v>2058.0645161290317</c:v>
                </c:pt>
                <c:pt idx="11">
                  <c:v>2245.16129032258</c:v>
                </c:pt>
                <c:pt idx="12">
                  <c:v>2432.2580645161283</c:v>
                </c:pt>
                <c:pt idx="13">
                  <c:v>2619.3548387096766</c:v>
                </c:pt>
                <c:pt idx="14">
                  <c:v>2806.4516129032249</c:v>
                </c:pt>
                <c:pt idx="15">
                  <c:v>2993.5483870967732</c:v>
                </c:pt>
                <c:pt idx="16">
                  <c:v>3180.6451612903215</c:v>
                </c:pt>
                <c:pt idx="17">
                  <c:v>3367.7419354838698</c:v>
                </c:pt>
                <c:pt idx="18">
                  <c:v>3554.8387096774181</c:v>
                </c:pt>
                <c:pt idx="19">
                  <c:v>3741.9354838709664</c:v>
                </c:pt>
                <c:pt idx="20">
                  <c:v>3929.0322580645147</c:v>
                </c:pt>
                <c:pt idx="21">
                  <c:v>4116.1290322580635</c:v>
                </c:pt>
                <c:pt idx="22">
                  <c:v>4303.2258064516118</c:v>
                </c:pt>
                <c:pt idx="23">
                  <c:v>4490.3225806451601</c:v>
                </c:pt>
                <c:pt idx="24">
                  <c:v>4677.4193548387084</c:v>
                </c:pt>
                <c:pt idx="25">
                  <c:v>4864.5161290322567</c:v>
                </c:pt>
                <c:pt idx="26">
                  <c:v>5051.612903225805</c:v>
                </c:pt>
                <c:pt idx="27">
                  <c:v>5238.7096774193533</c:v>
                </c:pt>
                <c:pt idx="28">
                  <c:v>5425.8064516129016</c:v>
                </c:pt>
                <c:pt idx="29">
                  <c:v>5612.9032258064499</c:v>
                </c:pt>
                <c:pt idx="30">
                  <c:v>5799.9999999999982</c:v>
                </c:pt>
              </c:numCache>
            </c:numRef>
          </c:val>
        </c:ser>
        <c:marker val="1"/>
        <c:axId val="135948928"/>
        <c:axId val="135958912"/>
      </c:lineChart>
      <c:catAx>
        <c:axId val="1359489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958912"/>
        <c:crossesAt val="0"/>
        <c:auto val="1"/>
        <c:lblAlgn val="ctr"/>
        <c:lblOffset val="100"/>
        <c:tickLblSkip val="1"/>
        <c:tickMarkSkip val="1"/>
      </c:catAx>
      <c:valAx>
        <c:axId val="13595891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5948928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'август 20  (-руда,+агл.кокс)'!$BH$6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'август 20  (-руда,+агл.кокс)'!$BH$7:$BH$37</c:f>
              <c:numCache>
                <c:formatCode>0.00</c:formatCode>
                <c:ptCount val="31"/>
                <c:pt idx="0">
                  <c:v>203.57400000000001</c:v>
                </c:pt>
                <c:pt idx="1">
                  <c:v>383.83500000000004</c:v>
                </c:pt>
                <c:pt idx="2">
                  <c:v>574.64100000000008</c:v>
                </c:pt>
                <c:pt idx="3">
                  <c:v>759.90750000000003</c:v>
                </c:pt>
                <c:pt idx="4">
                  <c:v>951.32850000000008</c:v>
                </c:pt>
                <c:pt idx="5">
                  <c:v>1130.627</c:v>
                </c:pt>
                <c:pt idx="6">
                  <c:v>1312.11</c:v>
                </c:pt>
                <c:pt idx="7">
                  <c:v>1493.232</c:v>
                </c:pt>
                <c:pt idx="8">
                  <c:v>1671.2355</c:v>
                </c:pt>
                <c:pt idx="9">
                  <c:v>1857.9389999999999</c:v>
                </c:pt>
                <c:pt idx="10">
                  <c:v>2042.5144999999998</c:v>
                </c:pt>
                <c:pt idx="11">
                  <c:v>2118.4955</c:v>
                </c:pt>
                <c:pt idx="12">
                  <c:v>2321.5774999999999</c:v>
                </c:pt>
                <c:pt idx="13">
                  <c:v>2500.1709999999998</c:v>
                </c:pt>
                <c:pt idx="14">
                  <c:v>2703.2894999999999</c:v>
                </c:pt>
                <c:pt idx="15">
                  <c:v>2899.4579999999996</c:v>
                </c:pt>
                <c:pt idx="16">
                  <c:v>3092.5684999999994</c:v>
                </c:pt>
                <c:pt idx="17">
                  <c:v>3298.5599999999995</c:v>
                </c:pt>
                <c:pt idx="18">
                  <c:v>3476.3899999999994</c:v>
                </c:pt>
                <c:pt idx="19">
                  <c:v>3676.3104999999996</c:v>
                </c:pt>
                <c:pt idx="20">
                  <c:v>3855.4149999999995</c:v>
                </c:pt>
                <c:pt idx="21">
                  <c:v>4037.0824999999995</c:v>
                </c:pt>
                <c:pt idx="22">
                  <c:v>4225.1374999999998</c:v>
                </c:pt>
                <c:pt idx="23">
                  <c:v>4416.5149999999994</c:v>
                </c:pt>
                <c:pt idx="24">
                  <c:v>4479.4449999999997</c:v>
                </c:pt>
                <c:pt idx="25">
                  <c:v>4479.4449999999997</c:v>
                </c:pt>
                <c:pt idx="26">
                  <c:v>4590.9719999999998</c:v>
                </c:pt>
                <c:pt idx="27">
                  <c:v>4791.1965</c:v>
                </c:pt>
                <c:pt idx="28">
                  <c:v>4999.3595000000005</c:v>
                </c:pt>
                <c:pt idx="29">
                  <c:v>5204.4030000000002</c:v>
                </c:pt>
                <c:pt idx="30">
                  <c:v>5382.4930000000004</c:v>
                </c:pt>
              </c:numCache>
            </c:numRef>
          </c:val>
        </c:ser>
        <c:ser>
          <c:idx val="1"/>
          <c:order val="1"/>
          <c:tx>
            <c:strRef>
              <c:f>'август 20  (-руда,+агл.кокс)'!$BJ$6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'август 20  (-руда,+агл.кокс)'!$BJ$7:$BJ$37</c:f>
              <c:numCache>
                <c:formatCode>0.00</c:formatCode>
                <c:ptCount val="31"/>
                <c:pt idx="0">
                  <c:v>187.09677419354838</c:v>
                </c:pt>
                <c:pt idx="1">
                  <c:v>374.19354838709677</c:v>
                </c:pt>
                <c:pt idx="2">
                  <c:v>561.29032258064512</c:v>
                </c:pt>
                <c:pt idx="3">
                  <c:v>748.38709677419354</c:v>
                </c:pt>
                <c:pt idx="4">
                  <c:v>935.48387096774195</c:v>
                </c:pt>
                <c:pt idx="5">
                  <c:v>1122.5806451612902</c:v>
                </c:pt>
                <c:pt idx="6">
                  <c:v>1309.6774193548385</c:v>
                </c:pt>
                <c:pt idx="7">
                  <c:v>1496.7741935483868</c:v>
                </c:pt>
                <c:pt idx="8">
                  <c:v>1683.8709677419351</c:v>
                </c:pt>
                <c:pt idx="9">
                  <c:v>1870.9677419354834</c:v>
                </c:pt>
                <c:pt idx="10">
                  <c:v>2058.0645161290317</c:v>
                </c:pt>
                <c:pt idx="11">
                  <c:v>2245.16129032258</c:v>
                </c:pt>
                <c:pt idx="12">
                  <c:v>2432.2580645161283</c:v>
                </c:pt>
                <c:pt idx="13">
                  <c:v>2619.3548387096766</c:v>
                </c:pt>
                <c:pt idx="14">
                  <c:v>2806.4516129032249</c:v>
                </c:pt>
                <c:pt idx="15">
                  <c:v>2993.5483870967732</c:v>
                </c:pt>
                <c:pt idx="16">
                  <c:v>3180.6451612903215</c:v>
                </c:pt>
                <c:pt idx="17">
                  <c:v>3367.7419354838698</c:v>
                </c:pt>
                <c:pt idx="18">
                  <c:v>3554.8387096774181</c:v>
                </c:pt>
                <c:pt idx="19">
                  <c:v>3741.9354838709664</c:v>
                </c:pt>
                <c:pt idx="20">
                  <c:v>3929.0322580645147</c:v>
                </c:pt>
                <c:pt idx="21">
                  <c:v>4116.1290322580635</c:v>
                </c:pt>
                <c:pt idx="22">
                  <c:v>4303.2258064516118</c:v>
                </c:pt>
                <c:pt idx="23">
                  <c:v>4490.3225806451601</c:v>
                </c:pt>
                <c:pt idx="24">
                  <c:v>4677.4193548387084</c:v>
                </c:pt>
                <c:pt idx="25">
                  <c:v>4864.5161290322567</c:v>
                </c:pt>
                <c:pt idx="26">
                  <c:v>5051.612903225805</c:v>
                </c:pt>
                <c:pt idx="27">
                  <c:v>5238.7096774193533</c:v>
                </c:pt>
                <c:pt idx="28">
                  <c:v>5425.8064516129016</c:v>
                </c:pt>
                <c:pt idx="29">
                  <c:v>5612.9032258064499</c:v>
                </c:pt>
                <c:pt idx="30">
                  <c:v>5799.9999999999982</c:v>
                </c:pt>
              </c:numCache>
            </c:numRef>
          </c:val>
        </c:ser>
        <c:marker val="1"/>
        <c:axId val="136110464"/>
        <c:axId val="136112000"/>
      </c:lineChart>
      <c:catAx>
        <c:axId val="1361104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112000"/>
        <c:crossesAt val="0"/>
        <c:auto val="1"/>
        <c:lblAlgn val="ctr"/>
        <c:lblOffset val="100"/>
        <c:tickLblSkip val="1"/>
        <c:tickMarkSkip val="1"/>
      </c:catAx>
      <c:valAx>
        <c:axId val="13611200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11046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'сентябрь 20 (факт)'!$BH$6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'сентябрь 20 (факт)'!$BH$7:$BH$37</c:f>
              <c:numCache>
                <c:formatCode>0.00</c:formatCode>
                <c:ptCount val="31"/>
                <c:pt idx="0">
                  <c:v>231.27999999999997</c:v>
                </c:pt>
                <c:pt idx="1">
                  <c:v>446.15999999999997</c:v>
                </c:pt>
                <c:pt idx="2">
                  <c:v>677.4</c:v>
                </c:pt>
                <c:pt idx="3">
                  <c:v>822.84</c:v>
                </c:pt>
                <c:pt idx="4">
                  <c:v>1037.05</c:v>
                </c:pt>
                <c:pt idx="5">
                  <c:v>1252.1799999999998</c:v>
                </c:pt>
                <c:pt idx="6">
                  <c:v>1425.8199999999997</c:v>
                </c:pt>
                <c:pt idx="7">
                  <c:v>1658.8899999999996</c:v>
                </c:pt>
                <c:pt idx="8">
                  <c:v>1879.2799999999997</c:v>
                </c:pt>
                <c:pt idx="9">
                  <c:v>2071.4799999999996</c:v>
                </c:pt>
                <c:pt idx="10">
                  <c:v>2276.5799999999995</c:v>
                </c:pt>
                <c:pt idx="11">
                  <c:v>2440.3799999999997</c:v>
                </c:pt>
                <c:pt idx="12">
                  <c:v>2667.9299999999994</c:v>
                </c:pt>
                <c:pt idx="13">
                  <c:v>2883.1899999999991</c:v>
                </c:pt>
                <c:pt idx="14">
                  <c:v>3085.8999999999992</c:v>
                </c:pt>
                <c:pt idx="15">
                  <c:v>3300.7699999999991</c:v>
                </c:pt>
                <c:pt idx="16">
                  <c:v>3387.829999999999</c:v>
                </c:pt>
                <c:pt idx="17">
                  <c:v>3598.9399999999991</c:v>
                </c:pt>
                <c:pt idx="18">
                  <c:v>3802.829999999999</c:v>
                </c:pt>
                <c:pt idx="19">
                  <c:v>4023.7499999999991</c:v>
                </c:pt>
                <c:pt idx="20">
                  <c:v>4242.7399999999989</c:v>
                </c:pt>
                <c:pt idx="21">
                  <c:v>4504.119999999999</c:v>
                </c:pt>
                <c:pt idx="22">
                  <c:v>4667.1699999999992</c:v>
                </c:pt>
                <c:pt idx="23">
                  <c:v>4873.0999999999995</c:v>
                </c:pt>
                <c:pt idx="24">
                  <c:v>5107.4299999999994</c:v>
                </c:pt>
                <c:pt idx="25">
                  <c:v>5332.5199999999995</c:v>
                </c:pt>
                <c:pt idx="26">
                  <c:v>5560.1299999999992</c:v>
                </c:pt>
                <c:pt idx="27">
                  <c:v>5780.19</c:v>
                </c:pt>
                <c:pt idx="28">
                  <c:v>5995.78</c:v>
                </c:pt>
                <c:pt idx="29">
                  <c:v>6244.2</c:v>
                </c:pt>
                <c:pt idx="30">
                  <c:v>6244.2</c:v>
                </c:pt>
              </c:numCache>
            </c:numRef>
          </c:val>
        </c:ser>
        <c:ser>
          <c:idx val="1"/>
          <c:order val="1"/>
          <c:tx>
            <c:strRef>
              <c:f>'сентябрь 20 (факт)'!$BJ$6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'сентябрь 20 (факт)'!$BJ$7:$BJ$37</c:f>
              <c:numCache>
                <c:formatCode>0.00</c:formatCode>
                <c:ptCount val="31"/>
                <c:pt idx="0">
                  <c:v>220</c:v>
                </c:pt>
                <c:pt idx="1">
                  <c:v>440</c:v>
                </c:pt>
                <c:pt idx="2">
                  <c:v>660</c:v>
                </c:pt>
                <c:pt idx="3">
                  <c:v>880</c:v>
                </c:pt>
                <c:pt idx="4">
                  <c:v>1100</c:v>
                </c:pt>
                <c:pt idx="5">
                  <c:v>1320</c:v>
                </c:pt>
                <c:pt idx="6">
                  <c:v>1540</c:v>
                </c:pt>
                <c:pt idx="7">
                  <c:v>1760</c:v>
                </c:pt>
                <c:pt idx="8">
                  <c:v>1980</c:v>
                </c:pt>
                <c:pt idx="9">
                  <c:v>2200</c:v>
                </c:pt>
                <c:pt idx="10">
                  <c:v>2420</c:v>
                </c:pt>
                <c:pt idx="11">
                  <c:v>2640</c:v>
                </c:pt>
                <c:pt idx="12">
                  <c:v>2860</c:v>
                </c:pt>
                <c:pt idx="13">
                  <c:v>3080</c:v>
                </c:pt>
                <c:pt idx="14">
                  <c:v>3300</c:v>
                </c:pt>
                <c:pt idx="15">
                  <c:v>3520</c:v>
                </c:pt>
                <c:pt idx="16">
                  <c:v>3740</c:v>
                </c:pt>
                <c:pt idx="17">
                  <c:v>3960</c:v>
                </c:pt>
                <c:pt idx="18">
                  <c:v>4180</c:v>
                </c:pt>
                <c:pt idx="19">
                  <c:v>4400</c:v>
                </c:pt>
                <c:pt idx="20">
                  <c:v>4620</c:v>
                </c:pt>
                <c:pt idx="21">
                  <c:v>4840</c:v>
                </c:pt>
                <c:pt idx="22">
                  <c:v>5060</c:v>
                </c:pt>
                <c:pt idx="23">
                  <c:v>5280</c:v>
                </c:pt>
                <c:pt idx="24">
                  <c:v>5500</c:v>
                </c:pt>
                <c:pt idx="25">
                  <c:v>5720</c:v>
                </c:pt>
                <c:pt idx="26">
                  <c:v>5940</c:v>
                </c:pt>
                <c:pt idx="27">
                  <c:v>6160</c:v>
                </c:pt>
                <c:pt idx="28">
                  <c:v>6380</c:v>
                </c:pt>
                <c:pt idx="29">
                  <c:v>6600</c:v>
                </c:pt>
                <c:pt idx="30">
                  <c:v>6600</c:v>
                </c:pt>
              </c:numCache>
            </c:numRef>
          </c:val>
        </c:ser>
        <c:marker val="1"/>
        <c:axId val="136427392"/>
        <c:axId val="136428928"/>
      </c:lineChart>
      <c:catAx>
        <c:axId val="1364273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428928"/>
        <c:crossesAt val="0"/>
        <c:auto val="1"/>
        <c:lblAlgn val="ctr"/>
        <c:lblOffset val="100"/>
        <c:tickLblSkip val="1"/>
        <c:tickMarkSkip val="1"/>
      </c:catAx>
      <c:valAx>
        <c:axId val="136428928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42739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'сентябрь 20'!$BH$6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'сентябрь 20'!$BH$7:$BH$37</c:f>
              <c:numCache>
                <c:formatCode>0.00</c:formatCode>
                <c:ptCount val="31"/>
                <c:pt idx="0">
                  <c:v>229.41449999999998</c:v>
                </c:pt>
                <c:pt idx="1">
                  <c:v>442.87</c:v>
                </c:pt>
                <c:pt idx="2">
                  <c:v>671.33050000000003</c:v>
                </c:pt>
                <c:pt idx="3">
                  <c:v>866.08950000000004</c:v>
                </c:pt>
                <c:pt idx="4">
                  <c:v>1083.9265</c:v>
                </c:pt>
                <c:pt idx="5">
                  <c:v>1301.4835</c:v>
                </c:pt>
                <c:pt idx="6">
                  <c:v>1491.1795</c:v>
                </c:pt>
                <c:pt idx="7">
                  <c:v>1719.6305</c:v>
                </c:pt>
                <c:pt idx="8">
                  <c:v>1879.2804999999998</c:v>
                </c:pt>
                <c:pt idx="9">
                  <c:v>2080.7559999999999</c:v>
                </c:pt>
                <c:pt idx="10">
                  <c:v>2290.4915000000001</c:v>
                </c:pt>
                <c:pt idx="11">
                  <c:v>2467.8430000000003</c:v>
                </c:pt>
                <c:pt idx="12">
                  <c:v>2693.5820000000003</c:v>
                </c:pt>
                <c:pt idx="13">
                  <c:v>2911.1910000000003</c:v>
                </c:pt>
                <c:pt idx="14">
                  <c:v>3125.6792000000005</c:v>
                </c:pt>
                <c:pt idx="15">
                  <c:v>3346.4282000000003</c:v>
                </c:pt>
                <c:pt idx="16">
                  <c:v>3464.2057000000004</c:v>
                </c:pt>
                <c:pt idx="17">
                  <c:v>3676.5547000000006</c:v>
                </c:pt>
                <c:pt idx="18">
                  <c:v>3802.8347000000008</c:v>
                </c:pt>
                <c:pt idx="19">
                  <c:v>4028.869200000001</c:v>
                </c:pt>
                <c:pt idx="20">
                  <c:v>4250.529700000001</c:v>
                </c:pt>
                <c:pt idx="21">
                  <c:v>4501.5912000000008</c:v>
                </c:pt>
                <c:pt idx="22">
                  <c:v>4683.1332000000011</c:v>
                </c:pt>
                <c:pt idx="23">
                  <c:v>4895.9152000000013</c:v>
                </c:pt>
                <c:pt idx="24">
                  <c:v>5135.293200000001</c:v>
                </c:pt>
                <c:pt idx="25">
                  <c:v>5364.708700000001</c:v>
                </c:pt>
                <c:pt idx="26">
                  <c:v>5603.101200000001</c:v>
                </c:pt>
                <c:pt idx="27">
                  <c:v>5829.4602000000014</c:v>
                </c:pt>
                <c:pt idx="28">
                  <c:v>6056.1492000000017</c:v>
                </c:pt>
                <c:pt idx="29">
                  <c:v>6244.1992000000018</c:v>
                </c:pt>
                <c:pt idx="30">
                  <c:v>6244.1992000000018</c:v>
                </c:pt>
              </c:numCache>
            </c:numRef>
          </c:val>
        </c:ser>
        <c:ser>
          <c:idx val="1"/>
          <c:order val="1"/>
          <c:tx>
            <c:strRef>
              <c:f>'сентябрь 20'!$BJ$6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'сентябрь 20'!$BJ$7:$BJ$37</c:f>
              <c:numCache>
                <c:formatCode>0.00</c:formatCode>
                <c:ptCount val="31"/>
                <c:pt idx="0">
                  <c:v>220</c:v>
                </c:pt>
                <c:pt idx="1">
                  <c:v>440</c:v>
                </c:pt>
                <c:pt idx="2">
                  <c:v>660</c:v>
                </c:pt>
                <c:pt idx="3">
                  <c:v>880</c:v>
                </c:pt>
                <c:pt idx="4">
                  <c:v>1100</c:v>
                </c:pt>
                <c:pt idx="5">
                  <c:v>1320</c:v>
                </c:pt>
                <c:pt idx="6">
                  <c:v>1540</c:v>
                </c:pt>
                <c:pt idx="7">
                  <c:v>1760</c:v>
                </c:pt>
                <c:pt idx="8">
                  <c:v>1980</c:v>
                </c:pt>
                <c:pt idx="9">
                  <c:v>2200</c:v>
                </c:pt>
                <c:pt idx="10">
                  <c:v>2420</c:v>
                </c:pt>
                <c:pt idx="11">
                  <c:v>2640</c:v>
                </c:pt>
                <c:pt idx="12">
                  <c:v>2860</c:v>
                </c:pt>
                <c:pt idx="13">
                  <c:v>3080</c:v>
                </c:pt>
                <c:pt idx="14">
                  <c:v>3300</c:v>
                </c:pt>
                <c:pt idx="15">
                  <c:v>3520</c:v>
                </c:pt>
                <c:pt idx="16">
                  <c:v>3740</c:v>
                </c:pt>
                <c:pt idx="17">
                  <c:v>3960</c:v>
                </c:pt>
                <c:pt idx="18">
                  <c:v>4180</c:v>
                </c:pt>
                <c:pt idx="19">
                  <c:v>4400</c:v>
                </c:pt>
                <c:pt idx="20">
                  <c:v>4620</c:v>
                </c:pt>
                <c:pt idx="21">
                  <c:v>4840</c:v>
                </c:pt>
                <c:pt idx="22">
                  <c:v>5060</c:v>
                </c:pt>
                <c:pt idx="23">
                  <c:v>5280</c:v>
                </c:pt>
                <c:pt idx="24">
                  <c:v>5500</c:v>
                </c:pt>
                <c:pt idx="25">
                  <c:v>5720</c:v>
                </c:pt>
                <c:pt idx="26">
                  <c:v>5940</c:v>
                </c:pt>
                <c:pt idx="27">
                  <c:v>6160</c:v>
                </c:pt>
                <c:pt idx="28">
                  <c:v>6380</c:v>
                </c:pt>
                <c:pt idx="29">
                  <c:v>6600</c:v>
                </c:pt>
                <c:pt idx="30">
                  <c:v>6600</c:v>
                </c:pt>
              </c:numCache>
            </c:numRef>
          </c:val>
        </c:ser>
        <c:marker val="1"/>
        <c:axId val="136191360"/>
        <c:axId val="136193152"/>
      </c:lineChart>
      <c:catAx>
        <c:axId val="1361913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193152"/>
        <c:crossesAt val="0"/>
        <c:auto val="1"/>
        <c:lblAlgn val="ctr"/>
        <c:lblOffset val="100"/>
        <c:tickLblSkip val="1"/>
        <c:tickMarkSkip val="1"/>
      </c:catAx>
      <c:valAx>
        <c:axId val="13619315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191360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'сентябрь 20 (-руда,+кокс)'!$BH$6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'сентябрь 20 (-руда,+кокс)'!$BH$7:$BH$37</c:f>
              <c:numCache>
                <c:formatCode>0.00</c:formatCode>
                <c:ptCount val="31"/>
                <c:pt idx="0">
                  <c:v>229.41449999999998</c:v>
                </c:pt>
                <c:pt idx="1">
                  <c:v>442.87</c:v>
                </c:pt>
                <c:pt idx="2">
                  <c:v>671.33050000000003</c:v>
                </c:pt>
                <c:pt idx="3">
                  <c:v>866.08950000000004</c:v>
                </c:pt>
                <c:pt idx="4">
                  <c:v>1083.9265</c:v>
                </c:pt>
                <c:pt idx="5">
                  <c:v>1301.4835</c:v>
                </c:pt>
                <c:pt idx="6">
                  <c:v>1491.1795</c:v>
                </c:pt>
                <c:pt idx="7">
                  <c:v>1719.6305</c:v>
                </c:pt>
                <c:pt idx="8">
                  <c:v>1879.2804999999998</c:v>
                </c:pt>
                <c:pt idx="9">
                  <c:v>2080.7559999999999</c:v>
                </c:pt>
                <c:pt idx="10">
                  <c:v>2290.4915000000001</c:v>
                </c:pt>
                <c:pt idx="11">
                  <c:v>2467.8430000000003</c:v>
                </c:pt>
                <c:pt idx="12">
                  <c:v>2693.5820000000003</c:v>
                </c:pt>
                <c:pt idx="13">
                  <c:v>2911.1910000000003</c:v>
                </c:pt>
                <c:pt idx="14">
                  <c:v>3125.6792000000005</c:v>
                </c:pt>
                <c:pt idx="15">
                  <c:v>3346.4282000000003</c:v>
                </c:pt>
                <c:pt idx="16">
                  <c:v>3464.2057000000004</c:v>
                </c:pt>
                <c:pt idx="17">
                  <c:v>3676.5547000000006</c:v>
                </c:pt>
                <c:pt idx="18">
                  <c:v>3802.8347000000008</c:v>
                </c:pt>
                <c:pt idx="19">
                  <c:v>4028.869200000001</c:v>
                </c:pt>
                <c:pt idx="20">
                  <c:v>4250.529700000001</c:v>
                </c:pt>
                <c:pt idx="21">
                  <c:v>4501.5912000000008</c:v>
                </c:pt>
                <c:pt idx="22">
                  <c:v>4683.1332000000011</c:v>
                </c:pt>
                <c:pt idx="23">
                  <c:v>4895.9152000000013</c:v>
                </c:pt>
                <c:pt idx="24">
                  <c:v>5135.293200000001</c:v>
                </c:pt>
                <c:pt idx="25">
                  <c:v>5364.708700000001</c:v>
                </c:pt>
                <c:pt idx="26">
                  <c:v>5603.101200000001</c:v>
                </c:pt>
                <c:pt idx="27">
                  <c:v>5829.4602000000014</c:v>
                </c:pt>
                <c:pt idx="28">
                  <c:v>6056.1492000000017</c:v>
                </c:pt>
                <c:pt idx="29">
                  <c:v>6244.1992000000018</c:v>
                </c:pt>
                <c:pt idx="30">
                  <c:v>6244.1992000000018</c:v>
                </c:pt>
              </c:numCache>
            </c:numRef>
          </c:val>
        </c:ser>
        <c:ser>
          <c:idx val="1"/>
          <c:order val="1"/>
          <c:tx>
            <c:strRef>
              <c:f>'сентябрь 20 (-руда,+кокс)'!$BJ$6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'сентябрь 20 (-руда,+кокс)'!$BJ$7:$BJ$37</c:f>
              <c:numCache>
                <c:formatCode>0.00</c:formatCode>
                <c:ptCount val="31"/>
                <c:pt idx="0">
                  <c:v>220</c:v>
                </c:pt>
                <c:pt idx="1">
                  <c:v>440</c:v>
                </c:pt>
                <c:pt idx="2">
                  <c:v>660</c:v>
                </c:pt>
                <c:pt idx="3">
                  <c:v>880</c:v>
                </c:pt>
                <c:pt idx="4">
                  <c:v>1100</c:v>
                </c:pt>
                <c:pt idx="5">
                  <c:v>1320</c:v>
                </c:pt>
                <c:pt idx="6">
                  <c:v>1540</c:v>
                </c:pt>
                <c:pt idx="7">
                  <c:v>1760</c:v>
                </c:pt>
                <c:pt idx="8">
                  <c:v>1980</c:v>
                </c:pt>
                <c:pt idx="9">
                  <c:v>2200</c:v>
                </c:pt>
                <c:pt idx="10">
                  <c:v>2420</c:v>
                </c:pt>
                <c:pt idx="11">
                  <c:v>2640</c:v>
                </c:pt>
                <c:pt idx="12">
                  <c:v>2860</c:v>
                </c:pt>
                <c:pt idx="13">
                  <c:v>3080</c:v>
                </c:pt>
                <c:pt idx="14">
                  <c:v>3300</c:v>
                </c:pt>
                <c:pt idx="15">
                  <c:v>3520</c:v>
                </c:pt>
                <c:pt idx="16">
                  <c:v>3740</c:v>
                </c:pt>
                <c:pt idx="17">
                  <c:v>3960</c:v>
                </c:pt>
                <c:pt idx="18">
                  <c:v>4180</c:v>
                </c:pt>
                <c:pt idx="19">
                  <c:v>4400</c:v>
                </c:pt>
                <c:pt idx="20">
                  <c:v>4620</c:v>
                </c:pt>
                <c:pt idx="21">
                  <c:v>4840</c:v>
                </c:pt>
                <c:pt idx="22">
                  <c:v>5060</c:v>
                </c:pt>
                <c:pt idx="23">
                  <c:v>5280</c:v>
                </c:pt>
                <c:pt idx="24">
                  <c:v>5500</c:v>
                </c:pt>
                <c:pt idx="25">
                  <c:v>5720</c:v>
                </c:pt>
                <c:pt idx="26">
                  <c:v>5940</c:v>
                </c:pt>
                <c:pt idx="27">
                  <c:v>6160</c:v>
                </c:pt>
                <c:pt idx="28">
                  <c:v>6380</c:v>
                </c:pt>
                <c:pt idx="29">
                  <c:v>6600</c:v>
                </c:pt>
                <c:pt idx="30">
                  <c:v>6600</c:v>
                </c:pt>
              </c:numCache>
            </c:numRef>
          </c:val>
        </c:ser>
        <c:marker val="1"/>
        <c:axId val="136836224"/>
        <c:axId val="136837760"/>
      </c:lineChart>
      <c:catAx>
        <c:axId val="1368362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837760"/>
        <c:crossesAt val="0"/>
        <c:auto val="1"/>
        <c:lblAlgn val="ctr"/>
        <c:lblOffset val="100"/>
        <c:tickLblSkip val="1"/>
        <c:tickMarkSkip val="1"/>
      </c:catAx>
      <c:valAx>
        <c:axId val="13683776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83622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'октябрь 20 (факт)'!$BH$6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'октябрь 20 (факт)'!$BH$7:$BH$37</c:f>
              <c:numCache>
                <c:formatCode>0.00</c:formatCode>
                <c:ptCount val="31"/>
                <c:pt idx="0">
                  <c:v>85.74</c:v>
                </c:pt>
                <c:pt idx="1">
                  <c:v>299.63</c:v>
                </c:pt>
                <c:pt idx="2">
                  <c:v>529.43000000000006</c:v>
                </c:pt>
                <c:pt idx="3">
                  <c:v>754.63000000000011</c:v>
                </c:pt>
                <c:pt idx="4">
                  <c:v>981.99000000000012</c:v>
                </c:pt>
                <c:pt idx="5">
                  <c:v>1211.23</c:v>
                </c:pt>
                <c:pt idx="6">
                  <c:v>1398.21</c:v>
                </c:pt>
                <c:pt idx="7">
                  <c:v>1618.71</c:v>
                </c:pt>
                <c:pt idx="8">
                  <c:v>1811.75</c:v>
                </c:pt>
                <c:pt idx="9">
                  <c:v>2027.31</c:v>
                </c:pt>
                <c:pt idx="10">
                  <c:v>2230.58</c:v>
                </c:pt>
                <c:pt idx="11">
                  <c:v>2450.9</c:v>
                </c:pt>
                <c:pt idx="12">
                  <c:v>2655.94</c:v>
                </c:pt>
                <c:pt idx="13">
                  <c:v>2763.9</c:v>
                </c:pt>
                <c:pt idx="14">
                  <c:v>2980.7400000000002</c:v>
                </c:pt>
                <c:pt idx="15">
                  <c:v>3219.8900000000003</c:v>
                </c:pt>
                <c:pt idx="16">
                  <c:v>3438.6200000000003</c:v>
                </c:pt>
                <c:pt idx="17">
                  <c:v>3683.3500000000004</c:v>
                </c:pt>
                <c:pt idx="18">
                  <c:v>3901.51</c:v>
                </c:pt>
                <c:pt idx="19">
                  <c:v>4133.9400000000005</c:v>
                </c:pt>
                <c:pt idx="20">
                  <c:v>4366.51</c:v>
                </c:pt>
                <c:pt idx="21">
                  <c:v>4614.1900000000005</c:v>
                </c:pt>
                <c:pt idx="22">
                  <c:v>4853.34</c:v>
                </c:pt>
                <c:pt idx="23">
                  <c:v>5090.2300000000005</c:v>
                </c:pt>
                <c:pt idx="24">
                  <c:v>5300.14</c:v>
                </c:pt>
                <c:pt idx="25">
                  <c:v>5527.88</c:v>
                </c:pt>
                <c:pt idx="26">
                  <c:v>5756.17</c:v>
                </c:pt>
                <c:pt idx="27">
                  <c:v>5985.04</c:v>
                </c:pt>
                <c:pt idx="28">
                  <c:v>6216.41</c:v>
                </c:pt>
                <c:pt idx="29">
                  <c:v>6359.11</c:v>
                </c:pt>
                <c:pt idx="30">
                  <c:v>6585.88</c:v>
                </c:pt>
              </c:numCache>
            </c:numRef>
          </c:val>
        </c:ser>
        <c:ser>
          <c:idx val="1"/>
          <c:order val="1"/>
          <c:tx>
            <c:strRef>
              <c:f>'октябрь 20 (факт)'!$BJ$6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'октябрь 20 (факт)'!$BJ$7:$BJ$37</c:f>
              <c:numCache>
                <c:formatCode>0.00</c:formatCode>
                <c:ptCount val="31"/>
                <c:pt idx="0">
                  <c:v>222.58064516129033</c:v>
                </c:pt>
                <c:pt idx="1">
                  <c:v>445.16129032258067</c:v>
                </c:pt>
                <c:pt idx="2">
                  <c:v>667.74193548387098</c:v>
                </c:pt>
                <c:pt idx="3">
                  <c:v>890.32258064516134</c:v>
                </c:pt>
                <c:pt idx="4">
                  <c:v>1112.9032258064517</c:v>
                </c:pt>
                <c:pt idx="5">
                  <c:v>1335.483870967742</c:v>
                </c:pt>
                <c:pt idx="6">
                  <c:v>1558.0645161290322</c:v>
                </c:pt>
                <c:pt idx="7">
                  <c:v>1780.6451612903224</c:v>
                </c:pt>
                <c:pt idx="8">
                  <c:v>2003.2258064516127</c:v>
                </c:pt>
                <c:pt idx="9">
                  <c:v>2225.8064516129029</c:v>
                </c:pt>
                <c:pt idx="10">
                  <c:v>2448.3870967741932</c:v>
                </c:pt>
                <c:pt idx="11">
                  <c:v>2670.9677419354834</c:v>
                </c:pt>
                <c:pt idx="12">
                  <c:v>2893.5483870967737</c:v>
                </c:pt>
                <c:pt idx="13">
                  <c:v>3116.1290322580639</c:v>
                </c:pt>
                <c:pt idx="14">
                  <c:v>3338.7096774193542</c:v>
                </c:pt>
                <c:pt idx="15">
                  <c:v>3561.2903225806444</c:v>
                </c:pt>
                <c:pt idx="16">
                  <c:v>3783.8709677419347</c:v>
                </c:pt>
                <c:pt idx="17">
                  <c:v>4006.4516129032249</c:v>
                </c:pt>
                <c:pt idx="18">
                  <c:v>4229.0322580645152</c:v>
                </c:pt>
                <c:pt idx="19">
                  <c:v>4451.6129032258059</c:v>
                </c:pt>
                <c:pt idx="20">
                  <c:v>4674.1935483870966</c:v>
                </c:pt>
                <c:pt idx="21">
                  <c:v>4896.7741935483873</c:v>
                </c:pt>
                <c:pt idx="22">
                  <c:v>5119.354838709678</c:v>
                </c:pt>
                <c:pt idx="23">
                  <c:v>5341.9354838709687</c:v>
                </c:pt>
                <c:pt idx="24">
                  <c:v>5564.5161290322594</c:v>
                </c:pt>
                <c:pt idx="25">
                  <c:v>5787.0967741935501</c:v>
                </c:pt>
                <c:pt idx="26">
                  <c:v>6009.6774193548408</c:v>
                </c:pt>
                <c:pt idx="27">
                  <c:v>6232.2580645161315</c:v>
                </c:pt>
                <c:pt idx="28">
                  <c:v>6454.8387096774222</c:v>
                </c:pt>
                <c:pt idx="29">
                  <c:v>6677.4193548387129</c:v>
                </c:pt>
                <c:pt idx="30">
                  <c:v>6900.0000000000036</c:v>
                </c:pt>
              </c:numCache>
            </c:numRef>
          </c:val>
        </c:ser>
        <c:marker val="1"/>
        <c:axId val="136989312"/>
        <c:axId val="136995200"/>
      </c:lineChart>
      <c:catAx>
        <c:axId val="1369893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995200"/>
        <c:crossesAt val="0"/>
        <c:auto val="1"/>
        <c:lblAlgn val="ctr"/>
        <c:lblOffset val="100"/>
        <c:tickLblSkip val="1"/>
        <c:tickMarkSkip val="1"/>
      </c:catAx>
      <c:valAx>
        <c:axId val="13699520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98931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'октябрь 20 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'октябрь 20 '!$BH$7:$BH$37</c:f>
              <c:numCache>
                <c:formatCode>0.00</c:formatCode>
                <c:ptCount val="31"/>
                <c:pt idx="0">
                  <c:v>92.281499999999994</c:v>
                </c:pt>
                <c:pt idx="1">
                  <c:v>317.3245</c:v>
                </c:pt>
                <c:pt idx="2">
                  <c:v>551.99450000000002</c:v>
                </c:pt>
                <c:pt idx="3">
                  <c:v>779.94150000000002</c:v>
                </c:pt>
                <c:pt idx="4">
                  <c:v>1013.684</c:v>
                </c:pt>
                <c:pt idx="5">
                  <c:v>1241.7829999999999</c:v>
                </c:pt>
                <c:pt idx="6">
                  <c:v>1441.018</c:v>
                </c:pt>
                <c:pt idx="7">
                  <c:v>1664.6469999999999</c:v>
                </c:pt>
                <c:pt idx="8">
                  <c:v>1871.8705</c:v>
                </c:pt>
                <c:pt idx="9">
                  <c:v>2027.3105</c:v>
                </c:pt>
                <c:pt idx="10">
                  <c:v>2241.4700000000003</c:v>
                </c:pt>
                <c:pt idx="11">
                  <c:v>2465.3120000000004</c:v>
                </c:pt>
                <c:pt idx="12">
                  <c:v>2675.4415000000004</c:v>
                </c:pt>
                <c:pt idx="13">
                  <c:v>2790.1270000000004</c:v>
                </c:pt>
                <c:pt idx="14">
                  <c:v>3011.2670000000003</c:v>
                </c:pt>
                <c:pt idx="15">
                  <c:v>3250.0640000000003</c:v>
                </c:pt>
                <c:pt idx="16">
                  <c:v>3476.2685000000001</c:v>
                </c:pt>
                <c:pt idx="17">
                  <c:v>3719.55</c:v>
                </c:pt>
                <c:pt idx="18">
                  <c:v>3944.8270000000002</c:v>
                </c:pt>
                <c:pt idx="19">
                  <c:v>4133.9369999999999</c:v>
                </c:pt>
                <c:pt idx="20">
                  <c:v>4367.6404999999995</c:v>
                </c:pt>
                <c:pt idx="21">
                  <c:v>4611.0809999999992</c:v>
                </c:pt>
                <c:pt idx="22">
                  <c:v>4849.5369999999994</c:v>
                </c:pt>
                <c:pt idx="23">
                  <c:v>5085.0684999999994</c:v>
                </c:pt>
                <c:pt idx="24">
                  <c:v>5308.2099999999991</c:v>
                </c:pt>
                <c:pt idx="25">
                  <c:v>5539.2279999999992</c:v>
                </c:pt>
                <c:pt idx="26">
                  <c:v>5783.7254999999996</c:v>
                </c:pt>
                <c:pt idx="27">
                  <c:v>6012.6564999999991</c:v>
                </c:pt>
                <c:pt idx="28">
                  <c:v>6253.1964999999991</c:v>
                </c:pt>
                <c:pt idx="29">
                  <c:v>6416.8579999999993</c:v>
                </c:pt>
                <c:pt idx="30">
                  <c:v>6585.8779999999997</c:v>
                </c:pt>
              </c:numCache>
            </c:numRef>
          </c:val>
        </c:ser>
        <c:ser>
          <c:idx val="1"/>
          <c:order val="1"/>
          <c:tx>
            <c:strRef>
              <c:f>'октябрь 20 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'октябрь 20 '!$BJ$7:$BJ$37</c:f>
              <c:numCache>
                <c:formatCode>0.00</c:formatCode>
                <c:ptCount val="31"/>
                <c:pt idx="0">
                  <c:v>222.58064516129033</c:v>
                </c:pt>
                <c:pt idx="1">
                  <c:v>445.16129032258067</c:v>
                </c:pt>
                <c:pt idx="2">
                  <c:v>667.74193548387098</c:v>
                </c:pt>
                <c:pt idx="3">
                  <c:v>890.32258064516134</c:v>
                </c:pt>
                <c:pt idx="4">
                  <c:v>1112.9032258064517</c:v>
                </c:pt>
                <c:pt idx="5">
                  <c:v>1335.483870967742</c:v>
                </c:pt>
                <c:pt idx="6">
                  <c:v>1558.0645161290322</c:v>
                </c:pt>
                <c:pt idx="7">
                  <c:v>1780.6451612903224</c:v>
                </c:pt>
                <c:pt idx="8">
                  <c:v>2003.2258064516127</c:v>
                </c:pt>
                <c:pt idx="9">
                  <c:v>2225.8064516129029</c:v>
                </c:pt>
                <c:pt idx="10">
                  <c:v>2448.3870967741932</c:v>
                </c:pt>
                <c:pt idx="11">
                  <c:v>2670.9677419354834</c:v>
                </c:pt>
                <c:pt idx="12">
                  <c:v>2893.5483870967737</c:v>
                </c:pt>
                <c:pt idx="13">
                  <c:v>3116.1290322580639</c:v>
                </c:pt>
                <c:pt idx="14">
                  <c:v>3338.7096774193542</c:v>
                </c:pt>
                <c:pt idx="15">
                  <c:v>3561.2903225806444</c:v>
                </c:pt>
                <c:pt idx="16">
                  <c:v>3783.8709677419347</c:v>
                </c:pt>
                <c:pt idx="17">
                  <c:v>4006.4516129032249</c:v>
                </c:pt>
                <c:pt idx="18">
                  <c:v>4229.0322580645152</c:v>
                </c:pt>
                <c:pt idx="19">
                  <c:v>4451.6129032258059</c:v>
                </c:pt>
                <c:pt idx="20">
                  <c:v>4674.1935483870966</c:v>
                </c:pt>
                <c:pt idx="21">
                  <c:v>4896.7741935483873</c:v>
                </c:pt>
                <c:pt idx="22">
                  <c:v>5119.354838709678</c:v>
                </c:pt>
                <c:pt idx="23">
                  <c:v>5341.9354838709687</c:v>
                </c:pt>
                <c:pt idx="24">
                  <c:v>5564.5161290322594</c:v>
                </c:pt>
                <c:pt idx="25">
                  <c:v>5787.0967741935501</c:v>
                </c:pt>
                <c:pt idx="26">
                  <c:v>6009.6774193548408</c:v>
                </c:pt>
                <c:pt idx="27">
                  <c:v>6232.2580645161315</c:v>
                </c:pt>
                <c:pt idx="28">
                  <c:v>6454.8387096774222</c:v>
                </c:pt>
                <c:pt idx="29">
                  <c:v>6677.4193548387129</c:v>
                </c:pt>
                <c:pt idx="30">
                  <c:v>6900.0000000000036</c:v>
                </c:pt>
              </c:numCache>
            </c:numRef>
          </c:val>
        </c:ser>
        <c:marker val="1"/>
        <c:axId val="136847744"/>
        <c:axId val="136849280"/>
      </c:lineChart>
      <c:catAx>
        <c:axId val="1368477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849280"/>
        <c:crossesAt val="0"/>
        <c:auto val="1"/>
        <c:lblAlgn val="ctr"/>
        <c:lblOffset val="100"/>
        <c:tickLblSkip val="1"/>
        <c:tickMarkSkip val="1"/>
      </c:catAx>
      <c:valAx>
        <c:axId val="136849280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6847744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'октябрь 20  (+руда,кокс)'!$BH$6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'октябрь 20  (+руда,кокс)'!$BH$7:$BH$37</c:f>
              <c:numCache>
                <c:formatCode>0.00</c:formatCode>
                <c:ptCount val="31"/>
                <c:pt idx="0">
                  <c:v>92.281499999999994</c:v>
                </c:pt>
                <c:pt idx="1">
                  <c:v>317.3245</c:v>
                </c:pt>
                <c:pt idx="2">
                  <c:v>551.99450000000002</c:v>
                </c:pt>
                <c:pt idx="3">
                  <c:v>779.94150000000002</c:v>
                </c:pt>
                <c:pt idx="4">
                  <c:v>1013.684</c:v>
                </c:pt>
                <c:pt idx="5">
                  <c:v>1241.7829999999999</c:v>
                </c:pt>
                <c:pt idx="6">
                  <c:v>1441.018</c:v>
                </c:pt>
                <c:pt idx="7">
                  <c:v>1664.6469999999999</c:v>
                </c:pt>
                <c:pt idx="8">
                  <c:v>1871.8705</c:v>
                </c:pt>
                <c:pt idx="9">
                  <c:v>2027.3105</c:v>
                </c:pt>
                <c:pt idx="10">
                  <c:v>2241.4700000000003</c:v>
                </c:pt>
                <c:pt idx="11">
                  <c:v>2465.3120000000004</c:v>
                </c:pt>
                <c:pt idx="12">
                  <c:v>2675.4415000000004</c:v>
                </c:pt>
                <c:pt idx="13">
                  <c:v>2790.1270000000004</c:v>
                </c:pt>
                <c:pt idx="14">
                  <c:v>3011.2670000000003</c:v>
                </c:pt>
                <c:pt idx="15">
                  <c:v>3250.0640000000003</c:v>
                </c:pt>
                <c:pt idx="16">
                  <c:v>3476.2685000000001</c:v>
                </c:pt>
                <c:pt idx="17">
                  <c:v>3719.55</c:v>
                </c:pt>
                <c:pt idx="18">
                  <c:v>3944.8270000000002</c:v>
                </c:pt>
                <c:pt idx="19">
                  <c:v>4133.9369999999999</c:v>
                </c:pt>
                <c:pt idx="20">
                  <c:v>4367.6404999999995</c:v>
                </c:pt>
                <c:pt idx="21">
                  <c:v>4611.0809999999992</c:v>
                </c:pt>
                <c:pt idx="22">
                  <c:v>4849.5369999999994</c:v>
                </c:pt>
                <c:pt idx="23">
                  <c:v>5085.0684999999994</c:v>
                </c:pt>
                <c:pt idx="24">
                  <c:v>5308.2099999999991</c:v>
                </c:pt>
                <c:pt idx="25">
                  <c:v>5539.2279999999992</c:v>
                </c:pt>
                <c:pt idx="26">
                  <c:v>5783.7254999999996</c:v>
                </c:pt>
                <c:pt idx="27">
                  <c:v>6012.6564999999991</c:v>
                </c:pt>
                <c:pt idx="28">
                  <c:v>6253.1964999999991</c:v>
                </c:pt>
                <c:pt idx="29">
                  <c:v>6416.8579999999993</c:v>
                </c:pt>
                <c:pt idx="30">
                  <c:v>6585.8779999999997</c:v>
                </c:pt>
              </c:numCache>
            </c:numRef>
          </c:val>
        </c:ser>
        <c:ser>
          <c:idx val="1"/>
          <c:order val="1"/>
          <c:tx>
            <c:strRef>
              <c:f>'октябрь 20  (+руда,кокс)'!$BJ$6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'октябрь 20  (+руда,кокс)'!$BJ$7:$BJ$37</c:f>
              <c:numCache>
                <c:formatCode>0.00</c:formatCode>
                <c:ptCount val="31"/>
                <c:pt idx="0">
                  <c:v>222.58064516129033</c:v>
                </c:pt>
                <c:pt idx="1">
                  <c:v>445.16129032258067</c:v>
                </c:pt>
                <c:pt idx="2">
                  <c:v>667.74193548387098</c:v>
                </c:pt>
                <c:pt idx="3">
                  <c:v>890.32258064516134</c:v>
                </c:pt>
                <c:pt idx="4">
                  <c:v>1112.9032258064517</c:v>
                </c:pt>
                <c:pt idx="5">
                  <c:v>1335.483870967742</c:v>
                </c:pt>
                <c:pt idx="6">
                  <c:v>1558.0645161290322</c:v>
                </c:pt>
                <c:pt idx="7">
                  <c:v>1780.6451612903224</c:v>
                </c:pt>
                <c:pt idx="8">
                  <c:v>2003.2258064516127</c:v>
                </c:pt>
                <c:pt idx="9">
                  <c:v>2225.8064516129029</c:v>
                </c:pt>
                <c:pt idx="10">
                  <c:v>2448.3870967741932</c:v>
                </c:pt>
                <c:pt idx="11">
                  <c:v>2670.9677419354834</c:v>
                </c:pt>
                <c:pt idx="12">
                  <c:v>2893.5483870967737</c:v>
                </c:pt>
                <c:pt idx="13">
                  <c:v>3116.1290322580639</c:v>
                </c:pt>
                <c:pt idx="14">
                  <c:v>3338.7096774193542</c:v>
                </c:pt>
                <c:pt idx="15">
                  <c:v>3561.2903225806444</c:v>
                </c:pt>
                <c:pt idx="16">
                  <c:v>3783.8709677419347</c:v>
                </c:pt>
                <c:pt idx="17">
                  <c:v>4006.4516129032249</c:v>
                </c:pt>
                <c:pt idx="18">
                  <c:v>4229.0322580645152</c:v>
                </c:pt>
                <c:pt idx="19">
                  <c:v>4451.6129032258059</c:v>
                </c:pt>
                <c:pt idx="20">
                  <c:v>4674.1935483870966</c:v>
                </c:pt>
                <c:pt idx="21">
                  <c:v>4896.7741935483873</c:v>
                </c:pt>
                <c:pt idx="22">
                  <c:v>5119.354838709678</c:v>
                </c:pt>
                <c:pt idx="23">
                  <c:v>5341.9354838709687</c:v>
                </c:pt>
                <c:pt idx="24">
                  <c:v>5564.5161290322594</c:v>
                </c:pt>
                <c:pt idx="25">
                  <c:v>5787.0967741935501</c:v>
                </c:pt>
                <c:pt idx="26">
                  <c:v>6009.6774193548408</c:v>
                </c:pt>
                <c:pt idx="27">
                  <c:v>6232.2580645161315</c:v>
                </c:pt>
                <c:pt idx="28">
                  <c:v>6454.8387096774222</c:v>
                </c:pt>
                <c:pt idx="29">
                  <c:v>6677.4193548387129</c:v>
                </c:pt>
                <c:pt idx="30">
                  <c:v>6900.0000000000036</c:v>
                </c:pt>
              </c:numCache>
            </c:numRef>
          </c:val>
        </c:ser>
        <c:marker val="1"/>
        <c:axId val="137197440"/>
        <c:axId val="137198976"/>
      </c:lineChart>
      <c:catAx>
        <c:axId val="1371974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198976"/>
        <c:crossesAt val="0"/>
        <c:auto val="1"/>
        <c:lblAlgn val="ctr"/>
        <c:lblOffset val="100"/>
        <c:tickLblSkip val="1"/>
        <c:tickMarkSkip val="1"/>
      </c:catAx>
      <c:valAx>
        <c:axId val="137198976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197440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'ноябрь 20 (факт)'!$BH$6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'ноябрь 20 (факт)'!$BH$7:$BH$37</c:f>
              <c:numCache>
                <c:formatCode>0.00</c:formatCode>
                <c:ptCount val="31"/>
                <c:pt idx="0">
                  <c:v>235.71000000000004</c:v>
                </c:pt>
                <c:pt idx="1">
                  <c:v>451.98</c:v>
                </c:pt>
                <c:pt idx="2">
                  <c:v>676.59</c:v>
                </c:pt>
                <c:pt idx="3">
                  <c:v>913.77</c:v>
                </c:pt>
                <c:pt idx="4">
                  <c:v>1167.3</c:v>
                </c:pt>
                <c:pt idx="5">
                  <c:v>1370.53</c:v>
                </c:pt>
                <c:pt idx="6">
                  <c:v>1590.57</c:v>
                </c:pt>
                <c:pt idx="7">
                  <c:v>1826.1799999999998</c:v>
                </c:pt>
                <c:pt idx="8">
                  <c:v>2068.6499999999996</c:v>
                </c:pt>
                <c:pt idx="9">
                  <c:v>2332.12</c:v>
                </c:pt>
                <c:pt idx="10">
                  <c:v>2444.0899999999997</c:v>
                </c:pt>
                <c:pt idx="11">
                  <c:v>2581.0599999999995</c:v>
                </c:pt>
                <c:pt idx="12">
                  <c:v>2793.0899999999997</c:v>
                </c:pt>
                <c:pt idx="13">
                  <c:v>3037.2</c:v>
                </c:pt>
                <c:pt idx="14">
                  <c:v>3275.6299999999997</c:v>
                </c:pt>
                <c:pt idx="15">
                  <c:v>3507.9799999999996</c:v>
                </c:pt>
                <c:pt idx="16">
                  <c:v>3728.4799999999996</c:v>
                </c:pt>
                <c:pt idx="17">
                  <c:v>3948.3699999999994</c:v>
                </c:pt>
                <c:pt idx="18">
                  <c:v>4166.2499999999991</c:v>
                </c:pt>
                <c:pt idx="19">
                  <c:v>4395.6999999999989</c:v>
                </c:pt>
                <c:pt idx="20">
                  <c:v>4615.1799999999985</c:v>
                </c:pt>
                <c:pt idx="21">
                  <c:v>4842.7299999999987</c:v>
                </c:pt>
                <c:pt idx="22">
                  <c:v>5090.9999999999982</c:v>
                </c:pt>
                <c:pt idx="23">
                  <c:v>5334.0999999999985</c:v>
                </c:pt>
                <c:pt idx="24">
                  <c:v>5577.2299999999987</c:v>
                </c:pt>
                <c:pt idx="25">
                  <c:v>5801.2299999999987</c:v>
                </c:pt>
                <c:pt idx="26">
                  <c:v>6049.0599999999986</c:v>
                </c:pt>
                <c:pt idx="27">
                  <c:v>6284.7399999999989</c:v>
                </c:pt>
                <c:pt idx="28">
                  <c:v>6544.6899999999987</c:v>
                </c:pt>
                <c:pt idx="29">
                  <c:v>6775.1299999999983</c:v>
                </c:pt>
                <c:pt idx="30">
                  <c:v>6775.1299999999983</c:v>
                </c:pt>
              </c:numCache>
            </c:numRef>
          </c:val>
        </c:ser>
        <c:ser>
          <c:idx val="1"/>
          <c:order val="1"/>
          <c:tx>
            <c:strRef>
              <c:f>'ноябрь 20 (факт)'!$BJ$6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'ноябрь 20 (факт)'!$BJ$7:$BJ$37</c:f>
              <c:numCache>
                <c:formatCode>0.00</c:formatCode>
                <c:ptCount val="31"/>
                <c:pt idx="0">
                  <c:v>222.33333333333334</c:v>
                </c:pt>
                <c:pt idx="1">
                  <c:v>444.66666666666669</c:v>
                </c:pt>
                <c:pt idx="2">
                  <c:v>667</c:v>
                </c:pt>
                <c:pt idx="3">
                  <c:v>889.33333333333337</c:v>
                </c:pt>
                <c:pt idx="4">
                  <c:v>1111.6666666666667</c:v>
                </c:pt>
                <c:pt idx="5">
                  <c:v>1334</c:v>
                </c:pt>
                <c:pt idx="6">
                  <c:v>1556.3333333333333</c:v>
                </c:pt>
                <c:pt idx="7">
                  <c:v>1778.6666666666665</c:v>
                </c:pt>
                <c:pt idx="8">
                  <c:v>2000.9999999999998</c:v>
                </c:pt>
                <c:pt idx="9">
                  <c:v>2223.333333333333</c:v>
                </c:pt>
                <c:pt idx="10">
                  <c:v>2445.6666666666665</c:v>
                </c:pt>
                <c:pt idx="11">
                  <c:v>2668</c:v>
                </c:pt>
                <c:pt idx="12">
                  <c:v>2890.3333333333335</c:v>
                </c:pt>
                <c:pt idx="13">
                  <c:v>3112.666666666667</c:v>
                </c:pt>
                <c:pt idx="14">
                  <c:v>3335.0000000000005</c:v>
                </c:pt>
                <c:pt idx="15">
                  <c:v>3557.3333333333339</c:v>
                </c:pt>
                <c:pt idx="16">
                  <c:v>3779.6666666666674</c:v>
                </c:pt>
                <c:pt idx="17">
                  <c:v>4002.0000000000009</c:v>
                </c:pt>
                <c:pt idx="18">
                  <c:v>4224.3333333333339</c:v>
                </c:pt>
                <c:pt idx="19">
                  <c:v>4446.666666666667</c:v>
                </c:pt>
                <c:pt idx="20">
                  <c:v>4669</c:v>
                </c:pt>
                <c:pt idx="21">
                  <c:v>4891.333333333333</c:v>
                </c:pt>
                <c:pt idx="22">
                  <c:v>5113.6666666666661</c:v>
                </c:pt>
                <c:pt idx="23">
                  <c:v>5335.9999999999991</c:v>
                </c:pt>
                <c:pt idx="24">
                  <c:v>5558.3333333333321</c:v>
                </c:pt>
                <c:pt idx="25">
                  <c:v>5780.6666666666652</c:v>
                </c:pt>
                <c:pt idx="26">
                  <c:v>6002.9999999999982</c:v>
                </c:pt>
                <c:pt idx="27">
                  <c:v>6225.3333333333312</c:v>
                </c:pt>
                <c:pt idx="28">
                  <c:v>6447.6666666666642</c:v>
                </c:pt>
                <c:pt idx="29">
                  <c:v>6669.9999999999973</c:v>
                </c:pt>
                <c:pt idx="30">
                  <c:v>6669.9999999999973</c:v>
                </c:pt>
              </c:numCache>
            </c:numRef>
          </c:val>
        </c:ser>
        <c:marker val="1"/>
        <c:axId val="137383936"/>
        <c:axId val="137385472"/>
      </c:lineChart>
      <c:catAx>
        <c:axId val="1373839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385472"/>
        <c:crossesAt val="0"/>
        <c:auto val="1"/>
        <c:lblAlgn val="ctr"/>
        <c:lblOffset val="100"/>
        <c:tickLblSkip val="1"/>
        <c:tickMarkSkip val="1"/>
      </c:catAx>
      <c:valAx>
        <c:axId val="13738547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383936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'ноябрь 20'!$BH$6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'ноябрь 20'!$BH$7:$BH$37</c:f>
              <c:numCache>
                <c:formatCode>0.00</c:formatCode>
                <c:ptCount val="31"/>
                <c:pt idx="0">
                  <c:v>234.28850000000003</c:v>
                </c:pt>
                <c:pt idx="1">
                  <c:v>461.02350000000001</c:v>
                </c:pt>
                <c:pt idx="2">
                  <c:v>690.375</c:v>
                </c:pt>
                <c:pt idx="3">
                  <c:v>933.04349999999999</c:v>
                </c:pt>
                <c:pt idx="4">
                  <c:v>1180.7950000000001</c:v>
                </c:pt>
                <c:pt idx="5">
                  <c:v>1390.6095</c:v>
                </c:pt>
                <c:pt idx="6">
                  <c:v>1614.098</c:v>
                </c:pt>
                <c:pt idx="7">
                  <c:v>1852.077</c:v>
                </c:pt>
                <c:pt idx="8">
                  <c:v>2090.8105</c:v>
                </c:pt>
                <c:pt idx="9">
                  <c:v>2332.1205</c:v>
                </c:pt>
                <c:pt idx="10">
                  <c:v>2421.623</c:v>
                </c:pt>
                <c:pt idx="11">
                  <c:v>2583.3110000000001</c:v>
                </c:pt>
                <c:pt idx="12">
                  <c:v>2797.0445</c:v>
                </c:pt>
                <c:pt idx="13">
                  <c:v>3046.6859999999997</c:v>
                </c:pt>
                <c:pt idx="14">
                  <c:v>3285.4749999999995</c:v>
                </c:pt>
                <c:pt idx="15">
                  <c:v>3523.9934999999996</c:v>
                </c:pt>
                <c:pt idx="16">
                  <c:v>3748.0519999999997</c:v>
                </c:pt>
                <c:pt idx="17">
                  <c:v>3971.6694999999995</c:v>
                </c:pt>
                <c:pt idx="18">
                  <c:v>4197.3029999999999</c:v>
                </c:pt>
                <c:pt idx="19">
                  <c:v>4395.7029999999995</c:v>
                </c:pt>
                <c:pt idx="20">
                  <c:v>4618.7859999999991</c:v>
                </c:pt>
                <c:pt idx="21">
                  <c:v>4848.2364999999991</c:v>
                </c:pt>
                <c:pt idx="22">
                  <c:v>5099.6829999999991</c:v>
                </c:pt>
                <c:pt idx="23">
                  <c:v>5345.4424999999992</c:v>
                </c:pt>
                <c:pt idx="24">
                  <c:v>5582.0339999999987</c:v>
                </c:pt>
                <c:pt idx="25">
                  <c:v>5815.3104999999987</c:v>
                </c:pt>
                <c:pt idx="26">
                  <c:v>6063.5254999999988</c:v>
                </c:pt>
                <c:pt idx="27">
                  <c:v>6306.3979999999992</c:v>
                </c:pt>
                <c:pt idx="28">
                  <c:v>6563.6489999999994</c:v>
                </c:pt>
                <c:pt idx="29">
                  <c:v>6775.128999999999</c:v>
                </c:pt>
                <c:pt idx="30">
                  <c:v>6775.128999999999</c:v>
                </c:pt>
              </c:numCache>
            </c:numRef>
          </c:val>
        </c:ser>
        <c:ser>
          <c:idx val="1"/>
          <c:order val="1"/>
          <c:tx>
            <c:strRef>
              <c:f>'ноябрь 20'!$BJ$6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'ноябрь 20'!$BJ$7:$BJ$37</c:f>
              <c:numCache>
                <c:formatCode>0.00</c:formatCode>
                <c:ptCount val="31"/>
                <c:pt idx="0">
                  <c:v>222.33333333333334</c:v>
                </c:pt>
                <c:pt idx="1">
                  <c:v>444.66666666666669</c:v>
                </c:pt>
                <c:pt idx="2">
                  <c:v>667</c:v>
                </c:pt>
                <c:pt idx="3">
                  <c:v>889.33333333333337</c:v>
                </c:pt>
                <c:pt idx="4">
                  <c:v>1111.6666666666667</c:v>
                </c:pt>
                <c:pt idx="5">
                  <c:v>1334</c:v>
                </c:pt>
                <c:pt idx="6">
                  <c:v>1556.3333333333333</c:v>
                </c:pt>
                <c:pt idx="7">
                  <c:v>1778.6666666666665</c:v>
                </c:pt>
                <c:pt idx="8">
                  <c:v>2000.9999999999998</c:v>
                </c:pt>
                <c:pt idx="9">
                  <c:v>2223.333333333333</c:v>
                </c:pt>
                <c:pt idx="10">
                  <c:v>2445.6666666666665</c:v>
                </c:pt>
                <c:pt idx="11">
                  <c:v>2668</c:v>
                </c:pt>
                <c:pt idx="12">
                  <c:v>2890.3333333333335</c:v>
                </c:pt>
                <c:pt idx="13">
                  <c:v>3112.666666666667</c:v>
                </c:pt>
                <c:pt idx="14">
                  <c:v>3335.0000000000005</c:v>
                </c:pt>
                <c:pt idx="15">
                  <c:v>3557.3333333333339</c:v>
                </c:pt>
                <c:pt idx="16">
                  <c:v>3779.6666666666674</c:v>
                </c:pt>
                <c:pt idx="17">
                  <c:v>4002.0000000000009</c:v>
                </c:pt>
                <c:pt idx="18">
                  <c:v>4224.3333333333339</c:v>
                </c:pt>
                <c:pt idx="19">
                  <c:v>4446.666666666667</c:v>
                </c:pt>
                <c:pt idx="20">
                  <c:v>4669</c:v>
                </c:pt>
                <c:pt idx="21">
                  <c:v>4891.333333333333</c:v>
                </c:pt>
                <c:pt idx="22">
                  <c:v>5113.6666666666661</c:v>
                </c:pt>
                <c:pt idx="23">
                  <c:v>5335.9999999999991</c:v>
                </c:pt>
                <c:pt idx="24">
                  <c:v>5558.3333333333321</c:v>
                </c:pt>
                <c:pt idx="25">
                  <c:v>5780.6666666666652</c:v>
                </c:pt>
                <c:pt idx="26">
                  <c:v>6002.9999999999982</c:v>
                </c:pt>
                <c:pt idx="27">
                  <c:v>6225.3333333333312</c:v>
                </c:pt>
                <c:pt idx="28">
                  <c:v>6447.6666666666642</c:v>
                </c:pt>
                <c:pt idx="29">
                  <c:v>6669.9999999999973</c:v>
                </c:pt>
                <c:pt idx="30">
                  <c:v>6669.9999999999973</c:v>
                </c:pt>
              </c:numCache>
            </c:numRef>
          </c:val>
        </c:ser>
        <c:marker val="1"/>
        <c:axId val="137815552"/>
        <c:axId val="137817088"/>
      </c:lineChart>
      <c:catAx>
        <c:axId val="1378155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817088"/>
        <c:crossesAt val="0"/>
        <c:auto val="1"/>
        <c:lblAlgn val="ctr"/>
        <c:lblOffset val="100"/>
        <c:tickLblSkip val="1"/>
        <c:tickMarkSkip val="1"/>
      </c:catAx>
      <c:valAx>
        <c:axId val="137817088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81555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'ноябрь 20 (+агл,кокс)'!$BH$6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'ноябрь 20 (+агл,кокс)'!$BH$7:$BH$37</c:f>
              <c:numCache>
                <c:formatCode>0.00</c:formatCode>
                <c:ptCount val="31"/>
                <c:pt idx="0">
                  <c:v>234.28850000000003</c:v>
                </c:pt>
                <c:pt idx="1">
                  <c:v>461.02350000000001</c:v>
                </c:pt>
                <c:pt idx="2">
                  <c:v>690.375</c:v>
                </c:pt>
                <c:pt idx="3">
                  <c:v>933.04349999999999</c:v>
                </c:pt>
                <c:pt idx="4">
                  <c:v>1180.7950000000001</c:v>
                </c:pt>
                <c:pt idx="5">
                  <c:v>1390.6095</c:v>
                </c:pt>
                <c:pt idx="6">
                  <c:v>1614.098</c:v>
                </c:pt>
                <c:pt idx="7">
                  <c:v>1852.077</c:v>
                </c:pt>
                <c:pt idx="8">
                  <c:v>2090.8105</c:v>
                </c:pt>
                <c:pt idx="9">
                  <c:v>2332.1205</c:v>
                </c:pt>
                <c:pt idx="10">
                  <c:v>2421.623</c:v>
                </c:pt>
                <c:pt idx="11">
                  <c:v>2583.3110000000001</c:v>
                </c:pt>
                <c:pt idx="12">
                  <c:v>2797.0445</c:v>
                </c:pt>
                <c:pt idx="13">
                  <c:v>3046.6859999999997</c:v>
                </c:pt>
                <c:pt idx="14">
                  <c:v>3285.4749999999995</c:v>
                </c:pt>
                <c:pt idx="15">
                  <c:v>3523.9934999999996</c:v>
                </c:pt>
                <c:pt idx="16">
                  <c:v>3748.0519999999997</c:v>
                </c:pt>
                <c:pt idx="17">
                  <c:v>3971.6694999999995</c:v>
                </c:pt>
                <c:pt idx="18">
                  <c:v>4197.3029999999999</c:v>
                </c:pt>
                <c:pt idx="19">
                  <c:v>4395.7029999999995</c:v>
                </c:pt>
                <c:pt idx="20">
                  <c:v>4618.7859999999991</c:v>
                </c:pt>
                <c:pt idx="21">
                  <c:v>4848.2364999999991</c:v>
                </c:pt>
                <c:pt idx="22">
                  <c:v>5099.6829999999991</c:v>
                </c:pt>
                <c:pt idx="23">
                  <c:v>5345.4424999999992</c:v>
                </c:pt>
                <c:pt idx="24">
                  <c:v>5582.0339999999987</c:v>
                </c:pt>
                <c:pt idx="25">
                  <c:v>5815.3104999999987</c:v>
                </c:pt>
                <c:pt idx="26">
                  <c:v>6063.5254999999988</c:v>
                </c:pt>
                <c:pt idx="27">
                  <c:v>6306.3979999999992</c:v>
                </c:pt>
                <c:pt idx="28">
                  <c:v>6563.6489999999994</c:v>
                </c:pt>
                <c:pt idx="29">
                  <c:v>6775.128999999999</c:v>
                </c:pt>
                <c:pt idx="30">
                  <c:v>6775.128999999999</c:v>
                </c:pt>
              </c:numCache>
            </c:numRef>
          </c:val>
        </c:ser>
        <c:ser>
          <c:idx val="1"/>
          <c:order val="1"/>
          <c:tx>
            <c:strRef>
              <c:f>'ноябрь 20 (+агл,кокс)'!$BJ$6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'ноябрь 20 (+агл,кокс)'!$BJ$7:$BJ$37</c:f>
              <c:numCache>
                <c:formatCode>0.00</c:formatCode>
                <c:ptCount val="31"/>
                <c:pt idx="0">
                  <c:v>222.33333333333334</c:v>
                </c:pt>
                <c:pt idx="1">
                  <c:v>444.66666666666669</c:v>
                </c:pt>
                <c:pt idx="2">
                  <c:v>667</c:v>
                </c:pt>
                <c:pt idx="3">
                  <c:v>889.33333333333337</c:v>
                </c:pt>
                <c:pt idx="4">
                  <c:v>1111.6666666666667</c:v>
                </c:pt>
                <c:pt idx="5">
                  <c:v>1334</c:v>
                </c:pt>
                <c:pt idx="6">
                  <c:v>1556.3333333333333</c:v>
                </c:pt>
                <c:pt idx="7">
                  <c:v>1778.6666666666665</c:v>
                </c:pt>
                <c:pt idx="8">
                  <c:v>2000.9999999999998</c:v>
                </c:pt>
                <c:pt idx="9">
                  <c:v>2223.333333333333</c:v>
                </c:pt>
                <c:pt idx="10">
                  <c:v>2445.6666666666665</c:v>
                </c:pt>
                <c:pt idx="11">
                  <c:v>2668</c:v>
                </c:pt>
                <c:pt idx="12">
                  <c:v>2890.3333333333335</c:v>
                </c:pt>
                <c:pt idx="13">
                  <c:v>3112.666666666667</c:v>
                </c:pt>
                <c:pt idx="14">
                  <c:v>3335.0000000000005</c:v>
                </c:pt>
                <c:pt idx="15">
                  <c:v>3557.3333333333339</c:v>
                </c:pt>
                <c:pt idx="16">
                  <c:v>3779.6666666666674</c:v>
                </c:pt>
                <c:pt idx="17">
                  <c:v>4002.0000000000009</c:v>
                </c:pt>
                <c:pt idx="18">
                  <c:v>4224.3333333333339</c:v>
                </c:pt>
                <c:pt idx="19">
                  <c:v>4446.666666666667</c:v>
                </c:pt>
                <c:pt idx="20">
                  <c:v>4669</c:v>
                </c:pt>
                <c:pt idx="21">
                  <c:v>4891.333333333333</c:v>
                </c:pt>
                <c:pt idx="22">
                  <c:v>5113.6666666666661</c:v>
                </c:pt>
                <c:pt idx="23">
                  <c:v>5335.9999999999991</c:v>
                </c:pt>
                <c:pt idx="24">
                  <c:v>5558.3333333333321</c:v>
                </c:pt>
                <c:pt idx="25">
                  <c:v>5780.6666666666652</c:v>
                </c:pt>
                <c:pt idx="26">
                  <c:v>6002.9999999999982</c:v>
                </c:pt>
                <c:pt idx="27">
                  <c:v>6225.3333333333312</c:v>
                </c:pt>
                <c:pt idx="28">
                  <c:v>6447.6666666666642</c:v>
                </c:pt>
                <c:pt idx="29">
                  <c:v>6669.9999999999973</c:v>
                </c:pt>
                <c:pt idx="30">
                  <c:v>6669.9999999999973</c:v>
                </c:pt>
              </c:numCache>
            </c:numRef>
          </c:val>
        </c:ser>
        <c:marker val="1"/>
        <c:axId val="137845760"/>
        <c:axId val="137868032"/>
      </c:lineChart>
      <c:catAx>
        <c:axId val="1378457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868032"/>
        <c:crossesAt val="0"/>
        <c:auto val="1"/>
        <c:lblAlgn val="ctr"/>
        <c:lblOffset val="100"/>
        <c:tickLblSkip val="1"/>
        <c:tickMarkSkip val="1"/>
      </c:catAx>
      <c:valAx>
        <c:axId val="13786803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845760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'декабрь 20 (факт)'!$BH$6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'декабрь 20 (факт)'!$BH$7:$BH$37</c:f>
              <c:numCache>
                <c:formatCode>0.00</c:formatCode>
                <c:ptCount val="31"/>
                <c:pt idx="0">
                  <c:v>119.44999999999997</c:v>
                </c:pt>
                <c:pt idx="1">
                  <c:v>307.97999999999996</c:v>
                </c:pt>
                <c:pt idx="2">
                  <c:v>517.77</c:v>
                </c:pt>
                <c:pt idx="3">
                  <c:v>750.92</c:v>
                </c:pt>
                <c:pt idx="4">
                  <c:v>983.31</c:v>
                </c:pt>
                <c:pt idx="5">
                  <c:v>1212.83</c:v>
                </c:pt>
                <c:pt idx="6">
                  <c:v>1450.61</c:v>
                </c:pt>
                <c:pt idx="7">
                  <c:v>1664.7099999999998</c:v>
                </c:pt>
                <c:pt idx="8">
                  <c:v>1878.5699999999997</c:v>
                </c:pt>
                <c:pt idx="9">
                  <c:v>2058.91</c:v>
                </c:pt>
                <c:pt idx="10">
                  <c:v>2301.02</c:v>
                </c:pt>
                <c:pt idx="11">
                  <c:v>2542.6799999999998</c:v>
                </c:pt>
                <c:pt idx="12">
                  <c:v>2770.1099999999997</c:v>
                </c:pt>
                <c:pt idx="13">
                  <c:v>2991.8599999999997</c:v>
                </c:pt>
                <c:pt idx="14">
                  <c:v>3219.5499999999997</c:v>
                </c:pt>
                <c:pt idx="15">
                  <c:v>3440.3199999999997</c:v>
                </c:pt>
                <c:pt idx="16">
                  <c:v>3673.4399999999996</c:v>
                </c:pt>
                <c:pt idx="17">
                  <c:v>3903.6199999999994</c:v>
                </c:pt>
                <c:pt idx="18">
                  <c:v>4153.2899999999991</c:v>
                </c:pt>
                <c:pt idx="19">
                  <c:v>4396.7699999999986</c:v>
                </c:pt>
                <c:pt idx="20">
                  <c:v>4615.8099999999986</c:v>
                </c:pt>
                <c:pt idx="21">
                  <c:v>4809.6399999999985</c:v>
                </c:pt>
                <c:pt idx="22">
                  <c:v>5036.869999999999</c:v>
                </c:pt>
                <c:pt idx="23">
                  <c:v>5275.0099999999993</c:v>
                </c:pt>
                <c:pt idx="24">
                  <c:v>5390.07</c:v>
                </c:pt>
                <c:pt idx="25">
                  <c:v>5587.7999999999993</c:v>
                </c:pt>
                <c:pt idx="26">
                  <c:v>5830.57</c:v>
                </c:pt>
                <c:pt idx="27">
                  <c:v>6061.2999999999993</c:v>
                </c:pt>
                <c:pt idx="28">
                  <c:v>6291.2799999999988</c:v>
                </c:pt>
                <c:pt idx="29">
                  <c:v>6426.0599999999986</c:v>
                </c:pt>
                <c:pt idx="30">
                  <c:v>6685.3299999999981</c:v>
                </c:pt>
              </c:numCache>
            </c:numRef>
          </c:val>
        </c:ser>
        <c:ser>
          <c:idx val="1"/>
          <c:order val="1"/>
          <c:tx>
            <c:strRef>
              <c:f>'декабрь 20 (факт)'!$BJ$6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'декабрь 20 (факт)'!$BJ$7:$BJ$37</c:f>
              <c:numCache>
                <c:formatCode>0.00</c:formatCode>
                <c:ptCount val="31"/>
                <c:pt idx="0">
                  <c:v>225.16129032258064</c:v>
                </c:pt>
                <c:pt idx="1">
                  <c:v>450.32258064516128</c:v>
                </c:pt>
                <c:pt idx="2">
                  <c:v>675.48387096774195</c:v>
                </c:pt>
                <c:pt idx="3">
                  <c:v>900.64516129032256</c:v>
                </c:pt>
                <c:pt idx="4">
                  <c:v>1125.8064516129032</c:v>
                </c:pt>
                <c:pt idx="5">
                  <c:v>1350.9677419354839</c:v>
                </c:pt>
                <c:pt idx="6">
                  <c:v>1576.1290322580646</c:v>
                </c:pt>
                <c:pt idx="7">
                  <c:v>1801.2903225806454</c:v>
                </c:pt>
                <c:pt idx="8">
                  <c:v>2026.4516129032261</c:v>
                </c:pt>
                <c:pt idx="9">
                  <c:v>2251.6129032258068</c:v>
                </c:pt>
                <c:pt idx="10">
                  <c:v>2476.7741935483873</c:v>
                </c:pt>
                <c:pt idx="11">
                  <c:v>2701.9354838709678</c:v>
                </c:pt>
                <c:pt idx="12">
                  <c:v>2927.0967741935483</c:v>
                </c:pt>
                <c:pt idx="13">
                  <c:v>3152.2580645161288</c:v>
                </c:pt>
                <c:pt idx="14">
                  <c:v>3377.4193548387093</c:v>
                </c:pt>
                <c:pt idx="15">
                  <c:v>3602.5806451612898</c:v>
                </c:pt>
                <c:pt idx="16">
                  <c:v>3827.7419354838703</c:v>
                </c:pt>
                <c:pt idx="17">
                  <c:v>4052.9032258064508</c:v>
                </c:pt>
                <c:pt idx="18">
                  <c:v>4278.0645161290313</c:v>
                </c:pt>
                <c:pt idx="19">
                  <c:v>4503.2258064516118</c:v>
                </c:pt>
                <c:pt idx="20">
                  <c:v>4728.3870967741923</c:v>
                </c:pt>
                <c:pt idx="21">
                  <c:v>4953.5483870967728</c:v>
                </c:pt>
                <c:pt idx="22">
                  <c:v>5178.7096774193533</c:v>
                </c:pt>
                <c:pt idx="23">
                  <c:v>5403.8709677419338</c:v>
                </c:pt>
                <c:pt idx="24">
                  <c:v>5629.0322580645143</c:v>
                </c:pt>
                <c:pt idx="25">
                  <c:v>5854.1935483870948</c:v>
                </c:pt>
                <c:pt idx="26">
                  <c:v>6079.3548387096753</c:v>
                </c:pt>
                <c:pt idx="27">
                  <c:v>6304.5161290322558</c:v>
                </c:pt>
                <c:pt idx="28">
                  <c:v>6529.6774193548363</c:v>
                </c:pt>
                <c:pt idx="29">
                  <c:v>6754.8387096774168</c:v>
                </c:pt>
                <c:pt idx="30">
                  <c:v>6979.9999999999973</c:v>
                </c:pt>
              </c:numCache>
            </c:numRef>
          </c:val>
        </c:ser>
        <c:marker val="1"/>
        <c:axId val="138023680"/>
        <c:axId val="138025216"/>
      </c:lineChart>
      <c:catAx>
        <c:axId val="1380236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025216"/>
        <c:crossesAt val="0"/>
        <c:auto val="1"/>
        <c:lblAlgn val="ctr"/>
        <c:lblOffset val="100"/>
        <c:tickLblSkip val="1"/>
        <c:tickMarkSkip val="1"/>
      </c:catAx>
      <c:valAx>
        <c:axId val="138025216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023680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1100922404011269"/>
          <c:y val="9.2672413793103467E-2"/>
          <c:w val="0.8761471814736157"/>
          <c:h val="0.82327586206896564"/>
        </c:manualLayout>
      </c:layout>
      <c:lineChart>
        <c:grouping val="standard"/>
        <c:ser>
          <c:idx val="0"/>
          <c:order val="0"/>
          <c:tx>
            <c:strRef>
              <c:f>'декабрь 20'!$BH$6</c:f>
              <c:strCache>
                <c:ptCount val="1"/>
                <c:pt idx="0">
                  <c:v>FeMn
НИ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val>
            <c:numRef>
              <c:f>'декабрь 20'!$BH$7:$BH$37</c:f>
              <c:numCache>
                <c:formatCode>0.00</c:formatCode>
                <c:ptCount val="31"/>
                <c:pt idx="0">
                  <c:v>129.42699999999999</c:v>
                </c:pt>
                <c:pt idx="1">
                  <c:v>332.34000000000003</c:v>
                </c:pt>
                <c:pt idx="2">
                  <c:v>549.06200000000001</c:v>
                </c:pt>
                <c:pt idx="3">
                  <c:v>787.88900000000001</c:v>
                </c:pt>
                <c:pt idx="4">
                  <c:v>1022.197</c:v>
                </c:pt>
                <c:pt idx="5">
                  <c:v>1258.711</c:v>
                </c:pt>
                <c:pt idx="6">
                  <c:v>1491.049</c:v>
                </c:pt>
                <c:pt idx="7">
                  <c:v>1709.6904999999999</c:v>
                </c:pt>
                <c:pt idx="8">
                  <c:v>1932.3335</c:v>
                </c:pt>
                <c:pt idx="9">
                  <c:v>2058.9135000000001</c:v>
                </c:pt>
                <c:pt idx="10">
                  <c:v>2301.3340000000003</c:v>
                </c:pt>
                <c:pt idx="11">
                  <c:v>2542.7980000000002</c:v>
                </c:pt>
                <c:pt idx="12">
                  <c:v>2774.826</c:v>
                </c:pt>
                <c:pt idx="13">
                  <c:v>3000.317</c:v>
                </c:pt>
                <c:pt idx="14">
                  <c:v>3228.3530000000001</c:v>
                </c:pt>
                <c:pt idx="15">
                  <c:v>3451.9805000000001</c:v>
                </c:pt>
                <c:pt idx="16">
                  <c:v>3678.3340000000003</c:v>
                </c:pt>
                <c:pt idx="17">
                  <c:v>3911.1945000000005</c:v>
                </c:pt>
                <c:pt idx="18">
                  <c:v>4153.8255000000008</c:v>
                </c:pt>
                <c:pt idx="19">
                  <c:v>4396.7655000000004</c:v>
                </c:pt>
                <c:pt idx="20">
                  <c:v>4617.9275000000007</c:v>
                </c:pt>
                <c:pt idx="21">
                  <c:v>4824.9490000000005</c:v>
                </c:pt>
                <c:pt idx="22">
                  <c:v>5046.9150000000009</c:v>
                </c:pt>
                <c:pt idx="23">
                  <c:v>5282.8465000000006</c:v>
                </c:pt>
                <c:pt idx="24">
                  <c:v>5407.7455000000009</c:v>
                </c:pt>
                <c:pt idx="25">
                  <c:v>5606.1590000000006</c:v>
                </c:pt>
                <c:pt idx="26">
                  <c:v>5846.5825000000004</c:v>
                </c:pt>
                <c:pt idx="27">
                  <c:v>6080.2855</c:v>
                </c:pt>
                <c:pt idx="28">
                  <c:v>6313.1305000000002</c:v>
                </c:pt>
                <c:pt idx="29">
                  <c:v>6463.7165000000005</c:v>
                </c:pt>
                <c:pt idx="30">
                  <c:v>6685.3265000000001</c:v>
                </c:pt>
              </c:numCache>
            </c:numRef>
          </c:val>
        </c:ser>
        <c:ser>
          <c:idx val="1"/>
          <c:order val="1"/>
          <c:tx>
            <c:strRef>
              <c:f>'декабрь 20'!$BJ$6</c:f>
              <c:strCache>
                <c:ptCount val="1"/>
                <c:pt idx="0">
                  <c:v>План по нараст.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'декабрь 20'!$BJ$7:$BJ$37</c:f>
              <c:numCache>
                <c:formatCode>0.00</c:formatCode>
                <c:ptCount val="31"/>
                <c:pt idx="0">
                  <c:v>225.16129032258064</c:v>
                </c:pt>
                <c:pt idx="1">
                  <c:v>450.32258064516128</c:v>
                </c:pt>
                <c:pt idx="2">
                  <c:v>675.48387096774195</c:v>
                </c:pt>
                <c:pt idx="3">
                  <c:v>900.64516129032256</c:v>
                </c:pt>
                <c:pt idx="4">
                  <c:v>1125.8064516129032</c:v>
                </c:pt>
                <c:pt idx="5">
                  <c:v>1350.9677419354839</c:v>
                </c:pt>
                <c:pt idx="6">
                  <c:v>1576.1290322580646</c:v>
                </c:pt>
                <c:pt idx="7">
                  <c:v>1801.2903225806454</c:v>
                </c:pt>
                <c:pt idx="8">
                  <c:v>2026.4516129032261</c:v>
                </c:pt>
                <c:pt idx="9">
                  <c:v>2251.6129032258068</c:v>
                </c:pt>
                <c:pt idx="10">
                  <c:v>2476.7741935483873</c:v>
                </c:pt>
                <c:pt idx="11">
                  <c:v>2701.9354838709678</c:v>
                </c:pt>
                <c:pt idx="12">
                  <c:v>2927.0967741935483</c:v>
                </c:pt>
                <c:pt idx="13">
                  <c:v>3152.2580645161288</c:v>
                </c:pt>
                <c:pt idx="14">
                  <c:v>3377.4193548387093</c:v>
                </c:pt>
                <c:pt idx="15">
                  <c:v>3602.5806451612898</c:v>
                </c:pt>
                <c:pt idx="16">
                  <c:v>3827.7419354838703</c:v>
                </c:pt>
                <c:pt idx="17">
                  <c:v>4052.9032258064508</c:v>
                </c:pt>
                <c:pt idx="18">
                  <c:v>4278.0645161290313</c:v>
                </c:pt>
                <c:pt idx="19">
                  <c:v>4503.2258064516118</c:v>
                </c:pt>
                <c:pt idx="20">
                  <c:v>4728.3870967741923</c:v>
                </c:pt>
                <c:pt idx="21">
                  <c:v>4953.5483870967728</c:v>
                </c:pt>
                <c:pt idx="22">
                  <c:v>5178.7096774193533</c:v>
                </c:pt>
                <c:pt idx="23">
                  <c:v>5403.8709677419338</c:v>
                </c:pt>
                <c:pt idx="24">
                  <c:v>5629.0322580645143</c:v>
                </c:pt>
                <c:pt idx="25">
                  <c:v>5854.1935483870948</c:v>
                </c:pt>
                <c:pt idx="26">
                  <c:v>6079.3548387096753</c:v>
                </c:pt>
                <c:pt idx="27">
                  <c:v>6304.5161290322558</c:v>
                </c:pt>
                <c:pt idx="28">
                  <c:v>6529.6774193548363</c:v>
                </c:pt>
                <c:pt idx="29">
                  <c:v>6754.8387096774168</c:v>
                </c:pt>
                <c:pt idx="30">
                  <c:v>6979.9999999999973</c:v>
                </c:pt>
              </c:numCache>
            </c:numRef>
          </c:val>
        </c:ser>
        <c:marker val="1"/>
        <c:axId val="138397952"/>
        <c:axId val="138227712"/>
      </c:lineChart>
      <c:catAx>
        <c:axId val="1383979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227712"/>
        <c:crossesAt val="0"/>
        <c:auto val="1"/>
        <c:lblAlgn val="ctr"/>
        <c:lblOffset val="100"/>
        <c:tickLblSkip val="1"/>
        <c:tickMarkSkip val="1"/>
      </c:catAx>
      <c:valAx>
        <c:axId val="138227712"/>
        <c:scaling>
          <c:orientation val="minMax"/>
          <c:max val="760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8397952"/>
        <c:crossesAt val="1"/>
        <c:crossBetween val="midCat"/>
        <c:majorUnit val="1000"/>
        <c:minorUnit val="20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0" l="0" r="0" t="0" header="0" footer="0"/>
    <c:pageSetup paperSize="9" firstPageNumber="0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22</xdr:col>
      <xdr:colOff>257175</xdr:colOff>
      <xdr:row>47</xdr:row>
      <xdr:rowOff>114300</xdr:rowOff>
    </xdr:from>
    <xdr:to>
      <xdr:col>49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257175</xdr:colOff>
      <xdr:row>47</xdr:row>
      <xdr:rowOff>114300</xdr:rowOff>
    </xdr:from>
    <xdr:to>
      <xdr:col>52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257175</xdr:colOff>
      <xdr:row>47</xdr:row>
      <xdr:rowOff>114300</xdr:rowOff>
    </xdr:from>
    <xdr:to>
      <xdr:col>52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257175</xdr:colOff>
      <xdr:row>47</xdr:row>
      <xdr:rowOff>114300</xdr:rowOff>
    </xdr:from>
    <xdr:to>
      <xdr:col>52</xdr:col>
      <xdr:colOff>400050</xdr:colOff>
      <xdr:row>71</xdr:row>
      <xdr:rowOff>161925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46</xdr:row>
      <xdr:rowOff>52917</xdr:rowOff>
    </xdr:from>
    <xdr:to>
      <xdr:col>52</xdr:col>
      <xdr:colOff>442383</xdr:colOff>
      <xdr:row>70</xdr:row>
      <xdr:rowOff>211667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7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3811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238375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3811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2238375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00150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184785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287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193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287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193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2287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20193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7" name="Text 1"/>
        <xdr:cNvSpPr txBox="1">
          <a:spLocks noChangeArrowheads="1"/>
        </xdr:cNvSpPr>
      </xdr:nvSpPr>
      <xdr:spPr bwMode="auto">
        <a:xfrm>
          <a:off x="12287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20193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287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193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7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5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17</xdr:row>
      <xdr:rowOff>123825</xdr:rowOff>
    </xdr:from>
    <xdr:to>
      <xdr:col>2</xdr:col>
      <xdr:colOff>361950</xdr:colOff>
      <xdr:row>18</xdr:row>
      <xdr:rowOff>47625</xdr:rowOff>
    </xdr:to>
    <xdr:sp macro="" textlink="">
      <xdr:nvSpPr>
        <xdr:cNvPr id="2" name="Text 1"/>
        <xdr:cNvSpPr txBox="1">
          <a:spLocks noChangeArrowheads="1"/>
        </xdr:cNvSpPr>
      </xdr:nvSpPr>
      <xdr:spPr bwMode="auto">
        <a:xfrm>
          <a:off x="1266825" y="5267325"/>
          <a:ext cx="95250" cy="133350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5</xdr:col>
      <xdr:colOff>28575</xdr:colOff>
      <xdr:row>17</xdr:row>
      <xdr:rowOff>114300</xdr:rowOff>
    </xdr:from>
    <xdr:to>
      <xdr:col>5</xdr:col>
      <xdr:colOff>104775</xdr:colOff>
      <xdr:row>18</xdr:row>
      <xdr:rowOff>28575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2057400" y="5257800"/>
          <a:ext cx="76200" cy="123825"/>
        </a:xfrm>
        <a:prstGeom prst="rect">
          <a:avLst/>
        </a:prstGeom>
        <a:noFill/>
        <a:ln w="9525">
          <a:noFill/>
          <a:round/>
          <a:headEnd/>
          <a:tailEnd/>
        </a:ln>
      </xdr:spPr>
    </xdr:sp>
    <xdr:clientData/>
  </xdr:twoCellAnchor>
  <xdr:twoCellAnchor>
    <xdr:from>
      <xdr:col>25</xdr:col>
      <xdr:colOff>299508</xdr:colOff>
      <xdr:row>47</xdr:row>
      <xdr:rowOff>1</xdr:rowOff>
    </xdr:from>
    <xdr:to>
      <xdr:col>52</xdr:col>
      <xdr:colOff>442383</xdr:colOff>
      <xdr:row>71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9;&#1095;&#1077;&#1090;%20&#1095;&#1091;&#1075;&#1091;&#1085;&#1072;%20&#1044;&#1055;_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80;&#1089;&#1087;&#1077;&#1090;&#1095;&#1077;&#1088;&#1089;&#1082;&#1072;&#1103;/&#1053;&#1086;&#1074;&#1072;&#1103;%20&#1087;&#1072;&#1087;&#1082;&#1072;/&#1057;&#1074;&#1077;&#1076;%20&#1087;&#1086;%20&#1095;&#1091;&#1075;&#1091;&#1085;&#1091;%20&#1044;&#1055;_3%20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4;&#1080;&#1089;&#1087;&#1077;&#1090;&#1095;&#1077;&#1088;&#1089;&#1082;&#1072;&#1103;/&#1044;&#1083;&#1103;%20&#1050;&#1091;&#1095;&#1084;&#1080;&#1089;&#1090;&#1086;&#1075;&#1086;%20&#1045;.&#1042;/&#1056;&#1072;&#1073;&#1086;&#1095;&#1072;&#1103;%202020&#1075;/&#1057;&#1074;&#1077;&#1076;%20&#1087;&#1086;%20&#1095;&#1091;&#1075;&#1091;&#1085;&#1091;%20&#1044;&#1055;_3%20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2;&#1077;&#1083;&#1086;&#1095;&#1100;%20&#1060;&#1084;&#108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февраль 20"/>
      <sheetName val="Диаграмма1"/>
      <sheetName val="март 20"/>
      <sheetName val="апрель 20"/>
      <sheetName val="май 20"/>
      <sheetName val="июнь 20"/>
      <sheetName val="июль 20"/>
      <sheetName val="август 20"/>
      <sheetName val="сентябрь 20"/>
      <sheetName val="октябрь 20"/>
      <sheetName val="ноябрь 20"/>
      <sheetName val="декабрь 20"/>
    </sheetNames>
    <sheetDataSet>
      <sheetData sheetId="0">
        <row r="6">
          <cell r="K6">
            <v>491.91199999999998</v>
          </cell>
          <cell r="S6">
            <v>290.779</v>
          </cell>
          <cell r="W6"/>
          <cell r="AA6">
            <v>4.3529999999999998</v>
          </cell>
          <cell r="AI6">
            <v>213.066</v>
          </cell>
        </row>
        <row r="7">
          <cell r="K7">
            <v>518.38599999999997</v>
          </cell>
          <cell r="S7">
            <v>311.08999999999997</v>
          </cell>
          <cell r="W7"/>
          <cell r="AA7">
            <v>1.8779999999999999</v>
          </cell>
          <cell r="AI7">
            <v>224.62100000000001</v>
          </cell>
        </row>
        <row r="8">
          <cell r="K8">
            <v>558.20799999999997</v>
          </cell>
          <cell r="S8">
            <v>334.74299999999999</v>
          </cell>
          <cell r="W8"/>
          <cell r="AA8">
            <v>3.1419999999999999</v>
          </cell>
          <cell r="AI8">
            <v>240.56100000000001</v>
          </cell>
        </row>
        <row r="9">
          <cell r="K9">
            <v>462.65499999999997</v>
          </cell>
          <cell r="S9">
            <v>279.03500000000003</v>
          </cell>
          <cell r="W9"/>
          <cell r="AA9">
            <v>3.0539999999999998</v>
          </cell>
          <cell r="AI9">
            <v>200.131</v>
          </cell>
        </row>
        <row r="10">
          <cell r="K10">
            <v>435.31400000000002</v>
          </cell>
          <cell r="S10">
            <v>259.53899999999999</v>
          </cell>
          <cell r="W10"/>
          <cell r="AA10">
            <v>3.2210000000000001</v>
          </cell>
          <cell r="AI10">
            <v>187.89500000000001</v>
          </cell>
        </row>
        <row r="11">
          <cell r="K11">
            <v>460.83100000000002</v>
          </cell>
          <cell r="S11">
            <v>274.88200000000001</v>
          </cell>
          <cell r="W11"/>
          <cell r="AA11">
            <v>3.1640000000000001</v>
          </cell>
          <cell r="AI11">
            <v>198.97200000000001</v>
          </cell>
        </row>
        <row r="12">
          <cell r="K12">
            <v>511.108</v>
          </cell>
          <cell r="S12">
            <v>305.69499999999999</v>
          </cell>
          <cell r="W12"/>
          <cell r="AA12">
            <v>2.2469999999999999</v>
          </cell>
          <cell r="AI12">
            <v>215.346</v>
          </cell>
        </row>
        <row r="13">
          <cell r="K13">
            <v>429.26</v>
          </cell>
          <cell r="S13">
            <v>254.708</v>
          </cell>
          <cell r="W13">
            <v>2.1509999999999998</v>
          </cell>
          <cell r="AA13"/>
          <cell r="AI13">
            <v>171.589</v>
          </cell>
        </row>
        <row r="14">
          <cell r="K14">
            <v>479.45299999999997</v>
          </cell>
          <cell r="S14">
            <v>286.31099999999998</v>
          </cell>
          <cell r="W14">
            <v>9.7249999999999996</v>
          </cell>
          <cell r="AA14"/>
          <cell r="AI14">
            <v>180.99799999999999</v>
          </cell>
        </row>
        <row r="15">
          <cell r="K15">
            <v>434.125</v>
          </cell>
          <cell r="S15">
            <v>257.69099999999997</v>
          </cell>
          <cell r="W15">
            <v>8.7230000000000008</v>
          </cell>
          <cell r="AA15"/>
          <cell r="AI15">
            <v>144.16800000000001</v>
          </cell>
        </row>
        <row r="16">
          <cell r="K16">
            <v>462.94299999999998</v>
          </cell>
          <cell r="S16">
            <v>272.05200000000002</v>
          </cell>
          <cell r="W16">
            <v>9.5359999999999996</v>
          </cell>
          <cell r="AA16"/>
          <cell r="AI16">
            <v>154.08799999999999</v>
          </cell>
        </row>
        <row r="17">
          <cell r="K17">
            <v>260.13499999999999</v>
          </cell>
          <cell r="S17">
            <v>155.45400000000001</v>
          </cell>
          <cell r="W17">
            <v>1.62</v>
          </cell>
          <cell r="AA17"/>
          <cell r="AI17">
            <v>62.674999999999997</v>
          </cell>
        </row>
        <row r="18">
          <cell r="K18">
            <v>359.49299999999999</v>
          </cell>
          <cell r="S18">
            <v>209.19399999999999</v>
          </cell>
          <cell r="W18"/>
          <cell r="AA18"/>
          <cell r="AI18">
            <v>65.935000000000002</v>
          </cell>
        </row>
        <row r="19">
          <cell r="K19">
            <v>474.44600000000003</v>
          </cell>
          <cell r="S19">
            <v>271.67700000000002</v>
          </cell>
          <cell r="W19"/>
          <cell r="AA19"/>
          <cell r="AI19">
            <v>86.837999999999994</v>
          </cell>
        </row>
        <row r="20">
          <cell r="K20">
            <v>390.38900000000001</v>
          </cell>
          <cell r="S20">
            <v>232.536</v>
          </cell>
          <cell r="W20"/>
          <cell r="AA20"/>
          <cell r="AI20">
            <v>70.977999999999994</v>
          </cell>
        </row>
        <row r="21">
          <cell r="K21">
            <v>468.14299999999997</v>
          </cell>
          <cell r="S21">
            <v>280.59300000000002</v>
          </cell>
          <cell r="W21"/>
          <cell r="AA21"/>
          <cell r="AI21">
            <v>85.707999999999998</v>
          </cell>
        </row>
        <row r="22">
          <cell r="K22">
            <v>431.86700000000002</v>
          </cell>
          <cell r="S22">
            <v>259.88400000000001</v>
          </cell>
          <cell r="W22"/>
          <cell r="AA22"/>
          <cell r="AI22">
            <v>79.195999999999998</v>
          </cell>
        </row>
        <row r="23">
          <cell r="K23">
            <v>492.262</v>
          </cell>
          <cell r="S23">
            <v>297.375</v>
          </cell>
          <cell r="W23"/>
          <cell r="AA23"/>
          <cell r="AI23">
            <v>90.269000000000005</v>
          </cell>
        </row>
        <row r="24">
          <cell r="K24">
            <v>458.57400000000001</v>
          </cell>
          <cell r="S24">
            <v>281.52800000000002</v>
          </cell>
          <cell r="W24"/>
          <cell r="AA24"/>
          <cell r="AI24">
            <v>84.198999999999998</v>
          </cell>
        </row>
        <row r="25">
          <cell r="K25">
            <v>484.26900000000001</v>
          </cell>
          <cell r="S25">
            <v>294.57600000000002</v>
          </cell>
          <cell r="W25"/>
          <cell r="AA25"/>
          <cell r="AI25">
            <v>88.474999999999994</v>
          </cell>
        </row>
        <row r="26">
          <cell r="K26">
            <v>412.685</v>
          </cell>
          <cell r="S26">
            <v>253.756</v>
          </cell>
          <cell r="W26"/>
          <cell r="AA26">
            <v>7.4039999999999999</v>
          </cell>
          <cell r="AI26">
            <v>78.725999999999999</v>
          </cell>
        </row>
        <row r="27">
          <cell r="K27">
            <v>465.43700000000001</v>
          </cell>
          <cell r="S27">
            <v>287.851</v>
          </cell>
          <cell r="W27"/>
          <cell r="AA27">
            <v>14.169</v>
          </cell>
          <cell r="AI27">
            <v>131.30000000000001</v>
          </cell>
        </row>
        <row r="28">
          <cell r="K28">
            <v>501.483</v>
          </cell>
          <cell r="S28">
            <v>310.37200000000001</v>
          </cell>
          <cell r="W28"/>
          <cell r="AA28">
            <v>14.24</v>
          </cell>
          <cell r="AI28">
            <v>133.79499999999999</v>
          </cell>
        </row>
        <row r="29">
          <cell r="K29">
            <v>477.04500000000002</v>
          </cell>
          <cell r="S29">
            <v>295.37299999999999</v>
          </cell>
          <cell r="W29"/>
          <cell r="AA29">
            <v>15.679</v>
          </cell>
          <cell r="AI29">
            <v>126.98</v>
          </cell>
        </row>
        <row r="30">
          <cell r="K30">
            <v>468.26400000000001</v>
          </cell>
          <cell r="S30">
            <v>286.89600000000002</v>
          </cell>
          <cell r="W30"/>
          <cell r="AA30">
            <v>15.695</v>
          </cell>
          <cell r="AI30">
            <v>124.90300000000001</v>
          </cell>
        </row>
        <row r="31">
          <cell r="K31">
            <v>453.21499999999997</v>
          </cell>
          <cell r="S31">
            <v>275.66399999999999</v>
          </cell>
          <cell r="W31"/>
          <cell r="AA31">
            <v>15.173999999999999</v>
          </cell>
          <cell r="AI31">
            <v>120.871</v>
          </cell>
        </row>
        <row r="32">
          <cell r="K32">
            <v>428.14699999999999</v>
          </cell>
          <cell r="S32">
            <v>262.572</v>
          </cell>
          <cell r="W32"/>
          <cell r="AA32">
            <v>12.209</v>
          </cell>
          <cell r="AI32">
            <v>115.164</v>
          </cell>
        </row>
        <row r="33">
          <cell r="K33">
            <v>495.315</v>
          </cell>
          <cell r="S33">
            <v>305.74299999999999</v>
          </cell>
          <cell r="W33"/>
          <cell r="AA33">
            <v>11.449</v>
          </cell>
          <cell r="AI33">
            <v>148.12700000000001</v>
          </cell>
        </row>
        <row r="34">
          <cell r="K34">
            <v>163.506</v>
          </cell>
          <cell r="S34">
            <v>106.744</v>
          </cell>
          <cell r="W34"/>
          <cell r="AA34">
            <v>4.3419999999999996</v>
          </cell>
          <cell r="AI34">
            <v>51.283000000000001</v>
          </cell>
        </row>
        <row r="35">
          <cell r="K35">
            <v>477.25400000000002</v>
          </cell>
          <cell r="S35">
            <v>297.27100000000002</v>
          </cell>
          <cell r="W35"/>
          <cell r="AA35">
            <v>12.614000000000001</v>
          </cell>
          <cell r="AI35">
            <v>150.86799999999999</v>
          </cell>
        </row>
        <row r="36">
          <cell r="K36">
            <v>496.12900000000002</v>
          </cell>
          <cell r="S36">
            <v>309.50400000000002</v>
          </cell>
          <cell r="W36"/>
          <cell r="AA36">
            <v>11.656000000000001</v>
          </cell>
          <cell r="AI36">
            <v>155.91499999999999</v>
          </cell>
        </row>
      </sheetData>
      <sheetData sheetId="1">
        <row r="6">
          <cell r="K6">
            <v>456.39499999999998</v>
          </cell>
          <cell r="S6">
            <v>281.84199999999998</v>
          </cell>
          <cell r="W6"/>
          <cell r="AA6">
            <v>10.067</v>
          </cell>
          <cell r="AI6">
            <v>144.38999999999999</v>
          </cell>
        </row>
        <row r="7">
          <cell r="K7">
            <v>480.00799999999998</v>
          </cell>
          <cell r="S7">
            <v>295.90499999999997</v>
          </cell>
          <cell r="W7"/>
          <cell r="AA7">
            <v>9.6859999999999999</v>
          </cell>
          <cell r="AI7">
            <v>151.989</v>
          </cell>
        </row>
        <row r="8">
          <cell r="K8">
            <v>464.82900000000001</v>
          </cell>
          <cell r="S8">
            <v>284.66500000000002</v>
          </cell>
          <cell r="W8"/>
          <cell r="AA8">
            <v>10.789</v>
          </cell>
          <cell r="AI8">
            <v>147.15700000000001</v>
          </cell>
        </row>
        <row r="9">
          <cell r="K9">
            <v>500.74700000000001</v>
          </cell>
          <cell r="S9">
            <v>302.46100000000001</v>
          </cell>
          <cell r="W9"/>
          <cell r="AA9">
            <v>11.993</v>
          </cell>
          <cell r="AI9">
            <v>158.65600000000001</v>
          </cell>
        </row>
        <row r="10">
          <cell r="K10">
            <v>489.13099999999997</v>
          </cell>
          <cell r="S10">
            <v>294.34899999999999</v>
          </cell>
          <cell r="W10"/>
          <cell r="AA10">
            <v>10.175000000000001</v>
          </cell>
          <cell r="AI10">
            <v>154.845</v>
          </cell>
        </row>
        <row r="11">
          <cell r="K11">
            <v>522.59299999999996</v>
          </cell>
          <cell r="S11">
            <v>315.80500000000001</v>
          </cell>
          <cell r="W11"/>
          <cell r="AA11">
            <v>9.609</v>
          </cell>
          <cell r="AI11">
            <v>165.32400000000001</v>
          </cell>
        </row>
        <row r="12">
          <cell r="K12">
            <v>516.18899999999996</v>
          </cell>
          <cell r="S12">
            <v>311.74799999999999</v>
          </cell>
          <cell r="W12"/>
          <cell r="AA12">
            <v>9.5359999999999996</v>
          </cell>
          <cell r="AI12">
            <v>163.50700000000001</v>
          </cell>
        </row>
        <row r="13">
          <cell r="K13">
            <v>513.053</v>
          </cell>
          <cell r="S13">
            <v>309.89800000000002</v>
          </cell>
          <cell r="W13"/>
          <cell r="AA13">
            <v>8.7460000000000004</v>
          </cell>
          <cell r="AI13">
            <v>162.46799999999999</v>
          </cell>
        </row>
        <row r="14">
          <cell r="K14">
            <v>537.03599999999994</v>
          </cell>
          <cell r="S14">
            <v>326.47199999999998</v>
          </cell>
          <cell r="W14"/>
          <cell r="AA14">
            <v>8.9339999999999993</v>
          </cell>
          <cell r="AI14">
            <v>170.167</v>
          </cell>
        </row>
        <row r="15">
          <cell r="K15">
            <v>519.09199999999998</v>
          </cell>
          <cell r="S15">
            <v>317.14299999999997</v>
          </cell>
          <cell r="W15"/>
          <cell r="AA15">
            <v>7.8360000000000003</v>
          </cell>
          <cell r="AI15">
            <v>168.2</v>
          </cell>
        </row>
        <row r="16">
          <cell r="K16">
            <v>492.16899999999998</v>
          </cell>
          <cell r="S16">
            <v>301.89800000000002</v>
          </cell>
          <cell r="W16"/>
          <cell r="AA16">
            <v>6.6639999999999997</v>
          </cell>
          <cell r="AI16">
            <v>164.00399999999999</v>
          </cell>
        </row>
        <row r="17">
          <cell r="K17">
            <v>501.97199999999998</v>
          </cell>
          <cell r="S17">
            <v>307.15199999999999</v>
          </cell>
          <cell r="W17"/>
          <cell r="AA17">
            <v>9.0519999999999996</v>
          </cell>
          <cell r="AI17">
            <v>167.035</v>
          </cell>
        </row>
        <row r="18">
          <cell r="K18">
            <v>495.20600000000002</v>
          </cell>
          <cell r="S18">
            <v>304.28899999999999</v>
          </cell>
          <cell r="W18"/>
          <cell r="AA18">
            <v>10.933</v>
          </cell>
          <cell r="AI18">
            <v>164.874</v>
          </cell>
        </row>
        <row r="19">
          <cell r="K19">
            <v>468.786</v>
          </cell>
          <cell r="S19">
            <v>287.15300000000002</v>
          </cell>
          <cell r="W19"/>
          <cell r="AA19">
            <v>11.759</v>
          </cell>
          <cell r="AI19">
            <v>156.05199999999999</v>
          </cell>
        </row>
        <row r="20">
          <cell r="K20">
            <v>547.06200000000001</v>
          </cell>
          <cell r="S20">
            <v>343.46100000000001</v>
          </cell>
          <cell r="W20"/>
          <cell r="AA20">
            <v>14.595000000000001</v>
          </cell>
          <cell r="AI20">
            <v>180.316</v>
          </cell>
        </row>
        <row r="21">
          <cell r="K21">
            <v>555.18799999999999</v>
          </cell>
          <cell r="S21">
            <v>357.09199999999998</v>
          </cell>
          <cell r="W21"/>
          <cell r="AA21">
            <v>14.647</v>
          </cell>
          <cell r="AI21">
            <v>175.774</v>
          </cell>
        </row>
        <row r="22">
          <cell r="K22">
            <v>564.17999999999995</v>
          </cell>
          <cell r="S22">
            <v>371.505</v>
          </cell>
          <cell r="W22"/>
          <cell r="AA22">
            <v>15.53</v>
          </cell>
          <cell r="AI22">
            <v>178.62</v>
          </cell>
        </row>
        <row r="23">
          <cell r="K23">
            <v>242.739</v>
          </cell>
          <cell r="S23">
            <v>170.63900000000001</v>
          </cell>
          <cell r="W23"/>
          <cell r="AA23">
            <v>6.5309999999999997</v>
          </cell>
          <cell r="AI23">
            <v>76.646000000000001</v>
          </cell>
        </row>
        <row r="24">
          <cell r="K24">
            <v>483.012</v>
          </cell>
          <cell r="S24">
            <v>320.45400000000001</v>
          </cell>
          <cell r="W24"/>
          <cell r="AA24">
            <v>11.987</v>
          </cell>
          <cell r="AI24">
            <v>152.03100000000001</v>
          </cell>
        </row>
        <row r="25">
          <cell r="K25">
            <v>510.017</v>
          </cell>
          <cell r="S25">
            <v>340.5</v>
          </cell>
          <cell r="W25"/>
          <cell r="AA25">
            <v>10.637</v>
          </cell>
          <cell r="AI25">
            <v>161.351</v>
          </cell>
        </row>
        <row r="26">
          <cell r="K26">
            <v>435.41899999999998</v>
          </cell>
          <cell r="S26">
            <v>286.68799999999999</v>
          </cell>
          <cell r="W26"/>
          <cell r="AA26">
            <v>8.6210000000000004</v>
          </cell>
          <cell r="AI26">
            <v>137.72900000000001</v>
          </cell>
        </row>
        <row r="27">
          <cell r="K27">
            <v>481.38400000000001</v>
          </cell>
          <cell r="S27">
            <v>314.47500000000002</v>
          </cell>
          <cell r="W27"/>
          <cell r="AA27">
            <v>10.975</v>
          </cell>
          <cell r="AI27">
            <v>152.066</v>
          </cell>
        </row>
        <row r="28">
          <cell r="K28">
            <v>476.64400000000001</v>
          </cell>
          <cell r="S28">
            <v>315.35599999999999</v>
          </cell>
          <cell r="W28"/>
          <cell r="AA28">
            <v>10.882999999999999</v>
          </cell>
          <cell r="AI28">
            <v>151.03200000000001</v>
          </cell>
        </row>
        <row r="29">
          <cell r="K29">
            <v>475.87900000000002</v>
          </cell>
          <cell r="S29">
            <v>317.11500000000001</v>
          </cell>
          <cell r="W29"/>
          <cell r="AA29">
            <v>11.236000000000001</v>
          </cell>
          <cell r="AI29">
            <v>155.554</v>
          </cell>
        </row>
        <row r="30">
          <cell r="K30">
            <v>465.23700000000002</v>
          </cell>
          <cell r="S30">
            <v>307.11</v>
          </cell>
          <cell r="W30"/>
          <cell r="AA30">
            <v>11.634</v>
          </cell>
          <cell r="AI30">
            <v>154.976</v>
          </cell>
        </row>
        <row r="31">
          <cell r="K31">
            <v>447.02499999999998</v>
          </cell>
          <cell r="S31">
            <v>286.73500000000001</v>
          </cell>
          <cell r="W31"/>
          <cell r="AA31">
            <v>10.510999999999999</v>
          </cell>
          <cell r="AI31">
            <v>149.01499999999999</v>
          </cell>
        </row>
        <row r="32">
          <cell r="K32">
            <v>480.26100000000002</v>
          </cell>
          <cell r="S32">
            <v>313.99200000000002</v>
          </cell>
          <cell r="W32"/>
          <cell r="AA32">
            <v>11.21</v>
          </cell>
          <cell r="AI32">
            <v>159.99299999999999</v>
          </cell>
        </row>
        <row r="33">
          <cell r="K33">
            <v>518.91300000000001</v>
          </cell>
          <cell r="S33">
            <v>341.59399999999999</v>
          </cell>
          <cell r="W33"/>
          <cell r="AA33">
            <v>14.651999999999999</v>
          </cell>
          <cell r="AI33">
            <v>140.149</v>
          </cell>
        </row>
        <row r="34">
          <cell r="K34">
            <v>466.74299999999999</v>
          </cell>
          <cell r="S34">
            <v>309.20699999999999</v>
          </cell>
          <cell r="W34"/>
          <cell r="AA34">
            <v>13.840999999999999</v>
          </cell>
          <cell r="AI34">
            <v>116.51600000000001</v>
          </cell>
        </row>
        <row r="35">
          <cell r="K35"/>
          <cell r="S35"/>
          <cell r="W35"/>
          <cell r="AA35"/>
          <cell r="AI35"/>
        </row>
        <row r="36">
          <cell r="K36"/>
          <cell r="S36"/>
          <cell r="W36"/>
          <cell r="AA36"/>
          <cell r="AI36"/>
        </row>
      </sheetData>
      <sheetData sheetId="2"/>
      <sheetData sheetId="3">
        <row r="6">
          <cell r="K6">
            <v>487.30599999999998</v>
          </cell>
          <cell r="S6">
            <v>320.22000000000003</v>
          </cell>
          <cell r="W6"/>
          <cell r="AA6">
            <v>11.224</v>
          </cell>
          <cell r="AI6">
            <v>113.41200000000001</v>
          </cell>
        </row>
        <row r="7">
          <cell r="K7">
            <v>416.65800000000002</v>
          </cell>
          <cell r="S7">
            <v>273.80599999999998</v>
          </cell>
          <cell r="W7"/>
          <cell r="AA7">
            <v>15.044</v>
          </cell>
          <cell r="AI7">
            <v>97.012</v>
          </cell>
        </row>
        <row r="8">
          <cell r="K8">
            <v>386.06700000000001</v>
          </cell>
          <cell r="S8">
            <v>247.33099999999999</v>
          </cell>
          <cell r="W8"/>
          <cell r="AA8">
            <v>13.404</v>
          </cell>
          <cell r="AI8">
            <v>90.287999999999997</v>
          </cell>
        </row>
        <row r="9">
          <cell r="K9">
            <v>228.119</v>
          </cell>
          <cell r="S9">
            <v>148.733</v>
          </cell>
          <cell r="W9"/>
          <cell r="AA9">
            <v>4.5430000000000001</v>
          </cell>
          <cell r="AI9">
            <v>59.792000000000002</v>
          </cell>
        </row>
        <row r="10">
          <cell r="K10">
            <v>338.12</v>
          </cell>
          <cell r="S10">
            <v>217.554</v>
          </cell>
          <cell r="W10"/>
          <cell r="AA10">
            <v>3.0179999999999998</v>
          </cell>
          <cell r="AI10">
            <v>96.881</v>
          </cell>
        </row>
        <row r="11">
          <cell r="K11">
            <v>480.209</v>
          </cell>
          <cell r="S11">
            <v>309.33300000000003</v>
          </cell>
          <cell r="W11"/>
          <cell r="AA11">
            <v>4.649</v>
          </cell>
          <cell r="AI11">
            <v>136.017</v>
          </cell>
        </row>
        <row r="12">
          <cell r="K12">
            <v>504.15300000000002</v>
          </cell>
          <cell r="S12">
            <v>318.33999999999997</v>
          </cell>
          <cell r="W12"/>
          <cell r="AA12">
            <v>5.1710000000000003</v>
          </cell>
          <cell r="AI12">
            <v>135.167</v>
          </cell>
        </row>
        <row r="13">
          <cell r="K13">
            <v>511.25099999999998</v>
          </cell>
          <cell r="S13">
            <v>319.23200000000003</v>
          </cell>
          <cell r="W13"/>
          <cell r="AA13">
            <v>5.1210000000000004</v>
          </cell>
          <cell r="AI13">
            <v>135.892</v>
          </cell>
        </row>
        <row r="14">
          <cell r="K14">
            <v>496.791</v>
          </cell>
          <cell r="S14">
            <v>313.64600000000002</v>
          </cell>
          <cell r="W14"/>
          <cell r="AA14">
            <v>8.2200000000000006</v>
          </cell>
          <cell r="AI14">
            <v>124.14700000000001</v>
          </cell>
        </row>
        <row r="15">
          <cell r="K15">
            <v>498.73200000000003</v>
          </cell>
          <cell r="S15">
            <v>316.69499999999999</v>
          </cell>
          <cell r="W15"/>
          <cell r="AA15"/>
          <cell r="AI15">
            <v>127.221</v>
          </cell>
        </row>
        <row r="16">
          <cell r="K16">
            <v>425.10700000000003</v>
          </cell>
          <cell r="S16">
            <v>273.94799999999998</v>
          </cell>
          <cell r="W16"/>
          <cell r="AA16"/>
          <cell r="AI16">
            <v>106.51600000000001</v>
          </cell>
        </row>
        <row r="17">
          <cell r="K17">
            <v>141.05199999999999</v>
          </cell>
          <cell r="S17">
            <v>94.685000000000002</v>
          </cell>
          <cell r="W17"/>
          <cell r="AA17"/>
          <cell r="AI17">
            <v>35.252000000000002</v>
          </cell>
        </row>
        <row r="18">
          <cell r="K18">
            <v>218.97</v>
          </cell>
          <cell r="S18">
            <v>135.61699999999999</v>
          </cell>
          <cell r="W18">
            <v>15.919</v>
          </cell>
          <cell r="AA18"/>
          <cell r="AI18">
            <v>87.581999999999994</v>
          </cell>
        </row>
        <row r="19">
          <cell r="K19">
            <v>302.92599999999999</v>
          </cell>
          <cell r="S19">
            <v>187.73500000000001</v>
          </cell>
          <cell r="W19">
            <v>13.23</v>
          </cell>
          <cell r="AA19"/>
          <cell r="AI19">
            <v>103.164</v>
          </cell>
        </row>
        <row r="20">
          <cell r="K20">
            <v>455.82499999999999</v>
          </cell>
          <cell r="S20">
            <v>279.49299999999999</v>
          </cell>
          <cell r="W20">
            <v>9.3539999999999992</v>
          </cell>
          <cell r="AA20">
            <v>6.3609999999999998</v>
          </cell>
          <cell r="AI20">
            <v>111.212</v>
          </cell>
        </row>
        <row r="21">
          <cell r="K21">
            <v>498.34699999999998</v>
          </cell>
          <cell r="S21">
            <v>301.04300000000001</v>
          </cell>
          <cell r="W21"/>
          <cell r="AA21">
            <v>18.920000000000002</v>
          </cell>
          <cell r="AI21">
            <v>107.586</v>
          </cell>
        </row>
        <row r="22">
          <cell r="K22">
            <v>509.05</v>
          </cell>
          <cell r="S22">
            <v>310.923</v>
          </cell>
          <cell r="W22"/>
          <cell r="AA22">
            <v>18.306000000000001</v>
          </cell>
          <cell r="AI22">
            <v>102.248</v>
          </cell>
        </row>
        <row r="23">
          <cell r="K23">
            <v>539.90599999999995</v>
          </cell>
          <cell r="S23">
            <v>333.33100000000002</v>
          </cell>
          <cell r="W23"/>
          <cell r="AA23">
            <v>17.78</v>
          </cell>
          <cell r="AI23">
            <v>102.599</v>
          </cell>
        </row>
        <row r="24">
          <cell r="K24">
            <v>570.07500000000005</v>
          </cell>
          <cell r="S24">
            <v>343.65600000000001</v>
          </cell>
          <cell r="W24"/>
          <cell r="AA24">
            <v>17.484000000000002</v>
          </cell>
          <cell r="AI24">
            <v>113.96899999999999</v>
          </cell>
        </row>
        <row r="25">
          <cell r="K25">
            <v>525.27800000000002</v>
          </cell>
          <cell r="S25">
            <v>314.32400000000001</v>
          </cell>
          <cell r="W25"/>
          <cell r="AA25">
            <v>15.284000000000001</v>
          </cell>
          <cell r="AI25">
            <v>105.044</v>
          </cell>
        </row>
        <row r="26">
          <cell r="K26">
            <v>539.98099999999999</v>
          </cell>
          <cell r="S26">
            <v>324.78699999999998</v>
          </cell>
          <cell r="W26"/>
          <cell r="AA26">
            <v>14.247999999999999</v>
          </cell>
          <cell r="AI26">
            <v>107.94</v>
          </cell>
        </row>
        <row r="27">
          <cell r="K27">
            <v>543.07799999999997</v>
          </cell>
          <cell r="S27">
            <v>326.49799999999999</v>
          </cell>
          <cell r="W27"/>
          <cell r="AA27">
            <v>14.51</v>
          </cell>
          <cell r="AI27">
            <v>108.623</v>
          </cell>
        </row>
        <row r="28">
          <cell r="K28">
            <v>544.11400000000003</v>
          </cell>
          <cell r="S28">
            <v>328.78500000000003</v>
          </cell>
          <cell r="W28"/>
          <cell r="AA28">
            <v>14.680999999999999</v>
          </cell>
          <cell r="AI28">
            <v>108.673</v>
          </cell>
        </row>
        <row r="29">
          <cell r="K29">
            <v>524.70899999999995</v>
          </cell>
          <cell r="S29">
            <v>322.98500000000001</v>
          </cell>
          <cell r="W29"/>
          <cell r="AA29">
            <v>13.372999999999999</v>
          </cell>
          <cell r="AI29">
            <v>105.045</v>
          </cell>
        </row>
        <row r="30">
          <cell r="K30">
            <v>534.13900000000001</v>
          </cell>
          <cell r="S30">
            <v>332.90199999999999</v>
          </cell>
          <cell r="W30"/>
          <cell r="AA30">
            <v>12.206</v>
          </cell>
          <cell r="AI30">
            <v>106.77800000000001</v>
          </cell>
        </row>
        <row r="31">
          <cell r="K31">
            <v>501.00900000000001</v>
          </cell>
          <cell r="S31">
            <v>311.44299999999998</v>
          </cell>
          <cell r="W31"/>
          <cell r="AA31">
            <v>13.073</v>
          </cell>
          <cell r="AI31">
            <v>100.206</v>
          </cell>
        </row>
        <row r="32">
          <cell r="K32">
            <v>459.32400000000001</v>
          </cell>
          <cell r="S32">
            <v>287.85000000000002</v>
          </cell>
          <cell r="W32"/>
          <cell r="AA32">
            <v>12.185</v>
          </cell>
          <cell r="AI32">
            <v>91.787999999999997</v>
          </cell>
        </row>
        <row r="33">
          <cell r="K33">
            <v>414.09</v>
          </cell>
          <cell r="S33">
            <v>250.053</v>
          </cell>
          <cell r="W33"/>
          <cell r="AA33">
            <v>11.721</v>
          </cell>
          <cell r="AI33">
            <v>82.775999999999996</v>
          </cell>
        </row>
        <row r="34">
          <cell r="K34">
            <v>428.78399999999999</v>
          </cell>
          <cell r="S34">
            <v>255.803</v>
          </cell>
          <cell r="W34"/>
          <cell r="AA34">
            <v>13.500999999999999</v>
          </cell>
          <cell r="AI34">
            <v>85.625</v>
          </cell>
        </row>
        <row r="35">
          <cell r="K35">
            <v>357.24700000000001</v>
          </cell>
          <cell r="S35">
            <v>212.31299999999999</v>
          </cell>
          <cell r="W35"/>
          <cell r="AA35">
            <v>11.795</v>
          </cell>
          <cell r="AI35">
            <v>71.37</v>
          </cell>
        </row>
        <row r="36">
          <cell r="K36">
            <v>432.44799999999998</v>
          </cell>
          <cell r="S36">
            <v>254.976</v>
          </cell>
          <cell r="W36"/>
          <cell r="AA36">
            <v>14.609</v>
          </cell>
          <cell r="AI36">
            <v>86.444999999999993</v>
          </cell>
        </row>
      </sheetData>
      <sheetData sheetId="4">
        <row r="6">
          <cell r="K6">
            <v>425.88600000000002</v>
          </cell>
          <cell r="S6">
            <v>252.05199999999999</v>
          </cell>
          <cell r="W6"/>
          <cell r="AA6">
            <v>15.132</v>
          </cell>
          <cell r="AI6">
            <v>85.337999999999994</v>
          </cell>
        </row>
        <row r="7">
          <cell r="K7">
            <v>453.517</v>
          </cell>
          <cell r="S7">
            <v>268.86700000000002</v>
          </cell>
          <cell r="W7"/>
          <cell r="AA7">
            <v>4.7960000000000003</v>
          </cell>
          <cell r="AI7">
            <v>123.68300000000001</v>
          </cell>
        </row>
        <row r="8">
          <cell r="K8">
            <v>432.29899999999998</v>
          </cell>
          <cell r="S8">
            <v>256.048</v>
          </cell>
          <cell r="W8"/>
          <cell r="AA8">
            <v>4.7880000000000003</v>
          </cell>
          <cell r="AI8">
            <v>136.50899999999999</v>
          </cell>
        </row>
        <row r="9">
          <cell r="K9">
            <v>497.75200000000001</v>
          </cell>
          <cell r="S9">
            <v>293.363</v>
          </cell>
          <cell r="W9"/>
          <cell r="AA9">
            <v>19.533000000000001</v>
          </cell>
          <cell r="AI9">
            <v>99.513999999999996</v>
          </cell>
        </row>
        <row r="10">
          <cell r="K10">
            <v>504.52499999999998</v>
          </cell>
          <cell r="S10">
            <v>299.36</v>
          </cell>
          <cell r="W10"/>
          <cell r="AA10">
            <v>19.323</v>
          </cell>
          <cell r="AI10">
            <v>101.29300000000001</v>
          </cell>
        </row>
        <row r="11">
          <cell r="K11">
            <v>503.83600000000001</v>
          </cell>
          <cell r="S11">
            <v>301.60899999999998</v>
          </cell>
          <cell r="W11"/>
          <cell r="AA11">
            <v>20.012</v>
          </cell>
          <cell r="AI11">
            <v>98.292000000000002</v>
          </cell>
        </row>
        <row r="12">
          <cell r="K12">
            <v>525.22799999999995</v>
          </cell>
          <cell r="S12">
            <v>314.69400000000002</v>
          </cell>
          <cell r="W12"/>
          <cell r="AA12">
            <v>13.968</v>
          </cell>
          <cell r="AI12">
            <v>107.437</v>
          </cell>
        </row>
        <row r="13">
          <cell r="K13">
            <v>515.41</v>
          </cell>
          <cell r="S13">
            <v>307.298</v>
          </cell>
          <cell r="W13"/>
          <cell r="AA13">
            <v>1.4039999999999999</v>
          </cell>
          <cell r="AI13">
            <v>124.883</v>
          </cell>
        </row>
        <row r="14">
          <cell r="K14">
            <v>488.97399999999999</v>
          </cell>
          <cell r="S14">
            <v>288.685</v>
          </cell>
          <cell r="W14"/>
          <cell r="AA14">
            <v>4.9180000000000001</v>
          </cell>
          <cell r="AI14">
            <v>109.747</v>
          </cell>
        </row>
        <row r="15">
          <cell r="K15">
            <v>498.63200000000001</v>
          </cell>
          <cell r="S15">
            <v>301.79199999999997</v>
          </cell>
          <cell r="W15"/>
          <cell r="AA15">
            <v>3.5470000000000002</v>
          </cell>
          <cell r="AI15">
            <v>108.12</v>
          </cell>
        </row>
        <row r="16">
          <cell r="K16">
            <v>507.65199999999999</v>
          </cell>
          <cell r="S16">
            <v>313.48399999999998</v>
          </cell>
          <cell r="W16"/>
          <cell r="AA16">
            <v>3.3079999999999998</v>
          </cell>
          <cell r="AI16">
            <v>101.57899999999999</v>
          </cell>
        </row>
        <row r="17">
          <cell r="K17">
            <v>471.93400000000003</v>
          </cell>
          <cell r="S17">
            <v>292.83800000000002</v>
          </cell>
          <cell r="W17"/>
          <cell r="AA17">
            <v>3.14</v>
          </cell>
          <cell r="AI17">
            <v>90.278999999999996</v>
          </cell>
        </row>
        <row r="18">
          <cell r="K18">
            <v>485.37599999999998</v>
          </cell>
          <cell r="S18">
            <v>301.166</v>
          </cell>
          <cell r="W18"/>
          <cell r="AA18">
            <v>3.24</v>
          </cell>
          <cell r="AI18">
            <v>89.069000000000003</v>
          </cell>
        </row>
        <row r="19">
          <cell r="K19">
            <v>482.78100000000001</v>
          </cell>
          <cell r="S19">
            <v>300.94299999999998</v>
          </cell>
          <cell r="W19"/>
          <cell r="AA19">
            <v>3.246</v>
          </cell>
          <cell r="AI19">
            <v>88.468999999999994</v>
          </cell>
        </row>
        <row r="20">
          <cell r="K20">
            <v>414.65199999999999</v>
          </cell>
          <cell r="S20">
            <v>257.36700000000002</v>
          </cell>
          <cell r="W20"/>
          <cell r="AA20">
            <v>2.85</v>
          </cell>
          <cell r="AI20">
            <v>75.825000000000003</v>
          </cell>
        </row>
        <row r="21">
          <cell r="K21">
            <v>481.63</v>
          </cell>
          <cell r="S21">
            <v>297.09899999999999</v>
          </cell>
          <cell r="W21"/>
          <cell r="AA21">
            <v>3.2010000000000001</v>
          </cell>
          <cell r="AI21">
            <v>92.135999999999996</v>
          </cell>
        </row>
        <row r="22">
          <cell r="K22">
            <v>508.93200000000002</v>
          </cell>
          <cell r="S22">
            <v>314.82799999999997</v>
          </cell>
          <cell r="W22"/>
          <cell r="AA22">
            <v>2.0939999999999999</v>
          </cell>
          <cell r="AI22">
            <v>103.483</v>
          </cell>
        </row>
        <row r="23">
          <cell r="K23">
            <v>501.46899999999999</v>
          </cell>
          <cell r="S23">
            <v>314</v>
          </cell>
          <cell r="W23"/>
          <cell r="AA23"/>
          <cell r="AI23">
            <v>108.01</v>
          </cell>
        </row>
        <row r="24">
          <cell r="K24">
            <v>499.62900000000002</v>
          </cell>
          <cell r="S24">
            <v>314.15199999999999</v>
          </cell>
          <cell r="W24"/>
          <cell r="AA24"/>
          <cell r="AI24">
            <v>107.892</v>
          </cell>
        </row>
        <row r="25">
          <cell r="K25">
            <v>476.52199999999999</v>
          </cell>
          <cell r="S25">
            <v>300.97899999999998</v>
          </cell>
          <cell r="W25"/>
          <cell r="AA25"/>
          <cell r="AI25">
            <v>103.242</v>
          </cell>
        </row>
        <row r="26">
          <cell r="K26">
            <v>492.74799999999999</v>
          </cell>
          <cell r="S26">
            <v>311.69</v>
          </cell>
          <cell r="W26"/>
          <cell r="AA26">
            <v>2.8029999999999999</v>
          </cell>
          <cell r="AI26">
            <v>105.651</v>
          </cell>
        </row>
        <row r="27">
          <cell r="K27">
            <v>447.012</v>
          </cell>
          <cell r="S27">
            <v>288.78899999999999</v>
          </cell>
          <cell r="W27"/>
          <cell r="AA27">
            <v>17.734999999999999</v>
          </cell>
          <cell r="AI27">
            <v>89.382999999999996</v>
          </cell>
        </row>
        <row r="28">
          <cell r="K28">
            <v>455.76499999999999</v>
          </cell>
          <cell r="S28">
            <v>293.76499999999999</v>
          </cell>
          <cell r="W28"/>
          <cell r="AA28">
            <v>16.103999999999999</v>
          </cell>
          <cell r="AI28">
            <v>91.102999999999994</v>
          </cell>
        </row>
        <row r="29">
          <cell r="K29">
            <v>466.02</v>
          </cell>
          <cell r="S29">
            <v>290.21800000000002</v>
          </cell>
          <cell r="W29"/>
          <cell r="AA29">
            <v>16.986999999999998</v>
          </cell>
          <cell r="AI29">
            <v>93.052000000000007</v>
          </cell>
        </row>
        <row r="30">
          <cell r="K30">
            <v>495.36799999999999</v>
          </cell>
          <cell r="S30">
            <v>298.17</v>
          </cell>
          <cell r="W30"/>
          <cell r="AA30">
            <v>18.434000000000001</v>
          </cell>
          <cell r="AI30">
            <v>98.981999999999999</v>
          </cell>
        </row>
        <row r="31">
          <cell r="K31">
            <v>456.10300000000001</v>
          </cell>
          <cell r="S31">
            <v>271.10199999999998</v>
          </cell>
          <cell r="W31"/>
          <cell r="AA31">
            <v>18.242000000000001</v>
          </cell>
          <cell r="AI31">
            <v>91.147999999999996</v>
          </cell>
        </row>
        <row r="32">
          <cell r="K32">
            <v>461.66699999999997</v>
          </cell>
          <cell r="S32">
            <v>275.572</v>
          </cell>
          <cell r="W32"/>
          <cell r="AA32">
            <v>18.286999999999999</v>
          </cell>
          <cell r="AI32">
            <v>92.367999999999995</v>
          </cell>
        </row>
        <row r="33">
          <cell r="K33">
            <v>260.95299999999997</v>
          </cell>
          <cell r="S33">
            <v>162.86699999999999</v>
          </cell>
          <cell r="W33"/>
          <cell r="AA33">
            <v>9.3989999999999991</v>
          </cell>
          <cell r="AI33">
            <v>52.164999999999999</v>
          </cell>
        </row>
        <row r="34">
          <cell r="K34">
            <v>459.053</v>
          </cell>
          <cell r="S34">
            <v>274.80799999999999</v>
          </cell>
          <cell r="W34"/>
          <cell r="AA34">
            <v>17.666</v>
          </cell>
          <cell r="AI34">
            <v>88.11</v>
          </cell>
        </row>
        <row r="35">
          <cell r="K35">
            <v>446.97899999999998</v>
          </cell>
          <cell r="S35">
            <v>268.83699999999999</v>
          </cell>
          <cell r="W35"/>
          <cell r="AA35">
            <v>18.716999999999999</v>
          </cell>
          <cell r="AI35">
            <v>78.481999999999999</v>
          </cell>
        </row>
        <row r="36">
          <cell r="K36"/>
          <cell r="S36"/>
          <cell r="W36"/>
          <cell r="AA36"/>
          <cell r="AI36"/>
        </row>
      </sheetData>
      <sheetData sheetId="5">
        <row r="6">
          <cell r="K6">
            <v>425.97699999999998</v>
          </cell>
          <cell r="S6">
            <v>257.46300000000002</v>
          </cell>
          <cell r="W6"/>
          <cell r="AA6">
            <v>18.466999999999999</v>
          </cell>
          <cell r="AI6">
            <v>70.974999999999994</v>
          </cell>
        </row>
        <row r="7">
          <cell r="K7">
            <v>443.94200000000001</v>
          </cell>
          <cell r="S7">
            <v>269.512</v>
          </cell>
          <cell r="W7"/>
          <cell r="AA7">
            <v>19.219000000000001</v>
          </cell>
          <cell r="AI7">
            <v>69.677999999999997</v>
          </cell>
        </row>
        <row r="8">
          <cell r="K8">
            <v>425.71699999999998</v>
          </cell>
          <cell r="S8">
            <v>258.90800000000002</v>
          </cell>
          <cell r="W8"/>
          <cell r="AA8">
            <v>16.727</v>
          </cell>
          <cell r="AI8">
            <v>63.654000000000003</v>
          </cell>
        </row>
        <row r="9">
          <cell r="K9">
            <v>423.01299999999998</v>
          </cell>
          <cell r="S9">
            <v>254.79599999999999</v>
          </cell>
          <cell r="W9"/>
          <cell r="AA9">
            <v>16.452000000000002</v>
          </cell>
          <cell r="AI9">
            <v>63.427999999999997</v>
          </cell>
        </row>
        <row r="10">
          <cell r="K10">
            <v>395.83199999999999</v>
          </cell>
          <cell r="S10">
            <v>242.31700000000001</v>
          </cell>
          <cell r="W10"/>
          <cell r="AA10">
            <v>15.83</v>
          </cell>
          <cell r="AI10">
            <v>59.32</v>
          </cell>
        </row>
        <row r="11">
          <cell r="K11">
            <v>441.22399999999999</v>
          </cell>
          <cell r="S11">
            <v>265.90300000000002</v>
          </cell>
          <cell r="W11"/>
          <cell r="AA11">
            <v>14.637</v>
          </cell>
          <cell r="AI11">
            <v>69.727000000000004</v>
          </cell>
        </row>
        <row r="12">
          <cell r="K12">
            <v>420.553</v>
          </cell>
          <cell r="S12">
            <v>248.16399999999999</v>
          </cell>
          <cell r="W12"/>
          <cell r="AA12"/>
          <cell r="AI12">
            <v>83.504999999999995</v>
          </cell>
        </row>
        <row r="13">
          <cell r="K13">
            <v>432.06299999999999</v>
          </cell>
          <cell r="S13">
            <v>250.804</v>
          </cell>
          <cell r="W13"/>
          <cell r="AA13"/>
          <cell r="AI13">
            <v>79.245000000000005</v>
          </cell>
        </row>
        <row r="14">
          <cell r="K14">
            <v>431.95699999999999</v>
          </cell>
          <cell r="S14">
            <v>249.58799999999999</v>
          </cell>
          <cell r="W14"/>
          <cell r="AA14"/>
          <cell r="AI14">
            <v>79.183000000000007</v>
          </cell>
        </row>
        <row r="15">
          <cell r="K15">
            <v>450.11500000000001</v>
          </cell>
          <cell r="S15">
            <v>258.21499999999997</v>
          </cell>
          <cell r="W15"/>
          <cell r="AA15"/>
          <cell r="AI15">
            <v>82.462999999999994</v>
          </cell>
        </row>
        <row r="16">
          <cell r="K16">
            <v>438.06799999999998</v>
          </cell>
          <cell r="S16">
            <v>252.84399999999999</v>
          </cell>
          <cell r="W16"/>
          <cell r="AA16"/>
          <cell r="AI16">
            <v>80.281999999999996</v>
          </cell>
        </row>
        <row r="17">
          <cell r="K17">
            <v>418.76400000000001</v>
          </cell>
          <cell r="S17">
            <v>243.16800000000001</v>
          </cell>
          <cell r="W17"/>
          <cell r="AA17"/>
          <cell r="AI17">
            <v>84.305999999999997</v>
          </cell>
        </row>
        <row r="18">
          <cell r="K18">
            <v>420.21899999999999</v>
          </cell>
          <cell r="S18">
            <v>242.87200000000001</v>
          </cell>
          <cell r="W18">
            <v>2.105</v>
          </cell>
          <cell r="AA18"/>
          <cell r="AI18">
            <v>87.221999999999994</v>
          </cell>
        </row>
        <row r="19">
          <cell r="K19">
            <v>437.92899999999997</v>
          </cell>
          <cell r="S19">
            <v>248.21</v>
          </cell>
          <cell r="W19">
            <v>8.3420000000000005</v>
          </cell>
          <cell r="AA19"/>
          <cell r="AI19">
            <v>79.463999999999999</v>
          </cell>
        </row>
        <row r="20">
          <cell r="K20">
            <v>474.89299999999997</v>
          </cell>
          <cell r="S20">
            <v>270.733</v>
          </cell>
          <cell r="W20">
            <v>11.606999999999999</v>
          </cell>
          <cell r="AA20"/>
          <cell r="AI20">
            <v>71.644000000000005</v>
          </cell>
        </row>
        <row r="21">
          <cell r="K21">
            <v>435.04</v>
          </cell>
          <cell r="S21">
            <v>245.983</v>
          </cell>
          <cell r="W21">
            <v>12.693</v>
          </cell>
          <cell r="AA21"/>
          <cell r="AI21">
            <v>65.296000000000006</v>
          </cell>
        </row>
        <row r="22">
          <cell r="K22">
            <v>441.36399999999998</v>
          </cell>
          <cell r="S22">
            <v>250.68</v>
          </cell>
          <cell r="W22">
            <v>14.071</v>
          </cell>
          <cell r="AA22"/>
          <cell r="AI22">
            <v>66.147999999999996</v>
          </cell>
        </row>
        <row r="23">
          <cell r="K23">
            <v>435.548</v>
          </cell>
          <cell r="S23">
            <v>248.078</v>
          </cell>
          <cell r="W23">
            <v>14.615</v>
          </cell>
          <cell r="AA23"/>
          <cell r="AI23">
            <v>65.194999999999993</v>
          </cell>
        </row>
        <row r="24">
          <cell r="K24">
            <v>431.96</v>
          </cell>
          <cell r="S24">
            <v>249.14</v>
          </cell>
          <cell r="W24">
            <v>17.981999999999999</v>
          </cell>
          <cell r="AA24"/>
          <cell r="AI24">
            <v>64.77</v>
          </cell>
        </row>
        <row r="25">
          <cell r="K25">
            <v>245.411</v>
          </cell>
          <cell r="S25">
            <v>145.91300000000001</v>
          </cell>
          <cell r="W25">
            <v>10.67</v>
          </cell>
          <cell r="AA25"/>
          <cell r="AI25">
            <v>36.881999999999998</v>
          </cell>
        </row>
        <row r="26">
          <cell r="K26">
            <v>440.95499999999998</v>
          </cell>
          <cell r="S26">
            <v>257.44200000000001</v>
          </cell>
          <cell r="W26">
            <v>19.236999999999998</v>
          </cell>
          <cell r="AA26"/>
          <cell r="AI26">
            <v>66.119</v>
          </cell>
        </row>
        <row r="27">
          <cell r="K27">
            <v>429.096</v>
          </cell>
          <cell r="S27">
            <v>252.47900000000001</v>
          </cell>
          <cell r="W27">
            <v>18.431999999999999</v>
          </cell>
          <cell r="AA27"/>
          <cell r="AI27">
            <v>64.314999999999998</v>
          </cell>
        </row>
        <row r="28">
          <cell r="K28">
            <v>414.16300000000001</v>
          </cell>
          <cell r="S28">
            <v>245.196</v>
          </cell>
          <cell r="W28">
            <v>17.942</v>
          </cell>
          <cell r="AA28"/>
          <cell r="AI28">
            <v>62.073</v>
          </cell>
        </row>
        <row r="29">
          <cell r="K29">
            <v>423.06900000000002</v>
          </cell>
          <cell r="S29">
            <v>251.60599999999999</v>
          </cell>
          <cell r="W29">
            <v>20.815999999999999</v>
          </cell>
          <cell r="AA29"/>
          <cell r="AI29">
            <v>63.487000000000002</v>
          </cell>
        </row>
        <row r="30">
          <cell r="K30">
            <v>426.05</v>
          </cell>
          <cell r="S30">
            <v>254.90799999999999</v>
          </cell>
          <cell r="W30">
            <v>21.091000000000001</v>
          </cell>
          <cell r="AA30"/>
          <cell r="AI30">
            <v>63.896000000000001</v>
          </cell>
        </row>
        <row r="31">
          <cell r="K31">
            <v>426.096</v>
          </cell>
          <cell r="S31">
            <v>254.39599999999999</v>
          </cell>
          <cell r="W31">
            <v>24.157</v>
          </cell>
          <cell r="AA31"/>
          <cell r="AI31">
            <v>63.874000000000002</v>
          </cell>
        </row>
        <row r="32">
          <cell r="K32">
            <v>419.88200000000001</v>
          </cell>
          <cell r="S32">
            <v>249.32499999999999</v>
          </cell>
          <cell r="W32">
            <v>23.477</v>
          </cell>
          <cell r="AA32"/>
          <cell r="AI32">
            <v>62.975999999999999</v>
          </cell>
        </row>
        <row r="33">
          <cell r="K33">
            <v>438.38</v>
          </cell>
          <cell r="S33">
            <v>259.11900000000003</v>
          </cell>
          <cell r="W33">
            <v>24.143999999999998</v>
          </cell>
          <cell r="AA33"/>
          <cell r="AI33">
            <v>66.137</v>
          </cell>
        </row>
        <row r="34">
          <cell r="K34">
            <v>452.81299999999999</v>
          </cell>
          <cell r="S34">
            <v>260.43700000000001</v>
          </cell>
          <cell r="W34"/>
          <cell r="AA34"/>
          <cell r="AI34">
            <v>81.540999999999997</v>
          </cell>
        </row>
        <row r="35">
          <cell r="K35">
            <v>423.36500000000001</v>
          </cell>
          <cell r="S35">
            <v>244.536</v>
          </cell>
          <cell r="W35"/>
          <cell r="AA35"/>
          <cell r="AI35">
            <v>76.126000000000005</v>
          </cell>
        </row>
        <row r="36">
          <cell r="K36">
            <v>467.85199999999998</v>
          </cell>
          <cell r="S36">
            <v>271.09800000000001</v>
          </cell>
          <cell r="W36"/>
          <cell r="AA36"/>
          <cell r="AI36">
            <v>84.177999999999997</v>
          </cell>
        </row>
      </sheetData>
      <sheetData sheetId="6">
        <row r="6">
          <cell r="K6">
            <v>432.06900000000002</v>
          </cell>
          <cell r="S6">
            <v>258.89</v>
          </cell>
          <cell r="W6"/>
          <cell r="AA6"/>
          <cell r="AI6">
            <v>77.75</v>
          </cell>
        </row>
        <row r="7">
          <cell r="K7">
            <v>207.69499999999999</v>
          </cell>
          <cell r="S7">
            <v>131.10499999999999</v>
          </cell>
          <cell r="W7"/>
          <cell r="AA7"/>
          <cell r="AI7">
            <v>37.264000000000003</v>
          </cell>
        </row>
        <row r="8">
          <cell r="K8">
            <v>402.08</v>
          </cell>
          <cell r="S8">
            <v>245.02199999999999</v>
          </cell>
          <cell r="W8"/>
          <cell r="AA8"/>
          <cell r="AI8">
            <v>72.468999999999994</v>
          </cell>
        </row>
        <row r="9">
          <cell r="K9">
            <v>414.00900000000001</v>
          </cell>
          <cell r="S9">
            <v>253.785</v>
          </cell>
          <cell r="W9"/>
          <cell r="AA9"/>
          <cell r="AI9">
            <v>74.484999999999999</v>
          </cell>
        </row>
        <row r="10">
          <cell r="K10">
            <v>407.99599999999998</v>
          </cell>
          <cell r="S10">
            <v>249.21600000000001</v>
          </cell>
          <cell r="W10"/>
          <cell r="AA10"/>
          <cell r="AI10">
            <v>73.375</v>
          </cell>
        </row>
        <row r="11">
          <cell r="K11">
            <v>411.25099999999998</v>
          </cell>
          <cell r="S11">
            <v>249.67400000000001</v>
          </cell>
          <cell r="W11"/>
          <cell r="AA11"/>
          <cell r="AI11">
            <v>73.956000000000003</v>
          </cell>
        </row>
        <row r="12">
          <cell r="K12">
            <v>420.00599999999997</v>
          </cell>
          <cell r="S12">
            <v>252.39500000000001</v>
          </cell>
          <cell r="W12"/>
          <cell r="AA12"/>
          <cell r="AI12">
            <v>71.480999999999995</v>
          </cell>
        </row>
        <row r="13">
          <cell r="K13">
            <v>428.89100000000002</v>
          </cell>
          <cell r="S13">
            <v>256.84800000000001</v>
          </cell>
          <cell r="W13"/>
          <cell r="AA13"/>
          <cell r="AI13">
            <v>62.954000000000001</v>
          </cell>
        </row>
        <row r="14">
          <cell r="K14">
            <v>411.11700000000002</v>
          </cell>
          <cell r="S14">
            <v>246.93899999999999</v>
          </cell>
          <cell r="W14"/>
          <cell r="AA14"/>
          <cell r="AI14">
            <v>59.167000000000002</v>
          </cell>
        </row>
        <row r="15">
          <cell r="K15">
            <v>416.86099999999999</v>
          </cell>
          <cell r="S15">
            <v>248.30600000000001</v>
          </cell>
          <cell r="W15"/>
          <cell r="AA15"/>
          <cell r="AI15">
            <v>47.234000000000002</v>
          </cell>
        </row>
        <row r="16">
          <cell r="K16">
            <v>420.42500000000001</v>
          </cell>
          <cell r="S16">
            <v>248.542</v>
          </cell>
          <cell r="W16"/>
          <cell r="AA16"/>
          <cell r="AI16">
            <v>47.654000000000003</v>
          </cell>
        </row>
        <row r="17">
          <cell r="K17">
            <v>428.48399999999998</v>
          </cell>
          <cell r="S17">
            <v>253.72499999999999</v>
          </cell>
          <cell r="W17"/>
          <cell r="AA17"/>
          <cell r="AI17">
            <v>48.597000000000001</v>
          </cell>
        </row>
        <row r="18">
          <cell r="K18">
            <v>429.154</v>
          </cell>
          <cell r="S18">
            <v>252.03</v>
          </cell>
          <cell r="W18"/>
          <cell r="AA18"/>
          <cell r="AI18">
            <v>48.55</v>
          </cell>
        </row>
        <row r="19">
          <cell r="K19">
            <v>443.26299999999998</v>
          </cell>
          <cell r="S19">
            <v>259.46499999999997</v>
          </cell>
          <cell r="W19"/>
          <cell r="AA19"/>
          <cell r="AI19">
            <v>50.298999999999999</v>
          </cell>
        </row>
        <row r="20">
          <cell r="K20">
            <v>437.94299999999998</v>
          </cell>
          <cell r="S20">
            <v>254.67699999999999</v>
          </cell>
          <cell r="W20"/>
          <cell r="AA20"/>
          <cell r="AI20">
            <v>49.631</v>
          </cell>
        </row>
        <row r="21">
          <cell r="K21">
            <v>438.488</v>
          </cell>
          <cell r="S21">
            <v>254.72399999999999</v>
          </cell>
          <cell r="W21"/>
          <cell r="AA21"/>
          <cell r="AI21">
            <v>49.624000000000002</v>
          </cell>
        </row>
        <row r="22">
          <cell r="K22">
            <v>438.35300000000001</v>
          </cell>
          <cell r="S22">
            <v>254.863</v>
          </cell>
          <cell r="W22"/>
          <cell r="AA22"/>
          <cell r="AI22">
            <v>49.628999999999998</v>
          </cell>
        </row>
        <row r="23">
          <cell r="K23">
            <v>425.495</v>
          </cell>
          <cell r="S23">
            <v>247.93799999999999</v>
          </cell>
          <cell r="W23"/>
          <cell r="AA23"/>
          <cell r="AI23">
            <v>48.235999999999997</v>
          </cell>
        </row>
        <row r="24">
          <cell r="K24">
            <v>423.55500000000001</v>
          </cell>
          <cell r="S24">
            <v>246.17500000000001</v>
          </cell>
          <cell r="W24"/>
          <cell r="AA24"/>
          <cell r="AI24">
            <v>47.936</v>
          </cell>
        </row>
        <row r="25">
          <cell r="K25">
            <v>449.84800000000001</v>
          </cell>
          <cell r="S25">
            <v>261.81599999999997</v>
          </cell>
          <cell r="W25"/>
          <cell r="AA25"/>
          <cell r="AI25">
            <v>50.987000000000002</v>
          </cell>
        </row>
        <row r="26">
          <cell r="K26">
            <v>430.5</v>
          </cell>
          <cell r="S26">
            <v>250.98</v>
          </cell>
          <cell r="W26"/>
          <cell r="AA26"/>
          <cell r="AI26">
            <v>45.545999999999999</v>
          </cell>
        </row>
        <row r="27">
          <cell r="K27">
            <v>413.94200000000001</v>
          </cell>
          <cell r="S27">
            <v>242.36699999999999</v>
          </cell>
          <cell r="W27"/>
          <cell r="AA27"/>
          <cell r="AI27">
            <v>41.4</v>
          </cell>
        </row>
        <row r="28">
          <cell r="K28">
            <v>407.52699999999999</v>
          </cell>
          <cell r="S28">
            <v>241.017</v>
          </cell>
          <cell r="W28"/>
          <cell r="AA28"/>
          <cell r="AI28">
            <v>40.798999999999999</v>
          </cell>
        </row>
        <row r="29">
          <cell r="K29">
            <v>422.76100000000002</v>
          </cell>
          <cell r="S29">
            <v>250.203</v>
          </cell>
          <cell r="W29"/>
          <cell r="AA29"/>
          <cell r="AI29">
            <v>42.265999999999998</v>
          </cell>
        </row>
        <row r="30">
          <cell r="K30">
            <v>427.95400000000001</v>
          </cell>
          <cell r="S30">
            <v>251.73500000000001</v>
          </cell>
          <cell r="W30"/>
          <cell r="AA30"/>
          <cell r="AI30">
            <v>45.146000000000001</v>
          </cell>
        </row>
        <row r="31">
          <cell r="K31">
            <v>428.26299999999998</v>
          </cell>
          <cell r="S31">
            <v>252.83199999999999</v>
          </cell>
          <cell r="W31"/>
          <cell r="AA31"/>
          <cell r="AI31">
            <v>49.917999999999999</v>
          </cell>
        </row>
        <row r="32">
          <cell r="K32">
            <v>425.73200000000003</v>
          </cell>
          <cell r="S32">
            <v>253.845</v>
          </cell>
          <cell r="W32"/>
          <cell r="AA32"/>
          <cell r="AI32">
            <v>49.661999999999999</v>
          </cell>
        </row>
        <row r="33">
          <cell r="K33">
            <v>416.86200000000002</v>
          </cell>
          <cell r="S33">
            <v>251.56899999999999</v>
          </cell>
          <cell r="W33"/>
          <cell r="AA33"/>
          <cell r="AI33">
            <v>48.65</v>
          </cell>
        </row>
        <row r="34">
          <cell r="K34">
            <v>387.40800000000002</v>
          </cell>
          <cell r="S34">
            <v>237.988</v>
          </cell>
          <cell r="W34">
            <v>10.055</v>
          </cell>
          <cell r="AA34"/>
          <cell r="AI34">
            <v>45.116999999999997</v>
          </cell>
        </row>
        <row r="35">
          <cell r="K35">
            <v>279.48399999999998</v>
          </cell>
          <cell r="S35">
            <v>173.4</v>
          </cell>
          <cell r="W35">
            <v>9.2780000000000005</v>
          </cell>
          <cell r="AA35"/>
          <cell r="AI35">
            <v>30.614000000000001</v>
          </cell>
        </row>
        <row r="36">
          <cell r="K36"/>
          <cell r="S36"/>
          <cell r="W36"/>
          <cell r="AA36"/>
          <cell r="AI36"/>
        </row>
      </sheetData>
      <sheetData sheetId="7">
        <row r="6">
          <cell r="K6">
            <v>411.02</v>
          </cell>
          <cell r="S6">
            <v>257.30900000000003</v>
          </cell>
          <cell r="W6">
            <v>5.43</v>
          </cell>
          <cell r="AA6"/>
          <cell r="AI6">
            <v>41.186999999999998</v>
          </cell>
          <cell r="AM6"/>
        </row>
        <row r="7">
          <cell r="K7">
            <v>357.113</v>
          </cell>
          <cell r="S7">
            <v>223.42400000000001</v>
          </cell>
          <cell r="W7">
            <v>4.806</v>
          </cell>
          <cell r="AA7"/>
          <cell r="AI7">
            <v>33.712000000000003</v>
          </cell>
          <cell r="AM7"/>
        </row>
        <row r="8">
          <cell r="K8">
            <v>161.95400000000001</v>
          </cell>
          <cell r="S8">
            <v>107.497</v>
          </cell>
          <cell r="W8">
            <v>2.17</v>
          </cell>
          <cell r="AA8"/>
          <cell r="AI8">
            <v>13.493</v>
          </cell>
          <cell r="AM8"/>
        </row>
        <row r="9">
          <cell r="K9">
            <v>365.59500000000003</v>
          </cell>
          <cell r="S9">
            <v>229.07</v>
          </cell>
          <cell r="W9">
            <v>4.8609999999999998</v>
          </cell>
          <cell r="AA9"/>
          <cell r="AI9">
            <v>30.484999999999999</v>
          </cell>
          <cell r="AM9"/>
        </row>
        <row r="10">
          <cell r="K10">
            <v>389.98399999999998</v>
          </cell>
          <cell r="S10">
            <v>247.369</v>
          </cell>
          <cell r="W10">
            <v>5.4660000000000002</v>
          </cell>
          <cell r="AA10"/>
          <cell r="AI10">
            <v>35.582000000000001</v>
          </cell>
          <cell r="AM10"/>
        </row>
        <row r="11">
          <cell r="K11">
            <v>413.98399999999998</v>
          </cell>
          <cell r="S11">
            <v>268.07100000000003</v>
          </cell>
          <cell r="W11">
            <v>6.9080000000000004</v>
          </cell>
          <cell r="AA11"/>
          <cell r="AI11">
            <v>48.302</v>
          </cell>
          <cell r="AM11"/>
        </row>
        <row r="12">
          <cell r="K12">
            <v>408.375</v>
          </cell>
          <cell r="S12">
            <v>265.11500000000001</v>
          </cell>
          <cell r="W12">
            <v>2.7989999999999999</v>
          </cell>
          <cell r="AA12"/>
          <cell r="AI12">
            <v>47.600999999999999</v>
          </cell>
          <cell r="AM12"/>
        </row>
        <row r="13">
          <cell r="K13">
            <v>414.17099999999999</v>
          </cell>
          <cell r="S13">
            <v>267.56599999999997</v>
          </cell>
          <cell r="W13"/>
          <cell r="AA13"/>
          <cell r="AI13">
            <v>40.185000000000002</v>
          </cell>
          <cell r="AM13"/>
        </row>
        <row r="14">
          <cell r="K14">
            <v>410.762</v>
          </cell>
          <cell r="S14">
            <v>265.52100000000002</v>
          </cell>
          <cell r="W14"/>
          <cell r="AA14"/>
          <cell r="AI14">
            <v>34.229999999999997</v>
          </cell>
          <cell r="AM14"/>
        </row>
        <row r="15">
          <cell r="K15">
            <v>410.77100000000002</v>
          </cell>
          <cell r="S15">
            <v>266.767</v>
          </cell>
          <cell r="W15"/>
          <cell r="AA15"/>
          <cell r="AI15">
            <v>34.250999999999998</v>
          </cell>
          <cell r="AM15"/>
        </row>
        <row r="16">
          <cell r="K16">
            <v>408.041</v>
          </cell>
          <cell r="S16">
            <v>264.95499999999998</v>
          </cell>
          <cell r="W16"/>
          <cell r="AA16"/>
          <cell r="AI16">
            <v>33.997</v>
          </cell>
          <cell r="AM16"/>
        </row>
        <row r="17">
          <cell r="K17">
            <v>401.95499999999998</v>
          </cell>
          <cell r="S17">
            <v>261.26</v>
          </cell>
          <cell r="W17"/>
          <cell r="AA17"/>
          <cell r="AI17">
            <v>33.49</v>
          </cell>
          <cell r="AM17"/>
        </row>
        <row r="18">
          <cell r="K18">
            <v>410.9</v>
          </cell>
          <cell r="S18">
            <v>265.92500000000001</v>
          </cell>
          <cell r="W18"/>
          <cell r="AA18"/>
          <cell r="AI18">
            <v>34.259</v>
          </cell>
          <cell r="AM18"/>
        </row>
        <row r="19">
          <cell r="K19">
            <v>393.19499999999999</v>
          </cell>
          <cell r="S19">
            <v>253.70599999999999</v>
          </cell>
          <cell r="W19"/>
          <cell r="AA19"/>
          <cell r="AI19">
            <v>32.783000000000001</v>
          </cell>
          <cell r="AM19"/>
        </row>
        <row r="20">
          <cell r="K20">
            <v>432.08100000000002</v>
          </cell>
          <cell r="S20">
            <v>277.18900000000002</v>
          </cell>
          <cell r="W20"/>
          <cell r="AA20"/>
          <cell r="AI20">
            <v>36.045999999999999</v>
          </cell>
          <cell r="AM20"/>
        </row>
        <row r="21">
          <cell r="K21">
            <v>396.23200000000003</v>
          </cell>
          <cell r="S21">
            <v>251.667</v>
          </cell>
          <cell r="W21"/>
          <cell r="AA21"/>
          <cell r="AI21">
            <v>33.009</v>
          </cell>
          <cell r="AM21"/>
        </row>
        <row r="22">
          <cell r="K22">
            <v>393.23200000000003</v>
          </cell>
          <cell r="S22">
            <v>248.756</v>
          </cell>
          <cell r="W22"/>
          <cell r="AA22"/>
          <cell r="AI22">
            <v>32.75</v>
          </cell>
          <cell r="AM22"/>
        </row>
        <row r="23">
          <cell r="K23">
            <v>398.87700000000001</v>
          </cell>
          <cell r="S23">
            <v>252.46600000000001</v>
          </cell>
          <cell r="W23"/>
          <cell r="AA23"/>
          <cell r="AI23">
            <v>33.234000000000002</v>
          </cell>
          <cell r="AM23"/>
        </row>
        <row r="24">
          <cell r="K24">
            <v>410.62099999999998</v>
          </cell>
          <cell r="S24">
            <v>259.447</v>
          </cell>
          <cell r="W24"/>
          <cell r="AA24"/>
          <cell r="AI24">
            <v>34.136000000000003</v>
          </cell>
          <cell r="AM24">
            <v>2.8069999999999999</v>
          </cell>
        </row>
        <row r="25">
          <cell r="K25">
            <v>429.14</v>
          </cell>
          <cell r="S25">
            <v>269.29700000000003</v>
          </cell>
          <cell r="W25"/>
          <cell r="AA25"/>
          <cell r="AI25">
            <v>35.764000000000003</v>
          </cell>
          <cell r="AM25">
            <v>7.1479999999999997</v>
          </cell>
        </row>
        <row r="26">
          <cell r="K26">
            <v>420.41800000000001</v>
          </cell>
          <cell r="S26">
            <v>261.76299999999998</v>
          </cell>
          <cell r="W26"/>
          <cell r="AA26"/>
          <cell r="AI26">
            <v>35.052999999999997</v>
          </cell>
          <cell r="AM26">
            <v>7.0339999999999998</v>
          </cell>
        </row>
        <row r="27">
          <cell r="K27">
            <v>406.27100000000002</v>
          </cell>
          <cell r="S27">
            <v>253.08099999999999</v>
          </cell>
          <cell r="W27"/>
          <cell r="AA27"/>
          <cell r="AI27">
            <v>33.826000000000001</v>
          </cell>
          <cell r="AM27">
            <v>6.6520000000000001</v>
          </cell>
        </row>
        <row r="28">
          <cell r="K28">
            <v>423.02300000000002</v>
          </cell>
          <cell r="S28">
            <v>261.68599999999998</v>
          </cell>
          <cell r="W28"/>
          <cell r="AA28"/>
          <cell r="AI28">
            <v>35.503</v>
          </cell>
          <cell r="AM28">
            <v>7.056</v>
          </cell>
        </row>
        <row r="29">
          <cell r="K29">
            <v>395.90800000000002</v>
          </cell>
          <cell r="S29">
            <v>243.245</v>
          </cell>
          <cell r="W29"/>
          <cell r="AA29"/>
          <cell r="AI29">
            <v>33.021999999999998</v>
          </cell>
          <cell r="AM29">
            <v>6.6029999999999998</v>
          </cell>
        </row>
        <row r="30">
          <cell r="K30">
            <v>423.072</v>
          </cell>
          <cell r="S30">
            <v>262.26299999999998</v>
          </cell>
          <cell r="W30"/>
          <cell r="AA30"/>
          <cell r="AI30">
            <v>35.241</v>
          </cell>
          <cell r="AM30">
            <v>7.069</v>
          </cell>
        </row>
        <row r="31">
          <cell r="K31">
            <v>422.84500000000003</v>
          </cell>
          <cell r="S31">
            <v>264.33600000000001</v>
          </cell>
          <cell r="W31"/>
          <cell r="AA31"/>
          <cell r="AI31">
            <v>35.353000000000002</v>
          </cell>
          <cell r="AM31">
            <v>7.0679999999999996</v>
          </cell>
        </row>
        <row r="32">
          <cell r="K32">
            <v>417.03199999999998</v>
          </cell>
          <cell r="S32">
            <v>257.34399999999999</v>
          </cell>
          <cell r="W32"/>
          <cell r="AA32"/>
          <cell r="AI32">
            <v>34.710999999999999</v>
          </cell>
          <cell r="AM32">
            <v>6.9580000000000002</v>
          </cell>
        </row>
        <row r="33">
          <cell r="K33">
            <v>431.97899999999998</v>
          </cell>
          <cell r="S33">
            <v>264.94200000000001</v>
          </cell>
          <cell r="W33"/>
          <cell r="AA33"/>
          <cell r="AI33">
            <v>35.935000000000002</v>
          </cell>
          <cell r="AM33">
            <v>7.2119999999999997</v>
          </cell>
        </row>
        <row r="34">
          <cell r="K34">
            <v>377.97899999999998</v>
          </cell>
          <cell r="S34">
            <v>233.90600000000001</v>
          </cell>
          <cell r="W34"/>
          <cell r="AA34"/>
          <cell r="AI34">
            <v>31.536999999999999</v>
          </cell>
          <cell r="AM34">
            <v>6.298</v>
          </cell>
        </row>
        <row r="35">
          <cell r="K35">
            <v>426.11</v>
          </cell>
          <cell r="S35">
            <v>264.15899999999999</v>
          </cell>
          <cell r="W35"/>
          <cell r="AA35"/>
          <cell r="AI35">
            <v>102.011</v>
          </cell>
          <cell r="AM35">
            <v>7.1239999999999997</v>
          </cell>
        </row>
        <row r="36">
          <cell r="K36">
            <v>405.52800000000002</v>
          </cell>
          <cell r="S36">
            <v>253.428</v>
          </cell>
          <cell r="W36"/>
          <cell r="AA36"/>
          <cell r="AI36">
            <v>230.7</v>
          </cell>
          <cell r="AM36">
            <v>6.7409999999999997</v>
          </cell>
        </row>
      </sheetData>
      <sheetData sheetId="8">
        <row r="6">
          <cell r="K6">
            <v>398.96199999999999</v>
          </cell>
          <cell r="S6">
            <v>253.97200000000001</v>
          </cell>
          <cell r="W6"/>
          <cell r="AA6"/>
          <cell r="AI6">
            <v>252.63499999999999</v>
          </cell>
          <cell r="AM6">
            <v>6.6459999999999999</v>
          </cell>
        </row>
        <row r="7">
          <cell r="K7">
            <v>402.096</v>
          </cell>
          <cell r="S7">
            <v>254.87899999999999</v>
          </cell>
          <cell r="W7"/>
          <cell r="AA7"/>
          <cell r="AI7">
            <v>254.667</v>
          </cell>
          <cell r="AM7">
            <v>6.6959999999999997</v>
          </cell>
        </row>
        <row r="8">
          <cell r="K8">
            <v>404.87900000000002</v>
          </cell>
          <cell r="S8">
            <v>257.11900000000003</v>
          </cell>
          <cell r="W8"/>
          <cell r="AA8"/>
          <cell r="AI8">
            <v>256.40199999999999</v>
          </cell>
          <cell r="AM8">
            <v>6.7590000000000003</v>
          </cell>
        </row>
        <row r="9">
          <cell r="K9">
            <v>381.27300000000002</v>
          </cell>
          <cell r="S9">
            <v>240.37</v>
          </cell>
          <cell r="W9"/>
          <cell r="AA9"/>
          <cell r="AI9">
            <v>237.92099999999999</v>
          </cell>
          <cell r="AM9">
            <v>5.6239999999999997</v>
          </cell>
        </row>
        <row r="10">
          <cell r="K10">
            <v>411.07400000000001</v>
          </cell>
          <cell r="S10">
            <v>256.834</v>
          </cell>
          <cell r="W10"/>
          <cell r="AA10"/>
          <cell r="AI10">
            <v>246.68</v>
          </cell>
          <cell r="AM10">
            <v>6.8259999999999996</v>
          </cell>
        </row>
        <row r="11">
          <cell r="K11">
            <v>392.94600000000003</v>
          </cell>
          <cell r="S11">
            <v>245.02699999999999</v>
          </cell>
          <cell r="W11"/>
          <cell r="AA11"/>
          <cell r="AI11">
            <v>231.18899999999999</v>
          </cell>
          <cell r="AM11">
            <v>6.5579999999999998</v>
          </cell>
        </row>
        <row r="12">
          <cell r="K12">
            <v>398.89299999999997</v>
          </cell>
          <cell r="S12">
            <v>245.399</v>
          </cell>
          <cell r="W12"/>
          <cell r="AA12"/>
          <cell r="AI12">
            <v>223.834</v>
          </cell>
          <cell r="AM12">
            <v>6.6539999999999999</v>
          </cell>
        </row>
        <row r="13">
          <cell r="K13">
            <v>407.94900000000001</v>
          </cell>
          <cell r="S13">
            <v>249.93700000000001</v>
          </cell>
          <cell r="W13"/>
          <cell r="AA13"/>
          <cell r="AI13">
            <v>218.80099999999999</v>
          </cell>
          <cell r="AM13">
            <v>6.7939999999999996</v>
          </cell>
        </row>
        <row r="14">
          <cell r="K14">
            <v>395.78800000000001</v>
          </cell>
          <cell r="S14">
            <v>243.988</v>
          </cell>
          <cell r="W14"/>
          <cell r="AA14"/>
          <cell r="AI14">
            <v>211.392</v>
          </cell>
          <cell r="AM14">
            <v>6.6470000000000002</v>
          </cell>
        </row>
        <row r="15">
          <cell r="K15">
            <v>428.68</v>
          </cell>
          <cell r="S15">
            <v>264.91000000000003</v>
          </cell>
          <cell r="W15"/>
          <cell r="AA15"/>
          <cell r="AI15">
            <v>234.715</v>
          </cell>
          <cell r="AM15">
            <v>7.1630000000000003</v>
          </cell>
        </row>
        <row r="16">
          <cell r="K16">
            <v>399.06099999999998</v>
          </cell>
          <cell r="S16">
            <v>250.93899999999999</v>
          </cell>
          <cell r="W16"/>
          <cell r="AA16">
            <v>6.7069999999999999</v>
          </cell>
          <cell r="AI16">
            <v>226.11</v>
          </cell>
          <cell r="AM16">
            <v>6.65</v>
          </cell>
        </row>
        <row r="17">
          <cell r="K17">
            <v>156.03700000000001</v>
          </cell>
          <cell r="S17">
            <v>108.592</v>
          </cell>
          <cell r="W17"/>
          <cell r="AA17">
            <v>2.5840000000000001</v>
          </cell>
          <cell r="AI17">
            <v>88.41</v>
          </cell>
          <cell r="AM17">
            <v>2.6040000000000001</v>
          </cell>
        </row>
        <row r="18">
          <cell r="K18">
            <v>393.36500000000001</v>
          </cell>
          <cell r="S18">
            <v>254.15</v>
          </cell>
          <cell r="W18"/>
          <cell r="AA18">
            <v>6.5890000000000004</v>
          </cell>
          <cell r="AI18">
            <v>222.69399999999999</v>
          </cell>
          <cell r="AM18">
            <v>6.5419999999999998</v>
          </cell>
        </row>
        <row r="19">
          <cell r="K19">
            <v>409.80700000000002</v>
          </cell>
          <cell r="S19">
            <v>264.351</v>
          </cell>
          <cell r="W19"/>
          <cell r="AA19">
            <v>6.9690000000000003</v>
          </cell>
          <cell r="AI19">
            <v>232.45400000000001</v>
          </cell>
          <cell r="AM19">
            <v>4.2530000000000001</v>
          </cell>
        </row>
        <row r="20">
          <cell r="K20">
            <v>417.04599999999999</v>
          </cell>
          <cell r="S20">
            <v>268.20499999999998</v>
          </cell>
          <cell r="W20"/>
          <cell r="AA20">
            <v>6.9359999999999999</v>
          </cell>
          <cell r="AI20">
            <v>236.261</v>
          </cell>
          <cell r="AM20"/>
        </row>
        <row r="21">
          <cell r="K21">
            <v>432.30599999999998</v>
          </cell>
          <cell r="S21">
            <v>281.28699999999998</v>
          </cell>
          <cell r="W21"/>
          <cell r="AA21">
            <v>7.1970000000000001</v>
          </cell>
          <cell r="AI21">
            <v>244.916</v>
          </cell>
          <cell r="AM21"/>
        </row>
        <row r="22">
          <cell r="K22">
            <v>435.07400000000001</v>
          </cell>
          <cell r="S22">
            <v>283.97800000000001</v>
          </cell>
          <cell r="W22"/>
          <cell r="AA22">
            <v>6.8019999999999996</v>
          </cell>
          <cell r="AI22">
            <v>246.47499999999999</v>
          </cell>
          <cell r="AM22"/>
        </row>
        <row r="23">
          <cell r="K23">
            <v>440.96800000000002</v>
          </cell>
          <cell r="S23">
            <v>289.577</v>
          </cell>
          <cell r="W23"/>
          <cell r="AA23">
            <v>7.3040000000000003</v>
          </cell>
          <cell r="AI23">
            <v>249.875</v>
          </cell>
          <cell r="AM23"/>
        </row>
        <row r="24">
          <cell r="K24">
            <v>416.23399999999998</v>
          </cell>
          <cell r="S24">
            <v>272.13600000000002</v>
          </cell>
          <cell r="W24"/>
          <cell r="AA24">
            <v>7.8680000000000003</v>
          </cell>
          <cell r="AI24">
            <v>235.51499999999999</v>
          </cell>
          <cell r="AM24"/>
        </row>
        <row r="25">
          <cell r="K25">
            <v>401.92200000000003</v>
          </cell>
          <cell r="S25">
            <v>264.03100000000001</v>
          </cell>
          <cell r="W25"/>
          <cell r="AA25">
            <v>10.717000000000001</v>
          </cell>
          <cell r="AI25">
            <v>227.714</v>
          </cell>
          <cell r="AM25"/>
        </row>
        <row r="26">
          <cell r="K26">
            <v>398.96600000000001</v>
          </cell>
          <cell r="S26">
            <v>260.339</v>
          </cell>
          <cell r="W26"/>
          <cell r="AA26">
            <v>11.916</v>
          </cell>
          <cell r="AI26">
            <v>226.071</v>
          </cell>
          <cell r="AM26"/>
        </row>
        <row r="27">
          <cell r="K27">
            <v>395.79599999999999</v>
          </cell>
          <cell r="S27">
            <v>260.04399999999998</v>
          </cell>
          <cell r="W27"/>
          <cell r="AA27">
            <v>12.923999999999999</v>
          </cell>
          <cell r="AI27">
            <v>224.26599999999999</v>
          </cell>
          <cell r="AM27"/>
        </row>
        <row r="28">
          <cell r="K28">
            <v>396.29899999999998</v>
          </cell>
          <cell r="S28">
            <v>261.02</v>
          </cell>
          <cell r="W28"/>
          <cell r="AA28">
            <v>13.404</v>
          </cell>
          <cell r="AI28">
            <v>224.38399999999999</v>
          </cell>
          <cell r="AM28"/>
        </row>
        <row r="29">
          <cell r="K29">
            <v>399.15</v>
          </cell>
          <cell r="S29">
            <v>271.791</v>
          </cell>
          <cell r="W29"/>
          <cell r="AA29">
            <v>12.673</v>
          </cell>
          <cell r="AI29">
            <v>233.82900000000001</v>
          </cell>
          <cell r="AM29"/>
        </row>
        <row r="30">
          <cell r="K30">
            <v>90.418000000000006</v>
          </cell>
          <cell r="S30">
            <v>66.688999999999993</v>
          </cell>
          <cell r="W30"/>
          <cell r="AA30">
            <v>2.7</v>
          </cell>
          <cell r="AI30">
            <v>54.003</v>
          </cell>
          <cell r="AM30"/>
        </row>
        <row r="31">
          <cell r="K31">
            <v>114.09</v>
          </cell>
          <cell r="S31">
            <v>78.320999999999998</v>
          </cell>
          <cell r="W31"/>
          <cell r="AA31"/>
          <cell r="AI31">
            <v>68.341999999999999</v>
          </cell>
          <cell r="AM31"/>
        </row>
        <row r="32">
          <cell r="K32">
            <v>303.00200000000001</v>
          </cell>
          <cell r="S32">
            <v>201.803</v>
          </cell>
          <cell r="W32"/>
          <cell r="AA32"/>
          <cell r="AI32">
            <v>181.71700000000001</v>
          </cell>
          <cell r="AM32"/>
        </row>
        <row r="33">
          <cell r="K33">
            <v>429.37099999999998</v>
          </cell>
          <cell r="S33">
            <v>284.84500000000003</v>
          </cell>
          <cell r="W33"/>
          <cell r="AA33"/>
          <cell r="AI33">
            <v>242.18100000000001</v>
          </cell>
          <cell r="AM33"/>
        </row>
        <row r="34">
          <cell r="K34">
            <v>438.05799999999999</v>
          </cell>
          <cell r="S34">
            <v>287.63499999999999</v>
          </cell>
          <cell r="W34"/>
          <cell r="AA34"/>
          <cell r="AI34">
            <v>102.209</v>
          </cell>
          <cell r="AM34"/>
        </row>
        <row r="35">
          <cell r="K35">
            <v>438.17500000000001</v>
          </cell>
          <cell r="S35">
            <v>284.64100000000002</v>
          </cell>
          <cell r="W35"/>
          <cell r="AA35"/>
          <cell r="AI35">
            <v>102.232</v>
          </cell>
          <cell r="AM35"/>
        </row>
        <row r="36">
          <cell r="K36">
            <v>459.33199999999999</v>
          </cell>
          <cell r="S36">
            <v>294.71800000000002</v>
          </cell>
          <cell r="W36"/>
          <cell r="AA36">
            <v>1.998</v>
          </cell>
          <cell r="AI36">
            <v>97.52</v>
          </cell>
          <cell r="AM36"/>
        </row>
      </sheetData>
      <sheetData sheetId="9">
        <row r="6">
          <cell r="K6">
            <v>449.85599999999999</v>
          </cell>
          <cell r="S6">
            <v>288.27600000000001</v>
          </cell>
          <cell r="AA6">
            <v>4.577</v>
          </cell>
          <cell r="AE6"/>
          <cell r="AI6">
            <v>89.941999999999993</v>
          </cell>
          <cell r="AM6"/>
        </row>
        <row r="7">
          <cell r="K7">
            <v>471.10300000000001</v>
          </cell>
          <cell r="S7">
            <v>301.74400000000003</v>
          </cell>
          <cell r="AA7">
            <v>6.9349999999999996</v>
          </cell>
          <cell r="AE7"/>
          <cell r="AI7">
            <v>94.210999999999999</v>
          </cell>
          <cell r="AM7"/>
        </row>
        <row r="8">
          <cell r="K8">
            <v>477.03399999999999</v>
          </cell>
          <cell r="S8">
            <v>303.63900000000001</v>
          </cell>
          <cell r="AA8">
            <v>8.4619999999999997</v>
          </cell>
          <cell r="AE8"/>
          <cell r="AI8">
            <v>95.454999999999998</v>
          </cell>
          <cell r="AM8"/>
        </row>
        <row r="9">
          <cell r="K9">
            <v>468.23399999999998</v>
          </cell>
          <cell r="S9">
            <v>297.13799999999998</v>
          </cell>
          <cell r="AA9">
            <v>9.3510000000000009</v>
          </cell>
          <cell r="AE9"/>
          <cell r="AI9">
            <v>93.614999999999995</v>
          </cell>
          <cell r="AM9"/>
        </row>
        <row r="10">
          <cell r="K10">
            <v>471.03300000000002</v>
          </cell>
          <cell r="S10">
            <v>297.57</v>
          </cell>
          <cell r="AA10">
            <v>9.4730000000000008</v>
          </cell>
          <cell r="AE10"/>
          <cell r="AI10">
            <v>94.147000000000006</v>
          </cell>
          <cell r="AM10"/>
        </row>
        <row r="11">
          <cell r="K11">
            <v>480.27699999999999</v>
          </cell>
          <cell r="S11">
            <v>302.87799999999999</v>
          </cell>
          <cell r="AA11">
            <v>11.2</v>
          </cell>
          <cell r="AE11"/>
          <cell r="AI11">
            <v>96.022999999999996</v>
          </cell>
          <cell r="AM11"/>
        </row>
        <row r="12">
          <cell r="K12">
            <v>449.64499999999998</v>
          </cell>
          <cell r="S12">
            <v>286.52699999999999</v>
          </cell>
          <cell r="AA12">
            <v>9.1219999999999999</v>
          </cell>
          <cell r="AE12"/>
          <cell r="AI12">
            <v>89.97</v>
          </cell>
          <cell r="AM12"/>
        </row>
        <row r="13">
          <cell r="K13">
            <v>471.19</v>
          </cell>
          <cell r="S13">
            <v>301.86599999999999</v>
          </cell>
          <cell r="AA13">
            <v>10.436999999999999</v>
          </cell>
          <cell r="AE13"/>
          <cell r="AI13">
            <v>94.251000000000005</v>
          </cell>
          <cell r="AM13"/>
        </row>
        <row r="14">
          <cell r="K14">
            <v>464.44400000000002</v>
          </cell>
          <cell r="S14">
            <v>299.26499999999999</v>
          </cell>
          <cell r="AA14">
            <v>13.039</v>
          </cell>
          <cell r="AE14"/>
          <cell r="AI14">
            <v>92.869</v>
          </cell>
          <cell r="AM14"/>
        </row>
        <row r="15">
          <cell r="K15">
            <v>441.09699999999998</v>
          </cell>
          <cell r="S15">
            <v>286.01299999999998</v>
          </cell>
          <cell r="AA15">
            <v>13.326000000000001</v>
          </cell>
          <cell r="AE15"/>
          <cell r="AI15">
            <v>88.233000000000004</v>
          </cell>
          <cell r="AM15"/>
        </row>
        <row r="16">
          <cell r="K16">
            <v>456.60300000000001</v>
          </cell>
          <cell r="S16">
            <v>294.96499999999997</v>
          </cell>
          <cell r="AA16">
            <v>14.742000000000001</v>
          </cell>
          <cell r="AE16"/>
          <cell r="AI16">
            <v>91.748000000000005</v>
          </cell>
          <cell r="AM16"/>
        </row>
        <row r="17">
          <cell r="K17">
            <v>384.15600000000001</v>
          </cell>
          <cell r="S17">
            <v>246.7</v>
          </cell>
          <cell r="AA17">
            <v>12.795999999999999</v>
          </cell>
          <cell r="AE17"/>
          <cell r="AI17">
            <v>76.816000000000003</v>
          </cell>
          <cell r="AM17"/>
        </row>
        <row r="18">
          <cell r="K18">
            <v>458.79399999999998</v>
          </cell>
          <cell r="S18">
            <v>291.33499999999998</v>
          </cell>
          <cell r="AA18">
            <v>15.198</v>
          </cell>
          <cell r="AE18"/>
          <cell r="AI18">
            <v>91.744</v>
          </cell>
          <cell r="AM18"/>
        </row>
        <row r="19">
          <cell r="K19">
            <v>459.15600000000001</v>
          </cell>
          <cell r="S19">
            <v>286.75400000000002</v>
          </cell>
          <cell r="AA19">
            <v>15.417999999999999</v>
          </cell>
          <cell r="AE19"/>
          <cell r="AI19">
            <v>91.846999999999994</v>
          </cell>
          <cell r="AM19"/>
        </row>
        <row r="20">
          <cell r="K20">
            <v>452.80099999999999</v>
          </cell>
          <cell r="S20">
            <v>278.89400000000001</v>
          </cell>
          <cell r="AA20">
            <v>16.372</v>
          </cell>
          <cell r="AE20"/>
          <cell r="AI20">
            <v>90.527000000000001</v>
          </cell>
          <cell r="AM20"/>
        </row>
        <row r="21">
          <cell r="K21">
            <v>396.37200000000001</v>
          </cell>
          <cell r="S21">
            <v>241.303</v>
          </cell>
          <cell r="AA21">
            <v>13.278</v>
          </cell>
          <cell r="AE21"/>
          <cell r="AI21">
            <v>79.320999999999998</v>
          </cell>
          <cell r="AM21"/>
        </row>
        <row r="22">
          <cell r="K22">
            <v>351.06099999999998</v>
          </cell>
          <cell r="S22">
            <v>219.578</v>
          </cell>
          <cell r="AA22">
            <v>11.617000000000001</v>
          </cell>
          <cell r="AE22"/>
          <cell r="AI22">
            <v>70.224000000000004</v>
          </cell>
          <cell r="AM22"/>
        </row>
        <row r="23">
          <cell r="K23">
            <v>489.12400000000002</v>
          </cell>
          <cell r="S23">
            <v>301.88099999999997</v>
          </cell>
          <cell r="AA23">
            <v>15.606999999999999</v>
          </cell>
          <cell r="AE23"/>
          <cell r="AI23">
            <v>97.757999999999996</v>
          </cell>
          <cell r="AM23"/>
        </row>
        <row r="24">
          <cell r="K24">
            <v>461.68200000000002</v>
          </cell>
          <cell r="S24">
            <v>284.29199999999997</v>
          </cell>
          <cell r="AA24">
            <v>14.968999999999999</v>
          </cell>
          <cell r="AE24"/>
          <cell r="AI24">
            <v>92.346000000000004</v>
          </cell>
          <cell r="AM24"/>
        </row>
        <row r="25">
          <cell r="K25">
            <v>461.923</v>
          </cell>
          <cell r="S25">
            <v>283.74700000000001</v>
          </cell>
          <cell r="AA25">
            <v>16.434000000000001</v>
          </cell>
          <cell r="AE25"/>
          <cell r="AI25">
            <v>92.366</v>
          </cell>
          <cell r="AM25"/>
        </row>
        <row r="26">
          <cell r="K26">
            <v>462.202</v>
          </cell>
          <cell r="S26">
            <v>279.89299999999997</v>
          </cell>
          <cell r="AA26">
            <v>16.928999999999998</v>
          </cell>
          <cell r="AE26"/>
          <cell r="AI26">
            <v>92.421999999999997</v>
          </cell>
          <cell r="AM26"/>
        </row>
        <row r="27">
          <cell r="K27">
            <v>489.03</v>
          </cell>
          <cell r="S27">
            <v>296.48099999999999</v>
          </cell>
          <cell r="AA27">
            <v>18.039000000000001</v>
          </cell>
          <cell r="AE27"/>
          <cell r="AI27">
            <v>97.832999999999998</v>
          </cell>
          <cell r="AM27"/>
        </row>
        <row r="28">
          <cell r="K28">
            <v>459.32600000000002</v>
          </cell>
          <cell r="S28">
            <v>276.24299999999999</v>
          </cell>
          <cell r="AA28">
            <v>13.723000000000001</v>
          </cell>
          <cell r="AE28"/>
          <cell r="AI28">
            <v>89.331999999999994</v>
          </cell>
          <cell r="AM28"/>
        </row>
        <row r="29">
          <cell r="K29">
            <v>479.96</v>
          </cell>
          <cell r="S29">
            <v>287.62299999999999</v>
          </cell>
          <cell r="AA29">
            <v>7.2039999999999997</v>
          </cell>
          <cell r="AE29"/>
          <cell r="AI29">
            <v>87.956999999999994</v>
          </cell>
          <cell r="AM29"/>
        </row>
        <row r="30">
          <cell r="K30">
            <v>519.15599999999995</v>
          </cell>
          <cell r="S30">
            <v>308.577</v>
          </cell>
          <cell r="AA30">
            <v>7.7380000000000004</v>
          </cell>
          <cell r="AE30"/>
          <cell r="AI30">
            <v>95.03</v>
          </cell>
          <cell r="AM30"/>
        </row>
        <row r="31">
          <cell r="K31">
            <v>509.97199999999998</v>
          </cell>
          <cell r="S31">
            <v>302.75299999999999</v>
          </cell>
          <cell r="AA31">
            <v>7.2480000000000002</v>
          </cell>
          <cell r="AE31"/>
          <cell r="AI31">
            <v>93.507000000000005</v>
          </cell>
          <cell r="AM31"/>
        </row>
        <row r="32">
          <cell r="K32">
            <v>509.666</v>
          </cell>
          <cell r="S32">
            <v>301.18700000000001</v>
          </cell>
          <cell r="AA32">
            <v>6.55</v>
          </cell>
          <cell r="AE32"/>
          <cell r="AI32">
            <v>93.463999999999999</v>
          </cell>
          <cell r="AM32"/>
        </row>
        <row r="33">
          <cell r="K33">
            <v>507.05500000000001</v>
          </cell>
          <cell r="S33">
            <v>300.47000000000003</v>
          </cell>
          <cell r="AA33">
            <v>7.0110000000000001</v>
          </cell>
          <cell r="AE33"/>
          <cell r="AI33">
            <v>92.911000000000001</v>
          </cell>
          <cell r="AM33"/>
        </row>
        <row r="34">
          <cell r="K34">
            <v>506.73700000000002</v>
          </cell>
          <cell r="S34">
            <v>302.91899999999998</v>
          </cell>
          <cell r="AA34">
            <v>5.8780000000000001</v>
          </cell>
          <cell r="AE34"/>
          <cell r="AI34">
            <v>92.882999999999996</v>
          </cell>
          <cell r="AM34"/>
        </row>
        <row r="35">
          <cell r="K35">
            <v>524.30499999999995</v>
          </cell>
          <cell r="S35">
            <v>321</v>
          </cell>
          <cell r="AA35">
            <v>6.1909999999999998</v>
          </cell>
          <cell r="AE35"/>
          <cell r="AI35">
            <v>95.637</v>
          </cell>
          <cell r="AM35"/>
        </row>
        <row r="36">
          <cell r="K36"/>
          <cell r="S36"/>
          <cell r="AA36"/>
          <cell r="AE36"/>
          <cell r="AI36"/>
          <cell r="AM36"/>
        </row>
      </sheetData>
      <sheetData sheetId="10">
        <row r="6">
          <cell r="K6">
            <v>204.023</v>
          </cell>
          <cell r="S6">
            <v>130.91800000000001</v>
          </cell>
          <cell r="AA6">
            <v>2.3809999999999998</v>
          </cell>
          <cell r="AI6">
            <v>37.375999999999998</v>
          </cell>
        </row>
        <row r="7">
          <cell r="K7">
            <v>483.20600000000002</v>
          </cell>
          <cell r="S7">
            <v>296.541</v>
          </cell>
          <cell r="AA7">
            <v>5.1929999999999996</v>
          </cell>
          <cell r="AI7">
            <v>88.522999999999996</v>
          </cell>
        </row>
        <row r="8">
          <cell r="K8">
            <v>509.92200000000003</v>
          </cell>
          <cell r="S8">
            <v>311.82600000000002</v>
          </cell>
          <cell r="AA8">
            <v>13.256</v>
          </cell>
          <cell r="AI8">
            <v>78.581000000000003</v>
          </cell>
        </row>
        <row r="9">
          <cell r="K9">
            <v>491.98099999999999</v>
          </cell>
          <cell r="S9">
            <v>299.95</v>
          </cell>
          <cell r="AA9">
            <v>13.942</v>
          </cell>
          <cell r="AI9">
            <v>73.771000000000001</v>
          </cell>
        </row>
        <row r="10">
          <cell r="K10">
            <v>530.98699999999997</v>
          </cell>
          <cell r="S10">
            <v>325.005</v>
          </cell>
          <cell r="AA10">
            <v>14.529</v>
          </cell>
          <cell r="AI10">
            <v>79.647999999999996</v>
          </cell>
        </row>
        <row r="11">
          <cell r="K11">
            <v>504.19499999999999</v>
          </cell>
          <cell r="S11">
            <v>309.63</v>
          </cell>
          <cell r="AA11">
            <v>13.444000000000001</v>
          </cell>
          <cell r="AI11">
            <v>75.756</v>
          </cell>
        </row>
        <row r="12">
          <cell r="K12">
            <v>438.05099999999999</v>
          </cell>
          <cell r="S12">
            <v>268.49900000000002</v>
          </cell>
          <cell r="AA12">
            <v>11.682</v>
          </cell>
          <cell r="AI12">
            <v>65.698999999999998</v>
          </cell>
        </row>
        <row r="13">
          <cell r="K13">
            <v>501.31400000000002</v>
          </cell>
          <cell r="S13">
            <v>311.69900000000001</v>
          </cell>
          <cell r="AA13">
            <v>13.449</v>
          </cell>
          <cell r="AI13">
            <v>75.180000000000007</v>
          </cell>
        </row>
        <row r="14">
          <cell r="K14">
            <v>443.93799999999999</v>
          </cell>
          <cell r="S14">
            <v>281.63499999999999</v>
          </cell>
          <cell r="AA14">
            <v>11.879</v>
          </cell>
          <cell r="AI14">
            <v>66.495999999999995</v>
          </cell>
        </row>
        <row r="15">
          <cell r="K15">
            <v>480.04599999999999</v>
          </cell>
          <cell r="S15">
            <v>301.69600000000003</v>
          </cell>
          <cell r="AA15">
            <v>11.202999999999999</v>
          </cell>
          <cell r="AI15">
            <v>71.98</v>
          </cell>
        </row>
        <row r="16">
          <cell r="K16">
            <v>474.06200000000001</v>
          </cell>
          <cell r="S16">
            <v>298.94499999999999</v>
          </cell>
          <cell r="AA16">
            <v>11.458</v>
          </cell>
          <cell r="AI16">
            <v>71.081999999999994</v>
          </cell>
        </row>
        <row r="17">
          <cell r="K17">
            <v>497.798</v>
          </cell>
          <cell r="S17">
            <v>315.02499999999998</v>
          </cell>
          <cell r="AA17">
            <v>12.207000000000001</v>
          </cell>
          <cell r="AI17">
            <v>79.643000000000001</v>
          </cell>
        </row>
        <row r="18">
          <cell r="K18">
            <v>455.99200000000002</v>
          </cell>
          <cell r="S18">
            <v>286.17500000000001</v>
          </cell>
          <cell r="AA18">
            <v>10.647</v>
          </cell>
          <cell r="AI18">
            <v>76.007000000000005</v>
          </cell>
        </row>
        <row r="19">
          <cell r="K19">
            <v>279.03399999999999</v>
          </cell>
          <cell r="S19">
            <v>178.85900000000001</v>
          </cell>
          <cell r="AA19">
            <v>6.5819999999999999</v>
          </cell>
          <cell r="AI19">
            <v>46.491999999999997</v>
          </cell>
        </row>
        <row r="20">
          <cell r="K20">
            <v>465.19299999999998</v>
          </cell>
          <cell r="S20">
            <v>291.815</v>
          </cell>
          <cell r="AA20">
            <v>9.8550000000000004</v>
          </cell>
          <cell r="AI20">
            <v>96.480999999999995</v>
          </cell>
        </row>
        <row r="21">
          <cell r="K21">
            <v>474.54300000000001</v>
          </cell>
          <cell r="S21">
            <v>295.04599999999999</v>
          </cell>
          <cell r="AA21">
            <v>9.6039999999999992</v>
          </cell>
          <cell r="AI21">
            <v>114.517</v>
          </cell>
        </row>
        <row r="22">
          <cell r="K22">
            <v>480.05700000000002</v>
          </cell>
          <cell r="S22">
            <v>298.81099999999998</v>
          </cell>
          <cell r="AA22">
            <v>9.6010000000000009</v>
          </cell>
          <cell r="AI22">
            <v>120.02800000000001</v>
          </cell>
        </row>
        <row r="23">
          <cell r="K23">
            <v>498.05200000000002</v>
          </cell>
          <cell r="S23">
            <v>309.108</v>
          </cell>
          <cell r="AA23">
            <v>9.9619999999999997</v>
          </cell>
          <cell r="AI23">
            <v>124.518</v>
          </cell>
        </row>
        <row r="24">
          <cell r="K24">
            <v>480.01600000000002</v>
          </cell>
          <cell r="S24">
            <v>297.298</v>
          </cell>
          <cell r="AA24">
            <v>10.664</v>
          </cell>
          <cell r="AI24">
            <v>119.94</v>
          </cell>
        </row>
        <row r="25">
          <cell r="K25">
            <v>510.28800000000001</v>
          </cell>
          <cell r="S25">
            <v>316.46699999999998</v>
          </cell>
          <cell r="AA25">
            <v>11.901</v>
          </cell>
          <cell r="AI25">
            <v>128.02799999999999</v>
          </cell>
        </row>
        <row r="26">
          <cell r="K26">
            <v>468.053</v>
          </cell>
          <cell r="S26">
            <v>289.80500000000001</v>
          </cell>
          <cell r="AA26">
            <v>10.646000000000001</v>
          </cell>
          <cell r="AI26">
            <v>116.976</v>
          </cell>
        </row>
        <row r="27">
          <cell r="K27">
            <v>488.83199999999999</v>
          </cell>
          <cell r="S27">
            <v>298.27699999999999</v>
          </cell>
          <cell r="AA27">
            <v>10.180999999999999</v>
          </cell>
          <cell r="AI27">
            <v>122.119</v>
          </cell>
        </row>
        <row r="28">
          <cell r="K28">
            <v>507.21300000000002</v>
          </cell>
          <cell r="S28">
            <v>308.536</v>
          </cell>
          <cell r="AA28">
            <v>11.896000000000001</v>
          </cell>
          <cell r="AI28">
            <v>126.92400000000001</v>
          </cell>
        </row>
        <row r="29">
          <cell r="K29">
            <v>512.74300000000005</v>
          </cell>
          <cell r="S29">
            <v>312.41699999999997</v>
          </cell>
          <cell r="AA29">
            <v>11.509</v>
          </cell>
          <cell r="AI29">
            <v>127.959</v>
          </cell>
        </row>
        <row r="30">
          <cell r="K30">
            <v>507.32</v>
          </cell>
          <cell r="S30">
            <v>307.69299999999998</v>
          </cell>
          <cell r="AA30">
            <v>10.211</v>
          </cell>
          <cell r="AI30">
            <v>127.001</v>
          </cell>
        </row>
        <row r="31">
          <cell r="K31">
            <v>500.87099999999998</v>
          </cell>
          <cell r="S31">
            <v>306.88499999999999</v>
          </cell>
          <cell r="AA31">
            <v>9.577</v>
          </cell>
          <cell r="AI31">
            <v>125.09</v>
          </cell>
        </row>
        <row r="32">
          <cell r="K32">
            <v>501.048</v>
          </cell>
          <cell r="S32">
            <v>310.36700000000002</v>
          </cell>
          <cell r="AA32">
            <v>9.9339999999999993</v>
          </cell>
          <cell r="AI32">
            <v>125.34099999999999</v>
          </cell>
        </row>
        <row r="33">
          <cell r="K33">
            <v>504.01100000000002</v>
          </cell>
          <cell r="S33">
            <v>312.30500000000001</v>
          </cell>
          <cell r="AA33">
            <v>11.58</v>
          </cell>
          <cell r="AI33">
            <v>125.996</v>
          </cell>
        </row>
        <row r="34">
          <cell r="K34">
            <v>494.84300000000002</v>
          </cell>
          <cell r="S34">
            <v>303.226</v>
          </cell>
          <cell r="AA34">
            <v>11.481</v>
          </cell>
          <cell r="AI34">
            <v>123.587</v>
          </cell>
        </row>
        <row r="35">
          <cell r="K35">
            <v>356.89400000000001</v>
          </cell>
          <cell r="S35">
            <v>219.77799999999999</v>
          </cell>
          <cell r="AA35">
            <v>8.2639999999999993</v>
          </cell>
          <cell r="AI35">
            <v>89.248999999999995</v>
          </cell>
        </row>
        <row r="36">
          <cell r="K36">
            <v>491.96199999999999</v>
          </cell>
          <cell r="S36">
            <v>296.65600000000001</v>
          </cell>
          <cell r="AA36">
            <v>11.481</v>
          </cell>
          <cell r="AI36">
            <v>123.015</v>
          </cell>
        </row>
      </sheetData>
      <sheetData sheetId="11">
        <row r="6">
          <cell r="K6">
            <v>492.00299999999999</v>
          </cell>
          <cell r="S6">
            <v>295.69900000000001</v>
          </cell>
          <cell r="AA6">
            <v>11.483000000000001</v>
          </cell>
          <cell r="AI6">
            <v>122.983</v>
          </cell>
        </row>
        <row r="7">
          <cell r="K7">
            <v>519.79899999999998</v>
          </cell>
          <cell r="S7">
            <v>315.2</v>
          </cell>
          <cell r="AA7">
            <v>12.169</v>
          </cell>
          <cell r="AI7">
            <v>130.23500000000001</v>
          </cell>
        </row>
        <row r="8">
          <cell r="K8">
            <v>515.92600000000004</v>
          </cell>
          <cell r="S8">
            <v>320.85899999999998</v>
          </cell>
          <cell r="AA8">
            <v>10.317</v>
          </cell>
          <cell r="AI8">
            <v>128.87899999999999</v>
          </cell>
        </row>
        <row r="9">
          <cell r="K9">
            <v>515.99900000000002</v>
          </cell>
          <cell r="S9">
            <v>325.78300000000002</v>
          </cell>
          <cell r="AA9">
            <v>9.8450000000000006</v>
          </cell>
          <cell r="AI9">
            <v>128.958</v>
          </cell>
        </row>
        <row r="10">
          <cell r="K10">
            <v>506.95400000000001</v>
          </cell>
          <cell r="S10">
            <v>320.88499999999999</v>
          </cell>
          <cell r="AA10">
            <v>8.4090000000000007</v>
          </cell>
          <cell r="AI10">
            <v>126.715</v>
          </cell>
        </row>
        <row r="11">
          <cell r="K11">
            <v>474.30799999999999</v>
          </cell>
          <cell r="S11">
            <v>299.57900000000001</v>
          </cell>
          <cell r="AA11">
            <v>7.9</v>
          </cell>
          <cell r="AI11">
            <v>118.776</v>
          </cell>
        </row>
        <row r="12">
          <cell r="K12">
            <v>500.928</v>
          </cell>
          <cell r="S12">
            <v>319.51100000000002</v>
          </cell>
          <cell r="AA12">
            <v>7.3220000000000001</v>
          </cell>
          <cell r="AI12">
            <v>125.27500000000001</v>
          </cell>
        </row>
        <row r="13">
          <cell r="K13">
            <v>507.13900000000001</v>
          </cell>
          <cell r="S13">
            <v>320.78300000000002</v>
          </cell>
          <cell r="AA13">
            <v>12.442</v>
          </cell>
          <cell r="AI13">
            <v>126.88500000000001</v>
          </cell>
        </row>
        <row r="14">
          <cell r="K14">
            <v>482.82100000000003</v>
          </cell>
          <cell r="S14">
            <v>307.267</v>
          </cell>
          <cell r="AA14">
            <v>12.798</v>
          </cell>
          <cell r="AI14">
            <v>120.607</v>
          </cell>
        </row>
        <row r="15">
          <cell r="K15">
            <v>528.02300000000002</v>
          </cell>
          <cell r="S15">
            <v>334.25099999999998</v>
          </cell>
          <cell r="AA15">
            <v>13.186</v>
          </cell>
          <cell r="AI15">
            <v>132.012</v>
          </cell>
        </row>
        <row r="16">
          <cell r="K16">
            <v>141.13200000000001</v>
          </cell>
          <cell r="S16">
            <v>96.238</v>
          </cell>
          <cell r="AA16">
            <v>3.839</v>
          </cell>
          <cell r="AI16">
            <v>35.381999999999998</v>
          </cell>
        </row>
        <row r="17">
          <cell r="K17">
            <v>414.77499999999998</v>
          </cell>
          <cell r="S17">
            <v>270.24299999999999</v>
          </cell>
          <cell r="AA17">
            <v>11.170999999999999</v>
          </cell>
          <cell r="AI17">
            <v>104.09</v>
          </cell>
        </row>
        <row r="18">
          <cell r="K18">
            <v>489.12099999999998</v>
          </cell>
          <cell r="S18">
            <v>310.05799999999999</v>
          </cell>
          <cell r="AA18">
            <v>12.968999999999999</v>
          </cell>
          <cell r="AI18">
            <v>122.148</v>
          </cell>
        </row>
        <row r="19">
          <cell r="K19">
            <v>501.09100000000001</v>
          </cell>
          <cell r="S19">
            <v>311.09199999999998</v>
          </cell>
          <cell r="AA19">
            <v>14.374000000000001</v>
          </cell>
          <cell r="AI19">
            <v>125.307</v>
          </cell>
        </row>
        <row r="20">
          <cell r="K20">
            <v>471.11900000000003</v>
          </cell>
          <cell r="S20">
            <v>289.62700000000001</v>
          </cell>
          <cell r="AA20">
            <v>15.090999999999999</v>
          </cell>
          <cell r="AI20">
            <v>117.646</v>
          </cell>
        </row>
        <row r="21">
          <cell r="K21">
            <v>534.16999999999996</v>
          </cell>
          <cell r="S21">
            <v>327.34199999999998</v>
          </cell>
          <cell r="AA21">
            <v>17.838000000000001</v>
          </cell>
          <cell r="AI21">
            <v>129.43600000000001</v>
          </cell>
        </row>
        <row r="22">
          <cell r="K22">
            <v>486.09899999999999</v>
          </cell>
          <cell r="S22">
            <v>294.03899999999999</v>
          </cell>
          <cell r="AA22">
            <v>17.004999999999999</v>
          </cell>
          <cell r="AI22">
            <v>113.4</v>
          </cell>
        </row>
        <row r="23">
          <cell r="K23">
            <v>450.22</v>
          </cell>
          <cell r="S23">
            <v>272.30900000000003</v>
          </cell>
          <cell r="AA23">
            <v>14.465999999999999</v>
          </cell>
          <cell r="AI23">
            <v>105.02</v>
          </cell>
        </row>
        <row r="24">
          <cell r="K24">
            <v>504.13600000000002</v>
          </cell>
          <cell r="S24">
            <v>303.38</v>
          </cell>
          <cell r="AA24">
            <v>16.375</v>
          </cell>
          <cell r="AI24">
            <v>117.619</v>
          </cell>
        </row>
        <row r="25">
          <cell r="K25">
            <v>494.68799999999999</v>
          </cell>
          <cell r="S25">
            <v>296.57600000000002</v>
          </cell>
          <cell r="AA25">
            <v>15.574999999999999</v>
          </cell>
          <cell r="AI25">
            <v>115.752</v>
          </cell>
        </row>
        <row r="26">
          <cell r="K26">
            <v>459.07900000000001</v>
          </cell>
          <cell r="S26">
            <v>270.89699999999999</v>
          </cell>
          <cell r="AA26">
            <v>14.856</v>
          </cell>
          <cell r="AI26">
            <v>107.173</v>
          </cell>
        </row>
        <row r="27">
          <cell r="K27">
            <v>504.07100000000003</v>
          </cell>
          <cell r="S27">
            <v>296.74299999999999</v>
          </cell>
          <cell r="AA27">
            <v>16.803999999999998</v>
          </cell>
          <cell r="AI27">
            <v>117.58199999999999</v>
          </cell>
        </row>
        <row r="28">
          <cell r="K28">
            <v>494.80099999999999</v>
          </cell>
          <cell r="S28">
            <v>290.14699999999999</v>
          </cell>
          <cell r="AA28">
            <v>16.969000000000001</v>
          </cell>
          <cell r="AI28">
            <v>115.432</v>
          </cell>
        </row>
        <row r="29">
          <cell r="K29">
            <v>531.48299999999995</v>
          </cell>
          <cell r="S29">
            <v>314.42</v>
          </cell>
          <cell r="AA29">
            <v>16.033000000000001</v>
          </cell>
          <cell r="AI29">
            <v>134.21100000000001</v>
          </cell>
        </row>
        <row r="30">
          <cell r="K30">
            <v>515.94799999999998</v>
          </cell>
          <cell r="S30">
            <v>309.79300000000001</v>
          </cell>
          <cell r="AA30">
            <v>11.273999999999999</v>
          </cell>
          <cell r="AI30">
            <v>145.16900000000001</v>
          </cell>
        </row>
        <row r="31">
          <cell r="K31">
            <v>503.91399999999999</v>
          </cell>
          <cell r="S31">
            <v>304.28100000000001</v>
          </cell>
          <cell r="AA31">
            <v>9.3970000000000002</v>
          </cell>
          <cell r="AI31">
            <v>151.29499999999999</v>
          </cell>
        </row>
        <row r="32">
          <cell r="K32">
            <v>515.86699999999996</v>
          </cell>
          <cell r="S32">
            <v>310.23700000000002</v>
          </cell>
          <cell r="AA32">
            <v>10.135999999999999</v>
          </cell>
          <cell r="AI32">
            <v>166.148</v>
          </cell>
        </row>
        <row r="33">
          <cell r="K33">
            <v>507.17200000000003</v>
          </cell>
          <cell r="S33">
            <v>305.34100000000001</v>
          </cell>
          <cell r="AA33">
            <v>10.106</v>
          </cell>
          <cell r="AI33">
            <v>161.60300000000001</v>
          </cell>
        </row>
        <row r="34">
          <cell r="K34">
            <v>563.92499999999995</v>
          </cell>
          <cell r="S34">
            <v>341.39299999999997</v>
          </cell>
          <cell r="AA34">
            <v>12.314</v>
          </cell>
          <cell r="AI34">
            <v>174.453</v>
          </cell>
        </row>
        <row r="35">
          <cell r="K35">
            <v>507.077</v>
          </cell>
          <cell r="S35">
            <v>308.44600000000003</v>
          </cell>
          <cell r="AA35">
            <v>12.753</v>
          </cell>
          <cell r="AI35">
            <v>125.389</v>
          </cell>
        </row>
        <row r="36">
          <cell r="K36"/>
          <cell r="S36"/>
          <cell r="AA36"/>
          <cell r="AI36"/>
        </row>
      </sheetData>
      <sheetData sheetId="12">
        <row r="6">
          <cell r="K6">
            <v>234.05199999999999</v>
          </cell>
          <cell r="S6">
            <v>149.62700000000001</v>
          </cell>
          <cell r="AA6">
            <v>8.6050000000000004</v>
          </cell>
          <cell r="AI6">
            <v>62.401000000000003</v>
          </cell>
        </row>
        <row r="7">
          <cell r="K7">
            <v>516.28200000000004</v>
          </cell>
          <cell r="S7">
            <v>319.42599999999999</v>
          </cell>
          <cell r="AA7">
            <v>18.905000000000001</v>
          </cell>
          <cell r="AI7">
            <v>137.55199999999999</v>
          </cell>
        </row>
        <row r="8">
          <cell r="K8">
            <v>483.62700000000001</v>
          </cell>
          <cell r="S8">
            <v>305.14</v>
          </cell>
          <cell r="AA8">
            <v>16.655000000000001</v>
          </cell>
          <cell r="AI8">
            <v>146.14699999999999</v>
          </cell>
        </row>
        <row r="9">
          <cell r="K9">
            <v>501.23500000000001</v>
          </cell>
          <cell r="S9">
            <v>314.80099999999999</v>
          </cell>
          <cell r="AA9">
            <v>15.167999999999999</v>
          </cell>
          <cell r="AI9">
            <v>183.55199999999999</v>
          </cell>
        </row>
        <row r="10">
          <cell r="K10">
            <v>504.40699999999998</v>
          </cell>
          <cell r="S10">
            <v>324.52699999999999</v>
          </cell>
          <cell r="AA10">
            <v>16.815000000000001</v>
          </cell>
          <cell r="AI10">
            <v>195.721</v>
          </cell>
        </row>
        <row r="11">
          <cell r="K11">
            <v>495.31400000000002</v>
          </cell>
          <cell r="S11">
            <v>318.71800000000002</v>
          </cell>
          <cell r="AA11">
            <v>15.061999999999999</v>
          </cell>
          <cell r="AI11">
            <v>197.46700000000001</v>
          </cell>
        </row>
        <row r="12">
          <cell r="K12">
            <v>500.91300000000001</v>
          </cell>
          <cell r="S12">
            <v>322.80799999999999</v>
          </cell>
          <cell r="AA12">
            <v>13.145</v>
          </cell>
          <cell r="AI12">
            <v>191.9</v>
          </cell>
        </row>
        <row r="13">
          <cell r="K13">
            <v>507.26900000000001</v>
          </cell>
          <cell r="S13">
            <v>327.93099999999998</v>
          </cell>
          <cell r="AA13">
            <v>13.496</v>
          </cell>
          <cell r="AI13">
            <v>194.393</v>
          </cell>
        </row>
        <row r="14">
          <cell r="K14">
            <v>378.24599999999998</v>
          </cell>
          <cell r="S14">
            <v>243.18600000000001</v>
          </cell>
          <cell r="AA14">
            <v>13.592000000000001</v>
          </cell>
          <cell r="AI14">
            <v>100.78</v>
          </cell>
        </row>
        <row r="15">
          <cell r="K15">
            <v>513.25699999999995</v>
          </cell>
          <cell r="S15">
            <v>325.86900000000003</v>
          </cell>
          <cell r="AA15">
            <v>18.091000000000001</v>
          </cell>
          <cell r="AI15">
            <v>136.78200000000001</v>
          </cell>
        </row>
        <row r="16">
          <cell r="K16">
            <v>504.34300000000002</v>
          </cell>
          <cell r="S16">
            <v>319</v>
          </cell>
          <cell r="AA16">
            <v>18.465</v>
          </cell>
          <cell r="AI16">
            <v>134.32900000000001</v>
          </cell>
        </row>
        <row r="17">
          <cell r="K17">
            <v>513.38900000000001</v>
          </cell>
          <cell r="S17">
            <v>324.786</v>
          </cell>
          <cell r="AA17">
            <v>18.943999999999999</v>
          </cell>
          <cell r="AI17">
            <v>136.69200000000001</v>
          </cell>
        </row>
        <row r="18">
          <cell r="K18">
            <v>501.11500000000001</v>
          </cell>
          <cell r="S18">
            <v>318.17700000000002</v>
          </cell>
          <cell r="AA18">
            <v>20.513000000000002</v>
          </cell>
          <cell r="AI18">
            <v>114.17700000000001</v>
          </cell>
        </row>
        <row r="19">
          <cell r="K19">
            <v>483.01600000000002</v>
          </cell>
          <cell r="S19">
            <v>306.64600000000002</v>
          </cell>
          <cell r="AA19">
            <v>20.663</v>
          </cell>
          <cell r="AI19">
            <v>98.519000000000005</v>
          </cell>
        </row>
        <row r="20">
          <cell r="K20">
            <v>540.096</v>
          </cell>
          <cell r="S20">
            <v>339.30900000000003</v>
          </cell>
          <cell r="AA20">
            <v>21.675999999999998</v>
          </cell>
          <cell r="AI20">
            <v>121.00700000000001</v>
          </cell>
        </row>
        <row r="21">
          <cell r="K21">
            <v>483.32400000000001</v>
          </cell>
          <cell r="S21">
            <v>298.49900000000002</v>
          </cell>
          <cell r="AA21">
            <v>19.861999999999998</v>
          </cell>
          <cell r="AI21">
            <v>118.27200000000001</v>
          </cell>
        </row>
        <row r="22">
          <cell r="K22">
            <v>495.096</v>
          </cell>
          <cell r="S22">
            <v>303.34899999999999</v>
          </cell>
          <cell r="AA22">
            <v>19.776</v>
          </cell>
          <cell r="AI22">
            <v>128.995</v>
          </cell>
        </row>
        <row r="23">
          <cell r="K23">
            <v>525.98400000000004</v>
          </cell>
          <cell r="S23">
            <v>322.57499999999999</v>
          </cell>
          <cell r="AA23">
            <v>21.038</v>
          </cell>
          <cell r="AI23">
            <v>140.214</v>
          </cell>
        </row>
        <row r="24">
          <cell r="K24">
            <v>527.66499999999996</v>
          </cell>
          <cell r="S24">
            <v>322.654</v>
          </cell>
          <cell r="AA24">
            <v>19.661999999999999</v>
          </cell>
          <cell r="AI24">
            <v>140.87100000000001</v>
          </cell>
        </row>
        <row r="25">
          <cell r="K25">
            <v>516.84100000000001</v>
          </cell>
          <cell r="S25">
            <v>311.75099999999998</v>
          </cell>
          <cell r="AA25">
            <v>20.187999999999999</v>
          </cell>
          <cell r="AI25">
            <v>137.745</v>
          </cell>
        </row>
        <row r="26">
          <cell r="K26">
            <v>510.11</v>
          </cell>
          <cell r="S26">
            <v>311.39400000000001</v>
          </cell>
          <cell r="AA26">
            <v>19.071000000000002</v>
          </cell>
          <cell r="AI26">
            <v>136.084</v>
          </cell>
        </row>
        <row r="27">
          <cell r="K27">
            <v>491.80599999999998</v>
          </cell>
          <cell r="S27">
            <v>300.83999999999997</v>
          </cell>
          <cell r="AA27">
            <v>18.036000000000001</v>
          </cell>
          <cell r="AI27">
            <v>131.11500000000001</v>
          </cell>
        </row>
        <row r="28">
          <cell r="K28">
            <v>473.73200000000003</v>
          </cell>
          <cell r="S28">
            <v>290.95699999999999</v>
          </cell>
          <cell r="AA28">
            <v>17.265999999999998</v>
          </cell>
          <cell r="AI28">
            <v>126.113</v>
          </cell>
        </row>
        <row r="29">
          <cell r="K29">
            <v>537.90599999999995</v>
          </cell>
          <cell r="S29">
            <v>331.76100000000002</v>
          </cell>
          <cell r="AA29">
            <v>20.36</v>
          </cell>
          <cell r="AI29">
            <v>143.22200000000001</v>
          </cell>
        </row>
        <row r="30">
          <cell r="K30">
            <v>225.14400000000001</v>
          </cell>
          <cell r="S30">
            <v>142.70400000000001</v>
          </cell>
          <cell r="AA30">
            <v>9.1709999999999994</v>
          </cell>
          <cell r="AI30">
            <v>60.146999999999998</v>
          </cell>
        </row>
        <row r="31">
          <cell r="K31">
            <v>498.09199999999998</v>
          </cell>
          <cell r="S31">
            <v>312.05200000000002</v>
          </cell>
          <cell r="AA31">
            <v>14.596</v>
          </cell>
          <cell r="AI31">
            <v>175.92099999999999</v>
          </cell>
        </row>
        <row r="32">
          <cell r="K32">
            <v>515.72199999999998</v>
          </cell>
          <cell r="S32">
            <v>323.16500000000002</v>
          </cell>
          <cell r="AA32">
            <v>12.089</v>
          </cell>
          <cell r="AI32">
            <v>206.20699999999999</v>
          </cell>
        </row>
        <row r="33">
          <cell r="K33">
            <v>486.447</v>
          </cell>
          <cell r="S33">
            <v>303.88600000000002</v>
          </cell>
          <cell r="AA33">
            <v>12.494</v>
          </cell>
          <cell r="AI33">
            <v>194.559</v>
          </cell>
        </row>
        <row r="34">
          <cell r="K34">
            <v>447.18799999999999</v>
          </cell>
          <cell r="S34">
            <v>279.19600000000003</v>
          </cell>
          <cell r="AA34">
            <v>12.047000000000001</v>
          </cell>
          <cell r="AI34">
            <v>178.78399999999999</v>
          </cell>
        </row>
        <row r="35">
          <cell r="K35">
            <v>375.15300000000002</v>
          </cell>
          <cell r="S35">
            <v>241.40899999999999</v>
          </cell>
          <cell r="AA35">
            <v>9.9529999999999994</v>
          </cell>
          <cell r="AI35">
            <v>149.875</v>
          </cell>
        </row>
        <row r="36">
          <cell r="K36">
            <v>515.77700000000004</v>
          </cell>
          <cell r="S36">
            <v>325.16199999999998</v>
          </cell>
          <cell r="AA36">
            <v>17.129000000000001</v>
          </cell>
          <cell r="AI36">
            <v>161.82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январь 20 (-руда,агл)"/>
      <sheetName val="февраль 20"/>
    </sheetNames>
    <sheetDataSet>
      <sheetData sheetId="0" refreshError="1"/>
      <sheetData sheetId="1">
        <row r="6">
          <cell r="BE6" t="str">
            <v>FeMn
НИ</v>
          </cell>
          <cell r="BG6" t="str">
            <v>План по нараст.</v>
          </cell>
        </row>
        <row r="7">
          <cell r="BE7">
            <v>230.78999999999996</v>
          </cell>
          <cell r="BG7">
            <v>209.67741935483872</v>
          </cell>
        </row>
        <row r="8">
          <cell r="BE8">
            <v>444.86999999999995</v>
          </cell>
          <cell r="BG8">
            <v>419.35483870967744</v>
          </cell>
        </row>
        <row r="9">
          <cell r="BE9">
            <v>724.31</v>
          </cell>
          <cell r="BG9">
            <v>629.0322580645161</v>
          </cell>
        </row>
        <row r="10">
          <cell r="BE10">
            <v>951.7299999999999</v>
          </cell>
          <cell r="BG10">
            <v>838.70967741935488</v>
          </cell>
        </row>
        <row r="11">
          <cell r="BE11">
            <v>1169.78</v>
          </cell>
          <cell r="BG11">
            <v>1048.3870967741937</v>
          </cell>
        </row>
        <row r="12">
          <cell r="BE12">
            <v>1372.1799999999998</v>
          </cell>
          <cell r="BG12">
            <v>1258.0645161290324</v>
          </cell>
        </row>
        <row r="13">
          <cell r="BE13">
            <v>1584.36</v>
          </cell>
          <cell r="BG13">
            <v>1467.7419354838712</v>
          </cell>
        </row>
        <row r="14">
          <cell r="BE14">
            <v>1790.6299999999999</v>
          </cell>
          <cell r="BG14">
            <v>1677.41935483871</v>
          </cell>
        </row>
        <row r="15">
          <cell r="BE15">
            <v>2011.7599999999998</v>
          </cell>
          <cell r="BG15">
            <v>1887.0967741935488</v>
          </cell>
        </row>
        <row r="16">
          <cell r="BE16">
            <v>2222.2099999999996</v>
          </cell>
          <cell r="BG16">
            <v>2096.7741935483873</v>
          </cell>
        </row>
        <row r="17">
          <cell r="BE17">
            <v>2436.6599999999994</v>
          </cell>
          <cell r="BG17">
            <v>2306.4516129032259</v>
          </cell>
        </row>
        <row r="18">
          <cell r="BE18">
            <v>2518.7399999999993</v>
          </cell>
          <cell r="BG18">
            <v>2516.1290322580644</v>
          </cell>
        </row>
        <row r="19">
          <cell r="BE19">
            <v>2690.5599999999995</v>
          </cell>
          <cell r="BG19">
            <v>2725.8064516129029</v>
          </cell>
        </row>
        <row r="20">
          <cell r="BE20">
            <v>2875.8299999999995</v>
          </cell>
          <cell r="BG20">
            <v>2935.4838709677415</v>
          </cell>
        </row>
        <row r="21">
          <cell r="BE21">
            <v>3081.4499999999994</v>
          </cell>
          <cell r="BG21">
            <v>3145.16129032258</v>
          </cell>
        </row>
        <row r="22">
          <cell r="BE22">
            <v>3227.3799999999992</v>
          </cell>
          <cell r="BG22">
            <v>3354.8387096774186</v>
          </cell>
        </row>
        <row r="23">
          <cell r="BE23">
            <v>3400.8999999999992</v>
          </cell>
          <cell r="BG23">
            <v>3564.5161290322571</v>
          </cell>
        </row>
        <row r="24">
          <cell r="BE24">
            <v>3656.6899999999991</v>
          </cell>
          <cell r="BG24">
            <v>3774.1935483870957</v>
          </cell>
        </row>
        <row r="25">
          <cell r="BE25">
            <v>3874.2099999999991</v>
          </cell>
          <cell r="BG25">
            <v>3983.8709677419342</v>
          </cell>
        </row>
        <row r="26">
          <cell r="BE26">
            <v>4086.2399999999993</v>
          </cell>
          <cell r="BG26">
            <v>4193.5483870967728</v>
          </cell>
        </row>
        <row r="27">
          <cell r="BE27">
            <v>4314.4399999999996</v>
          </cell>
          <cell r="BG27">
            <v>4403.2258064516118</v>
          </cell>
        </row>
        <row r="28">
          <cell r="BE28">
            <v>4543.1799999999994</v>
          </cell>
          <cell r="BG28">
            <v>4612.9032258064508</v>
          </cell>
        </row>
        <row r="29">
          <cell r="BE29">
            <v>4774.8099999999995</v>
          </cell>
          <cell r="BG29">
            <v>4822.5806451612898</v>
          </cell>
        </row>
        <row r="30">
          <cell r="BE30">
            <v>5000.87</v>
          </cell>
          <cell r="BG30">
            <v>5032.2580645161288</v>
          </cell>
        </row>
        <row r="31">
          <cell r="BE31">
            <v>5231.49</v>
          </cell>
          <cell r="BG31">
            <v>5241.9354838709678</v>
          </cell>
        </row>
        <row r="32">
          <cell r="BE32">
            <v>5452.79</v>
          </cell>
          <cell r="BG32">
            <v>5451.6129032258068</v>
          </cell>
        </row>
        <row r="33">
          <cell r="BE33">
            <v>5661.01</v>
          </cell>
          <cell r="BG33">
            <v>5661.2903225806458</v>
          </cell>
        </row>
        <row r="34">
          <cell r="BE34">
            <v>5875.8600000000006</v>
          </cell>
          <cell r="BG34">
            <v>5870.9677419354848</v>
          </cell>
        </row>
        <row r="35">
          <cell r="BE35">
            <v>5977.6100000000006</v>
          </cell>
          <cell r="BG35">
            <v>6080.6451612903238</v>
          </cell>
        </row>
        <row r="36">
          <cell r="BE36">
            <v>6186.5300000000007</v>
          </cell>
          <cell r="BG36">
            <v>6290.3225806451628</v>
          </cell>
        </row>
        <row r="37">
          <cell r="BE37">
            <v>6419.380000000001</v>
          </cell>
          <cell r="BG37">
            <v>6500.0000000000018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"/>
      <sheetName val="январь 20 (+руда,-агл,-кокс)"/>
      <sheetName val="февраль 20"/>
      <sheetName val="февраль 20 (-руда,+агл)"/>
      <sheetName val="март 20 "/>
      <sheetName val="март 20  (-руда,+агл)"/>
      <sheetName val="апрель 20 "/>
    </sheetNames>
    <sheetDataSet>
      <sheetData sheetId="0"/>
      <sheetData sheetId="1"/>
      <sheetData sheetId="2"/>
      <sheetData sheetId="3"/>
      <sheetData sheetId="4"/>
      <sheetData sheetId="5">
        <row r="6">
          <cell r="BE6" t="str">
            <v>FeMn
НИ</v>
          </cell>
          <cell r="BG6" t="str">
            <v>План по нараст.</v>
          </cell>
        </row>
        <row r="7">
          <cell r="BE7">
            <v>211.76000000000002</v>
          </cell>
          <cell r="BG7">
            <v>220.96774193548387</v>
          </cell>
        </row>
        <row r="8">
          <cell r="BE8">
            <v>421.09000000000003</v>
          </cell>
          <cell r="BG8">
            <v>441.93548387096774</v>
          </cell>
        </row>
        <row r="9">
          <cell r="BE9">
            <v>584.46</v>
          </cell>
          <cell r="BG9">
            <v>662.90322580645159</v>
          </cell>
        </row>
        <row r="10">
          <cell r="BE10">
            <v>684.23</v>
          </cell>
          <cell r="BG10">
            <v>883.87096774193549</v>
          </cell>
        </row>
        <row r="11">
          <cell r="BE11">
            <v>833.66000000000008</v>
          </cell>
          <cell r="BG11">
            <v>1104.8387096774193</v>
          </cell>
        </row>
        <row r="12">
          <cell r="BE12">
            <v>1068.8900000000001</v>
          </cell>
          <cell r="BG12">
            <v>1325.8064516129032</v>
          </cell>
        </row>
        <row r="13">
          <cell r="BE13">
            <v>1298.98</v>
          </cell>
          <cell r="BG13">
            <v>1546.7741935483871</v>
          </cell>
        </row>
        <row r="14">
          <cell r="BE14">
            <v>1548.63</v>
          </cell>
          <cell r="BG14">
            <v>1767.741935483871</v>
          </cell>
        </row>
        <row r="15">
          <cell r="BE15">
            <v>1777.29</v>
          </cell>
          <cell r="BG15">
            <v>1988.7096774193549</v>
          </cell>
        </row>
        <row r="16">
          <cell r="BE16">
            <v>1980.25</v>
          </cell>
          <cell r="BG16">
            <v>2209.6774193548385</v>
          </cell>
        </row>
        <row r="17">
          <cell r="BE17">
            <v>2155.5700000000002</v>
          </cell>
          <cell r="BG17">
            <v>2430.6451612903224</v>
          </cell>
        </row>
        <row r="18">
          <cell r="BE18">
            <v>2243.42</v>
          </cell>
          <cell r="BG18">
            <v>2651.6129032258063</v>
          </cell>
        </row>
        <row r="19">
          <cell r="BE19">
            <v>2307.58</v>
          </cell>
          <cell r="BG19">
            <v>2872.5806451612902</v>
          </cell>
        </row>
        <row r="20">
          <cell r="BE20">
            <v>2434.15</v>
          </cell>
          <cell r="BG20">
            <v>3093.5483870967741</v>
          </cell>
        </row>
        <row r="21">
          <cell r="BE21">
            <v>2617.85</v>
          </cell>
          <cell r="BG21">
            <v>3314.516129032258</v>
          </cell>
        </row>
        <row r="22">
          <cell r="BE22">
            <v>2856.29</v>
          </cell>
          <cell r="BG22">
            <v>3535.483870967742</v>
          </cell>
        </row>
        <row r="23">
          <cell r="BE23">
            <v>3089.11</v>
          </cell>
          <cell r="BG23">
            <v>3756.4516129032259</v>
          </cell>
        </row>
        <row r="24">
          <cell r="BE24">
            <v>3324.6000000000004</v>
          </cell>
          <cell r="BG24">
            <v>3977.4193548387098</v>
          </cell>
        </row>
        <row r="25">
          <cell r="BE25">
            <v>3555.8</v>
          </cell>
          <cell r="BG25">
            <v>4198.3870967741932</v>
          </cell>
        </row>
        <row r="26">
          <cell r="BE26">
            <v>3781.86</v>
          </cell>
          <cell r="BG26">
            <v>4419.3548387096771</v>
          </cell>
        </row>
        <row r="27">
          <cell r="BE27">
            <v>3997.15</v>
          </cell>
          <cell r="BG27">
            <v>4640.322580645161</v>
          </cell>
        </row>
        <row r="28">
          <cell r="BE28">
            <v>4242.72</v>
          </cell>
          <cell r="BG28">
            <v>4861.2903225806449</v>
          </cell>
        </row>
        <row r="29">
          <cell r="BE29">
            <v>4481.33</v>
          </cell>
          <cell r="BG29">
            <v>5082.2580645161288</v>
          </cell>
        </row>
        <row r="30">
          <cell r="BE30">
            <v>4708.99</v>
          </cell>
          <cell r="BG30">
            <v>5303.2258064516127</v>
          </cell>
        </row>
        <row r="31">
          <cell r="BE31">
            <v>4937.63</v>
          </cell>
          <cell r="BG31">
            <v>5524.1935483870966</v>
          </cell>
        </row>
        <row r="32">
          <cell r="BE32">
            <v>5171.1000000000004</v>
          </cell>
          <cell r="BG32">
            <v>5745.1612903225805</v>
          </cell>
        </row>
        <row r="33">
          <cell r="BE33">
            <v>5371.14</v>
          </cell>
          <cell r="BG33">
            <v>5966.1290322580644</v>
          </cell>
        </row>
        <row r="34">
          <cell r="BE34">
            <v>5562.64</v>
          </cell>
          <cell r="BG34">
            <v>6187.0967741935483</v>
          </cell>
        </row>
        <row r="35">
          <cell r="BE35">
            <v>5743.3200000000006</v>
          </cell>
          <cell r="BG35">
            <v>6408.0645161290322</v>
          </cell>
        </row>
        <row r="36">
          <cell r="BE36">
            <v>5903.9600000000009</v>
          </cell>
          <cell r="BG36">
            <v>6629.0322580645161</v>
          </cell>
        </row>
        <row r="37">
          <cell r="BE37">
            <v>6083.9800000000014</v>
          </cell>
          <cell r="BG37">
            <v>6850</v>
          </cell>
        </row>
      </sheetData>
      <sheetData sheetId="6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 20  "/>
      <sheetName val="февраль 20  "/>
      <sheetName val="март 20 "/>
      <sheetName val="апрель 20 "/>
      <sheetName val="май 20"/>
      <sheetName val="июнь 20 "/>
      <sheetName val="июль 20 "/>
      <sheetName val="август 20"/>
      <sheetName val="сентябрь 20"/>
      <sheetName val="октябрь 20"/>
      <sheetName val="ноябрь 20"/>
      <sheetName val="декабрь 20"/>
    </sheetNames>
    <sheetDataSet>
      <sheetData sheetId="0"/>
      <sheetData sheetId="1"/>
      <sheetData sheetId="2"/>
      <sheetData sheetId="3"/>
      <sheetData sheetId="4"/>
      <sheetData sheetId="5"/>
      <sheetData sheetId="6">
        <row r="38">
          <cell r="C38">
            <v>1328.8600000000001</v>
          </cell>
          <cell r="G38">
            <v>1328.8554999999999</v>
          </cell>
        </row>
      </sheetData>
      <sheetData sheetId="7">
        <row r="38">
          <cell r="C38">
            <v>1382.9200000000003</v>
          </cell>
          <cell r="G38">
            <v>1382.9169999999997</v>
          </cell>
        </row>
      </sheetData>
      <sheetData sheetId="8">
        <row r="38">
          <cell r="C38">
            <v>1791.14</v>
          </cell>
          <cell r="G38">
            <v>1791.1407999999997</v>
          </cell>
        </row>
      </sheetData>
      <sheetData sheetId="9">
        <row r="38">
          <cell r="C38">
            <v>1845.5499999999997</v>
          </cell>
          <cell r="G38">
            <v>1845.5520000000001</v>
          </cell>
        </row>
      </sheetData>
      <sheetData sheetId="10">
        <row r="38">
          <cell r="C38">
            <v>1738.0000000000002</v>
          </cell>
          <cell r="G38">
            <v>1738.0009999999995</v>
          </cell>
        </row>
      </sheetData>
      <sheetData sheetId="11">
        <row r="38">
          <cell r="C38">
            <v>1780.65</v>
          </cell>
          <cell r="G38">
            <v>1780.6534999999994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CK25" activePane="bottomRight" state="frozen"/>
      <selection pane="topRight" activeCell="B1" sqref="B1"/>
      <selection pane="bottomLeft" activeCell="A7" sqref="A7"/>
      <selection pane="bottomRight" activeCell="CQ45" sqref="CQ45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140625" customWidth="1"/>
    <col min="11" max="11" width="7" customWidth="1"/>
    <col min="12" max="12" width="8" customWidth="1"/>
    <col min="13" max="13" width="7.28515625" customWidth="1"/>
    <col min="14" max="14" width="7" hidden="1" customWidth="1"/>
    <col min="15" max="15" width="7.28515625" customWidth="1"/>
    <col min="16" max="16" width="9" customWidth="1"/>
    <col min="17" max="17" width="5.140625" customWidth="1"/>
    <col min="18" max="18" width="8.85546875" customWidth="1"/>
    <col min="19" max="19" width="8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31</v>
      </c>
      <c r="AT2" s="321"/>
      <c r="AU2" s="321"/>
      <c r="AV2" s="322"/>
      <c r="AW2" s="321"/>
      <c r="AX2" s="323" t="s">
        <v>2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07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'[1]январь 20'!K6</f>
        <v>491.91199999999998</v>
      </c>
      <c r="C7" s="104">
        <f t="shared" ref="C7:C37" si="0">IF(B7=0,0,(BJ7*BR7+BK7*BS7+BM7*BU7+BP7*BX7+BL7*BT7+BO7*BW7+BN7*BV7)/B7)</f>
        <v>2.0293644011664691</v>
      </c>
      <c r="D7" s="105">
        <f t="shared" ref="D7:D37" si="1">B7*((100-C7)/100)</f>
        <v>481.92931298693395</v>
      </c>
      <c r="E7" s="104">
        <f t="shared" ref="E7:E37" si="2">IF(B7=0,0,(BJ7*BY7+BK7*BZ7+BM7*CB7+BP7*CE7+BL7*CA7+BO7*CD7+BN7*CC7)/B7)</f>
        <v>40.535907682674946</v>
      </c>
      <c r="F7" s="103">
        <f t="shared" ref="F7:F37" si="3">IF(AX7=0,0,D7/AX7)</f>
        <v>2.0881724207588457</v>
      </c>
      <c r="G7" s="106"/>
      <c r="H7" s="107">
        <f t="shared" ref="H7:H37" si="4">IF(AX7=0,0,(CV7+CS7+CU7+CP7+CT7)/AX7)</f>
        <v>1.1649695116772827</v>
      </c>
      <c r="I7" s="103">
        <f>'[1]сентябрь 20'!AE6</f>
        <v>0</v>
      </c>
      <c r="J7" s="103">
        <f>'[1]январь 20'!AA6</f>
        <v>4.3529999999999998</v>
      </c>
      <c r="K7" s="106"/>
      <c r="L7" s="328">
        <f>'[1]январь 20'!AI6</f>
        <v>213.066</v>
      </c>
      <c r="M7" s="103">
        <f t="shared" ref="M7:M37" si="5">IF(AX7=0,0,(CR7+CQ7)/AX7)</f>
        <v>0.92320291081474093</v>
      </c>
      <c r="N7" s="103">
        <f>'[1]июль 20'!AM6</f>
        <v>0</v>
      </c>
      <c r="O7" s="103">
        <f>'[1]январь 20'!W6</f>
        <v>0</v>
      </c>
      <c r="P7" s="103">
        <f>'[1]январь 20'!S6</f>
        <v>290.779</v>
      </c>
      <c r="Q7" s="108">
        <f t="shared" ref="Q7:Q37" si="6">IF(P7=0,0,(1-(T7/P7))*100)</f>
        <v>2.0905910674429595</v>
      </c>
      <c r="R7" s="109">
        <f t="shared" ref="R7:R37" si="7">P7*((100-Q7)/100)</f>
        <v>284.70000020000003</v>
      </c>
      <c r="S7" s="106">
        <v>13.73</v>
      </c>
      <c r="T7" s="109">
        <f t="shared" ref="T7:T37" si="8">CG7+CH7+CJ7+CI7</f>
        <v>284.70000020000003</v>
      </c>
      <c r="U7" s="110">
        <f t="shared" ref="U7:U37" si="9">IF(AX7=0,0,R7/AX7)</f>
        <v>1.2335889778586597</v>
      </c>
      <c r="V7" s="136">
        <v>189.06</v>
      </c>
      <c r="W7" s="111">
        <v>230.79</v>
      </c>
      <c r="X7" s="106">
        <v>0.3</v>
      </c>
      <c r="Y7" s="112">
        <v>525</v>
      </c>
      <c r="Z7" s="238">
        <v>1233</v>
      </c>
      <c r="AA7" s="113" t="s">
        <v>109</v>
      </c>
      <c r="AB7" s="106">
        <v>75.27</v>
      </c>
      <c r="AC7" s="112">
        <v>164</v>
      </c>
      <c r="AD7" s="114">
        <v>5</v>
      </c>
      <c r="AE7" s="106">
        <v>14.4</v>
      </c>
      <c r="AF7" s="115">
        <f t="shared" ref="AF7:AF37" si="10">IF(AX7=0,0,AE7/AX7*1000)</f>
        <v>62.394384505394527</v>
      </c>
      <c r="AG7" s="106">
        <v>144.75</v>
      </c>
      <c r="AH7" s="115">
        <f t="shared" ref="AH7:AH37" si="11">IF(AX7=0,0,AG7/AX7*1000)</f>
        <v>627.19355258026792</v>
      </c>
      <c r="AI7" s="106">
        <v>32.19</v>
      </c>
      <c r="AJ7" s="116"/>
      <c r="AK7" s="117">
        <v>8.74</v>
      </c>
      <c r="AL7" s="118">
        <v>53.6</v>
      </c>
      <c r="AM7" s="110">
        <f t="shared" ref="AM7:AM37" si="12">IF(AL7=0,0,AL7/AS7)</f>
        <v>0.18521078092605392</v>
      </c>
      <c r="AN7" s="119" t="s">
        <v>110</v>
      </c>
      <c r="AO7" s="403">
        <v>11</v>
      </c>
      <c r="AP7" s="120">
        <v>6.3</v>
      </c>
      <c r="AQ7" s="106"/>
      <c r="AR7" s="106">
        <v>15.4</v>
      </c>
      <c r="AS7" s="314">
        <v>289.39999999999998</v>
      </c>
      <c r="AT7" s="121">
        <v>3.73</v>
      </c>
      <c r="AU7" s="122"/>
      <c r="AV7" s="123"/>
      <c r="AW7" s="124"/>
      <c r="AX7" s="109">
        <f t="shared" ref="AX7:AX37" si="13">AS7-AL7-AK7+AV7+AT7</f>
        <v>230.78999999999996</v>
      </c>
      <c r="AY7" s="115">
        <f>IF(AB7=0,0,((D7*0.97)*(E7/100)*0.9)/(AB7/100))</f>
        <v>226.57686978783079</v>
      </c>
      <c r="AZ7" s="125">
        <f t="shared" ref="AZ7:AZ37" si="14">(AG7*AR7)/100*(55/71)</f>
        <v>17.268063380281689</v>
      </c>
      <c r="BA7" s="115">
        <f t="shared" ref="BA7:BA23" si="15">AX7*$BA$6</f>
        <v>9.2315999999999985</v>
      </c>
      <c r="BB7" s="103">
        <f t="shared" ref="BB7:BB37" si="16">IF((D7*E7)=0,0,(AX7*AB7)/(D7*E7))</f>
        <v>0.88923317807624358</v>
      </c>
      <c r="BC7" s="115">
        <f t="shared" ref="BC7:BC37" si="17">AZ7+BA7</f>
        <v>26.499663380281689</v>
      </c>
      <c r="BD7" s="126">
        <v>0.88900000000000001</v>
      </c>
      <c r="BE7" s="16">
        <f>AX7</f>
        <v>230.78999999999996</v>
      </c>
      <c r="BF7" s="16">
        <f t="shared" ref="BF7:BF38" si="18">IF(A7&lt;=$BD$43,$AS$43,0)</f>
        <v>209.67741935483872</v>
      </c>
      <c r="BG7" s="16">
        <f>BF7</f>
        <v>209.67741935483872</v>
      </c>
      <c r="BH7" s="17">
        <f t="shared" ref="BH7:BH37" si="19">IF(AX7&lt;&gt;0,1,0)</f>
        <v>1</v>
      </c>
      <c r="BI7" s="16">
        <f>BF7*BH7</f>
        <v>209.67741935483872</v>
      </c>
      <c r="BJ7" s="336">
        <v>278.846</v>
      </c>
      <c r="BK7" s="336">
        <v>107.754</v>
      </c>
      <c r="BL7" s="336">
        <v>105.312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3.58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36.340000000000003</v>
      </c>
      <c r="BZ7" s="336">
        <v>46.65</v>
      </c>
      <c r="CA7" s="336">
        <v>45.39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82</v>
      </c>
      <c r="CH7" s="336">
        <v>202.7</v>
      </c>
      <c r="CI7" s="336">
        <v>9.9999999999999995E-8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268.86331319999999</v>
      </c>
      <c r="CQ7" s="22">
        <f t="shared" si="20"/>
        <v>107.75399989224601</v>
      </c>
      <c r="CR7" s="22">
        <f t="shared" si="20"/>
        <v>105.311999894688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81.999999918</v>
      </c>
      <c r="CX7" s="21">
        <f t="shared" si="21"/>
        <v>202.69999979729999</v>
      </c>
      <c r="CY7" s="21">
        <f t="shared" si="21"/>
        <v>9.99999999E-8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02"/>
    </row>
    <row r="8" spans="1:112" ht="16.5" customHeight="1">
      <c r="A8" s="127">
        <v>2</v>
      </c>
      <c r="B8" s="103">
        <f>'[1]январь 20'!K7</f>
        <v>518.38599999999997</v>
      </c>
      <c r="C8" s="104">
        <f t="shared" si="0"/>
        <v>1.552735027566331</v>
      </c>
      <c r="D8" s="105">
        <f t="shared" si="1"/>
        <v>510.33683899999994</v>
      </c>
      <c r="E8" s="104">
        <f t="shared" si="2"/>
        <v>40.471101804446889</v>
      </c>
      <c r="F8" s="128">
        <f t="shared" si="3"/>
        <v>2.3838604213378174</v>
      </c>
      <c r="G8" s="106"/>
      <c r="H8" s="107">
        <f t="shared" si="4"/>
        <v>1.3346218189461885</v>
      </c>
      <c r="I8" s="103">
        <f>'[1]сентябрь 20'!AE7</f>
        <v>0</v>
      </c>
      <c r="J8" s="103">
        <f>'[1]январь 20'!AA7</f>
        <v>1.8779999999999999</v>
      </c>
      <c r="K8" s="106"/>
      <c r="L8" s="328">
        <f>'[1]январь 20'!AI7</f>
        <v>224.62100000000001</v>
      </c>
      <c r="M8" s="103">
        <f t="shared" si="5"/>
        <v>1.0492386023916294</v>
      </c>
      <c r="N8" s="103">
        <f>'[1]июль 20'!AM7</f>
        <v>0</v>
      </c>
      <c r="O8" s="103">
        <f>'[1]январь 20'!W7</f>
        <v>0</v>
      </c>
      <c r="P8" s="103">
        <f>'[1]январь 20'!S7</f>
        <v>311.08999999999997</v>
      </c>
      <c r="Q8" s="108">
        <f t="shared" si="6"/>
        <v>2.0701404738178608</v>
      </c>
      <c r="R8" s="109">
        <f t="shared" si="7"/>
        <v>304.64999999999998</v>
      </c>
      <c r="S8" s="106">
        <v>14.9</v>
      </c>
      <c r="T8" s="109">
        <f t="shared" si="8"/>
        <v>304.64999999999998</v>
      </c>
      <c r="U8" s="110">
        <f t="shared" si="9"/>
        <v>1.4230661434977578</v>
      </c>
      <c r="V8" s="136">
        <v>124.69</v>
      </c>
      <c r="W8" s="130">
        <v>167.47</v>
      </c>
      <c r="X8" s="131">
        <v>0.46</v>
      </c>
      <c r="Y8" s="112">
        <v>635</v>
      </c>
      <c r="Z8" s="112">
        <v>1239</v>
      </c>
      <c r="AA8" s="132" t="s">
        <v>111</v>
      </c>
      <c r="AB8" s="131">
        <v>75.069999999999993</v>
      </c>
      <c r="AC8" s="133">
        <v>173</v>
      </c>
      <c r="AD8" s="134">
        <v>5</v>
      </c>
      <c r="AE8" s="131">
        <v>6.75</v>
      </c>
      <c r="AF8" s="115">
        <f t="shared" si="10"/>
        <v>31.530269058295964</v>
      </c>
      <c r="AG8" s="131">
        <v>130.5</v>
      </c>
      <c r="AH8" s="115">
        <f t="shared" si="11"/>
        <v>609.58520179372204</v>
      </c>
      <c r="AI8" s="131">
        <v>32.15</v>
      </c>
      <c r="AJ8" s="116"/>
      <c r="AK8" s="135">
        <v>12.42</v>
      </c>
      <c r="AL8" s="136">
        <v>54.09</v>
      </c>
      <c r="AM8" s="110">
        <f t="shared" si="12"/>
        <v>0.19338577046835898</v>
      </c>
      <c r="AN8" s="137" t="s">
        <v>112</v>
      </c>
      <c r="AO8" s="150">
        <v>12.2</v>
      </c>
      <c r="AP8" s="138">
        <v>6.43</v>
      </c>
      <c r="AQ8" s="131"/>
      <c r="AR8" s="131">
        <v>12.4</v>
      </c>
      <c r="AS8" s="315">
        <v>279.7</v>
      </c>
      <c r="AT8" s="131">
        <v>0.89</v>
      </c>
      <c r="AU8" s="116"/>
      <c r="AV8" s="131"/>
      <c r="AW8" s="109"/>
      <c r="AX8" s="109">
        <f t="shared" si="13"/>
        <v>214.07999999999998</v>
      </c>
      <c r="AY8" s="115">
        <f t="shared" ref="AY8:AY37" si="24">IF(AB8=0,0,((D8*0.97)*(E8/100)*0.9)/(AB8/100))</f>
        <v>240.18715341256279</v>
      </c>
      <c r="AZ8" s="140">
        <f t="shared" si="14"/>
        <v>12.535352112676058</v>
      </c>
      <c r="BA8" s="141">
        <f t="shared" si="15"/>
        <v>8.5632000000000001</v>
      </c>
      <c r="BB8" s="128">
        <f t="shared" si="16"/>
        <v>0.77810922584598474</v>
      </c>
      <c r="BC8" s="141">
        <f t="shared" si="17"/>
        <v>21.09855211267606</v>
      </c>
      <c r="BD8" s="142">
        <v>0.83299999999999996</v>
      </c>
      <c r="BE8" s="16">
        <f t="shared" ref="BE8:BE37" si="25">BE7+AX8</f>
        <v>444.86999999999995</v>
      </c>
      <c r="BF8" s="16">
        <f t="shared" si="18"/>
        <v>209.67741935483872</v>
      </c>
      <c r="BG8" s="16">
        <f t="shared" ref="BG8:BG37" si="26">BF8+BG7</f>
        <v>419.35483870967744</v>
      </c>
      <c r="BH8" s="17">
        <f t="shared" si="19"/>
        <v>1</v>
      </c>
      <c r="BI8" s="16">
        <f t="shared" ref="BI8:BI37" si="27">BI7+BF8*BH8</f>
        <v>419.35483870967744</v>
      </c>
      <c r="BJ8" s="249">
        <v>293.76499999999999</v>
      </c>
      <c r="BK8" s="195"/>
      <c r="BL8" s="197">
        <v>224.62100000000001</v>
      </c>
      <c r="BM8" s="197"/>
      <c r="BN8" s="230"/>
      <c r="BO8" s="230"/>
      <c r="BP8" s="250"/>
      <c r="BQ8" s="199"/>
      <c r="BR8" s="200">
        <v>2.74</v>
      </c>
      <c r="BS8" s="200"/>
      <c r="BT8" s="200"/>
      <c r="BU8" s="200"/>
      <c r="BV8" s="208"/>
      <c r="BW8" s="208"/>
      <c r="BX8" s="198"/>
      <c r="BY8" s="202">
        <v>36.450000000000003</v>
      </c>
      <c r="BZ8" s="200"/>
      <c r="CA8" s="200">
        <v>45.73</v>
      </c>
      <c r="CB8" s="200"/>
      <c r="CC8" s="197"/>
      <c r="CD8" s="197"/>
      <c r="CE8" s="197"/>
      <c r="CF8" s="203"/>
      <c r="CG8" s="204">
        <v>86.5</v>
      </c>
      <c r="CH8" s="197">
        <v>218.15</v>
      </c>
      <c r="CI8" s="197"/>
      <c r="CJ8" s="198"/>
      <c r="CK8" s="205"/>
      <c r="CL8" s="206"/>
      <c r="CM8" s="269"/>
      <c r="CN8" s="207"/>
      <c r="CO8" s="284"/>
      <c r="CP8" s="286">
        <f t="shared" si="20"/>
        <v>285.71583900000002</v>
      </c>
      <c r="CQ8" s="24">
        <f t="shared" si="20"/>
        <v>0</v>
      </c>
      <c r="CR8" s="25">
        <f t="shared" si="20"/>
        <v>224.62100000000001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86.5</v>
      </c>
      <c r="CX8" s="26">
        <f t="shared" si="21"/>
        <v>218.15</v>
      </c>
      <c r="CY8" s="277">
        <f t="shared" si="21"/>
        <v>0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8">IF(I8=0,0,(DE8*DD8%)/(AB8/100))</f>
        <v>0</v>
      </c>
      <c r="DH8" s="402"/>
    </row>
    <row r="9" spans="1:112" ht="16.5" customHeight="1">
      <c r="A9" s="127">
        <v>3</v>
      </c>
      <c r="B9" s="103">
        <f>'[1]январь 20'!K8</f>
        <v>558.20799999999997</v>
      </c>
      <c r="C9" s="104">
        <f t="shared" si="0"/>
        <v>1.6331670094301767</v>
      </c>
      <c r="D9" s="143">
        <f t="shared" si="1"/>
        <v>549.0915311</v>
      </c>
      <c r="E9" s="104">
        <f t="shared" si="2"/>
        <v>40.890998946629217</v>
      </c>
      <c r="F9" s="128">
        <f t="shared" si="3"/>
        <v>1.964971124749499</v>
      </c>
      <c r="G9" s="106"/>
      <c r="H9" s="107">
        <f t="shared" si="4"/>
        <v>1.1041029598482679</v>
      </c>
      <c r="I9" s="103">
        <f>'[1]сентябрь 20'!AE8</f>
        <v>0</v>
      </c>
      <c r="J9" s="103">
        <f>'[1]январь 20'!AA8</f>
        <v>3.1419999999999999</v>
      </c>
      <c r="K9" s="106"/>
      <c r="L9" s="328">
        <f>'[1]январь 20'!AI8</f>
        <v>240.56100000000001</v>
      </c>
      <c r="M9" s="103">
        <f t="shared" si="5"/>
        <v>0.86086816490123108</v>
      </c>
      <c r="N9" s="103">
        <f>'[1]июль 20'!AM8</f>
        <v>0</v>
      </c>
      <c r="O9" s="103">
        <f>'[1]январь 20'!W8</f>
        <v>0</v>
      </c>
      <c r="P9" s="103">
        <f>'[1]январь 20'!S8</f>
        <v>334.74299999999999</v>
      </c>
      <c r="Q9" s="108">
        <f t="shared" si="6"/>
        <v>2.1607621369229557</v>
      </c>
      <c r="R9" s="109">
        <f t="shared" si="7"/>
        <v>327.51</v>
      </c>
      <c r="S9" s="106">
        <v>10.98</v>
      </c>
      <c r="T9" s="109">
        <f t="shared" si="8"/>
        <v>327.51</v>
      </c>
      <c r="U9" s="110">
        <f t="shared" si="9"/>
        <v>1.1720226166618952</v>
      </c>
      <c r="V9" s="136">
        <v>279.44</v>
      </c>
      <c r="W9" s="130">
        <v>279.44</v>
      </c>
      <c r="X9" s="131">
        <v>0.37</v>
      </c>
      <c r="Y9" s="112">
        <v>606</v>
      </c>
      <c r="Z9" s="112">
        <v>1257</v>
      </c>
      <c r="AA9" s="144" t="s">
        <v>109</v>
      </c>
      <c r="AB9" s="131">
        <v>75.88</v>
      </c>
      <c r="AC9" s="133">
        <v>185</v>
      </c>
      <c r="AD9" s="134">
        <v>5</v>
      </c>
      <c r="AE9" s="131">
        <v>6.1</v>
      </c>
      <c r="AF9" s="115">
        <f t="shared" si="10"/>
        <v>21.829373031777841</v>
      </c>
      <c r="AG9" s="131">
        <v>136.9</v>
      </c>
      <c r="AH9" s="115">
        <f t="shared" si="11"/>
        <v>489.90838820498141</v>
      </c>
      <c r="AI9" s="131">
        <v>28.43</v>
      </c>
      <c r="AJ9" s="116"/>
      <c r="AK9" s="135">
        <v>10.18</v>
      </c>
      <c r="AL9" s="136">
        <v>55.81</v>
      </c>
      <c r="AM9" s="110">
        <f t="shared" si="12"/>
        <v>0.16318713450292399</v>
      </c>
      <c r="AN9" s="137" t="s">
        <v>113</v>
      </c>
      <c r="AO9" s="150">
        <v>13.23</v>
      </c>
      <c r="AP9" s="131">
        <v>6.77</v>
      </c>
      <c r="AQ9" s="131"/>
      <c r="AR9" s="131">
        <v>9.0399999999999991</v>
      </c>
      <c r="AS9" s="315">
        <v>342</v>
      </c>
      <c r="AT9" s="131">
        <v>3.43</v>
      </c>
      <c r="AU9" s="116"/>
      <c r="AV9" s="131"/>
      <c r="AW9" s="109"/>
      <c r="AX9" s="109">
        <f t="shared" si="13"/>
        <v>279.44</v>
      </c>
      <c r="AY9" s="115">
        <f t="shared" si="24"/>
        <v>258.32080607402293</v>
      </c>
      <c r="AZ9" s="140">
        <f t="shared" si="14"/>
        <v>9.5868563380281682</v>
      </c>
      <c r="BA9" s="141">
        <f t="shared" si="15"/>
        <v>11.1776</v>
      </c>
      <c r="BB9" s="128">
        <f t="shared" si="16"/>
        <v>0.94437271123292632</v>
      </c>
      <c r="BC9" s="141">
        <f t="shared" si="17"/>
        <v>20.764456338028168</v>
      </c>
      <c r="BD9" s="142">
        <v>0.873</v>
      </c>
      <c r="BE9" s="16">
        <f t="shared" si="25"/>
        <v>724.31</v>
      </c>
      <c r="BF9" s="16">
        <f t="shared" si="18"/>
        <v>209.67741935483872</v>
      </c>
      <c r="BG9" s="16">
        <f t="shared" si="26"/>
        <v>629.0322580645161</v>
      </c>
      <c r="BH9" s="17">
        <f t="shared" si="19"/>
        <v>1</v>
      </c>
      <c r="BI9" s="16">
        <f t="shared" si="27"/>
        <v>629.0322580645161</v>
      </c>
      <c r="BJ9" s="249">
        <v>317.64699999999999</v>
      </c>
      <c r="BK9" s="195"/>
      <c r="BL9" s="197">
        <v>240.56100000000001</v>
      </c>
      <c r="BM9" s="197"/>
      <c r="BN9" s="230"/>
      <c r="BO9" s="230"/>
      <c r="BP9" s="250"/>
      <c r="BQ9" s="199"/>
      <c r="BR9" s="200">
        <v>2.87</v>
      </c>
      <c r="BS9" s="200"/>
      <c r="BT9" s="200"/>
      <c r="BU9" s="200"/>
      <c r="BV9" s="208"/>
      <c r="BW9" s="208"/>
      <c r="BX9" s="201"/>
      <c r="BY9" s="202">
        <v>37.090000000000003</v>
      </c>
      <c r="BZ9" s="200"/>
      <c r="CA9" s="200">
        <v>45.91</v>
      </c>
      <c r="CB9" s="200"/>
      <c r="CC9" s="200"/>
      <c r="CD9" s="200"/>
      <c r="CE9" s="200"/>
      <c r="CF9" s="203"/>
      <c r="CG9" s="204">
        <v>92.5</v>
      </c>
      <c r="CH9" s="197">
        <v>235.01</v>
      </c>
      <c r="CI9" s="197"/>
      <c r="CJ9" s="198"/>
      <c r="CK9" s="202"/>
      <c r="CL9" s="208"/>
      <c r="CM9" s="208"/>
      <c r="CN9" s="201"/>
      <c r="CO9" s="284"/>
      <c r="CP9" s="286">
        <f t="shared" si="20"/>
        <v>308.53053109999996</v>
      </c>
      <c r="CQ9" s="27">
        <f t="shared" si="20"/>
        <v>0</v>
      </c>
      <c r="CR9" s="28">
        <f t="shared" si="20"/>
        <v>240.56100000000001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92.5</v>
      </c>
      <c r="CX9" s="26">
        <f t="shared" si="21"/>
        <v>235.01</v>
      </c>
      <c r="CY9" s="277">
        <f t="shared" si="21"/>
        <v>0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8"/>
        <v>0</v>
      </c>
      <c r="DH9" s="402"/>
    </row>
    <row r="10" spans="1:112" ht="16.5" customHeight="1">
      <c r="A10" s="127">
        <v>4</v>
      </c>
      <c r="B10" s="103">
        <f>'[1]январь 20'!K9</f>
        <v>462.65499999999997</v>
      </c>
      <c r="C10" s="104">
        <f t="shared" si="0"/>
        <v>2.4626431358139431</v>
      </c>
      <c r="D10" s="143">
        <f t="shared" si="1"/>
        <v>451.26145839999998</v>
      </c>
      <c r="E10" s="104">
        <f t="shared" si="2"/>
        <v>40.628353070862737</v>
      </c>
      <c r="F10" s="128">
        <f t="shared" si="3"/>
        <v>1.9842646134904582</v>
      </c>
      <c r="G10" s="106"/>
      <c r="H10" s="107">
        <f t="shared" si="4"/>
        <v>1.1042584574795533</v>
      </c>
      <c r="I10" s="103">
        <f>'[1]сентябрь 20'!AE9</f>
        <v>0</v>
      </c>
      <c r="J10" s="103">
        <f>'[1]январь 20'!AA9</f>
        <v>3.0539999999999998</v>
      </c>
      <c r="K10" s="106"/>
      <c r="L10" s="328">
        <f>'[1]январь 20'!AI9</f>
        <v>200.131</v>
      </c>
      <c r="M10" s="103">
        <f t="shared" si="5"/>
        <v>0.88000615601090493</v>
      </c>
      <c r="N10" s="103">
        <f>'[1]июль 20'!AM9</f>
        <v>0</v>
      </c>
      <c r="O10" s="103">
        <f>'[1]январь 20'!W9</f>
        <v>0</v>
      </c>
      <c r="P10" s="103">
        <f>'[1]январь 20'!S9</f>
        <v>279.03500000000003</v>
      </c>
      <c r="Q10" s="108">
        <f t="shared" si="6"/>
        <v>2.1520597774472905</v>
      </c>
      <c r="R10" s="109">
        <f t="shared" si="7"/>
        <v>273.02999999999997</v>
      </c>
      <c r="S10" s="106">
        <v>12.54</v>
      </c>
      <c r="T10" s="109">
        <f t="shared" si="8"/>
        <v>273.02999999999997</v>
      </c>
      <c r="U10" s="110">
        <f t="shared" si="9"/>
        <v>1.2005540409814439</v>
      </c>
      <c r="V10" s="136">
        <v>183.04</v>
      </c>
      <c r="W10" s="130">
        <v>89.77</v>
      </c>
      <c r="X10" s="131">
        <v>1.2</v>
      </c>
      <c r="Y10" s="112">
        <v>659</v>
      </c>
      <c r="Z10" s="112">
        <v>1255</v>
      </c>
      <c r="AA10" s="144" t="s">
        <v>114</v>
      </c>
      <c r="AB10" s="131">
        <v>75.260000000000005</v>
      </c>
      <c r="AC10" s="133">
        <v>154</v>
      </c>
      <c r="AD10" s="134">
        <v>5</v>
      </c>
      <c r="AE10" s="131">
        <v>6.95</v>
      </c>
      <c r="AF10" s="115">
        <f t="shared" si="10"/>
        <v>30.56019699234896</v>
      </c>
      <c r="AG10" s="131">
        <v>102.55</v>
      </c>
      <c r="AH10" s="115">
        <f t="shared" si="11"/>
        <v>450.92779878638646</v>
      </c>
      <c r="AI10" s="131">
        <v>34.270000000000003</v>
      </c>
      <c r="AJ10" s="116"/>
      <c r="AK10" s="135">
        <v>7.2</v>
      </c>
      <c r="AL10" s="136">
        <v>54.01</v>
      </c>
      <c r="AM10" s="110">
        <f t="shared" si="12"/>
        <v>0.18874716058011534</v>
      </c>
      <c r="AN10" s="137" t="s">
        <v>115</v>
      </c>
      <c r="AO10" s="150">
        <v>14.32</v>
      </c>
      <c r="AP10" s="138">
        <v>6.66</v>
      </c>
      <c r="AQ10" s="131"/>
      <c r="AR10" s="131">
        <v>8.1300000000000008</v>
      </c>
      <c r="AS10" s="315">
        <v>286.14999999999998</v>
      </c>
      <c r="AT10" s="131">
        <v>2.48</v>
      </c>
      <c r="AU10" s="116"/>
      <c r="AV10" s="131"/>
      <c r="AW10" s="109"/>
      <c r="AX10" s="109">
        <f t="shared" si="13"/>
        <v>227.42</v>
      </c>
      <c r="AY10" s="115">
        <f>IF(AB10=0,0,((D10*0.97)*(E10/100)*0.9)/(AB10/100))</f>
        <v>212.67061662285261</v>
      </c>
      <c r="AZ10" s="140">
        <f t="shared" si="14"/>
        <v>6.4584834507042252</v>
      </c>
      <c r="BA10" s="141">
        <f t="shared" si="15"/>
        <v>9.0968</v>
      </c>
      <c r="BB10" s="128">
        <f t="shared" si="16"/>
        <v>0.93354532540846569</v>
      </c>
      <c r="BC10" s="141">
        <f t="shared" si="17"/>
        <v>15.555283450704225</v>
      </c>
      <c r="BD10" s="142">
        <v>0.88600000000000001</v>
      </c>
      <c r="BE10" s="16">
        <f t="shared" si="25"/>
        <v>951.7299999999999</v>
      </c>
      <c r="BF10" s="16">
        <f t="shared" si="18"/>
        <v>209.67741935483872</v>
      </c>
      <c r="BG10" s="16">
        <f t="shared" si="26"/>
        <v>838.70967741935488</v>
      </c>
      <c r="BH10" s="17">
        <f t="shared" si="19"/>
        <v>1</v>
      </c>
      <c r="BI10" s="16">
        <f t="shared" si="27"/>
        <v>838.70967741935488</v>
      </c>
      <c r="BJ10" s="249">
        <v>262.524</v>
      </c>
      <c r="BK10" s="195"/>
      <c r="BL10" s="197">
        <v>200.131</v>
      </c>
      <c r="BM10" s="195"/>
      <c r="BN10" s="195"/>
      <c r="BO10" s="230"/>
      <c r="BP10" s="250"/>
      <c r="BQ10" s="199"/>
      <c r="BR10" s="200">
        <v>4.34</v>
      </c>
      <c r="BS10" s="200"/>
      <c r="BT10" s="200"/>
      <c r="BU10" s="200"/>
      <c r="BV10" s="208"/>
      <c r="BW10" s="208"/>
      <c r="BX10" s="201"/>
      <c r="BY10" s="202">
        <v>36.479999999999997</v>
      </c>
      <c r="BZ10" s="200"/>
      <c r="CA10" s="200">
        <v>46.07</v>
      </c>
      <c r="CB10" s="200"/>
      <c r="CC10" s="200"/>
      <c r="CD10" s="200"/>
      <c r="CE10" s="200"/>
      <c r="CF10" s="203"/>
      <c r="CG10" s="204">
        <v>77</v>
      </c>
      <c r="CH10" s="197">
        <v>196.03</v>
      </c>
      <c r="CI10" s="197"/>
      <c r="CJ10" s="198"/>
      <c r="CK10" s="202"/>
      <c r="CL10" s="208"/>
      <c r="CM10" s="208"/>
      <c r="CN10" s="201"/>
      <c r="CO10" s="284"/>
      <c r="CP10" s="286">
        <f t="shared" si="20"/>
        <v>251.13045840000001</v>
      </c>
      <c r="CQ10" s="29">
        <f t="shared" si="20"/>
        <v>0</v>
      </c>
      <c r="CR10" s="30">
        <f t="shared" si="20"/>
        <v>200.131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77</v>
      </c>
      <c r="CX10" s="26">
        <f t="shared" si="21"/>
        <v>196.03</v>
      </c>
      <c r="CY10" s="277">
        <f t="shared" si="21"/>
        <v>0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8"/>
        <v>0</v>
      </c>
      <c r="DH10" s="402"/>
    </row>
    <row r="11" spans="1:112" ht="16.5" customHeight="1">
      <c r="A11" s="127">
        <v>5</v>
      </c>
      <c r="B11" s="103">
        <f>'[1]январь 20'!K10</f>
        <v>435.31400000000002</v>
      </c>
      <c r="C11" s="104">
        <f t="shared" si="0"/>
        <v>1.3242998617090191</v>
      </c>
      <c r="D11" s="143">
        <f t="shared" si="1"/>
        <v>429.54913729999998</v>
      </c>
      <c r="E11" s="104">
        <f t="shared" si="2"/>
        <v>40.627413407333549</v>
      </c>
      <c r="F11" s="128">
        <f t="shared" si="3"/>
        <v>1.9699570616830999</v>
      </c>
      <c r="G11" s="106"/>
      <c r="H11" s="107">
        <f>IF(AX11=0,0,(CV11+CS11+CU11+CP11+CT11)/AX11)</f>
        <v>1.1082510309562026</v>
      </c>
      <c r="I11" s="103">
        <f>'[1]сентябрь 20'!AE10</f>
        <v>0</v>
      </c>
      <c r="J11" s="103">
        <f>'[1]январь 20'!AA10</f>
        <v>3.2210000000000001</v>
      </c>
      <c r="K11" s="106"/>
      <c r="L11" s="328">
        <f>'[1]январь 20'!AI10</f>
        <v>187.89500000000001</v>
      </c>
      <c r="M11" s="103">
        <f t="shared" si="5"/>
        <v>0.86170603072689755</v>
      </c>
      <c r="N11" s="103">
        <f>'[1]июль 20'!AM10</f>
        <v>0</v>
      </c>
      <c r="O11" s="103">
        <f>'[1]январь 20'!W10</f>
        <v>0</v>
      </c>
      <c r="P11" s="103">
        <f>'[1]январь 20'!S10</f>
        <v>259.53899999999999</v>
      </c>
      <c r="Q11" s="108">
        <f t="shared" si="6"/>
        <v>1.7411641410346679</v>
      </c>
      <c r="R11" s="109">
        <f t="shared" si="7"/>
        <v>255.02</v>
      </c>
      <c r="S11" s="106">
        <v>11.59</v>
      </c>
      <c r="T11" s="109">
        <f t="shared" si="8"/>
        <v>255.02</v>
      </c>
      <c r="U11" s="110">
        <f t="shared" si="9"/>
        <v>1.1695482687457006</v>
      </c>
      <c r="V11" s="136">
        <v>168.95</v>
      </c>
      <c r="W11" s="130">
        <v>173.83</v>
      </c>
      <c r="X11" s="131">
        <v>0.92</v>
      </c>
      <c r="Y11" s="112">
        <v>628</v>
      </c>
      <c r="Z11" s="112">
        <v>1249</v>
      </c>
      <c r="AA11" s="144" t="s">
        <v>116</v>
      </c>
      <c r="AB11" s="131">
        <v>75.31</v>
      </c>
      <c r="AC11" s="133">
        <v>145</v>
      </c>
      <c r="AD11" s="134">
        <v>5</v>
      </c>
      <c r="AE11" s="131">
        <v>7.1</v>
      </c>
      <c r="AF11" s="115">
        <f t="shared" si="10"/>
        <v>32.561339142398531</v>
      </c>
      <c r="AG11" s="131">
        <v>113.1</v>
      </c>
      <c r="AH11" s="115">
        <f t="shared" si="11"/>
        <v>518.68837422609488</v>
      </c>
      <c r="AI11" s="131">
        <v>32.979999999999997</v>
      </c>
      <c r="AJ11" s="116"/>
      <c r="AK11" s="135">
        <v>12.28</v>
      </c>
      <c r="AL11" s="136">
        <v>55.5</v>
      </c>
      <c r="AM11" s="110">
        <f t="shared" si="12"/>
        <v>0.19535374868004221</v>
      </c>
      <c r="AN11" s="137" t="s">
        <v>117</v>
      </c>
      <c r="AO11" s="150">
        <v>13.36</v>
      </c>
      <c r="AP11" s="138">
        <v>6.6</v>
      </c>
      <c r="AQ11" s="131"/>
      <c r="AR11" s="131">
        <v>10.16</v>
      </c>
      <c r="AS11" s="315">
        <v>284.10000000000002</v>
      </c>
      <c r="AT11" s="131">
        <v>1.73</v>
      </c>
      <c r="AU11" s="145"/>
      <c r="AV11" s="131"/>
      <c r="AW11" s="109"/>
      <c r="AX11" s="109">
        <f t="shared" si="13"/>
        <v>218.05</v>
      </c>
      <c r="AY11" s="115">
        <f t="shared" si="24"/>
        <v>202.29894624365366</v>
      </c>
      <c r="AZ11" s="140">
        <f t="shared" si="14"/>
        <v>8.9014478873239433</v>
      </c>
      <c r="BA11" s="141">
        <f t="shared" si="15"/>
        <v>8.7220000000000013</v>
      </c>
      <c r="BB11" s="128">
        <f t="shared" si="16"/>
        <v>0.94097202943770542</v>
      </c>
      <c r="BC11" s="141">
        <f t="shared" si="17"/>
        <v>17.623447887323945</v>
      </c>
      <c r="BD11" s="142">
        <v>0.89600000000000002</v>
      </c>
      <c r="BE11" s="16">
        <f t="shared" si="25"/>
        <v>1169.78</v>
      </c>
      <c r="BF11" s="16">
        <f t="shared" si="18"/>
        <v>209.67741935483872</v>
      </c>
      <c r="BG11" s="16">
        <f t="shared" si="26"/>
        <v>1048.3870967741937</v>
      </c>
      <c r="BH11" s="17">
        <f t="shared" si="19"/>
        <v>1</v>
      </c>
      <c r="BI11" s="16">
        <f t="shared" si="27"/>
        <v>1048.3870967741937</v>
      </c>
      <c r="BJ11" s="249">
        <v>247.41900000000001</v>
      </c>
      <c r="BK11" s="195"/>
      <c r="BL11" s="197">
        <v>187.89500000000001</v>
      </c>
      <c r="BM11" s="197"/>
      <c r="BN11" s="230"/>
      <c r="BO11" s="230"/>
      <c r="BP11" s="250"/>
      <c r="BQ11" s="199"/>
      <c r="BR11" s="200">
        <v>2.33</v>
      </c>
      <c r="BS11" s="200"/>
      <c r="BT11" s="200"/>
      <c r="BU11" s="200"/>
      <c r="BV11" s="208"/>
      <c r="BW11" s="208"/>
      <c r="BX11" s="201"/>
      <c r="BY11" s="202">
        <v>36.76</v>
      </c>
      <c r="BZ11" s="200"/>
      <c r="CA11" s="200">
        <v>45.72</v>
      </c>
      <c r="CB11" s="200"/>
      <c r="CC11" s="200"/>
      <c r="CD11" s="200"/>
      <c r="CE11" s="200"/>
      <c r="CF11" s="203"/>
      <c r="CG11" s="204">
        <v>72.5</v>
      </c>
      <c r="CH11" s="197">
        <v>182.52</v>
      </c>
      <c r="CI11" s="230"/>
      <c r="CJ11" s="198"/>
      <c r="CK11" s="202"/>
      <c r="CL11" s="208"/>
      <c r="CM11" s="208"/>
      <c r="CN11" s="201"/>
      <c r="CO11" s="284"/>
      <c r="CP11" s="286">
        <f t="shared" si="20"/>
        <v>241.6541373</v>
      </c>
      <c r="CQ11" s="24">
        <f t="shared" si="20"/>
        <v>0</v>
      </c>
      <c r="CR11" s="25">
        <f t="shared" si="20"/>
        <v>187.89500000000001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72.5</v>
      </c>
      <c r="CX11" s="26">
        <f t="shared" si="21"/>
        <v>182.52</v>
      </c>
      <c r="CY11" s="277">
        <f t="shared" si="21"/>
        <v>0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8"/>
        <v>0</v>
      </c>
      <c r="DH11" s="402"/>
    </row>
    <row r="12" spans="1:112" ht="16.5" customHeight="1">
      <c r="A12" s="127">
        <v>6</v>
      </c>
      <c r="B12" s="103">
        <f>'[1]январь 20'!K11</f>
        <v>460.83100000000002</v>
      </c>
      <c r="C12" s="104">
        <f t="shared" si="0"/>
        <v>1.6251440115790818</v>
      </c>
      <c r="D12" s="143">
        <f t="shared" si="1"/>
        <v>453.34183260000003</v>
      </c>
      <c r="E12" s="104">
        <f t="shared" si="2"/>
        <v>40.815217053540231</v>
      </c>
      <c r="F12" s="128">
        <f t="shared" si="3"/>
        <v>2.2398311887351783</v>
      </c>
      <c r="G12" s="106"/>
      <c r="H12" s="107">
        <f t="shared" si="4"/>
        <v>1.2567679476284586</v>
      </c>
      <c r="I12" s="103">
        <f>'[1]сентябрь 20'!AE11</f>
        <v>0</v>
      </c>
      <c r="J12" s="103">
        <f>'[1]январь 20'!AA11</f>
        <v>3.1640000000000001</v>
      </c>
      <c r="K12" s="106"/>
      <c r="L12" s="328">
        <f>'[1]январь 20'!AI11</f>
        <v>198.97200000000001</v>
      </c>
      <c r="M12" s="103">
        <f t="shared" si="5"/>
        <v>0.9830632411067195</v>
      </c>
      <c r="N12" s="103">
        <f>'[1]июль 20'!AM11</f>
        <v>0</v>
      </c>
      <c r="O12" s="103">
        <f>'[1]январь 20'!W11</f>
        <v>0</v>
      </c>
      <c r="P12" s="103">
        <f>'[1]январь 20'!S11</f>
        <v>274.88200000000001</v>
      </c>
      <c r="Q12" s="108">
        <f t="shared" si="6"/>
        <v>2.1070859496074568</v>
      </c>
      <c r="R12" s="109">
        <f t="shared" si="7"/>
        <v>269.09000000000003</v>
      </c>
      <c r="S12" s="106">
        <v>14.08</v>
      </c>
      <c r="T12" s="109">
        <f t="shared" si="8"/>
        <v>269.09000000000003</v>
      </c>
      <c r="U12" s="110">
        <f t="shared" si="9"/>
        <v>1.3294960474308304</v>
      </c>
      <c r="V12" s="136">
        <v>202.4</v>
      </c>
      <c r="W12" s="130">
        <v>202.4</v>
      </c>
      <c r="X12" s="131">
        <v>0.45</v>
      </c>
      <c r="Y12" s="112">
        <v>660</v>
      </c>
      <c r="Z12" s="133">
        <v>1240</v>
      </c>
      <c r="AA12" s="144" t="s">
        <v>118</v>
      </c>
      <c r="AB12" s="131">
        <v>75.680000000000007</v>
      </c>
      <c r="AC12" s="133">
        <v>153</v>
      </c>
      <c r="AD12" s="134">
        <v>5</v>
      </c>
      <c r="AE12" s="131">
        <v>6.3</v>
      </c>
      <c r="AF12" s="115">
        <f t="shared" si="10"/>
        <v>31.126482213438738</v>
      </c>
      <c r="AG12" s="131">
        <v>110.85</v>
      </c>
      <c r="AH12" s="115">
        <f t="shared" si="11"/>
        <v>547.67786561264836</v>
      </c>
      <c r="AI12" s="131">
        <v>29.09</v>
      </c>
      <c r="AJ12" s="116"/>
      <c r="AK12" s="135">
        <v>14.99</v>
      </c>
      <c r="AL12" s="136">
        <v>55.9</v>
      </c>
      <c r="AM12" s="110">
        <f t="shared" si="12"/>
        <v>0.2066543438077634</v>
      </c>
      <c r="AN12" s="137" t="s">
        <v>119</v>
      </c>
      <c r="AO12" s="150">
        <v>11.51</v>
      </c>
      <c r="AP12" s="138">
        <v>6.32</v>
      </c>
      <c r="AQ12" s="131"/>
      <c r="AR12" s="131">
        <v>12.79</v>
      </c>
      <c r="AS12" s="315">
        <v>270.5</v>
      </c>
      <c r="AT12" s="131">
        <v>2.79</v>
      </c>
      <c r="AU12" s="116"/>
      <c r="AV12" s="131"/>
      <c r="AW12" s="109"/>
      <c r="AX12" s="109">
        <f t="shared" si="13"/>
        <v>202.39999999999998</v>
      </c>
      <c r="AY12" s="115">
        <f t="shared" si="24"/>
        <v>213.44256268891814</v>
      </c>
      <c r="AZ12" s="140">
        <f t="shared" si="14"/>
        <v>10.982736971830985</v>
      </c>
      <c r="BA12" s="141">
        <f t="shared" si="15"/>
        <v>8.0960000000000001</v>
      </c>
      <c r="BB12" s="128">
        <f t="shared" si="16"/>
        <v>0.82783488810300876</v>
      </c>
      <c r="BC12" s="141">
        <f t="shared" si="17"/>
        <v>19.078736971830985</v>
      </c>
      <c r="BD12" s="142">
        <v>0.88500000000000001</v>
      </c>
      <c r="BE12" s="16">
        <f t="shared" si="25"/>
        <v>1372.1799999999998</v>
      </c>
      <c r="BF12" s="16">
        <f t="shared" si="18"/>
        <v>209.67741935483872</v>
      </c>
      <c r="BG12" s="16">
        <f t="shared" si="26"/>
        <v>1258.0645161290324</v>
      </c>
      <c r="BH12" s="17">
        <f t="shared" si="19"/>
        <v>1</v>
      </c>
      <c r="BI12" s="16">
        <f t="shared" si="27"/>
        <v>1258.0645161290324</v>
      </c>
      <c r="BJ12" s="249">
        <v>261.85899999999998</v>
      </c>
      <c r="BK12" s="195"/>
      <c r="BL12" s="271">
        <v>198.97200000000001</v>
      </c>
      <c r="BM12" s="197"/>
      <c r="BN12" s="230"/>
      <c r="BO12" s="230"/>
      <c r="BP12" s="250"/>
      <c r="BQ12" s="199"/>
      <c r="BR12" s="200">
        <v>2.86</v>
      </c>
      <c r="BS12" s="200"/>
      <c r="BT12" s="200"/>
      <c r="BU12" s="200"/>
      <c r="BV12" s="208"/>
      <c r="BW12" s="208"/>
      <c r="BX12" s="201"/>
      <c r="BY12" s="202">
        <v>36.83</v>
      </c>
      <c r="BZ12" s="200"/>
      <c r="CA12" s="200">
        <v>46.06</v>
      </c>
      <c r="CB12" s="200"/>
      <c r="CC12" s="200"/>
      <c r="CD12" s="200"/>
      <c r="CE12" s="200"/>
      <c r="CF12" s="203"/>
      <c r="CG12" s="204">
        <v>76.5</v>
      </c>
      <c r="CH12" s="197">
        <v>192.59</v>
      </c>
      <c r="CI12" s="230"/>
      <c r="CJ12" s="198"/>
      <c r="CK12" s="202"/>
      <c r="CL12" s="202"/>
      <c r="CM12" s="270"/>
      <c r="CN12" s="201"/>
      <c r="CO12" s="284"/>
      <c r="CP12" s="286">
        <f t="shared" si="20"/>
        <v>254.3698326</v>
      </c>
      <c r="CQ12" s="24">
        <f t="shared" si="20"/>
        <v>0</v>
      </c>
      <c r="CR12" s="25">
        <f t="shared" si="20"/>
        <v>198.97200000000001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0</v>
      </c>
      <c r="CW12" s="237">
        <f t="shared" si="21"/>
        <v>76.5</v>
      </c>
      <c r="CX12" s="26">
        <f t="shared" si="21"/>
        <v>192.59</v>
      </c>
      <c r="CY12" s="277">
        <f t="shared" si="21"/>
        <v>0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8"/>
        <v>0</v>
      </c>
    </row>
    <row r="13" spans="1:112" ht="16.5" customHeight="1">
      <c r="A13" s="127">
        <v>7</v>
      </c>
      <c r="B13" s="103">
        <f>'[1]январь 20'!K12</f>
        <v>511.108</v>
      </c>
      <c r="C13" s="104">
        <f t="shared" si="0"/>
        <v>2.4498685796348325</v>
      </c>
      <c r="D13" s="143">
        <f t="shared" si="1"/>
        <v>498.58652569999998</v>
      </c>
      <c r="E13" s="104">
        <f t="shared" si="2"/>
        <v>40.919180271097304</v>
      </c>
      <c r="F13" s="128">
        <f t="shared" si="3"/>
        <v>2.3498280973701573</v>
      </c>
      <c r="G13" s="106"/>
      <c r="H13" s="107">
        <f t="shared" si="4"/>
        <v>1.3349068041285701</v>
      </c>
      <c r="I13" s="103">
        <f>'[1]сентябрь 20'!AE12</f>
        <v>0</v>
      </c>
      <c r="J13" s="103">
        <f>'[1]январь 20'!AA12</f>
        <v>2.2469999999999999</v>
      </c>
      <c r="K13" s="106"/>
      <c r="L13" s="328">
        <f>'[1]январь 20'!AI12</f>
        <v>215.346</v>
      </c>
      <c r="M13" s="103">
        <f t="shared" si="5"/>
        <v>1.0149212932415874</v>
      </c>
      <c r="N13" s="103">
        <f>'[1]июль 20'!AM12</f>
        <v>0</v>
      </c>
      <c r="O13" s="103">
        <f>'[1]январь 20'!W12</f>
        <v>0</v>
      </c>
      <c r="P13" s="103">
        <f>'[1]январь 20'!S12</f>
        <v>305.69499999999999</v>
      </c>
      <c r="Q13" s="108">
        <f t="shared" si="6"/>
        <v>2.1246667429954735</v>
      </c>
      <c r="R13" s="109">
        <f t="shared" si="7"/>
        <v>299.2</v>
      </c>
      <c r="S13" s="106">
        <v>9.1199999999999992</v>
      </c>
      <c r="T13" s="109">
        <f t="shared" si="8"/>
        <v>299.2</v>
      </c>
      <c r="U13" s="110">
        <f t="shared" si="9"/>
        <v>1.4101234800640965</v>
      </c>
      <c r="V13" s="136">
        <v>212.18</v>
      </c>
      <c r="W13" s="130">
        <v>212.18</v>
      </c>
      <c r="X13" s="131">
        <v>0.6</v>
      </c>
      <c r="Y13" s="146">
        <v>594</v>
      </c>
      <c r="Z13" s="147">
        <v>1255</v>
      </c>
      <c r="AA13" s="144" t="s">
        <v>120</v>
      </c>
      <c r="AB13" s="131">
        <v>75.56</v>
      </c>
      <c r="AC13" s="133">
        <v>170</v>
      </c>
      <c r="AD13" s="134">
        <v>5</v>
      </c>
      <c r="AE13" s="131">
        <v>4.3</v>
      </c>
      <c r="AF13" s="115">
        <f t="shared" si="10"/>
        <v>20.265812046375718</v>
      </c>
      <c r="AG13" s="131">
        <v>101.25</v>
      </c>
      <c r="AH13" s="115">
        <f t="shared" si="11"/>
        <v>477.18917899896314</v>
      </c>
      <c r="AI13" s="131">
        <v>23.62</v>
      </c>
      <c r="AJ13" s="116"/>
      <c r="AK13" s="135">
        <v>12.21</v>
      </c>
      <c r="AL13" s="136">
        <v>55.43</v>
      </c>
      <c r="AM13" s="110">
        <f t="shared" si="12"/>
        <v>0.20112481857764875</v>
      </c>
      <c r="AN13" s="137" t="s">
        <v>121</v>
      </c>
      <c r="AO13" s="150">
        <v>12.93</v>
      </c>
      <c r="AP13" s="138">
        <v>6.41</v>
      </c>
      <c r="AQ13" s="131"/>
      <c r="AR13" s="131">
        <v>10.01</v>
      </c>
      <c r="AS13" s="315">
        <v>275.60000000000002</v>
      </c>
      <c r="AT13" s="131">
        <v>4.22</v>
      </c>
      <c r="AU13" s="148"/>
      <c r="AV13" s="149"/>
      <c r="AW13" s="109"/>
      <c r="AX13" s="109">
        <f t="shared" si="13"/>
        <v>212.18</v>
      </c>
      <c r="AY13" s="115">
        <f t="shared" si="24"/>
        <v>235.71637680352529</v>
      </c>
      <c r="AZ13" s="140">
        <f t="shared" si="14"/>
        <v>7.8511531690140828</v>
      </c>
      <c r="BA13" s="141">
        <f t="shared" si="15"/>
        <v>8.4871999999999996</v>
      </c>
      <c r="BB13" s="128">
        <f t="shared" si="16"/>
        <v>0.78583059230710905</v>
      </c>
      <c r="BC13" s="141">
        <f t="shared" si="17"/>
        <v>16.338353169014084</v>
      </c>
      <c r="BD13" s="142">
        <v>0.871</v>
      </c>
      <c r="BE13" s="16">
        <f t="shared" si="25"/>
        <v>1584.36</v>
      </c>
      <c r="BF13" s="16">
        <f t="shared" si="18"/>
        <v>209.67741935483872</v>
      </c>
      <c r="BG13" s="16">
        <f t="shared" si="26"/>
        <v>1467.7419354838712</v>
      </c>
      <c r="BH13" s="17">
        <f t="shared" si="19"/>
        <v>1</v>
      </c>
      <c r="BI13" s="16">
        <f t="shared" si="27"/>
        <v>1467.7419354838712</v>
      </c>
      <c r="BJ13" s="249">
        <v>260.233</v>
      </c>
      <c r="BK13" s="195"/>
      <c r="BL13" s="266">
        <v>215.346</v>
      </c>
      <c r="BM13" s="196">
        <v>35.529000000000003</v>
      </c>
      <c r="BN13" s="313"/>
      <c r="BO13" s="230"/>
      <c r="BP13" s="250"/>
      <c r="BQ13" s="199"/>
      <c r="BR13" s="200">
        <v>2.69</v>
      </c>
      <c r="BS13" s="200"/>
      <c r="BT13" s="200"/>
      <c r="BU13" s="200">
        <v>15.54</v>
      </c>
      <c r="BV13" s="208"/>
      <c r="BW13" s="208"/>
      <c r="BX13" s="201"/>
      <c r="BY13" s="202">
        <v>36.4</v>
      </c>
      <c r="BZ13" s="200"/>
      <c r="CA13" s="202">
        <v>45.91</v>
      </c>
      <c r="CB13" s="200">
        <v>43.77</v>
      </c>
      <c r="CC13" s="200"/>
      <c r="CD13" s="200"/>
      <c r="CE13" s="200"/>
      <c r="CF13" s="203"/>
      <c r="CG13" s="204">
        <v>85</v>
      </c>
      <c r="CH13" s="197">
        <v>214.2</v>
      </c>
      <c r="CI13" s="264"/>
      <c r="CJ13" s="265"/>
      <c r="CK13" s="202"/>
      <c r="CL13" s="202"/>
      <c r="CM13" s="270"/>
      <c r="CN13" s="201"/>
      <c r="CO13" s="284"/>
      <c r="CP13" s="286">
        <f t="shared" si="20"/>
        <v>253.23273230000004</v>
      </c>
      <c r="CQ13" s="24">
        <f t="shared" si="20"/>
        <v>0</v>
      </c>
      <c r="CR13" s="25">
        <f t="shared" si="20"/>
        <v>215.346</v>
      </c>
      <c r="CS13" s="24">
        <f t="shared" si="20"/>
        <v>30.007793400000008</v>
      </c>
      <c r="CT13" s="27">
        <f t="shared" si="20"/>
        <v>0</v>
      </c>
      <c r="CU13" s="24">
        <f t="shared" si="20"/>
        <v>0</v>
      </c>
      <c r="CV13" s="280">
        <f t="shared" si="20"/>
        <v>0</v>
      </c>
      <c r="CW13" s="237">
        <f t="shared" si="21"/>
        <v>85</v>
      </c>
      <c r="CX13" s="26">
        <f t="shared" si="21"/>
        <v>214.2</v>
      </c>
      <c r="CY13" s="277">
        <f t="shared" si="21"/>
        <v>0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8"/>
        <v>0</v>
      </c>
    </row>
    <row r="14" spans="1:112" ht="16.5" customHeight="1">
      <c r="A14" s="127">
        <v>8</v>
      </c>
      <c r="B14" s="103">
        <f>'[1]январь 20'!K13</f>
        <v>429.26</v>
      </c>
      <c r="C14" s="104">
        <f>IF(B14=0,0,(BJ14*BR14+BK14*BS14+BM14*BU14+BP14*BX14+BL14*BT14+BO14*BW14+BN14*BV14)/B14)</f>
        <v>3.5015366910497141</v>
      </c>
      <c r="D14" s="143">
        <f>B14*((100-C14)/100)</f>
        <v>414.22930359999998</v>
      </c>
      <c r="E14" s="104">
        <f>IF(B14=0,0,(BJ14*BY14+BK14*BZ14+BM14*CB14+BP14*CE14+BL14*CA14+BO14*CD14+BN14*CC14)/B14)</f>
        <v>41.9437268322229</v>
      </c>
      <c r="F14" s="128">
        <f>IF(AX14=0,0,D14/AX14)</f>
        <v>2.008189768749697</v>
      </c>
      <c r="G14" s="106"/>
      <c r="H14" s="107">
        <f>IF(AX14=0,0,(CV14+CS14+CU14+CP14+CT14)/AX14)</f>
        <v>1.1763237678770544</v>
      </c>
      <c r="I14" s="103">
        <f>'[1]сентябрь 20'!AE13</f>
        <v>0</v>
      </c>
      <c r="J14" s="103">
        <f>'[1]январь 20'!AA13</f>
        <v>0</v>
      </c>
      <c r="K14" s="106"/>
      <c r="L14" s="328">
        <f>'[1]январь 20'!AI13</f>
        <v>171.589</v>
      </c>
      <c r="M14" s="103">
        <f>IF(AX14=0,0,(CR14+CQ14)/AX14)</f>
        <v>0.83186600087264273</v>
      </c>
      <c r="N14" s="103">
        <f>'[1]июль 20'!AM13</f>
        <v>0</v>
      </c>
      <c r="O14" s="103">
        <f>'[1]январь 20'!W13</f>
        <v>2.1509999999999998</v>
      </c>
      <c r="P14" s="103">
        <f>'[1]январь 20'!S13</f>
        <v>254.708</v>
      </c>
      <c r="Q14" s="108">
        <f>IF(P14=0,0,(1-(T14/P14))*100)</f>
        <v>2.1467719898864535</v>
      </c>
      <c r="R14" s="109">
        <f>P14*((100-Q14)/100)</f>
        <v>249.23999999999998</v>
      </c>
      <c r="S14" s="106"/>
      <c r="T14" s="109">
        <f>CG14+CH14+CJ14+CI14</f>
        <v>249.24</v>
      </c>
      <c r="U14" s="110">
        <f>IF(AX14=0,0,R14/AX14)</f>
        <v>1.2083191932903476</v>
      </c>
      <c r="V14" s="136">
        <v>169.64</v>
      </c>
      <c r="W14" s="130">
        <v>41.22</v>
      </c>
      <c r="X14" s="131">
        <v>1.5</v>
      </c>
      <c r="Y14" s="146">
        <v>655</v>
      </c>
      <c r="Z14" s="147">
        <v>1255</v>
      </c>
      <c r="AA14" s="144" t="s">
        <v>122</v>
      </c>
      <c r="AB14" s="131">
        <v>75.63</v>
      </c>
      <c r="AC14" s="133">
        <v>143</v>
      </c>
      <c r="AD14" s="134">
        <v>5</v>
      </c>
      <c r="AE14" s="131">
        <v>5.2</v>
      </c>
      <c r="AF14" s="115">
        <f t="shared" si="10"/>
        <v>25.20967663741698</v>
      </c>
      <c r="AG14" s="131">
        <v>103.15</v>
      </c>
      <c r="AH14" s="115">
        <f>IF(AX14=0,0,AG14/AX14*1000)</f>
        <v>500.07272022106952</v>
      </c>
      <c r="AI14" s="131">
        <v>29.57</v>
      </c>
      <c r="AJ14" s="116"/>
      <c r="AK14" s="135">
        <v>13.64</v>
      </c>
      <c r="AL14" s="136">
        <v>49.9</v>
      </c>
      <c r="AM14" s="110">
        <f>IF(AL14=0,0,AL14/AS14)</f>
        <v>0.18675149700598803</v>
      </c>
      <c r="AN14" s="137" t="s">
        <v>123</v>
      </c>
      <c r="AO14" s="150">
        <v>18.059999999999999</v>
      </c>
      <c r="AP14" s="138">
        <v>6.35</v>
      </c>
      <c r="AQ14" s="131"/>
      <c r="AR14" s="131">
        <v>10.93</v>
      </c>
      <c r="AS14" s="315">
        <v>267.2</v>
      </c>
      <c r="AT14" s="131">
        <v>2.61</v>
      </c>
      <c r="AU14" s="148"/>
      <c r="AV14" s="149"/>
      <c r="AW14" s="109"/>
      <c r="AX14" s="109">
        <f>AS14-AL14-AK14+AV14+AT14</f>
        <v>206.26999999999998</v>
      </c>
      <c r="AY14" s="115">
        <f>IF(AB14=0,0,((D14*0.97)*(E14/100)*0.9)/(AB14/100))</f>
        <v>200.55245299584271</v>
      </c>
      <c r="AZ14" s="140">
        <f>(AG14*AR14)/100*(55/71)</f>
        <v>8.7336088028169012</v>
      </c>
      <c r="BA14" s="141">
        <f>AX14*$BA$6</f>
        <v>8.2507999999999999</v>
      </c>
      <c r="BB14" s="128">
        <f>IF((D14*E14)=0,0,(AX14*AB14)/(D14*E14))</f>
        <v>0.89788834447082411</v>
      </c>
      <c r="BC14" s="141">
        <f>AZ14+BA14</f>
        <v>16.984408802816901</v>
      </c>
      <c r="BD14" s="142">
        <v>0.873</v>
      </c>
      <c r="BE14" s="16">
        <f>BE13+AX14</f>
        <v>1790.6299999999999</v>
      </c>
      <c r="BF14" s="16">
        <f>IF(A14&lt;=$BD$43,$AS$43,0)</f>
        <v>209.67741935483872</v>
      </c>
      <c r="BG14" s="16">
        <f>BF14+BG13</f>
        <v>1677.41935483871</v>
      </c>
      <c r="BH14" s="17">
        <f>IF(AX14&lt;&gt;0,1,0)</f>
        <v>1</v>
      </c>
      <c r="BI14" s="16">
        <f>BI13+BF14*BH14</f>
        <v>1677.41935483871</v>
      </c>
      <c r="BJ14" s="249">
        <v>171.93899999999999</v>
      </c>
      <c r="BK14" s="195"/>
      <c r="BL14" s="266">
        <v>171.589</v>
      </c>
      <c r="BM14" s="196">
        <v>85.731999999999999</v>
      </c>
      <c r="BN14" s="313"/>
      <c r="BO14" s="230"/>
      <c r="BP14" s="250"/>
      <c r="BQ14" s="199"/>
      <c r="BR14" s="200">
        <v>2.2000000000000002</v>
      </c>
      <c r="BS14" s="200"/>
      <c r="BT14" s="200"/>
      <c r="BU14" s="200">
        <v>13.12</v>
      </c>
      <c r="BV14" s="208"/>
      <c r="BW14" s="208"/>
      <c r="BX14" s="201"/>
      <c r="BY14" s="202">
        <v>36.92</v>
      </c>
      <c r="BZ14" s="200"/>
      <c r="CA14" s="202">
        <v>46.38</v>
      </c>
      <c r="CB14" s="200">
        <v>43.14</v>
      </c>
      <c r="CC14" s="200"/>
      <c r="CD14" s="200"/>
      <c r="CE14" s="200"/>
      <c r="CF14" s="203"/>
      <c r="CG14" s="204">
        <v>71.5</v>
      </c>
      <c r="CH14" s="197">
        <v>177.74</v>
      </c>
      <c r="CI14" s="264"/>
      <c r="CJ14" s="265"/>
      <c r="CK14" s="202"/>
      <c r="CL14" s="202"/>
      <c r="CM14" s="270"/>
      <c r="CN14" s="201"/>
      <c r="CO14" s="284"/>
      <c r="CP14" s="286">
        <f t="shared" si="20"/>
        <v>168.156342</v>
      </c>
      <c r="CQ14" s="27">
        <f t="shared" si="20"/>
        <v>0</v>
      </c>
      <c r="CR14" s="28">
        <f t="shared" si="20"/>
        <v>171.589</v>
      </c>
      <c r="CS14" s="27">
        <f t="shared" si="20"/>
        <v>74.483961599999986</v>
      </c>
      <c r="CT14" s="27">
        <f t="shared" si="20"/>
        <v>0</v>
      </c>
      <c r="CU14" s="24">
        <f t="shared" si="20"/>
        <v>0</v>
      </c>
      <c r="CV14" s="282">
        <f t="shared" si="20"/>
        <v>0</v>
      </c>
      <c r="CW14" s="237">
        <f t="shared" si="21"/>
        <v>71.5</v>
      </c>
      <c r="CX14" s="26">
        <f t="shared" si="21"/>
        <v>177.74</v>
      </c>
      <c r="CY14" s="277">
        <f t="shared" si="21"/>
        <v>0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8"/>
        <v>0</v>
      </c>
    </row>
    <row r="15" spans="1:112" ht="16.5" customHeight="1">
      <c r="A15" s="253">
        <v>9</v>
      </c>
      <c r="B15" s="103">
        <f>'[1]январь 20'!K14</f>
        <v>479.45299999999997</v>
      </c>
      <c r="C15" s="104">
        <f t="shared" si="0"/>
        <v>3.1158943838082149</v>
      </c>
      <c r="D15" s="143">
        <f t="shared" si="1"/>
        <v>464.51375089999999</v>
      </c>
      <c r="E15" s="104">
        <f t="shared" si="2"/>
        <v>41.459509253253188</v>
      </c>
      <c r="F15" s="128">
        <f t="shared" si="3"/>
        <v>2.1006365074842854</v>
      </c>
      <c r="G15" s="106"/>
      <c r="H15" s="107">
        <f t="shared" si="4"/>
        <v>1.2821225111925112</v>
      </c>
      <c r="I15" s="103">
        <f>'[1]сентябрь 20'!AE14</f>
        <v>0</v>
      </c>
      <c r="J15" s="103">
        <f>'[1]январь 20'!AA14</f>
        <v>0</v>
      </c>
      <c r="K15" s="106"/>
      <c r="L15" s="328">
        <f>'[1]январь 20'!AI14</f>
        <v>180.99799999999999</v>
      </c>
      <c r="M15" s="103">
        <f t="shared" si="5"/>
        <v>0.81851399629177402</v>
      </c>
      <c r="N15" s="103">
        <f>'[1]июль 20'!AM14</f>
        <v>0</v>
      </c>
      <c r="O15" s="103">
        <f>'[1]январь 20'!W14</f>
        <v>9.7249999999999996</v>
      </c>
      <c r="P15" s="103">
        <f>'[1]январь 20'!S14</f>
        <v>286.31099999999998</v>
      </c>
      <c r="Q15" s="108">
        <f t="shared" si="6"/>
        <v>2.1553485545438344</v>
      </c>
      <c r="R15" s="109">
        <f t="shared" si="7"/>
        <v>280.14</v>
      </c>
      <c r="S15" s="106">
        <v>142.97999999999999</v>
      </c>
      <c r="T15" s="109">
        <f t="shared" si="8"/>
        <v>280.14</v>
      </c>
      <c r="U15" s="110">
        <f t="shared" si="9"/>
        <v>1.2668566001899335</v>
      </c>
      <c r="V15" s="136">
        <v>221.13</v>
      </c>
      <c r="W15" s="130">
        <v>181.12</v>
      </c>
      <c r="X15" s="131">
        <v>0.76</v>
      </c>
      <c r="Y15" s="112">
        <v>670</v>
      </c>
      <c r="Z15" s="133">
        <v>1255</v>
      </c>
      <c r="AA15" s="144" t="s">
        <v>124</v>
      </c>
      <c r="AB15" s="131">
        <v>75.58</v>
      </c>
      <c r="AC15" s="133">
        <v>160</v>
      </c>
      <c r="AD15" s="134">
        <v>5</v>
      </c>
      <c r="AE15" s="131">
        <v>4.75</v>
      </c>
      <c r="AF15" s="115">
        <f t="shared" si="10"/>
        <v>21.480577036132591</v>
      </c>
      <c r="AG15" s="131">
        <v>126.5</v>
      </c>
      <c r="AH15" s="115">
        <f t="shared" si="11"/>
        <v>572.06168317279423</v>
      </c>
      <c r="AI15" s="131">
        <v>25.08</v>
      </c>
      <c r="AJ15" s="116"/>
      <c r="AK15" s="135">
        <v>13.93</v>
      </c>
      <c r="AL15" s="136">
        <v>53.55</v>
      </c>
      <c r="AM15" s="110">
        <f t="shared" si="12"/>
        <v>0.18872246696035241</v>
      </c>
      <c r="AN15" s="137" t="s">
        <v>125</v>
      </c>
      <c r="AO15" s="150">
        <v>17.12</v>
      </c>
      <c r="AP15" s="138">
        <v>5.65</v>
      </c>
      <c r="AQ15" s="131"/>
      <c r="AR15" s="131">
        <v>16.3</v>
      </c>
      <c r="AS15" s="315">
        <v>283.75</v>
      </c>
      <c r="AT15" s="131">
        <v>4.8600000000000003</v>
      </c>
      <c r="AU15" s="116"/>
      <c r="AV15" s="131"/>
      <c r="AW15" s="109"/>
      <c r="AX15" s="109">
        <f t="shared" si="13"/>
        <v>221.13</v>
      </c>
      <c r="AY15" s="115">
        <f t="shared" si="24"/>
        <v>222.4488106666017</v>
      </c>
      <c r="AZ15" s="140">
        <f t="shared" si="14"/>
        <v>15.972852112676057</v>
      </c>
      <c r="BA15" s="141">
        <f t="shared" si="15"/>
        <v>8.8452000000000002</v>
      </c>
      <c r="BB15" s="128">
        <f t="shared" si="16"/>
        <v>0.86782432965816636</v>
      </c>
      <c r="BC15" s="141">
        <f t="shared" si="17"/>
        <v>24.818052112676057</v>
      </c>
      <c r="BD15" s="142">
        <v>0.873</v>
      </c>
      <c r="BE15" s="16">
        <f t="shared" si="25"/>
        <v>2011.7599999999998</v>
      </c>
      <c r="BF15" s="16">
        <f t="shared" si="18"/>
        <v>209.67741935483872</v>
      </c>
      <c r="BG15" s="16">
        <f t="shared" si="26"/>
        <v>1887.0967741935488</v>
      </c>
      <c r="BH15" s="17">
        <f t="shared" si="19"/>
        <v>1</v>
      </c>
      <c r="BI15" s="16">
        <f t="shared" si="27"/>
        <v>1887.0967741935488</v>
      </c>
      <c r="BJ15" s="249">
        <v>208.203</v>
      </c>
      <c r="BK15" s="195"/>
      <c r="BL15" s="197">
        <v>180.99799999999999</v>
      </c>
      <c r="BM15" s="197">
        <v>90.251999999999995</v>
      </c>
      <c r="BN15" s="230"/>
      <c r="BO15" s="195"/>
      <c r="BP15" s="329"/>
      <c r="BQ15" s="199"/>
      <c r="BR15" s="200">
        <v>2.29</v>
      </c>
      <c r="BS15" s="200"/>
      <c r="BT15" s="200"/>
      <c r="BU15" s="200">
        <v>11.27</v>
      </c>
      <c r="BV15" s="208"/>
      <c r="BW15" s="208"/>
      <c r="BX15" s="330"/>
      <c r="BY15" s="202">
        <v>36.729999999999997</v>
      </c>
      <c r="BZ15" s="200"/>
      <c r="CA15" s="200">
        <v>46.77</v>
      </c>
      <c r="CB15" s="200">
        <v>41.72</v>
      </c>
      <c r="CC15" s="200"/>
      <c r="CD15" s="200"/>
      <c r="CE15" s="200"/>
      <c r="CF15" s="203"/>
      <c r="CG15" s="204">
        <v>80</v>
      </c>
      <c r="CH15" s="230">
        <v>200.14</v>
      </c>
      <c r="CI15" s="266"/>
      <c r="CJ15" s="265"/>
      <c r="CK15" s="202"/>
      <c r="CL15" s="208"/>
      <c r="CM15" s="208"/>
      <c r="CN15" s="201"/>
      <c r="CO15" s="284"/>
      <c r="CP15" s="286">
        <f t="shared" si="20"/>
        <v>203.4351513</v>
      </c>
      <c r="CQ15" s="29">
        <f t="shared" si="20"/>
        <v>0</v>
      </c>
      <c r="CR15" s="30">
        <f t="shared" si="20"/>
        <v>180.99799999999999</v>
      </c>
      <c r="CS15" s="29">
        <f t="shared" si="20"/>
        <v>80.080599599999999</v>
      </c>
      <c r="CT15" s="27">
        <f t="shared" si="20"/>
        <v>0</v>
      </c>
      <c r="CU15" s="24">
        <f t="shared" si="20"/>
        <v>0</v>
      </c>
      <c r="CV15" s="283">
        <f t="shared" si="20"/>
        <v>0</v>
      </c>
      <c r="CW15" s="237">
        <f t="shared" si="21"/>
        <v>80</v>
      </c>
      <c r="CX15" s="24">
        <f t="shared" si="21"/>
        <v>200.14</v>
      </c>
      <c r="CY15" s="277">
        <f t="shared" si="21"/>
        <v>0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8"/>
        <v>0</v>
      </c>
    </row>
    <row r="16" spans="1:112" ht="16.5" customHeight="1">
      <c r="A16" s="127">
        <v>10</v>
      </c>
      <c r="B16" s="103">
        <f>'[1]январь 20'!K15</f>
        <v>434.125</v>
      </c>
      <c r="C16" s="104">
        <f t="shared" si="0"/>
        <v>2.983040483731644</v>
      </c>
      <c r="D16" s="143">
        <f t="shared" si="1"/>
        <v>421.17487549999998</v>
      </c>
      <c r="E16" s="104">
        <f t="shared" si="2"/>
        <v>41.092748816585093</v>
      </c>
      <c r="F16" s="128">
        <f t="shared" si="3"/>
        <v>2.0013061320978851</v>
      </c>
      <c r="G16" s="106"/>
      <c r="H16" s="107">
        <f t="shared" si="4"/>
        <v>1.316259802803516</v>
      </c>
      <c r="I16" s="103">
        <f>'[1]сентябрь 20'!AE15</f>
        <v>0</v>
      </c>
      <c r="J16" s="103">
        <f>'[1]январь 20'!AA15</f>
        <v>0</v>
      </c>
      <c r="K16" s="106"/>
      <c r="L16" s="328">
        <f>'[1]январь 20'!AI15</f>
        <v>144.16800000000001</v>
      </c>
      <c r="M16" s="103">
        <f t="shared" si="5"/>
        <v>0.68504632929436915</v>
      </c>
      <c r="N16" s="103">
        <f>'[1]июль 20'!AM15</f>
        <v>0</v>
      </c>
      <c r="O16" s="103">
        <f>'[1]январь 20'!W15</f>
        <v>8.7230000000000008</v>
      </c>
      <c r="P16" s="103">
        <f>'[1]январь 20'!S15</f>
        <v>257.69099999999997</v>
      </c>
      <c r="Q16" s="108">
        <f t="shared" si="6"/>
        <v>2.1036823171938335</v>
      </c>
      <c r="R16" s="109">
        <f t="shared" si="7"/>
        <v>252.27</v>
      </c>
      <c r="S16" s="106">
        <v>24.75</v>
      </c>
      <c r="T16" s="109">
        <f t="shared" si="8"/>
        <v>252.27</v>
      </c>
      <c r="U16" s="110">
        <f t="shared" si="9"/>
        <v>1.1987170349251604</v>
      </c>
      <c r="V16" s="136">
        <v>210.45</v>
      </c>
      <c r="W16" s="130">
        <v>122.64</v>
      </c>
      <c r="X16" s="131">
        <v>0.88</v>
      </c>
      <c r="Y16" s="112">
        <v>675</v>
      </c>
      <c r="Z16" s="133">
        <v>1250</v>
      </c>
      <c r="AA16" s="144" t="s">
        <v>116</v>
      </c>
      <c r="AB16" s="131">
        <v>76.760000000000005</v>
      </c>
      <c r="AC16" s="133">
        <v>145</v>
      </c>
      <c r="AD16" s="134">
        <v>5</v>
      </c>
      <c r="AE16" s="131">
        <v>8.4</v>
      </c>
      <c r="AF16" s="115">
        <f t="shared" si="10"/>
        <v>39.914468995010687</v>
      </c>
      <c r="AG16" s="131">
        <v>118.75</v>
      </c>
      <c r="AH16" s="115">
        <f t="shared" si="11"/>
        <v>564.26704680446664</v>
      </c>
      <c r="AI16" s="139">
        <v>27.15</v>
      </c>
      <c r="AJ16" s="131"/>
      <c r="AK16" s="136">
        <v>10.52</v>
      </c>
      <c r="AL16" s="136">
        <v>55.57</v>
      </c>
      <c r="AM16" s="110">
        <f t="shared" si="12"/>
        <v>0.20240393370970677</v>
      </c>
      <c r="AN16" s="137" t="s">
        <v>126</v>
      </c>
      <c r="AO16" s="150">
        <v>16.5</v>
      </c>
      <c r="AP16" s="138">
        <v>5.89</v>
      </c>
      <c r="AQ16" s="131"/>
      <c r="AR16" s="131">
        <v>13.15</v>
      </c>
      <c r="AS16" s="315">
        <v>274.55</v>
      </c>
      <c r="AT16" s="131">
        <v>1.99</v>
      </c>
      <c r="AU16" s="116"/>
      <c r="AV16" s="131"/>
      <c r="AW16" s="109"/>
      <c r="AX16" s="109">
        <f t="shared" si="13"/>
        <v>210.45000000000002</v>
      </c>
      <c r="AY16" s="115">
        <f t="shared" si="24"/>
        <v>196.83708610209993</v>
      </c>
      <c r="AZ16" s="140">
        <f t="shared" si="14"/>
        <v>12.096610915492956</v>
      </c>
      <c r="BA16" s="141">
        <f t="shared" si="15"/>
        <v>8.418000000000001</v>
      </c>
      <c r="BB16" s="128">
        <f t="shared" si="16"/>
        <v>0.93337517658995661</v>
      </c>
      <c r="BC16" s="141">
        <f t="shared" si="17"/>
        <v>20.514610915492959</v>
      </c>
      <c r="BD16" s="142">
        <v>0.878</v>
      </c>
      <c r="BE16" s="16">
        <f t="shared" si="25"/>
        <v>2222.2099999999996</v>
      </c>
      <c r="BF16" s="16">
        <f t="shared" si="18"/>
        <v>209.67741935483872</v>
      </c>
      <c r="BG16" s="16">
        <f t="shared" si="26"/>
        <v>2096.7741935483873</v>
      </c>
      <c r="BH16" s="17">
        <f t="shared" si="19"/>
        <v>1</v>
      </c>
      <c r="BI16" s="16">
        <f t="shared" si="27"/>
        <v>2096.7741935483873</v>
      </c>
      <c r="BJ16" s="249">
        <v>217.40600000000001</v>
      </c>
      <c r="BK16" s="195"/>
      <c r="BL16" s="195">
        <v>144.16800000000001</v>
      </c>
      <c r="BM16" s="197">
        <v>72.551000000000002</v>
      </c>
      <c r="BN16" s="230"/>
      <c r="BO16" s="230"/>
      <c r="BP16" s="250"/>
      <c r="BQ16" s="199"/>
      <c r="BR16" s="200">
        <v>3.03</v>
      </c>
      <c r="BS16" s="200"/>
      <c r="BT16" s="200"/>
      <c r="BU16" s="200">
        <v>8.77</v>
      </c>
      <c r="BV16" s="208"/>
      <c r="BW16" s="208"/>
      <c r="BX16" s="201"/>
      <c r="BY16" s="202">
        <v>37.270000000000003</v>
      </c>
      <c r="BZ16" s="200"/>
      <c r="CA16" s="200">
        <v>46.26</v>
      </c>
      <c r="CB16" s="200">
        <v>42.28</v>
      </c>
      <c r="CC16" s="200"/>
      <c r="CD16" s="200"/>
      <c r="CE16" s="200"/>
      <c r="CF16" s="203"/>
      <c r="CG16" s="204">
        <v>72.5</v>
      </c>
      <c r="CH16" s="230">
        <v>179.77</v>
      </c>
      <c r="CI16" s="266"/>
      <c r="CJ16" s="265"/>
      <c r="CK16" s="202"/>
      <c r="CL16" s="208"/>
      <c r="CM16" s="208"/>
      <c r="CN16" s="201"/>
      <c r="CO16" s="284"/>
      <c r="CP16" s="286">
        <f t="shared" si="20"/>
        <v>210.8185982</v>
      </c>
      <c r="CQ16" s="24">
        <f t="shared" si="20"/>
        <v>0</v>
      </c>
      <c r="CR16" s="25">
        <f t="shared" si="20"/>
        <v>144.16800000000001</v>
      </c>
      <c r="CS16" s="24">
        <f t="shared" si="20"/>
        <v>66.188277299999996</v>
      </c>
      <c r="CT16" s="27">
        <f t="shared" si="20"/>
        <v>0</v>
      </c>
      <c r="CU16" s="24">
        <f t="shared" si="20"/>
        <v>0</v>
      </c>
      <c r="CV16" s="280">
        <f t="shared" si="20"/>
        <v>0</v>
      </c>
      <c r="CW16" s="237">
        <f t="shared" si="21"/>
        <v>72.5</v>
      </c>
      <c r="CX16" s="29">
        <f t="shared" si="21"/>
        <v>179.77</v>
      </c>
      <c r="CY16" s="277">
        <f t="shared" si="21"/>
        <v>0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8"/>
        <v>0</v>
      </c>
    </row>
    <row r="17" spans="1:110" ht="16.5" customHeight="1">
      <c r="A17" s="127">
        <v>11</v>
      </c>
      <c r="B17" s="103">
        <f>'[1]январь 20'!K16</f>
        <v>462.94299999999998</v>
      </c>
      <c r="C17" s="104">
        <f t="shared" si="0"/>
        <v>3.3683560611133556</v>
      </c>
      <c r="D17" s="143">
        <f t="shared" si="1"/>
        <v>447.34943139999996</v>
      </c>
      <c r="E17" s="104">
        <f t="shared" si="2"/>
        <v>41.047198229587664</v>
      </c>
      <c r="F17" s="128">
        <f t="shared" si="3"/>
        <v>2.0860313891349969</v>
      </c>
      <c r="G17" s="106"/>
      <c r="H17" s="107">
        <f t="shared" si="4"/>
        <v>1.3675049260899979</v>
      </c>
      <c r="I17" s="103">
        <f>'[1]сентябрь 20'!AE16</f>
        <v>0</v>
      </c>
      <c r="J17" s="103">
        <f>'[1]январь 20'!AA16</f>
        <v>0</v>
      </c>
      <c r="K17" s="106"/>
      <c r="L17" s="328">
        <f>'[1]январь 20'!AI16</f>
        <v>154.08799999999999</v>
      </c>
      <c r="M17" s="103">
        <f t="shared" si="5"/>
        <v>0.7185264630449989</v>
      </c>
      <c r="N17" s="103">
        <f>'[1]июль 20'!AM16</f>
        <v>0</v>
      </c>
      <c r="O17" s="103">
        <f>'[1]январь 20'!W16</f>
        <v>9.5359999999999996</v>
      </c>
      <c r="P17" s="103">
        <f>'[1]январь 20'!S16</f>
        <v>272.05200000000002</v>
      </c>
      <c r="Q17" s="108">
        <f t="shared" si="6"/>
        <v>1.4306088541896633</v>
      </c>
      <c r="R17" s="109">
        <f t="shared" si="7"/>
        <v>268.15999999999997</v>
      </c>
      <c r="S17" s="106">
        <v>11.52</v>
      </c>
      <c r="T17" s="109">
        <f t="shared" si="8"/>
        <v>268.15999999999997</v>
      </c>
      <c r="U17" s="110">
        <f t="shared" si="9"/>
        <v>1.2504546514339008</v>
      </c>
      <c r="V17" s="136">
        <v>214.45</v>
      </c>
      <c r="W17" s="130">
        <v>214.45</v>
      </c>
      <c r="X17" s="131">
        <v>0.69</v>
      </c>
      <c r="Y17" s="112">
        <v>650</v>
      </c>
      <c r="Z17" s="133">
        <v>1243</v>
      </c>
      <c r="AA17" s="144" t="s">
        <v>127</v>
      </c>
      <c r="AB17" s="131">
        <v>76.569999999999993</v>
      </c>
      <c r="AC17" s="133">
        <v>155</v>
      </c>
      <c r="AD17" s="134">
        <v>5</v>
      </c>
      <c r="AE17" s="131">
        <v>3.8</v>
      </c>
      <c r="AF17" s="115">
        <f t="shared" si="10"/>
        <v>17.719748193051995</v>
      </c>
      <c r="AG17" s="131">
        <v>111.3</v>
      </c>
      <c r="AH17" s="115">
        <f t="shared" si="11"/>
        <v>519.0020983912334</v>
      </c>
      <c r="AI17" s="139">
        <v>23.83</v>
      </c>
      <c r="AJ17" s="131"/>
      <c r="AK17" s="136">
        <v>12.69</v>
      </c>
      <c r="AL17" s="136">
        <v>45.71</v>
      </c>
      <c r="AM17" s="110">
        <f t="shared" si="12"/>
        <v>0.16920229502128448</v>
      </c>
      <c r="AN17" s="137" t="s">
        <v>128</v>
      </c>
      <c r="AO17" s="150">
        <v>15.15</v>
      </c>
      <c r="AP17" s="138">
        <v>5.88</v>
      </c>
      <c r="AQ17" s="131"/>
      <c r="AR17" s="131">
        <v>11.46</v>
      </c>
      <c r="AS17" s="315">
        <v>270.14999999999998</v>
      </c>
      <c r="AT17" s="131">
        <v>2.7</v>
      </c>
      <c r="AU17" s="116"/>
      <c r="AV17" s="131"/>
      <c r="AW17" s="109"/>
      <c r="AX17" s="109">
        <f t="shared" si="13"/>
        <v>214.44999999999996</v>
      </c>
      <c r="AY17" s="115">
        <f t="shared" si="24"/>
        <v>209.35628586157569</v>
      </c>
      <c r="AZ17" s="140">
        <f t="shared" si="14"/>
        <v>9.8806183098591536</v>
      </c>
      <c r="BA17" s="141">
        <f t="shared" si="15"/>
        <v>8.5779999999999994</v>
      </c>
      <c r="BB17" s="128">
        <f t="shared" si="16"/>
        <v>0.89424040567754726</v>
      </c>
      <c r="BC17" s="141">
        <f t="shared" si="17"/>
        <v>18.458618309859155</v>
      </c>
      <c r="BD17" s="142">
        <v>0.88</v>
      </c>
      <c r="BE17" s="16">
        <f t="shared" si="25"/>
        <v>2436.6599999999994</v>
      </c>
      <c r="BF17" s="16">
        <f t="shared" si="18"/>
        <v>209.67741935483872</v>
      </c>
      <c r="BG17" s="16">
        <f t="shared" si="26"/>
        <v>2306.4516129032259</v>
      </c>
      <c r="BH17" s="17">
        <f t="shared" si="19"/>
        <v>1</v>
      </c>
      <c r="BI17" s="16">
        <f t="shared" si="27"/>
        <v>2306.4516129032259</v>
      </c>
      <c r="BJ17" s="249">
        <v>231.679</v>
      </c>
      <c r="BK17" s="195"/>
      <c r="BL17" s="195">
        <v>154.08799999999999</v>
      </c>
      <c r="BM17" s="197">
        <v>77.176000000000002</v>
      </c>
      <c r="BN17" s="230"/>
      <c r="BO17" s="230"/>
      <c r="BP17" s="250"/>
      <c r="BQ17" s="199"/>
      <c r="BR17" s="200">
        <v>2.66</v>
      </c>
      <c r="BS17" s="200"/>
      <c r="BT17" s="200"/>
      <c r="BU17" s="200">
        <v>12.22</v>
      </c>
      <c r="BV17" s="208"/>
      <c r="BW17" s="208"/>
      <c r="BX17" s="201"/>
      <c r="BY17" s="202">
        <v>37.07</v>
      </c>
      <c r="BZ17" s="200"/>
      <c r="CA17" s="200">
        <v>46.61</v>
      </c>
      <c r="CB17" s="200">
        <v>41.88</v>
      </c>
      <c r="CC17" s="208"/>
      <c r="CD17" s="208"/>
      <c r="CE17" s="201"/>
      <c r="CF17" s="199"/>
      <c r="CG17" s="197">
        <v>77.5</v>
      </c>
      <c r="CH17" s="244">
        <v>190.66</v>
      </c>
      <c r="CI17" s="266"/>
      <c r="CJ17" s="265"/>
      <c r="CK17" s="231"/>
      <c r="CL17" s="208"/>
      <c r="CM17" s="208"/>
      <c r="CN17" s="201"/>
      <c r="CO17" s="284"/>
      <c r="CP17" s="286">
        <f t="shared" si="20"/>
        <v>225.51633860000001</v>
      </c>
      <c r="CQ17" s="24">
        <f t="shared" si="20"/>
        <v>0</v>
      </c>
      <c r="CR17" s="25">
        <f t="shared" si="20"/>
        <v>154.08799999999999</v>
      </c>
      <c r="CS17" s="24">
        <f t="shared" si="20"/>
        <v>67.745092800000009</v>
      </c>
      <c r="CT17" s="27">
        <f t="shared" si="20"/>
        <v>0</v>
      </c>
      <c r="CU17" s="27">
        <f t="shared" si="20"/>
        <v>0</v>
      </c>
      <c r="CV17" s="280">
        <f t="shared" si="20"/>
        <v>0</v>
      </c>
      <c r="CW17" s="25">
        <f t="shared" si="21"/>
        <v>77.5</v>
      </c>
      <c r="CX17" s="26">
        <f t="shared" si="21"/>
        <v>190.66</v>
      </c>
      <c r="CY17" s="277">
        <f t="shared" si="21"/>
        <v>0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8"/>
        <v>0</v>
      </c>
    </row>
    <row r="18" spans="1:110" ht="16.5" customHeight="1">
      <c r="A18" s="127">
        <v>12</v>
      </c>
      <c r="B18" s="103">
        <f>'[1]январь 20'!K17</f>
        <v>260.13499999999999</v>
      </c>
      <c r="C18" s="104">
        <f t="shared" si="0"/>
        <v>3.5635996694024259</v>
      </c>
      <c r="D18" s="143">
        <f t="shared" si="1"/>
        <v>250.86483000000001</v>
      </c>
      <c r="E18" s="104">
        <f t="shared" si="2"/>
        <v>40.135068329905629</v>
      </c>
      <c r="F18" s="128">
        <f t="shared" si="3"/>
        <v>3.0563453947368422</v>
      </c>
      <c r="G18" s="106"/>
      <c r="H18" s="107">
        <f t="shared" si="4"/>
        <v>2.2927610867446395</v>
      </c>
      <c r="I18" s="103">
        <f>'[1]сентябрь 20'!AE17</f>
        <v>0</v>
      </c>
      <c r="J18" s="103">
        <f>'[1]январь 20'!AA17</f>
        <v>0</v>
      </c>
      <c r="K18" s="106"/>
      <c r="L18" s="328">
        <f>'[1]январь 20'!AI17</f>
        <v>62.674999999999997</v>
      </c>
      <c r="M18" s="103">
        <f t="shared" si="5"/>
        <v>0.76358430799220267</v>
      </c>
      <c r="N18" s="103">
        <f>'[1]июль 20'!AM17</f>
        <v>0</v>
      </c>
      <c r="O18" s="103">
        <f>'[1]январь 20'!W17</f>
        <v>1.62</v>
      </c>
      <c r="P18" s="103">
        <f>'[1]январь 20'!S17</f>
        <v>155.45400000000001</v>
      </c>
      <c r="Q18" s="108">
        <f t="shared" si="6"/>
        <v>1.6429297412739463</v>
      </c>
      <c r="R18" s="109">
        <f t="shared" si="7"/>
        <v>152.9</v>
      </c>
      <c r="S18" s="106">
        <v>21.39</v>
      </c>
      <c r="T18" s="109">
        <f t="shared" si="8"/>
        <v>152.9</v>
      </c>
      <c r="U18" s="110">
        <f t="shared" si="9"/>
        <v>1.8628167641325537</v>
      </c>
      <c r="V18" s="136">
        <v>58.69</v>
      </c>
      <c r="W18" s="130">
        <v>82.08</v>
      </c>
      <c r="X18" s="131">
        <v>0.36</v>
      </c>
      <c r="Y18" s="112">
        <v>557</v>
      </c>
      <c r="Z18" s="133">
        <v>1181</v>
      </c>
      <c r="AA18" s="144" t="s">
        <v>129</v>
      </c>
      <c r="AB18" s="131">
        <v>77.010000000000005</v>
      </c>
      <c r="AC18" s="133">
        <v>85</v>
      </c>
      <c r="AD18" s="134">
        <v>3</v>
      </c>
      <c r="AE18" s="131"/>
      <c r="AF18" s="115">
        <f t="shared" si="10"/>
        <v>0</v>
      </c>
      <c r="AG18" s="131">
        <v>56.7</v>
      </c>
      <c r="AH18" s="115">
        <f t="shared" si="11"/>
        <v>690.78947368421063</v>
      </c>
      <c r="AI18" s="139">
        <v>14.76</v>
      </c>
      <c r="AJ18" s="131"/>
      <c r="AK18" s="136">
        <v>7.87</v>
      </c>
      <c r="AL18" s="136">
        <v>18.350000000000001</v>
      </c>
      <c r="AM18" s="110">
        <f t="shared" si="12"/>
        <v>0.17254348848142925</v>
      </c>
      <c r="AN18" s="137" t="s">
        <v>130</v>
      </c>
      <c r="AO18" s="150">
        <v>13.9</v>
      </c>
      <c r="AP18" s="138">
        <v>5.83</v>
      </c>
      <c r="AQ18" s="131"/>
      <c r="AR18" s="131">
        <v>18.14</v>
      </c>
      <c r="AS18" s="315">
        <v>106.35</v>
      </c>
      <c r="AT18" s="131">
        <v>1.95</v>
      </c>
      <c r="AU18" s="116"/>
      <c r="AV18" s="131"/>
      <c r="AW18" s="109">
        <f t="shared" ref="AW18:AW37" si="29">IF(AX18=0,0,AV18/AX18*100)</f>
        <v>0</v>
      </c>
      <c r="AX18" s="109">
        <f t="shared" si="13"/>
        <v>82.08</v>
      </c>
      <c r="AY18" s="115">
        <f>IF(AB18=0,0,((D18*0.97)*(E18/100)*0.9)/(AB18/100))</f>
        <v>114.13817040293986</v>
      </c>
      <c r="AZ18" s="140">
        <f t="shared" si="14"/>
        <v>7.9675478873239429</v>
      </c>
      <c r="BA18" s="141">
        <f t="shared" si="15"/>
        <v>3.2831999999999999</v>
      </c>
      <c r="BB18" s="128">
        <f t="shared" si="16"/>
        <v>0.62779909426473823</v>
      </c>
      <c r="BC18" s="141">
        <f t="shared" si="17"/>
        <v>11.250747887323943</v>
      </c>
      <c r="BD18" s="142">
        <v>0.86799999999999999</v>
      </c>
      <c r="BE18" s="16">
        <f t="shared" si="25"/>
        <v>2518.7399999999993</v>
      </c>
      <c r="BF18" s="16">
        <f t="shared" si="18"/>
        <v>209.67741935483872</v>
      </c>
      <c r="BG18" s="16">
        <f t="shared" si="26"/>
        <v>2516.1290322580644</v>
      </c>
      <c r="BH18" s="17">
        <f t="shared" si="19"/>
        <v>1</v>
      </c>
      <c r="BI18" s="16">
        <f t="shared" si="27"/>
        <v>2516.1290322580644</v>
      </c>
      <c r="BJ18" s="249">
        <v>141.06399999999999</v>
      </c>
      <c r="BK18" s="195">
        <v>62.674999999999997</v>
      </c>
      <c r="BL18" s="195"/>
      <c r="BM18" s="197">
        <v>56.396000000000001</v>
      </c>
      <c r="BN18" s="230"/>
      <c r="BO18" s="230"/>
      <c r="BP18" s="250"/>
      <c r="BQ18" s="199"/>
      <c r="BR18" s="200">
        <v>2.0099999999999998</v>
      </c>
      <c r="BS18" s="200"/>
      <c r="BT18" s="200"/>
      <c r="BU18" s="200">
        <v>11.41</v>
      </c>
      <c r="BV18" s="208"/>
      <c r="BW18" s="208"/>
      <c r="BX18" s="201"/>
      <c r="BY18" s="202">
        <v>36.79</v>
      </c>
      <c r="BZ18" s="200">
        <v>44.96</v>
      </c>
      <c r="CA18" s="200"/>
      <c r="CB18" s="200">
        <v>43.14</v>
      </c>
      <c r="CC18" s="208"/>
      <c r="CD18" s="208"/>
      <c r="CE18" s="209"/>
      <c r="CF18" s="199"/>
      <c r="CG18" s="197">
        <v>43</v>
      </c>
      <c r="CH18" s="268">
        <v>109.9</v>
      </c>
      <c r="CI18" s="289"/>
      <c r="CJ18" s="267"/>
      <c r="CK18" s="202"/>
      <c r="CL18" s="208"/>
      <c r="CM18" s="208"/>
      <c r="CN18" s="201"/>
      <c r="CO18" s="284"/>
      <c r="CP18" s="286">
        <f t="shared" si="20"/>
        <v>138.22861359999999</v>
      </c>
      <c r="CQ18" s="24">
        <f t="shared" si="20"/>
        <v>62.674999999999997</v>
      </c>
      <c r="CR18" s="25">
        <f t="shared" si="20"/>
        <v>0</v>
      </c>
      <c r="CS18" s="24">
        <f t="shared" si="20"/>
        <v>49.961216400000005</v>
      </c>
      <c r="CT18" s="27">
        <f t="shared" si="20"/>
        <v>0</v>
      </c>
      <c r="CU18" s="30">
        <f t="shared" si="20"/>
        <v>0</v>
      </c>
      <c r="CV18" s="280">
        <f t="shared" si="20"/>
        <v>0</v>
      </c>
      <c r="CW18" s="30">
        <f t="shared" si="21"/>
        <v>43</v>
      </c>
      <c r="CX18" s="24">
        <f t="shared" si="21"/>
        <v>109.9</v>
      </c>
      <c r="CY18" s="277">
        <f t="shared" si="21"/>
        <v>0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8"/>
        <v>0</v>
      </c>
    </row>
    <row r="19" spans="1:110" ht="16.5" customHeight="1">
      <c r="A19" s="127">
        <v>13</v>
      </c>
      <c r="B19" s="103">
        <f>'[1]январь 20'!K18</f>
        <v>359.49299999999999</v>
      </c>
      <c r="C19" s="104">
        <f t="shared" si="0"/>
        <v>4.0682369614985552</v>
      </c>
      <c r="D19" s="143">
        <f t="shared" si="1"/>
        <v>344.86797289999998</v>
      </c>
      <c r="E19" s="104">
        <f>IF(B19=0,0,(BJ19*BY19+BK19*BZ19+BM19*CB19+BP19*CE19+BL19*CA19+BO19*CD19+BN19*CC19)/B19)</f>
        <v>39.52306022648564</v>
      </c>
      <c r="F19" s="128">
        <f t="shared" si="3"/>
        <v>2.00714685659411</v>
      </c>
      <c r="G19" s="106"/>
      <c r="H19" s="107">
        <f t="shared" si="4"/>
        <v>1.6234022401350248</v>
      </c>
      <c r="I19" s="103">
        <f>'[1]сентябрь 20'!AE18</f>
        <v>0</v>
      </c>
      <c r="J19" s="103">
        <f>'[1]январь 20'!AA18</f>
        <v>0</v>
      </c>
      <c r="K19" s="106"/>
      <c r="L19" s="328">
        <f>'[1]январь 20'!AI18</f>
        <v>65.935000000000002</v>
      </c>
      <c r="M19" s="103">
        <f t="shared" si="5"/>
        <v>0.38374461645908503</v>
      </c>
      <c r="N19" s="103">
        <f>'[1]июль 20'!AM18</f>
        <v>0</v>
      </c>
      <c r="O19" s="103">
        <f>'[1]январь 20'!W18</f>
        <v>0</v>
      </c>
      <c r="P19" s="103">
        <f>'[1]январь 20'!S18</f>
        <v>209.19399999999999</v>
      </c>
      <c r="Q19" s="108">
        <f t="shared" si="6"/>
        <v>1.4455481514766166</v>
      </c>
      <c r="R19" s="109">
        <f t="shared" si="7"/>
        <v>206.17</v>
      </c>
      <c r="S19" s="106">
        <v>11.79</v>
      </c>
      <c r="T19" s="109">
        <f t="shared" si="8"/>
        <v>206.17</v>
      </c>
      <c r="U19" s="110">
        <f t="shared" si="9"/>
        <v>1.1999185193807471</v>
      </c>
      <c r="V19" s="136">
        <v>171.82</v>
      </c>
      <c r="W19" s="130">
        <v>133.1</v>
      </c>
      <c r="X19" s="131">
        <v>0.44</v>
      </c>
      <c r="Y19" s="112">
        <v>620</v>
      </c>
      <c r="Z19" s="133">
        <v>1230</v>
      </c>
      <c r="AA19" s="144" t="s">
        <v>131</v>
      </c>
      <c r="AB19" s="131">
        <v>76.959999999999994</v>
      </c>
      <c r="AC19" s="133">
        <v>121</v>
      </c>
      <c r="AD19" s="134">
        <v>5</v>
      </c>
      <c r="AE19" s="131">
        <v>7.6</v>
      </c>
      <c r="AF19" s="115">
        <f t="shared" si="10"/>
        <v>44.232336165754852</v>
      </c>
      <c r="AG19" s="131">
        <v>106.3</v>
      </c>
      <c r="AH19" s="115">
        <f t="shared" si="11"/>
        <v>618.67070189733431</v>
      </c>
      <c r="AI19" s="139">
        <v>26.22</v>
      </c>
      <c r="AJ19" s="131"/>
      <c r="AK19" s="136">
        <v>12.45</v>
      </c>
      <c r="AL19" s="136">
        <v>42.73</v>
      </c>
      <c r="AM19" s="110">
        <f t="shared" si="12"/>
        <v>0.1902916945001113</v>
      </c>
      <c r="AN19" s="137" t="s">
        <v>132</v>
      </c>
      <c r="AO19" s="150">
        <v>13.6</v>
      </c>
      <c r="AP19" s="138">
        <v>5.97</v>
      </c>
      <c r="AQ19" s="134"/>
      <c r="AR19" s="131">
        <v>15.22</v>
      </c>
      <c r="AS19" s="315">
        <v>224.55</v>
      </c>
      <c r="AT19" s="131">
        <v>2.4500000000000002</v>
      </c>
      <c r="AU19" s="116"/>
      <c r="AV19" s="131"/>
      <c r="AW19" s="109">
        <f t="shared" si="29"/>
        <v>0</v>
      </c>
      <c r="AX19" s="109">
        <f t="shared" si="13"/>
        <v>171.82000000000002</v>
      </c>
      <c r="AY19" s="115">
        <f t="shared" si="24"/>
        <v>154.61535186976872</v>
      </c>
      <c r="AZ19" s="140">
        <f t="shared" si="14"/>
        <v>12.532919718309859</v>
      </c>
      <c r="BA19" s="141">
        <f t="shared" si="15"/>
        <v>6.8728000000000007</v>
      </c>
      <c r="BB19" s="128">
        <f t="shared" si="16"/>
        <v>0.97014208606104546</v>
      </c>
      <c r="BC19" s="141">
        <f t="shared" si="17"/>
        <v>19.405719718309861</v>
      </c>
      <c r="BD19" s="142">
        <v>0.874</v>
      </c>
      <c r="BE19" s="16">
        <f t="shared" si="25"/>
        <v>2690.5599999999995</v>
      </c>
      <c r="BF19" s="16">
        <f t="shared" si="18"/>
        <v>209.67741935483872</v>
      </c>
      <c r="BG19" s="16">
        <f t="shared" si="26"/>
        <v>2725.8064516129029</v>
      </c>
      <c r="BH19" s="17">
        <f t="shared" si="19"/>
        <v>1</v>
      </c>
      <c r="BI19" s="16">
        <f t="shared" si="27"/>
        <v>2725.8064516129029</v>
      </c>
      <c r="BJ19" s="254">
        <v>203.81100000000001</v>
      </c>
      <c r="BK19" s="197">
        <v>65.935000000000002</v>
      </c>
      <c r="BL19" s="197"/>
      <c r="BM19" s="197">
        <v>89.747</v>
      </c>
      <c r="BN19" s="230"/>
      <c r="BO19" s="230"/>
      <c r="BP19" s="258"/>
      <c r="BQ19" s="199"/>
      <c r="BR19" s="200">
        <v>1.83</v>
      </c>
      <c r="BS19" s="200"/>
      <c r="BT19" s="200"/>
      <c r="BU19" s="200">
        <v>12.14</v>
      </c>
      <c r="BV19" s="208"/>
      <c r="BW19" s="208"/>
      <c r="BX19" s="201"/>
      <c r="BY19" s="202">
        <v>36.53</v>
      </c>
      <c r="BZ19" s="200">
        <v>42.3</v>
      </c>
      <c r="CA19" s="200"/>
      <c r="CB19" s="200">
        <v>44.28</v>
      </c>
      <c r="CC19" s="208"/>
      <c r="CD19" s="208"/>
      <c r="CE19" s="209"/>
      <c r="CF19" s="199"/>
      <c r="CG19" s="197">
        <v>60</v>
      </c>
      <c r="CH19" s="197">
        <v>146.16999999999999</v>
      </c>
      <c r="CI19" s="197"/>
      <c r="CJ19" s="198"/>
      <c r="CK19" s="202"/>
      <c r="CL19" s="208"/>
      <c r="CM19" s="208"/>
      <c r="CN19" s="201"/>
      <c r="CO19" s="284"/>
      <c r="CP19" s="286">
        <f t="shared" si="20"/>
        <v>200.08125870000001</v>
      </c>
      <c r="CQ19" s="24">
        <f t="shared" si="20"/>
        <v>65.935000000000002</v>
      </c>
      <c r="CR19" s="25">
        <f t="shared" si="20"/>
        <v>0</v>
      </c>
      <c r="CS19" s="24">
        <f t="shared" si="20"/>
        <v>78.851714200000004</v>
      </c>
      <c r="CT19" s="27">
        <f t="shared" si="20"/>
        <v>0</v>
      </c>
      <c r="CU19" s="24">
        <f t="shared" si="20"/>
        <v>0</v>
      </c>
      <c r="CV19" s="280">
        <f t="shared" si="20"/>
        <v>0</v>
      </c>
      <c r="CW19" s="237">
        <f t="shared" si="21"/>
        <v>60</v>
      </c>
      <c r="CX19" s="24">
        <f t="shared" si="21"/>
        <v>146.16999999999999</v>
      </c>
      <c r="CY19" s="277">
        <f t="shared" si="21"/>
        <v>0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8"/>
        <v>0</v>
      </c>
    </row>
    <row r="20" spans="1:110" ht="16.5" customHeight="1">
      <c r="A20" s="127">
        <v>14</v>
      </c>
      <c r="B20" s="103">
        <f>'[1]январь 20'!K19</f>
        <v>474.44600000000003</v>
      </c>
      <c r="C20" s="104">
        <f t="shared" si="0"/>
        <v>5.2264571099766881</v>
      </c>
      <c r="D20" s="143">
        <f t="shared" si="1"/>
        <v>449.64928330000004</v>
      </c>
      <c r="E20" s="104">
        <f t="shared" si="2"/>
        <v>39.489836546203357</v>
      </c>
      <c r="F20" s="128">
        <f t="shared" si="3"/>
        <v>2.4269945663086308</v>
      </c>
      <c r="G20" s="106"/>
      <c r="H20" s="107">
        <f t="shared" si="4"/>
        <v>1.9582840357316349</v>
      </c>
      <c r="I20" s="103">
        <f>'[1]сентябрь 20'!AE19</f>
        <v>0</v>
      </c>
      <c r="J20" s="103">
        <f>'[1]январь 20'!AA19</f>
        <v>0</v>
      </c>
      <c r="K20" s="106"/>
      <c r="L20" s="328">
        <f>'[1]январь 20'!AI19</f>
        <v>86.837999999999994</v>
      </c>
      <c r="M20" s="103">
        <f t="shared" si="5"/>
        <v>0.46871053057699569</v>
      </c>
      <c r="N20" s="103">
        <f>'[1]июль 20'!AM19</f>
        <v>0</v>
      </c>
      <c r="O20" s="103">
        <f>'[1]январь 20'!W19</f>
        <v>0</v>
      </c>
      <c r="P20" s="103">
        <f>'[1]январь 20'!S19</f>
        <v>271.67700000000002</v>
      </c>
      <c r="Q20" s="108">
        <f t="shared" si="6"/>
        <v>1.5890193133758168</v>
      </c>
      <c r="R20" s="109">
        <f t="shared" si="7"/>
        <v>267.36</v>
      </c>
      <c r="S20" s="106">
        <v>24.51</v>
      </c>
      <c r="T20" s="109">
        <f t="shared" si="8"/>
        <v>267.36</v>
      </c>
      <c r="U20" s="110">
        <f t="shared" si="9"/>
        <v>1.4430830679548767</v>
      </c>
      <c r="V20" s="136">
        <v>185.27</v>
      </c>
      <c r="W20" s="130">
        <v>62.67</v>
      </c>
      <c r="X20" s="131">
        <v>1.1499999999999999</v>
      </c>
      <c r="Y20" s="112">
        <v>674</v>
      </c>
      <c r="Z20" s="133">
        <v>1228</v>
      </c>
      <c r="AA20" s="151" t="s">
        <v>133</v>
      </c>
      <c r="AB20" s="131">
        <v>76.37</v>
      </c>
      <c r="AC20" s="133">
        <v>158</v>
      </c>
      <c r="AD20" s="134">
        <v>5</v>
      </c>
      <c r="AE20" s="131">
        <v>6.4</v>
      </c>
      <c r="AF20" s="115">
        <f t="shared" si="10"/>
        <v>34.544178766125114</v>
      </c>
      <c r="AG20" s="131">
        <v>88.55</v>
      </c>
      <c r="AH20" s="115">
        <f t="shared" si="11"/>
        <v>477.95109839693419</v>
      </c>
      <c r="AI20" s="139">
        <v>27.76</v>
      </c>
      <c r="AJ20" s="131"/>
      <c r="AK20" s="136">
        <v>8.74</v>
      </c>
      <c r="AL20" s="136">
        <v>31.63</v>
      </c>
      <c r="AM20" s="110">
        <f t="shared" si="12"/>
        <v>0.14190219829519962</v>
      </c>
      <c r="AN20" s="137" t="s">
        <v>113</v>
      </c>
      <c r="AO20" s="150">
        <v>15.05</v>
      </c>
      <c r="AP20" s="138">
        <v>6.18</v>
      </c>
      <c r="AQ20" s="131"/>
      <c r="AR20" s="131">
        <v>11.54</v>
      </c>
      <c r="AS20" s="315">
        <v>222.9</v>
      </c>
      <c r="AT20" s="131">
        <v>2.74</v>
      </c>
      <c r="AU20" s="148"/>
      <c r="AV20" s="131"/>
      <c r="AW20" s="109">
        <f t="shared" si="29"/>
        <v>0</v>
      </c>
      <c r="AX20" s="109">
        <f t="shared" si="13"/>
        <v>185.27</v>
      </c>
      <c r="AY20" s="115">
        <f t="shared" si="24"/>
        <v>202.97880659491827</v>
      </c>
      <c r="AZ20" s="140">
        <f t="shared" si="14"/>
        <v>7.9158711267605613</v>
      </c>
      <c r="BA20" s="141">
        <f t="shared" si="15"/>
        <v>7.4108000000000009</v>
      </c>
      <c r="BB20" s="128">
        <f t="shared" si="16"/>
        <v>0.79683545643651121</v>
      </c>
      <c r="BC20" s="141">
        <f t="shared" si="17"/>
        <v>15.326671126760562</v>
      </c>
      <c r="BD20" s="142">
        <v>0.86899999999999999</v>
      </c>
      <c r="BE20" s="16">
        <f t="shared" si="25"/>
        <v>2875.8299999999995</v>
      </c>
      <c r="BF20" s="16">
        <f t="shared" si="18"/>
        <v>209.67741935483872</v>
      </c>
      <c r="BG20" s="16">
        <f t="shared" si="26"/>
        <v>2935.4838709677415</v>
      </c>
      <c r="BH20" s="17">
        <f t="shared" si="19"/>
        <v>1</v>
      </c>
      <c r="BI20" s="16">
        <f t="shared" si="27"/>
        <v>2935.4838709677415</v>
      </c>
      <c r="BJ20" s="254">
        <v>268.46499999999997</v>
      </c>
      <c r="BK20" s="197">
        <v>86.837999999999994</v>
      </c>
      <c r="BL20" s="197"/>
      <c r="BM20" s="197">
        <v>119.143</v>
      </c>
      <c r="BN20" s="230"/>
      <c r="BO20" s="230"/>
      <c r="BP20" s="259"/>
      <c r="BQ20" s="199"/>
      <c r="BR20" s="200">
        <v>3.05</v>
      </c>
      <c r="BS20" s="200"/>
      <c r="BT20" s="200"/>
      <c r="BU20" s="200">
        <v>13.94</v>
      </c>
      <c r="BV20" s="208"/>
      <c r="BW20" s="208"/>
      <c r="BX20" s="201"/>
      <c r="BY20" s="202">
        <v>37.299999999999997</v>
      </c>
      <c r="BZ20" s="200">
        <v>43.79</v>
      </c>
      <c r="CA20" s="200"/>
      <c r="CB20" s="200">
        <v>41.29</v>
      </c>
      <c r="CC20" s="208"/>
      <c r="CD20" s="208"/>
      <c r="CE20" s="209"/>
      <c r="CF20" s="199"/>
      <c r="CG20" s="197">
        <v>56.5</v>
      </c>
      <c r="CH20" s="197">
        <v>210.86</v>
      </c>
      <c r="CI20" s="197"/>
      <c r="CJ20" s="198"/>
      <c r="CK20" s="202"/>
      <c r="CL20" s="208"/>
      <c r="CM20" s="208"/>
      <c r="CN20" s="201"/>
      <c r="CO20" s="284"/>
      <c r="CP20" s="286">
        <f t="shared" si="20"/>
        <v>260.27681749999999</v>
      </c>
      <c r="CQ20" s="24">
        <f t="shared" si="20"/>
        <v>86.837999999999994</v>
      </c>
      <c r="CR20" s="25">
        <f t="shared" si="20"/>
        <v>0</v>
      </c>
      <c r="CS20" s="24">
        <f t="shared" si="20"/>
        <v>102.53446580000001</v>
      </c>
      <c r="CT20" s="27">
        <f t="shared" si="20"/>
        <v>0</v>
      </c>
      <c r="CU20" s="30">
        <f t="shared" si="20"/>
        <v>0</v>
      </c>
      <c r="CV20" s="280">
        <f t="shared" si="20"/>
        <v>0</v>
      </c>
      <c r="CW20" s="237">
        <f t="shared" si="21"/>
        <v>56.5</v>
      </c>
      <c r="CX20" s="29">
        <f t="shared" si="21"/>
        <v>210.86</v>
      </c>
      <c r="CY20" s="277">
        <f t="shared" si="21"/>
        <v>0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8"/>
        <v>0</v>
      </c>
    </row>
    <row r="21" spans="1:110" ht="16.5" customHeight="1">
      <c r="A21" s="127">
        <v>15</v>
      </c>
      <c r="B21" s="103">
        <f>'[1]январь 20'!K20</f>
        <v>390.38900000000001</v>
      </c>
      <c r="C21" s="104">
        <f t="shared" si="0"/>
        <v>4.9564146274613261</v>
      </c>
      <c r="D21" s="143">
        <f t="shared" si="1"/>
        <v>371.03970250000003</v>
      </c>
      <c r="E21" s="104">
        <f t="shared" si="2"/>
        <v>39.70521351779891</v>
      </c>
      <c r="F21" s="128">
        <f t="shared" si="3"/>
        <v>1.8044922794475247</v>
      </c>
      <c r="G21" s="106"/>
      <c r="H21" s="107">
        <f t="shared" si="4"/>
        <v>1.4593021228479719</v>
      </c>
      <c r="I21" s="103">
        <f>'[1]сентябрь 20'!AE20</f>
        <v>0</v>
      </c>
      <c r="J21" s="103">
        <f>'[1]январь 20'!AA20</f>
        <v>0</v>
      </c>
      <c r="K21" s="106"/>
      <c r="L21" s="328">
        <f>'[1]январь 20'!AI20</f>
        <v>70.977999999999994</v>
      </c>
      <c r="M21" s="103">
        <f t="shared" si="5"/>
        <v>0.34519015659955254</v>
      </c>
      <c r="N21" s="103">
        <f>'[1]июль 20'!AM20</f>
        <v>0</v>
      </c>
      <c r="O21" s="103">
        <f>'[1]январь 20'!W20</f>
        <v>0</v>
      </c>
      <c r="P21" s="103">
        <f>'[1]январь 20'!S20</f>
        <v>232.536</v>
      </c>
      <c r="Q21" s="108">
        <f t="shared" si="6"/>
        <v>1.365810025114389</v>
      </c>
      <c r="R21" s="109">
        <f t="shared" si="7"/>
        <v>229.36</v>
      </c>
      <c r="S21" s="106">
        <v>28.1</v>
      </c>
      <c r="T21" s="109">
        <f t="shared" si="8"/>
        <v>229.36</v>
      </c>
      <c r="U21" s="110">
        <f t="shared" si="9"/>
        <v>1.1154556949713064</v>
      </c>
      <c r="V21" s="136">
        <v>92.56</v>
      </c>
      <c r="W21" s="130">
        <v>205.62</v>
      </c>
      <c r="X21" s="131">
        <v>0.08</v>
      </c>
      <c r="Y21" s="112">
        <v>603</v>
      </c>
      <c r="Z21" s="133">
        <v>1220</v>
      </c>
      <c r="AA21" s="151" t="s">
        <v>134</v>
      </c>
      <c r="AB21" s="131">
        <v>75.14</v>
      </c>
      <c r="AC21" s="133">
        <v>132</v>
      </c>
      <c r="AD21" s="134">
        <v>5</v>
      </c>
      <c r="AE21" s="131">
        <v>4.8499999999999996</v>
      </c>
      <c r="AF21" s="115">
        <f t="shared" si="10"/>
        <v>23.587199688746232</v>
      </c>
      <c r="AG21" s="131">
        <v>144.9</v>
      </c>
      <c r="AH21" s="115">
        <f t="shared" si="11"/>
        <v>704.69798657718115</v>
      </c>
      <c r="AI21" s="139">
        <v>23.04</v>
      </c>
      <c r="AJ21" s="131"/>
      <c r="AK21" s="136">
        <v>9.44</v>
      </c>
      <c r="AL21" s="136">
        <v>24.54</v>
      </c>
      <c r="AM21" s="110">
        <f t="shared" si="12"/>
        <v>0.1031742694975825</v>
      </c>
      <c r="AN21" s="137" t="s">
        <v>135</v>
      </c>
      <c r="AO21" s="150">
        <v>12.11</v>
      </c>
      <c r="AP21" s="138">
        <v>5.75</v>
      </c>
      <c r="AQ21" s="131"/>
      <c r="AR21" s="131">
        <v>21.3</v>
      </c>
      <c r="AS21" s="315">
        <v>237.85</v>
      </c>
      <c r="AT21" s="131">
        <v>1.75</v>
      </c>
      <c r="AU21" s="116"/>
      <c r="AV21" s="131"/>
      <c r="AW21" s="109">
        <f t="shared" si="29"/>
        <v>0</v>
      </c>
      <c r="AX21" s="109">
        <f t="shared" si="13"/>
        <v>205.62</v>
      </c>
      <c r="AY21" s="115">
        <f t="shared" si="24"/>
        <v>171.16342645332068</v>
      </c>
      <c r="AZ21" s="140">
        <f t="shared" si="14"/>
        <v>23.908500000000004</v>
      </c>
      <c r="BA21" s="141">
        <f t="shared" si="15"/>
        <v>8.2248000000000001</v>
      </c>
      <c r="BB21" s="128">
        <f t="shared" si="16"/>
        <v>1.0487419171230168</v>
      </c>
      <c r="BC21" s="141">
        <f t="shared" si="17"/>
        <v>32.133300000000006</v>
      </c>
      <c r="BD21" s="142">
        <v>0.879</v>
      </c>
      <c r="BE21" s="16">
        <f t="shared" si="25"/>
        <v>3081.4499999999994</v>
      </c>
      <c r="BF21" s="16">
        <f t="shared" si="18"/>
        <v>209.67741935483872</v>
      </c>
      <c r="BG21" s="16">
        <f t="shared" si="26"/>
        <v>3145.16129032258</v>
      </c>
      <c r="BH21" s="17">
        <f t="shared" si="19"/>
        <v>1</v>
      </c>
      <c r="BI21" s="16">
        <f t="shared" si="27"/>
        <v>3145.16129032258</v>
      </c>
      <c r="BJ21" s="254">
        <v>215.21199999999999</v>
      </c>
      <c r="BK21" s="197">
        <v>70.977999999999994</v>
      </c>
      <c r="BL21" s="197"/>
      <c r="BM21" s="197">
        <v>104.199</v>
      </c>
      <c r="BN21" s="230"/>
      <c r="BO21" s="230"/>
      <c r="BP21" s="259"/>
      <c r="BQ21" s="199"/>
      <c r="BR21" s="200">
        <v>2.44</v>
      </c>
      <c r="BS21" s="200"/>
      <c r="BT21" s="200"/>
      <c r="BU21" s="200">
        <v>13.53</v>
      </c>
      <c r="BV21" s="208"/>
      <c r="BW21" s="208"/>
      <c r="BX21" s="201"/>
      <c r="BY21" s="202">
        <v>37.049999999999997</v>
      </c>
      <c r="BZ21" s="200">
        <v>43.8</v>
      </c>
      <c r="CA21" s="200"/>
      <c r="CB21" s="200">
        <v>42.4</v>
      </c>
      <c r="CC21" s="208"/>
      <c r="CD21" s="208"/>
      <c r="CE21" s="209"/>
      <c r="CF21" s="199"/>
      <c r="CG21" s="197"/>
      <c r="CH21" s="197">
        <v>229.36</v>
      </c>
      <c r="CI21" s="197"/>
      <c r="CJ21" s="198"/>
      <c r="CK21" s="202"/>
      <c r="CL21" s="208"/>
      <c r="CM21" s="208"/>
      <c r="CN21" s="201"/>
      <c r="CO21" s="284"/>
      <c r="CP21" s="286">
        <f t="shared" si="20"/>
        <v>209.96082719999998</v>
      </c>
      <c r="CQ21" s="27">
        <f t="shared" si="20"/>
        <v>70.977999999999994</v>
      </c>
      <c r="CR21" s="28">
        <f t="shared" si="20"/>
        <v>0</v>
      </c>
      <c r="CS21" s="27">
        <f t="shared" si="20"/>
        <v>90.100875299999998</v>
      </c>
      <c r="CT21" s="27">
        <f t="shared" si="20"/>
        <v>0</v>
      </c>
      <c r="CU21" s="24">
        <f t="shared" si="20"/>
        <v>0</v>
      </c>
      <c r="CV21" s="281">
        <f t="shared" si="20"/>
        <v>0</v>
      </c>
      <c r="CW21" s="237">
        <f t="shared" si="21"/>
        <v>0</v>
      </c>
      <c r="CX21" s="24">
        <f t="shared" si="21"/>
        <v>229.36</v>
      </c>
      <c r="CY21" s="277">
        <f t="shared" si="21"/>
        <v>0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8"/>
        <v>0</v>
      </c>
    </row>
    <row r="22" spans="1:110" ht="16.5" customHeight="1">
      <c r="A22" s="127">
        <v>16</v>
      </c>
      <c r="B22" s="103">
        <f>'[1]январь 20'!K21</f>
        <v>468.14299999999997</v>
      </c>
      <c r="C22" s="104">
        <f t="shared" si="0"/>
        <v>4.9033596785597569</v>
      </c>
      <c r="D22" s="143">
        <f t="shared" si="1"/>
        <v>445.18826490000004</v>
      </c>
      <c r="E22" s="104">
        <f t="shared" si="2"/>
        <v>40.105392241259615</v>
      </c>
      <c r="F22" s="128">
        <f t="shared" si="3"/>
        <v>3.0506973542109237</v>
      </c>
      <c r="G22" s="106"/>
      <c r="H22" s="107">
        <f t="shared" si="4"/>
        <v>2.4633746652504631</v>
      </c>
      <c r="I22" s="103">
        <f>'[1]сентябрь 20'!AE21</f>
        <v>0</v>
      </c>
      <c r="J22" s="103">
        <f>'[1]январь 20'!AA21</f>
        <v>0</v>
      </c>
      <c r="K22" s="106"/>
      <c r="L22" s="328">
        <f>'[1]январь 20'!AI21</f>
        <v>85.707999999999998</v>
      </c>
      <c r="M22" s="103">
        <f t="shared" si="5"/>
        <v>0.58732268896046058</v>
      </c>
      <c r="N22" s="103">
        <f>'[1]июль 20'!AM21</f>
        <v>0</v>
      </c>
      <c r="O22" s="103">
        <f>'[1]январь 20'!W21</f>
        <v>0</v>
      </c>
      <c r="P22" s="103">
        <f>'[1]январь 20'!S21</f>
        <v>280.59300000000002</v>
      </c>
      <c r="Q22" s="108">
        <f t="shared" si="6"/>
        <v>1.3874187880667077</v>
      </c>
      <c r="R22" s="109">
        <f t="shared" si="7"/>
        <v>276.7</v>
      </c>
      <c r="S22" s="106">
        <v>15.82</v>
      </c>
      <c r="T22" s="109">
        <f t="shared" si="8"/>
        <v>276.7</v>
      </c>
      <c r="U22" s="110">
        <f t="shared" si="9"/>
        <v>1.8961145754813953</v>
      </c>
      <c r="V22" s="136">
        <v>113.06</v>
      </c>
      <c r="W22" s="129">
        <v>145.93</v>
      </c>
      <c r="X22" s="131">
        <v>0.43</v>
      </c>
      <c r="Y22" s="112">
        <v>633</v>
      </c>
      <c r="Z22" s="152">
        <v>1217</v>
      </c>
      <c r="AA22" s="144" t="s">
        <v>136</v>
      </c>
      <c r="AB22" s="131">
        <v>75.63</v>
      </c>
      <c r="AC22" s="133">
        <v>157</v>
      </c>
      <c r="AD22" s="134">
        <v>5</v>
      </c>
      <c r="AE22" s="131">
        <v>7.3</v>
      </c>
      <c r="AF22" s="115">
        <f t="shared" si="10"/>
        <v>50.023984101966697</v>
      </c>
      <c r="AG22" s="131">
        <v>87.25</v>
      </c>
      <c r="AH22" s="115">
        <f t="shared" si="11"/>
        <v>597.88939902693085</v>
      </c>
      <c r="AI22" s="139">
        <v>27.1</v>
      </c>
      <c r="AJ22" s="131"/>
      <c r="AK22" s="136">
        <v>10.35</v>
      </c>
      <c r="AL22" s="136">
        <v>31.96</v>
      </c>
      <c r="AM22" s="110">
        <f t="shared" si="12"/>
        <v>0.17141324751944223</v>
      </c>
      <c r="AN22" s="137" t="s">
        <v>137</v>
      </c>
      <c r="AO22" s="150">
        <v>13.55</v>
      </c>
      <c r="AP22" s="138">
        <v>5.92</v>
      </c>
      <c r="AQ22" s="134"/>
      <c r="AR22" s="131">
        <v>15.14</v>
      </c>
      <c r="AS22" s="315">
        <v>186.45</v>
      </c>
      <c r="AT22" s="131">
        <v>1.79</v>
      </c>
      <c r="AU22" s="116"/>
      <c r="AV22" s="131"/>
      <c r="AW22" s="109">
        <f t="shared" si="29"/>
        <v>0</v>
      </c>
      <c r="AX22" s="109">
        <f t="shared" si="13"/>
        <v>145.92999999999998</v>
      </c>
      <c r="AY22" s="115">
        <f t="shared" si="24"/>
        <v>206.09460315909976</v>
      </c>
      <c r="AZ22" s="140">
        <f t="shared" si="14"/>
        <v>10.232827464788734</v>
      </c>
      <c r="BA22" s="141">
        <f t="shared" si="15"/>
        <v>5.8371999999999993</v>
      </c>
      <c r="BB22" s="128">
        <f t="shared" si="16"/>
        <v>0.61814762758078068</v>
      </c>
      <c r="BC22" s="141">
        <f t="shared" si="17"/>
        <v>16.070027464788733</v>
      </c>
      <c r="BD22" s="142">
        <v>0.86199999999999999</v>
      </c>
      <c r="BE22" s="16">
        <f t="shared" si="25"/>
        <v>3227.3799999999992</v>
      </c>
      <c r="BF22" s="16">
        <f t="shared" si="18"/>
        <v>209.67741935483872</v>
      </c>
      <c r="BG22" s="16">
        <f t="shared" si="26"/>
        <v>3354.8387096774186</v>
      </c>
      <c r="BH22" s="17">
        <f t="shared" si="19"/>
        <v>1</v>
      </c>
      <c r="BI22" s="16">
        <f t="shared" si="27"/>
        <v>3354.8387096774186</v>
      </c>
      <c r="BJ22" s="254">
        <v>257.46100000000001</v>
      </c>
      <c r="BK22" s="197">
        <v>85.707999999999998</v>
      </c>
      <c r="BL22" s="197"/>
      <c r="BM22" s="197">
        <v>124.974</v>
      </c>
      <c r="BN22" s="230"/>
      <c r="BO22" s="230"/>
      <c r="BP22" s="258"/>
      <c r="BQ22" s="199"/>
      <c r="BR22" s="200">
        <v>1.79</v>
      </c>
      <c r="BS22" s="200"/>
      <c r="BT22" s="200"/>
      <c r="BU22" s="200">
        <v>14.68</v>
      </c>
      <c r="BV22" s="208"/>
      <c r="BW22" s="208"/>
      <c r="BX22" s="201"/>
      <c r="BY22" s="202">
        <v>37.26</v>
      </c>
      <c r="BZ22" s="200">
        <v>43.98</v>
      </c>
      <c r="CA22" s="200"/>
      <c r="CB22" s="200">
        <v>43.31</v>
      </c>
      <c r="CC22" s="208"/>
      <c r="CD22" s="208"/>
      <c r="CE22" s="201"/>
      <c r="CF22" s="199"/>
      <c r="CG22" s="197"/>
      <c r="CH22" s="197">
        <v>276.7</v>
      </c>
      <c r="CI22" s="197"/>
      <c r="CJ22" s="198"/>
      <c r="CK22" s="202"/>
      <c r="CL22" s="200"/>
      <c r="CM22" s="208"/>
      <c r="CN22" s="201"/>
      <c r="CO22" s="284"/>
      <c r="CP22" s="286">
        <f t="shared" si="20"/>
        <v>252.8524481</v>
      </c>
      <c r="CQ22" s="29">
        <f t="shared" si="20"/>
        <v>85.707999999999998</v>
      </c>
      <c r="CR22" s="30">
        <f t="shared" si="20"/>
        <v>0</v>
      </c>
      <c r="CS22" s="29">
        <f t="shared" si="20"/>
        <v>106.62781680000001</v>
      </c>
      <c r="CT22" s="27">
        <f t="shared" si="20"/>
        <v>0</v>
      </c>
      <c r="CU22" s="24">
        <f t="shared" si="20"/>
        <v>0</v>
      </c>
      <c r="CV22" s="282">
        <f t="shared" si="20"/>
        <v>0</v>
      </c>
      <c r="CW22" s="237">
        <f t="shared" si="21"/>
        <v>0</v>
      </c>
      <c r="CX22" s="24">
        <f t="shared" si="21"/>
        <v>276.7</v>
      </c>
      <c r="CY22" s="277">
        <f t="shared" si="21"/>
        <v>0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8"/>
        <v>0</v>
      </c>
    </row>
    <row r="23" spans="1:110" ht="16.5" customHeight="1">
      <c r="A23" s="127">
        <v>17</v>
      </c>
      <c r="B23" s="103">
        <f>'[1]январь 20'!K22</f>
        <v>431.86700000000002</v>
      </c>
      <c r="C23" s="104">
        <f t="shared" si="0"/>
        <v>5.1453252042874311</v>
      </c>
      <c r="D23" s="143">
        <f t="shared" si="1"/>
        <v>409.64603840000001</v>
      </c>
      <c r="E23" s="104">
        <f t="shared" si="2"/>
        <v>39.333108734865121</v>
      </c>
      <c r="F23" s="128">
        <f t="shared" si="3"/>
        <v>2.3608001290917473</v>
      </c>
      <c r="G23" s="106"/>
      <c r="H23" s="107">
        <f t="shared" si="4"/>
        <v>1.9043916459197785</v>
      </c>
      <c r="I23" s="103">
        <f>'[1]сентябрь 20'!AE22</f>
        <v>0</v>
      </c>
      <c r="J23" s="103">
        <f>'[1]январь 20'!AA22</f>
        <v>0</v>
      </c>
      <c r="K23" s="106"/>
      <c r="L23" s="328">
        <f>'[1]январь 20'!AI22</f>
        <v>79.195999999999998</v>
      </c>
      <c r="M23" s="103">
        <f t="shared" si="5"/>
        <v>0.45640848317196864</v>
      </c>
      <c r="N23" s="103">
        <f>'[1]июль 20'!AM22</f>
        <v>0</v>
      </c>
      <c r="O23" s="103">
        <f>'[1]январь 20'!W22</f>
        <v>0</v>
      </c>
      <c r="P23" s="103">
        <f>'[1]январь 20'!S22</f>
        <v>259.88400000000001</v>
      </c>
      <c r="Q23" s="108">
        <f t="shared" si="6"/>
        <v>1.3213587600621968</v>
      </c>
      <c r="R23" s="109">
        <f t="shared" si="7"/>
        <v>256.45</v>
      </c>
      <c r="S23" s="106">
        <v>20.239999999999998</v>
      </c>
      <c r="T23" s="109">
        <f t="shared" si="8"/>
        <v>256.45</v>
      </c>
      <c r="U23" s="110">
        <f t="shared" si="9"/>
        <v>1.4779276164130934</v>
      </c>
      <c r="V23" s="136">
        <v>173.52</v>
      </c>
      <c r="W23" s="129">
        <v>173.52</v>
      </c>
      <c r="X23" s="131">
        <v>0.56000000000000005</v>
      </c>
      <c r="Y23" s="112">
        <v>606</v>
      </c>
      <c r="Z23" s="133">
        <v>1221</v>
      </c>
      <c r="AA23" s="144" t="s">
        <v>138</v>
      </c>
      <c r="AB23" s="131">
        <v>75.89</v>
      </c>
      <c r="AC23" s="133">
        <v>144</v>
      </c>
      <c r="AD23" s="134">
        <v>5</v>
      </c>
      <c r="AE23" s="131">
        <v>8.1999999999999993</v>
      </c>
      <c r="AF23" s="115">
        <f t="shared" si="10"/>
        <v>47.256800368833552</v>
      </c>
      <c r="AG23" s="131">
        <v>101.55</v>
      </c>
      <c r="AH23" s="115">
        <f t="shared" si="11"/>
        <v>585.23513139695706</v>
      </c>
      <c r="AI23" s="139">
        <v>27.54</v>
      </c>
      <c r="AJ23" s="131"/>
      <c r="AK23" s="136">
        <v>8.4700000000000006</v>
      </c>
      <c r="AL23" s="136">
        <v>37.9</v>
      </c>
      <c r="AM23" s="110">
        <f t="shared" si="12"/>
        <v>0.17433302667893283</v>
      </c>
      <c r="AN23" s="137" t="s">
        <v>139</v>
      </c>
      <c r="AO23" s="150">
        <v>14.61</v>
      </c>
      <c r="AP23" s="138">
        <v>5.96</v>
      </c>
      <c r="AQ23" s="134"/>
      <c r="AR23" s="131">
        <v>15.62</v>
      </c>
      <c r="AS23" s="315">
        <v>217.4</v>
      </c>
      <c r="AT23" s="131">
        <v>2.4900000000000002</v>
      </c>
      <c r="AU23" s="116"/>
      <c r="AV23" s="131"/>
      <c r="AW23" s="109">
        <f t="shared" si="29"/>
        <v>0</v>
      </c>
      <c r="AX23" s="109">
        <f t="shared" si="13"/>
        <v>173.52</v>
      </c>
      <c r="AY23" s="115">
        <f t="shared" si="24"/>
        <v>185.35176367706288</v>
      </c>
      <c r="AZ23" s="140">
        <f t="shared" si="14"/>
        <v>12.287549999999998</v>
      </c>
      <c r="BA23" s="141">
        <f t="shared" si="15"/>
        <v>6.9408000000000003</v>
      </c>
      <c r="BB23" s="128">
        <f t="shared" si="16"/>
        <v>0.81727282759460396</v>
      </c>
      <c r="BC23" s="141">
        <f t="shared" si="17"/>
        <v>19.228349999999999</v>
      </c>
      <c r="BD23" s="142">
        <v>0.86</v>
      </c>
      <c r="BE23" s="16">
        <f t="shared" si="25"/>
        <v>3400.8999999999992</v>
      </c>
      <c r="BF23" s="16">
        <f t="shared" si="18"/>
        <v>209.67741935483872</v>
      </c>
      <c r="BG23" s="16">
        <f t="shared" si="26"/>
        <v>3564.5161290322571</v>
      </c>
      <c r="BH23" s="17">
        <f t="shared" si="19"/>
        <v>1</v>
      </c>
      <c r="BI23" s="16">
        <f t="shared" si="27"/>
        <v>3564.5161290322571</v>
      </c>
      <c r="BJ23" s="254">
        <v>241.46299999999999</v>
      </c>
      <c r="BK23" s="197">
        <v>79.195999999999998</v>
      </c>
      <c r="BL23" s="197"/>
      <c r="BM23" s="197">
        <v>111.208</v>
      </c>
      <c r="BN23" s="230"/>
      <c r="BO23" s="230"/>
      <c r="BP23" s="258"/>
      <c r="BQ23" s="199"/>
      <c r="BR23" s="200">
        <v>1.76</v>
      </c>
      <c r="BS23" s="200"/>
      <c r="BT23" s="200"/>
      <c r="BU23" s="200">
        <v>16.16</v>
      </c>
      <c r="BV23" s="208"/>
      <c r="BW23" s="208"/>
      <c r="BX23" s="201"/>
      <c r="BY23" s="202">
        <v>36.93</v>
      </c>
      <c r="BZ23" s="200">
        <v>43.87</v>
      </c>
      <c r="CA23" s="200"/>
      <c r="CB23" s="200">
        <v>41.32</v>
      </c>
      <c r="CC23" s="208"/>
      <c r="CD23" s="208"/>
      <c r="CE23" s="209"/>
      <c r="CF23" s="199"/>
      <c r="CG23" s="197"/>
      <c r="CH23" s="197">
        <v>256.45</v>
      </c>
      <c r="CI23" s="197"/>
      <c r="CJ23" s="198"/>
      <c r="CK23" s="202"/>
      <c r="CL23" s="208"/>
      <c r="CM23" s="208"/>
      <c r="CN23" s="201"/>
      <c r="CO23" s="284"/>
      <c r="CP23" s="286">
        <f t="shared" si="20"/>
        <v>237.21325119999997</v>
      </c>
      <c r="CQ23" s="24">
        <f t="shared" si="20"/>
        <v>79.195999999999998</v>
      </c>
      <c r="CR23" s="25">
        <f t="shared" si="20"/>
        <v>0</v>
      </c>
      <c r="CS23" s="24">
        <f t="shared" si="20"/>
        <v>93.236787200000009</v>
      </c>
      <c r="CT23" s="27">
        <f t="shared" si="20"/>
        <v>0</v>
      </c>
      <c r="CU23" s="24">
        <f t="shared" si="20"/>
        <v>0</v>
      </c>
      <c r="CV23" s="280">
        <f t="shared" si="20"/>
        <v>0</v>
      </c>
      <c r="CW23" s="237">
        <f t="shared" si="21"/>
        <v>0</v>
      </c>
      <c r="CX23" s="29">
        <f t="shared" si="21"/>
        <v>256.45</v>
      </c>
      <c r="CY23" s="277">
        <f t="shared" si="21"/>
        <v>0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8"/>
        <v>0</v>
      </c>
    </row>
    <row r="24" spans="1:110" ht="16.5" customHeight="1">
      <c r="A24" s="127">
        <v>18</v>
      </c>
      <c r="B24" s="103">
        <f>'[1]январь 20'!K23</f>
        <v>492.262</v>
      </c>
      <c r="C24" s="104">
        <f t="shared" si="0"/>
        <v>3.5456994649190885</v>
      </c>
      <c r="D24" s="143">
        <f t="shared" si="1"/>
        <v>474.80786890000002</v>
      </c>
      <c r="E24" s="104">
        <f t="shared" si="2"/>
        <v>39.3384322779333</v>
      </c>
      <c r="F24" s="128">
        <f t="shared" si="3"/>
        <v>1.8562409355330547</v>
      </c>
      <c r="G24" s="106"/>
      <c r="H24" s="107">
        <f t="shared" si="4"/>
        <v>1.5033381637280583</v>
      </c>
      <c r="I24" s="103">
        <f>'[1]сентябрь 20'!AE23</f>
        <v>0</v>
      </c>
      <c r="J24" s="103">
        <f>'[1]январь 20'!AA23</f>
        <v>0</v>
      </c>
      <c r="K24" s="106"/>
      <c r="L24" s="328">
        <f>'[1]январь 20'!AI23</f>
        <v>90.269000000000005</v>
      </c>
      <c r="M24" s="103">
        <f t="shared" si="5"/>
        <v>0.3529027718049963</v>
      </c>
      <c r="N24" s="103">
        <f>'[1]июль 20'!AM23</f>
        <v>0</v>
      </c>
      <c r="O24" s="103">
        <f>'[1]январь 20'!W23</f>
        <v>0</v>
      </c>
      <c r="P24" s="103">
        <f>'[1]январь 20'!S23</f>
        <v>297.375</v>
      </c>
      <c r="Q24" s="108">
        <f t="shared" si="6"/>
        <v>1.5081967213114833</v>
      </c>
      <c r="R24" s="109">
        <f t="shared" si="7"/>
        <v>292.89</v>
      </c>
      <c r="S24" s="106">
        <v>12.77</v>
      </c>
      <c r="T24" s="109">
        <f t="shared" si="8"/>
        <v>292.89</v>
      </c>
      <c r="U24" s="110">
        <f t="shared" si="9"/>
        <v>1.1450408538254035</v>
      </c>
      <c r="V24" s="136">
        <v>255.79</v>
      </c>
      <c r="W24" s="129">
        <v>201.07</v>
      </c>
      <c r="X24" s="131">
        <v>0.57999999999999996</v>
      </c>
      <c r="Y24" s="133">
        <v>633</v>
      </c>
      <c r="Z24" s="133">
        <v>1207</v>
      </c>
      <c r="AA24" s="144" t="s">
        <v>140</v>
      </c>
      <c r="AB24" s="131">
        <v>77.48</v>
      </c>
      <c r="AC24" s="133">
        <v>164</v>
      </c>
      <c r="AD24" s="134">
        <v>5</v>
      </c>
      <c r="AE24" s="131">
        <v>6.45</v>
      </c>
      <c r="AF24" s="115">
        <f t="shared" si="10"/>
        <v>25.215997497947537</v>
      </c>
      <c r="AG24" s="131">
        <v>116.05</v>
      </c>
      <c r="AH24" s="115">
        <f t="shared" si="11"/>
        <v>453.69248211423434</v>
      </c>
      <c r="AI24" s="139">
        <v>31.61</v>
      </c>
      <c r="AJ24" s="131"/>
      <c r="AK24" s="136">
        <v>10.19</v>
      </c>
      <c r="AL24" s="136">
        <v>25.19</v>
      </c>
      <c r="AM24" s="110">
        <f t="shared" si="12"/>
        <v>8.7268318032218961E-2</v>
      </c>
      <c r="AN24" s="137" t="s">
        <v>141</v>
      </c>
      <c r="AO24" s="150">
        <v>16.5</v>
      </c>
      <c r="AP24" s="138">
        <v>6.76</v>
      </c>
      <c r="AQ24" s="134"/>
      <c r="AR24" s="131">
        <v>8.25</v>
      </c>
      <c r="AS24" s="315">
        <v>288.64999999999998</v>
      </c>
      <c r="AT24" s="131">
        <v>2.52</v>
      </c>
      <c r="AU24" s="116"/>
      <c r="AV24" s="131"/>
      <c r="AW24" s="109">
        <f t="shared" si="29"/>
        <v>0</v>
      </c>
      <c r="AX24" s="109">
        <f t="shared" si="13"/>
        <v>255.79</v>
      </c>
      <c r="AY24" s="115">
        <f t="shared" si="24"/>
        <v>210.45516458301387</v>
      </c>
      <c r="AZ24" s="140">
        <f t="shared" si="14"/>
        <v>7.4165757042253517</v>
      </c>
      <c r="BA24" s="141"/>
      <c r="BB24" s="128">
        <f t="shared" si="16"/>
        <v>1.0610557856465319</v>
      </c>
      <c r="BC24" s="141">
        <f t="shared" si="17"/>
        <v>7.4165757042253517</v>
      </c>
      <c r="BD24" s="142">
        <v>0.872</v>
      </c>
      <c r="BE24" s="16">
        <f t="shared" si="25"/>
        <v>3656.6899999999991</v>
      </c>
      <c r="BF24" s="16">
        <f t="shared" si="18"/>
        <v>209.67741935483872</v>
      </c>
      <c r="BG24" s="16">
        <f t="shared" si="26"/>
        <v>3774.1935483870957</v>
      </c>
      <c r="BH24" s="17">
        <f t="shared" si="19"/>
        <v>1</v>
      </c>
      <c r="BI24" s="16">
        <f t="shared" si="27"/>
        <v>3774.1935483870957</v>
      </c>
      <c r="BJ24" s="254">
        <v>273.49700000000001</v>
      </c>
      <c r="BK24" s="197">
        <v>90.269000000000005</v>
      </c>
      <c r="BL24" s="197"/>
      <c r="BM24" s="197">
        <v>128.49600000000001</v>
      </c>
      <c r="BN24" s="230"/>
      <c r="BO24" s="230"/>
      <c r="BP24" s="258"/>
      <c r="BQ24" s="199"/>
      <c r="BR24" s="200">
        <v>1.35</v>
      </c>
      <c r="BS24" s="200"/>
      <c r="BT24" s="200"/>
      <c r="BU24" s="200">
        <v>10.71</v>
      </c>
      <c r="BV24" s="208"/>
      <c r="BW24" s="208"/>
      <c r="BX24" s="201"/>
      <c r="BY24" s="202">
        <v>37.07</v>
      </c>
      <c r="BZ24" s="200">
        <v>43.96</v>
      </c>
      <c r="CA24" s="200"/>
      <c r="CB24" s="200">
        <v>40.92</v>
      </c>
      <c r="CC24" s="208"/>
      <c r="CD24" s="208"/>
      <c r="CE24" s="209"/>
      <c r="CF24" s="199"/>
      <c r="CG24" s="197"/>
      <c r="CH24" s="197">
        <v>292.89</v>
      </c>
      <c r="CI24" s="197"/>
      <c r="CJ24" s="198"/>
      <c r="CK24" s="202"/>
      <c r="CL24" s="208"/>
      <c r="CM24" s="208"/>
      <c r="CN24" s="201"/>
      <c r="CO24" s="284"/>
      <c r="CP24" s="286">
        <f t="shared" si="20"/>
        <v>269.80479050000002</v>
      </c>
      <c r="CQ24" s="29">
        <f t="shared" si="20"/>
        <v>90.269000000000005</v>
      </c>
      <c r="CR24" s="30">
        <f t="shared" si="20"/>
        <v>0</v>
      </c>
      <c r="CS24" s="29">
        <f t="shared" si="20"/>
        <v>114.7340784</v>
      </c>
      <c r="CT24" s="27">
        <f t="shared" si="20"/>
        <v>0</v>
      </c>
      <c r="CU24" s="27">
        <f t="shared" si="20"/>
        <v>0</v>
      </c>
      <c r="CV24" s="282">
        <f t="shared" si="20"/>
        <v>0</v>
      </c>
      <c r="CW24" s="25">
        <f t="shared" si="21"/>
        <v>0</v>
      </c>
      <c r="CX24" s="26">
        <f t="shared" si="21"/>
        <v>292.89</v>
      </c>
      <c r="CY24" s="277">
        <f t="shared" si="21"/>
        <v>0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8"/>
        <v>0</v>
      </c>
    </row>
    <row r="25" spans="1:110" ht="16.5" customHeight="1">
      <c r="A25" s="127">
        <v>19</v>
      </c>
      <c r="B25" s="103">
        <f>'[1]январь 20'!K24</f>
        <v>458.57400000000001</v>
      </c>
      <c r="C25" s="104">
        <f t="shared" si="0"/>
        <v>4.7432633991460484</v>
      </c>
      <c r="D25" s="143">
        <f t="shared" si="1"/>
        <v>436.82262730000002</v>
      </c>
      <c r="E25" s="104">
        <f t="shared" si="2"/>
        <v>39.592724642042512</v>
      </c>
      <c r="F25" s="128">
        <f t="shared" si="3"/>
        <v>2.0081952340014708</v>
      </c>
      <c r="G25" s="106"/>
      <c r="H25" s="107">
        <f t="shared" si="4"/>
        <v>1.6211089890584773</v>
      </c>
      <c r="I25" s="103">
        <f>'[1]сентябрь 20'!AE24</f>
        <v>0</v>
      </c>
      <c r="J25" s="103">
        <f>'[1]январь 20'!AA24</f>
        <v>0</v>
      </c>
      <c r="K25" s="106"/>
      <c r="L25" s="328">
        <f>'[1]январь 20'!AI24</f>
        <v>84.198999999999998</v>
      </c>
      <c r="M25" s="103">
        <f t="shared" si="5"/>
        <v>0.38708624494299365</v>
      </c>
      <c r="N25" s="103">
        <f>'[1]июль 20'!AM24</f>
        <v>2.8069999999999999</v>
      </c>
      <c r="O25" s="103">
        <f>'[1]январь 20'!W24</f>
        <v>0</v>
      </c>
      <c r="P25" s="103">
        <f>'[1]январь 20'!S24</f>
        <v>281.52800000000002</v>
      </c>
      <c r="Q25" s="108">
        <f t="shared" si="6"/>
        <v>1.7611036912847156</v>
      </c>
      <c r="R25" s="109">
        <f t="shared" si="7"/>
        <v>276.57</v>
      </c>
      <c r="S25" s="106">
        <v>56.5</v>
      </c>
      <c r="T25" s="109">
        <f t="shared" si="8"/>
        <v>276.57</v>
      </c>
      <c r="U25" s="110">
        <f t="shared" si="9"/>
        <v>1.2714692901802132</v>
      </c>
      <c r="V25" s="136">
        <v>217.52</v>
      </c>
      <c r="W25" s="129">
        <v>217.52</v>
      </c>
      <c r="X25" s="131">
        <v>0.39</v>
      </c>
      <c r="Y25" s="133">
        <v>661</v>
      </c>
      <c r="Z25" s="133">
        <v>1214</v>
      </c>
      <c r="AA25" s="144" t="s">
        <v>142</v>
      </c>
      <c r="AB25" s="131">
        <v>76.75</v>
      </c>
      <c r="AC25" s="133">
        <v>154</v>
      </c>
      <c r="AD25" s="134">
        <v>5</v>
      </c>
      <c r="AE25" s="131">
        <v>6.7</v>
      </c>
      <c r="AF25" s="115">
        <f t="shared" si="10"/>
        <v>30.80176535490989</v>
      </c>
      <c r="AG25" s="131">
        <v>117.85</v>
      </c>
      <c r="AH25" s="115">
        <f t="shared" si="11"/>
        <v>541.78926075763138</v>
      </c>
      <c r="AI25" s="139">
        <v>24.83</v>
      </c>
      <c r="AJ25" s="131"/>
      <c r="AK25" s="136">
        <v>10.33</v>
      </c>
      <c r="AL25" s="136">
        <v>48.83</v>
      </c>
      <c r="AM25" s="110">
        <f t="shared" si="12"/>
        <v>0.17798432659012209</v>
      </c>
      <c r="AN25" s="137" t="s">
        <v>143</v>
      </c>
      <c r="AO25" s="150">
        <v>15.4</v>
      </c>
      <c r="AP25" s="138">
        <v>6.68</v>
      </c>
      <c r="AQ25" s="153"/>
      <c r="AR25" s="131">
        <v>9.19</v>
      </c>
      <c r="AS25" s="315">
        <v>274.35000000000002</v>
      </c>
      <c r="AT25" s="131">
        <v>2.33</v>
      </c>
      <c r="AU25" s="148"/>
      <c r="AV25" s="131"/>
      <c r="AW25" s="109">
        <f t="shared" si="29"/>
        <v>0</v>
      </c>
      <c r="AX25" s="109">
        <f t="shared" si="13"/>
        <v>217.52000000000004</v>
      </c>
      <c r="AY25" s="115">
        <f t="shared" si="24"/>
        <v>196.72356031386906</v>
      </c>
      <c r="AZ25" s="140">
        <f t="shared" si="14"/>
        <v>8.3897580985915479</v>
      </c>
      <c r="BA25" s="141">
        <f t="shared" ref="BA25:BA37" si="30">AX25*$BA$6</f>
        <v>8.700800000000001</v>
      </c>
      <c r="BB25" s="128">
        <f t="shared" si="16"/>
        <v>0.96528834521409579</v>
      </c>
      <c r="BC25" s="141">
        <f t="shared" si="17"/>
        <v>17.090558098591551</v>
      </c>
      <c r="BD25" s="142">
        <v>0.877</v>
      </c>
      <c r="BE25" s="16">
        <f t="shared" si="25"/>
        <v>3874.2099999999991</v>
      </c>
      <c r="BF25" s="16">
        <f t="shared" si="18"/>
        <v>209.67741935483872</v>
      </c>
      <c r="BG25" s="16">
        <f t="shared" si="26"/>
        <v>3983.8709677419342</v>
      </c>
      <c r="BH25" s="17">
        <f t="shared" si="19"/>
        <v>1</v>
      </c>
      <c r="BI25" s="16">
        <f t="shared" si="27"/>
        <v>3983.8709677419342</v>
      </c>
      <c r="BJ25" s="254">
        <v>251.94200000000001</v>
      </c>
      <c r="BK25" s="197">
        <v>84.198999999999998</v>
      </c>
      <c r="BL25" s="197"/>
      <c r="BM25" s="197">
        <v>122.43300000000001</v>
      </c>
      <c r="BN25" s="230"/>
      <c r="BO25" s="230"/>
      <c r="BP25" s="258"/>
      <c r="BQ25" s="199"/>
      <c r="BR25" s="200">
        <v>1.66</v>
      </c>
      <c r="BS25" s="200"/>
      <c r="BT25" s="200"/>
      <c r="BU25" s="200">
        <v>14.35</v>
      </c>
      <c r="BV25" s="208"/>
      <c r="BW25" s="208"/>
      <c r="BX25" s="201"/>
      <c r="BY25" s="202">
        <v>36.82</v>
      </c>
      <c r="BZ25" s="200">
        <v>43.88</v>
      </c>
      <c r="CA25" s="200"/>
      <c r="CB25" s="200">
        <v>42.35</v>
      </c>
      <c r="CC25" s="208"/>
      <c r="CD25" s="208"/>
      <c r="CE25" s="201"/>
      <c r="CF25" s="199"/>
      <c r="CG25" s="197"/>
      <c r="CH25" s="197">
        <v>35.840000000000003</v>
      </c>
      <c r="CI25" s="197">
        <v>240.73</v>
      </c>
      <c r="CJ25" s="198"/>
      <c r="CK25" s="202"/>
      <c r="CL25" s="208"/>
      <c r="CM25" s="208"/>
      <c r="CN25" s="201"/>
      <c r="CO25" s="284"/>
      <c r="CP25" s="286">
        <f t="shared" si="20"/>
        <v>247.75976280000003</v>
      </c>
      <c r="CQ25" s="24">
        <f t="shared" si="20"/>
        <v>84.198999999999998</v>
      </c>
      <c r="CR25" s="25">
        <f t="shared" si="20"/>
        <v>0</v>
      </c>
      <c r="CS25" s="24">
        <f t="shared" si="20"/>
        <v>104.86386450000001</v>
      </c>
      <c r="CT25" s="27">
        <f t="shared" si="20"/>
        <v>0</v>
      </c>
      <c r="CU25" s="30">
        <f t="shared" si="20"/>
        <v>0</v>
      </c>
      <c r="CV25" s="280">
        <f t="shared" si="20"/>
        <v>0</v>
      </c>
      <c r="CW25" s="25">
        <f t="shared" si="21"/>
        <v>0</v>
      </c>
      <c r="CX25" s="26">
        <f t="shared" si="21"/>
        <v>35.840000000000003</v>
      </c>
      <c r="CY25" s="277">
        <f t="shared" si="21"/>
        <v>240.73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8"/>
        <v>0</v>
      </c>
    </row>
    <row r="26" spans="1:110" ht="16.5" customHeight="1">
      <c r="A26" s="127">
        <v>20</v>
      </c>
      <c r="B26" s="103">
        <f>'[1]январь 20'!K25</f>
        <v>484.26900000000001</v>
      </c>
      <c r="C26" s="104">
        <f t="shared" si="0"/>
        <v>3.9464228765417571</v>
      </c>
      <c r="D26" s="143">
        <f t="shared" si="1"/>
        <v>465.15769740000002</v>
      </c>
      <c r="E26" s="104">
        <f t="shared" si="2"/>
        <v>40.251553351546342</v>
      </c>
      <c r="F26" s="128">
        <f t="shared" si="3"/>
        <v>2.1938296344856858</v>
      </c>
      <c r="G26" s="106"/>
      <c r="H26" s="107">
        <f t="shared" si="4"/>
        <v>1.7765537772956654</v>
      </c>
      <c r="I26" s="103">
        <f>'[1]сентябрь 20'!AE25</f>
        <v>0</v>
      </c>
      <c r="J26" s="103">
        <f>'[1]январь 20'!AA25</f>
        <v>0</v>
      </c>
      <c r="K26" s="106"/>
      <c r="L26" s="328">
        <f>'[1]январь 20'!AI25</f>
        <v>88.474999999999994</v>
      </c>
      <c r="M26" s="103">
        <f t="shared" si="5"/>
        <v>0.41727585719002019</v>
      </c>
      <c r="N26" s="103">
        <f>'[1]июль 20'!AM25</f>
        <v>7.1479999999999997</v>
      </c>
      <c r="O26" s="103">
        <f>'[1]январь 20'!W25</f>
        <v>0</v>
      </c>
      <c r="P26" s="103">
        <f>'[1]январь 20'!S25</f>
        <v>294.57600000000002</v>
      </c>
      <c r="Q26" s="108">
        <f t="shared" si="6"/>
        <v>1.6213133452827155</v>
      </c>
      <c r="R26" s="109">
        <f t="shared" si="7"/>
        <v>289.8</v>
      </c>
      <c r="S26" s="106">
        <v>57.21</v>
      </c>
      <c r="T26" s="109">
        <f t="shared" si="8"/>
        <v>289.8</v>
      </c>
      <c r="U26" s="110">
        <f t="shared" si="9"/>
        <v>1.3667877187190491</v>
      </c>
      <c r="V26" s="136">
        <v>212.03</v>
      </c>
      <c r="W26" s="154">
        <v>212.03</v>
      </c>
      <c r="X26" s="149">
        <v>0.57999999999999996</v>
      </c>
      <c r="Y26" s="147">
        <v>716</v>
      </c>
      <c r="Z26" s="147">
        <v>1191</v>
      </c>
      <c r="AA26" s="144" t="s">
        <v>144</v>
      </c>
      <c r="AB26" s="149">
        <v>77.069999999999993</v>
      </c>
      <c r="AC26" s="147">
        <v>161</v>
      </c>
      <c r="AD26" s="155">
        <v>5</v>
      </c>
      <c r="AE26" s="149">
        <v>6.35</v>
      </c>
      <c r="AF26" s="115">
        <f t="shared" si="10"/>
        <v>29.948592180351831</v>
      </c>
      <c r="AG26" s="149">
        <v>114.2</v>
      </c>
      <c r="AH26" s="115">
        <f t="shared" si="11"/>
        <v>538.60302787341402</v>
      </c>
      <c r="AI26" s="156">
        <v>26.97</v>
      </c>
      <c r="AJ26" s="149"/>
      <c r="AK26" s="157">
        <v>13.16</v>
      </c>
      <c r="AL26" s="157">
        <v>50.73</v>
      </c>
      <c r="AM26" s="110">
        <f t="shared" si="12"/>
        <v>0.18541666666666665</v>
      </c>
      <c r="AN26" s="158" t="s">
        <v>145</v>
      </c>
      <c r="AO26" s="404">
        <v>16.690000000000001</v>
      </c>
      <c r="AP26" s="159">
        <v>6.64</v>
      </c>
      <c r="AQ26" s="155"/>
      <c r="AR26" s="149">
        <v>8.92</v>
      </c>
      <c r="AS26" s="315">
        <v>273.60000000000002</v>
      </c>
      <c r="AT26" s="131">
        <v>2.3199999999999998</v>
      </c>
      <c r="AU26" s="148"/>
      <c r="AV26" s="149"/>
      <c r="AW26" s="160">
        <f t="shared" si="29"/>
        <v>0</v>
      </c>
      <c r="AX26" s="109">
        <f t="shared" si="13"/>
        <v>212.03000000000003</v>
      </c>
      <c r="AY26" s="115">
        <f t="shared" si="24"/>
        <v>212.08587322964416</v>
      </c>
      <c r="AZ26" s="140">
        <f t="shared" si="14"/>
        <v>7.8910591549295779</v>
      </c>
      <c r="BA26" s="140">
        <f t="shared" si="30"/>
        <v>8.4812000000000012</v>
      </c>
      <c r="BB26" s="161">
        <f t="shared" si="16"/>
        <v>0.87277001141690136</v>
      </c>
      <c r="BC26" s="140">
        <f t="shared" si="17"/>
        <v>16.37225915492958</v>
      </c>
      <c r="BD26" s="162">
        <v>0.876</v>
      </c>
      <c r="BE26" s="16">
        <f t="shared" si="25"/>
        <v>4086.2399999999993</v>
      </c>
      <c r="BF26" s="16">
        <f t="shared" si="18"/>
        <v>209.67741935483872</v>
      </c>
      <c r="BG26" s="16">
        <f t="shared" si="26"/>
        <v>4193.5483870967728</v>
      </c>
      <c r="BH26" s="17">
        <f t="shared" si="19"/>
        <v>1</v>
      </c>
      <c r="BI26" s="16">
        <f t="shared" si="27"/>
        <v>4193.5483870967728</v>
      </c>
      <c r="BJ26" s="254">
        <v>267.00599999999997</v>
      </c>
      <c r="BK26" s="197">
        <v>88.474999999999994</v>
      </c>
      <c r="BL26" s="197"/>
      <c r="BM26" s="197">
        <v>128.78800000000001</v>
      </c>
      <c r="BN26" s="230"/>
      <c r="BO26" s="230"/>
      <c r="BP26" s="258"/>
      <c r="BQ26" s="199"/>
      <c r="BR26" s="200">
        <v>1.63</v>
      </c>
      <c r="BS26" s="200"/>
      <c r="BT26" s="200"/>
      <c r="BU26" s="200">
        <v>11.46</v>
      </c>
      <c r="BV26" s="208"/>
      <c r="BW26" s="208"/>
      <c r="BX26" s="201"/>
      <c r="BY26" s="202">
        <v>37.54</v>
      </c>
      <c r="BZ26" s="200">
        <v>44.07</v>
      </c>
      <c r="CA26" s="200"/>
      <c r="CB26" s="200">
        <v>43.25</v>
      </c>
      <c r="CC26" s="208"/>
      <c r="CD26" s="208"/>
      <c r="CE26" s="209"/>
      <c r="CF26" s="199"/>
      <c r="CG26" s="197"/>
      <c r="CH26" s="197"/>
      <c r="CI26" s="197">
        <v>289.8</v>
      </c>
      <c r="CJ26" s="198"/>
      <c r="CK26" s="202"/>
      <c r="CL26" s="208"/>
      <c r="CM26" s="208"/>
      <c r="CN26" s="201"/>
      <c r="CO26" s="284"/>
      <c r="CP26" s="286">
        <f t="shared" si="20"/>
        <v>262.65380219999997</v>
      </c>
      <c r="CQ26" s="24">
        <f t="shared" si="20"/>
        <v>88.474999999999994</v>
      </c>
      <c r="CR26" s="25">
        <f t="shared" si="20"/>
        <v>0</v>
      </c>
      <c r="CS26" s="24">
        <f t="shared" si="20"/>
        <v>114.02889520000001</v>
      </c>
      <c r="CT26" s="27">
        <f t="shared" si="20"/>
        <v>0</v>
      </c>
      <c r="CU26" s="24">
        <f t="shared" si="20"/>
        <v>0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289.8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8"/>
        <v>0</v>
      </c>
    </row>
    <row r="27" spans="1:110" ht="16.5" customHeight="1">
      <c r="A27" s="127">
        <v>21</v>
      </c>
      <c r="B27" s="103">
        <f>'[1]январь 20'!K26</f>
        <v>412.685</v>
      </c>
      <c r="C27" s="104">
        <f t="shared" si="0"/>
        <v>2.7766401008032759</v>
      </c>
      <c r="D27" s="143">
        <f t="shared" si="1"/>
        <v>401.22622280000002</v>
      </c>
      <c r="E27" s="104">
        <f t="shared" si="2"/>
        <v>39.019573354980189</v>
      </c>
      <c r="F27" s="128">
        <f t="shared" si="3"/>
        <v>1.7582218352322523</v>
      </c>
      <c r="G27" s="106"/>
      <c r="H27" s="107">
        <f t="shared" si="4"/>
        <v>1.413234981595092</v>
      </c>
      <c r="I27" s="103">
        <f>'[1]сентябрь 20'!AE26</f>
        <v>0</v>
      </c>
      <c r="J27" s="103">
        <f>'[1]январь 20'!AA26</f>
        <v>7.4039999999999999</v>
      </c>
      <c r="K27" s="106"/>
      <c r="L27" s="328">
        <f>'[1]январь 20'!AI26</f>
        <v>78.725999999999999</v>
      </c>
      <c r="M27" s="103">
        <f t="shared" si="5"/>
        <v>0.34498685363716036</v>
      </c>
      <c r="N27" s="103">
        <f>'[1]июль 20'!AM26</f>
        <v>7.0339999999999998</v>
      </c>
      <c r="O27" s="103">
        <f>'[1]январь 20'!W26</f>
        <v>0</v>
      </c>
      <c r="P27" s="103">
        <f>'[1]январь 20'!S26</f>
        <v>253.756</v>
      </c>
      <c r="Q27" s="108">
        <f t="shared" si="6"/>
        <v>1.4801620454294673</v>
      </c>
      <c r="R27" s="109">
        <f t="shared" si="7"/>
        <v>250</v>
      </c>
      <c r="S27" s="106">
        <v>4.63</v>
      </c>
      <c r="T27" s="109">
        <f t="shared" si="8"/>
        <v>250</v>
      </c>
      <c r="U27" s="110">
        <f t="shared" si="9"/>
        <v>1.095530236634531</v>
      </c>
      <c r="V27" s="129">
        <v>228.2</v>
      </c>
      <c r="W27" s="129">
        <v>136.74</v>
      </c>
      <c r="X27" s="131">
        <v>0.92</v>
      </c>
      <c r="Y27" s="133">
        <v>690</v>
      </c>
      <c r="Z27" s="133">
        <v>1234</v>
      </c>
      <c r="AA27" s="144" t="s">
        <v>109</v>
      </c>
      <c r="AB27" s="131">
        <v>76.39</v>
      </c>
      <c r="AC27" s="133">
        <v>137</v>
      </c>
      <c r="AD27" s="134">
        <v>5</v>
      </c>
      <c r="AE27" s="131">
        <v>16.8</v>
      </c>
      <c r="AF27" s="115">
        <f t="shared" si="10"/>
        <v>73.619631901840478</v>
      </c>
      <c r="AG27" s="131">
        <v>92.75</v>
      </c>
      <c r="AH27" s="115">
        <f t="shared" si="11"/>
        <v>406.44171779141101</v>
      </c>
      <c r="AI27" s="139">
        <v>22.63</v>
      </c>
      <c r="AJ27" s="131"/>
      <c r="AK27" s="136">
        <v>12.69</v>
      </c>
      <c r="AL27" s="136">
        <v>48.19</v>
      </c>
      <c r="AM27" s="110">
        <f t="shared" si="12"/>
        <v>0.16846705121482256</v>
      </c>
      <c r="AN27" s="137" t="s">
        <v>146</v>
      </c>
      <c r="AO27" s="150">
        <v>16.010000000000002</v>
      </c>
      <c r="AP27" s="138">
        <v>6.61</v>
      </c>
      <c r="AQ27" s="134"/>
      <c r="AR27" s="131">
        <v>6.25</v>
      </c>
      <c r="AS27" s="139">
        <v>286.05</v>
      </c>
      <c r="AT27" s="131">
        <v>3.03</v>
      </c>
      <c r="AU27" s="148"/>
      <c r="AV27" s="131"/>
      <c r="AW27" s="109">
        <f t="shared" si="29"/>
        <v>0</v>
      </c>
      <c r="AX27" s="109">
        <f t="shared" si="13"/>
        <v>228.20000000000002</v>
      </c>
      <c r="AY27" s="115">
        <f t="shared" si="24"/>
        <v>178.91615625553703</v>
      </c>
      <c r="AZ27" s="140">
        <f t="shared" si="14"/>
        <v>4.490536971830986</v>
      </c>
      <c r="BA27" s="141">
        <f t="shared" si="30"/>
        <v>9.1280000000000001</v>
      </c>
      <c r="BB27" s="128">
        <f t="shared" si="16"/>
        <v>1.1134746250387024</v>
      </c>
      <c r="BC27" s="141">
        <f t="shared" si="17"/>
        <v>13.618536971830986</v>
      </c>
      <c r="BD27" s="142">
        <v>0.88600000000000001</v>
      </c>
      <c r="BE27" s="16">
        <f t="shared" si="25"/>
        <v>4314.4399999999996</v>
      </c>
      <c r="BF27" s="16">
        <f t="shared" si="18"/>
        <v>209.67741935483872</v>
      </c>
      <c r="BG27" s="16">
        <f t="shared" si="26"/>
        <v>4403.2258064516118</v>
      </c>
      <c r="BH27" s="17">
        <f t="shared" si="19"/>
        <v>1</v>
      </c>
      <c r="BI27" s="16">
        <f t="shared" si="27"/>
        <v>4403.2258064516118</v>
      </c>
      <c r="BJ27" s="254">
        <v>264.05099999999999</v>
      </c>
      <c r="BK27" s="197">
        <v>78.725999999999999</v>
      </c>
      <c r="BL27" s="197"/>
      <c r="BM27" s="197">
        <v>69.908000000000001</v>
      </c>
      <c r="BN27" s="230"/>
      <c r="BO27" s="230"/>
      <c r="BP27" s="258"/>
      <c r="BQ27" s="199"/>
      <c r="BR27" s="200">
        <v>1.52</v>
      </c>
      <c r="BS27" s="200"/>
      <c r="BT27" s="200"/>
      <c r="BU27" s="200">
        <v>10.65</v>
      </c>
      <c r="BV27" s="208"/>
      <c r="BW27" s="208"/>
      <c r="BX27" s="201"/>
      <c r="BY27" s="202">
        <v>36.770000000000003</v>
      </c>
      <c r="BZ27" s="200">
        <v>44.3</v>
      </c>
      <c r="CA27" s="200"/>
      <c r="CB27" s="200">
        <v>41.57</v>
      </c>
      <c r="CC27" s="208"/>
      <c r="CD27" s="208"/>
      <c r="CE27" s="209"/>
      <c r="CF27" s="199"/>
      <c r="CG27" s="197"/>
      <c r="CH27" s="197"/>
      <c r="CI27" s="197">
        <v>250</v>
      </c>
      <c r="CJ27" s="198"/>
      <c r="CK27" s="202"/>
      <c r="CL27" s="208"/>
      <c r="CM27" s="208"/>
      <c r="CN27" s="201"/>
      <c r="CO27" s="284"/>
      <c r="CP27" s="286">
        <f t="shared" si="20"/>
        <v>260.0374248</v>
      </c>
      <c r="CQ27" s="24">
        <f t="shared" si="20"/>
        <v>78.725999999999999</v>
      </c>
      <c r="CR27" s="25">
        <f t="shared" si="20"/>
        <v>0</v>
      </c>
      <c r="CS27" s="24">
        <f t="shared" si="20"/>
        <v>62.462797999999999</v>
      </c>
      <c r="CT27" s="27">
        <f t="shared" si="20"/>
        <v>0</v>
      </c>
      <c r="CU27" s="29">
        <f t="shared" si="20"/>
        <v>0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250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8"/>
        <v>0</v>
      </c>
    </row>
    <row r="28" spans="1:110" ht="16.5" customHeight="1">
      <c r="A28" s="127">
        <v>22</v>
      </c>
      <c r="B28" s="103">
        <f>'[1]январь 20'!K27</f>
        <v>465.43700000000001</v>
      </c>
      <c r="C28" s="104">
        <f t="shared" si="0"/>
        <v>1.14293246991537</v>
      </c>
      <c r="D28" s="143">
        <f t="shared" si="1"/>
        <v>460.11736940000003</v>
      </c>
      <c r="E28" s="104">
        <f t="shared" si="2"/>
        <v>39.678702316317775</v>
      </c>
      <c r="F28" s="128">
        <f t="shared" si="3"/>
        <v>2.0115299877590278</v>
      </c>
      <c r="G28" s="106"/>
      <c r="H28" s="107">
        <f t="shared" si="4"/>
        <v>1.4375158232053857</v>
      </c>
      <c r="I28" s="103">
        <f>'[1]сентябрь 20'!AE27</f>
        <v>0</v>
      </c>
      <c r="J28" s="328">
        <f>'[1]январь 20'!AA27</f>
        <v>14.169</v>
      </c>
      <c r="K28" s="106"/>
      <c r="L28" s="328">
        <f>'[1]январь 20'!AI27</f>
        <v>131.30000000000001</v>
      </c>
      <c r="M28" s="103">
        <f t="shared" si="5"/>
        <v>0.57401416455364174</v>
      </c>
      <c r="N28" s="103">
        <f>'[1]июль 20'!AM27</f>
        <v>6.6520000000000001</v>
      </c>
      <c r="O28" s="103">
        <f>'[1]январь 20'!W27</f>
        <v>0</v>
      </c>
      <c r="P28" s="103">
        <f>'[1]январь 20'!S27</f>
        <v>287.851</v>
      </c>
      <c r="Q28" s="108">
        <f t="shared" si="6"/>
        <v>1.7651493307301425</v>
      </c>
      <c r="R28" s="109">
        <f t="shared" si="7"/>
        <v>282.77</v>
      </c>
      <c r="S28" s="106">
        <v>38.14</v>
      </c>
      <c r="T28" s="109">
        <f t="shared" si="8"/>
        <v>282.77</v>
      </c>
      <c r="U28" s="110">
        <f t="shared" si="9"/>
        <v>1.2362070473026141</v>
      </c>
      <c r="V28" s="129">
        <v>228.74</v>
      </c>
      <c r="W28" s="136">
        <v>48.45</v>
      </c>
      <c r="X28" s="131">
        <v>1.76</v>
      </c>
      <c r="Y28" s="133">
        <v>642</v>
      </c>
      <c r="Z28" s="133">
        <v>1252</v>
      </c>
      <c r="AA28" s="144" t="s">
        <v>142</v>
      </c>
      <c r="AB28" s="131">
        <v>76</v>
      </c>
      <c r="AC28" s="133">
        <v>155</v>
      </c>
      <c r="AD28" s="134">
        <v>5</v>
      </c>
      <c r="AE28" s="131">
        <v>4.05</v>
      </c>
      <c r="AF28" s="115">
        <f t="shared" si="10"/>
        <v>17.705692052111566</v>
      </c>
      <c r="AG28" s="131">
        <v>111.95</v>
      </c>
      <c r="AH28" s="115">
        <f t="shared" si="11"/>
        <v>489.42030252688642</v>
      </c>
      <c r="AI28" s="139">
        <v>26.45</v>
      </c>
      <c r="AJ28" s="131"/>
      <c r="AK28" s="136">
        <v>9.44</v>
      </c>
      <c r="AL28" s="136">
        <v>49.84</v>
      </c>
      <c r="AM28" s="110">
        <f t="shared" si="12"/>
        <v>0.17518453427065028</v>
      </c>
      <c r="AN28" s="137" t="s">
        <v>148</v>
      </c>
      <c r="AO28" s="150">
        <v>6.93</v>
      </c>
      <c r="AP28" s="138">
        <v>7.27</v>
      </c>
      <c r="AQ28" s="134"/>
      <c r="AR28" s="131">
        <v>5.62</v>
      </c>
      <c r="AS28" s="139">
        <v>284.5</v>
      </c>
      <c r="AT28" s="131">
        <v>3.52</v>
      </c>
      <c r="AU28" s="148"/>
      <c r="AV28" s="131"/>
      <c r="AW28" s="109">
        <f t="shared" si="29"/>
        <v>0</v>
      </c>
      <c r="AX28" s="109">
        <f t="shared" si="13"/>
        <v>228.74</v>
      </c>
      <c r="AY28" s="115">
        <f t="shared" si="24"/>
        <v>209.71366966255414</v>
      </c>
      <c r="AZ28" s="140">
        <f t="shared" si="14"/>
        <v>4.8737669014084508</v>
      </c>
      <c r="BA28" s="141">
        <f t="shared" si="30"/>
        <v>9.1496000000000013</v>
      </c>
      <c r="BB28" s="128">
        <f t="shared" si="16"/>
        <v>0.95220316501693492</v>
      </c>
      <c r="BC28" s="141">
        <f t="shared" si="17"/>
        <v>14.023366901408451</v>
      </c>
      <c r="BD28" s="142">
        <v>0.88900000000000001</v>
      </c>
      <c r="BE28" s="16">
        <f t="shared" si="25"/>
        <v>4543.1799999999994</v>
      </c>
      <c r="BF28" s="16">
        <f t="shared" si="18"/>
        <v>209.67741935483872</v>
      </c>
      <c r="BG28" s="16">
        <f t="shared" si="26"/>
        <v>4612.9032258064508</v>
      </c>
      <c r="BH28" s="17">
        <f t="shared" si="19"/>
        <v>1</v>
      </c>
      <c r="BI28" s="16">
        <f t="shared" si="27"/>
        <v>4612.9032258064508</v>
      </c>
      <c r="BJ28" s="254">
        <v>331.642</v>
      </c>
      <c r="BK28" s="197">
        <v>52.273000000000003</v>
      </c>
      <c r="BL28" s="197">
        <v>79.027000000000001</v>
      </c>
      <c r="BM28" s="197">
        <v>2.4950000000000001</v>
      </c>
      <c r="BN28" s="230"/>
      <c r="BO28" s="230"/>
      <c r="BP28" s="258"/>
      <c r="BQ28" s="199"/>
      <c r="BR28" s="200">
        <v>1.53</v>
      </c>
      <c r="BS28" s="200"/>
      <c r="BT28" s="200"/>
      <c r="BU28" s="200">
        <v>9.84</v>
      </c>
      <c r="BV28" s="208"/>
      <c r="BW28" s="208"/>
      <c r="BX28" s="201"/>
      <c r="BY28" s="202">
        <v>37.43</v>
      </c>
      <c r="BZ28" s="200">
        <v>44.37</v>
      </c>
      <c r="CA28" s="200">
        <v>45.9</v>
      </c>
      <c r="CB28" s="200">
        <v>43.24</v>
      </c>
      <c r="CC28" s="208"/>
      <c r="CD28" s="208"/>
      <c r="CE28" s="209"/>
      <c r="CF28" s="199"/>
      <c r="CG28" s="197"/>
      <c r="CH28" s="197"/>
      <c r="CI28" s="197">
        <v>282.77</v>
      </c>
      <c r="CJ28" s="198"/>
      <c r="CK28" s="202"/>
      <c r="CL28" s="208"/>
      <c r="CM28" s="208"/>
      <c r="CN28" s="201"/>
      <c r="CO28" s="284"/>
      <c r="CP28" s="286">
        <f t="shared" si="20"/>
        <v>326.56787739999999</v>
      </c>
      <c r="CQ28" s="29">
        <f t="shared" si="20"/>
        <v>52.273000000000003</v>
      </c>
      <c r="CR28" s="30">
        <f t="shared" si="20"/>
        <v>79.027000000000001</v>
      </c>
      <c r="CS28" s="29">
        <f t="shared" si="20"/>
        <v>2.249492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282.77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8"/>
        <v>0</v>
      </c>
    </row>
    <row r="29" spans="1:110" ht="16.5" customHeight="1">
      <c r="A29" s="127">
        <v>23</v>
      </c>
      <c r="B29" s="103">
        <f>'[1]январь 20'!K28</f>
        <v>501.483</v>
      </c>
      <c r="C29" s="104">
        <f t="shared" si="0"/>
        <v>1.2684382920258512</v>
      </c>
      <c r="D29" s="143">
        <f t="shared" si="1"/>
        <v>495.12199759999999</v>
      </c>
      <c r="E29" s="104">
        <f t="shared" si="2"/>
        <v>39.304840044428225</v>
      </c>
      <c r="F29" s="128">
        <f t="shared" si="3"/>
        <v>2.137555573975737</v>
      </c>
      <c r="G29" s="106"/>
      <c r="H29" s="107">
        <f t="shared" si="4"/>
        <v>1.5599317774036177</v>
      </c>
      <c r="I29" s="103">
        <f>'[1]сентябрь 20'!AE28</f>
        <v>0</v>
      </c>
      <c r="J29" s="328">
        <f>'[1]январь 20'!AA28</f>
        <v>14.24</v>
      </c>
      <c r="K29" s="106"/>
      <c r="L29" s="328">
        <f>'[1]январь 20'!AI28</f>
        <v>133.79499999999999</v>
      </c>
      <c r="M29" s="103">
        <f t="shared" si="5"/>
        <v>0.57762379657211926</v>
      </c>
      <c r="N29" s="103">
        <f>'[1]июль 20'!AM28</f>
        <v>7.056</v>
      </c>
      <c r="O29" s="103">
        <f>'[1]январь 20'!W28</f>
        <v>0</v>
      </c>
      <c r="P29" s="103">
        <f>'[1]январь 20'!S28</f>
        <v>310.37200000000001</v>
      </c>
      <c r="Q29" s="108">
        <f t="shared" si="6"/>
        <v>1.8693696596342568</v>
      </c>
      <c r="R29" s="109">
        <f t="shared" si="7"/>
        <v>304.57</v>
      </c>
      <c r="S29" s="106">
        <v>52.15</v>
      </c>
      <c r="T29" s="109">
        <f t="shared" si="8"/>
        <v>304.57</v>
      </c>
      <c r="U29" s="110">
        <f t="shared" si="9"/>
        <v>1.3148987609549714</v>
      </c>
      <c r="V29" s="129">
        <v>231.63</v>
      </c>
      <c r="W29" s="136">
        <v>231.63</v>
      </c>
      <c r="X29" s="131">
        <v>0.55000000000000004</v>
      </c>
      <c r="Y29" s="133">
        <v>633</v>
      </c>
      <c r="Z29" s="133">
        <v>1243</v>
      </c>
      <c r="AA29" s="144" t="s">
        <v>149</v>
      </c>
      <c r="AB29" s="131">
        <v>76.290000000000006</v>
      </c>
      <c r="AC29" s="133">
        <v>167</v>
      </c>
      <c r="AD29" s="134">
        <v>5</v>
      </c>
      <c r="AE29" s="131">
        <v>6.15</v>
      </c>
      <c r="AF29" s="115">
        <f t="shared" si="10"/>
        <v>26.550964900919571</v>
      </c>
      <c r="AG29" s="131">
        <v>118.2</v>
      </c>
      <c r="AH29" s="115">
        <f t="shared" si="11"/>
        <v>510.29659370547864</v>
      </c>
      <c r="AI29" s="139">
        <v>23.25</v>
      </c>
      <c r="AJ29" s="131"/>
      <c r="AK29" s="136">
        <v>12.44</v>
      </c>
      <c r="AL29" s="136">
        <v>53.53</v>
      </c>
      <c r="AM29" s="110">
        <f t="shared" si="12"/>
        <v>0.18099746407438716</v>
      </c>
      <c r="AN29" s="137" t="s">
        <v>150</v>
      </c>
      <c r="AO29" s="150">
        <v>10.02</v>
      </c>
      <c r="AP29" s="138">
        <v>6.91</v>
      </c>
      <c r="AQ29" s="134"/>
      <c r="AR29" s="131">
        <v>6.35</v>
      </c>
      <c r="AS29" s="139">
        <v>295.75</v>
      </c>
      <c r="AT29" s="131">
        <v>1.85</v>
      </c>
      <c r="AU29" s="148"/>
      <c r="AV29" s="131"/>
      <c r="AW29" s="109">
        <f t="shared" si="29"/>
        <v>0</v>
      </c>
      <c r="AX29" s="109">
        <f t="shared" si="13"/>
        <v>231.63</v>
      </c>
      <c r="AY29" s="115">
        <f t="shared" si="24"/>
        <v>222.69213752184112</v>
      </c>
      <c r="AZ29" s="140">
        <f t="shared" si="14"/>
        <v>5.8142746478873226</v>
      </c>
      <c r="BA29" s="141">
        <f t="shared" si="30"/>
        <v>9.2652000000000001</v>
      </c>
      <c r="BB29" s="128">
        <f t="shared" si="16"/>
        <v>0.90803830009565289</v>
      </c>
      <c r="BC29" s="141">
        <f t="shared" si="17"/>
        <v>15.079474647887324</v>
      </c>
      <c r="BD29" s="142">
        <v>0.89</v>
      </c>
      <c r="BE29" s="16">
        <f t="shared" si="25"/>
        <v>4774.8099999999995</v>
      </c>
      <c r="BF29" s="16">
        <f t="shared" si="18"/>
        <v>209.67741935483872</v>
      </c>
      <c r="BG29" s="16">
        <f t="shared" si="26"/>
        <v>4822.5806451612898</v>
      </c>
      <c r="BH29" s="17">
        <f t="shared" si="19"/>
        <v>1</v>
      </c>
      <c r="BI29" s="16">
        <f t="shared" si="27"/>
        <v>4822.5806451612898</v>
      </c>
      <c r="BJ29" s="254">
        <v>367.68799999999999</v>
      </c>
      <c r="BK29" s="197">
        <v>75.260999999999996</v>
      </c>
      <c r="BL29" s="197">
        <v>58.533999999999999</v>
      </c>
      <c r="BM29" s="197"/>
      <c r="BN29" s="230"/>
      <c r="BO29" s="230"/>
      <c r="BP29" s="258"/>
      <c r="BQ29" s="199"/>
      <c r="BR29" s="200">
        <v>1.73</v>
      </c>
      <c r="BS29" s="200"/>
      <c r="BT29" s="200"/>
      <c r="BU29" s="200"/>
      <c r="BV29" s="208"/>
      <c r="BW29" s="208"/>
      <c r="BX29" s="201"/>
      <c r="BY29" s="202">
        <v>37.26</v>
      </c>
      <c r="BZ29" s="200">
        <v>44.08</v>
      </c>
      <c r="CA29" s="200">
        <v>46.01</v>
      </c>
      <c r="CB29" s="200"/>
      <c r="CC29" s="208"/>
      <c r="CD29" s="208"/>
      <c r="CE29" s="201"/>
      <c r="CF29" s="199"/>
      <c r="CG29" s="197"/>
      <c r="CH29" s="197"/>
      <c r="CI29" s="230">
        <v>304.57</v>
      </c>
      <c r="CJ29" s="198"/>
      <c r="CK29" s="202"/>
      <c r="CL29" s="208"/>
      <c r="CM29" s="208"/>
      <c r="CN29" s="201"/>
      <c r="CO29" s="284"/>
      <c r="CP29" s="286">
        <f t="shared" si="20"/>
        <v>361.32699759999997</v>
      </c>
      <c r="CQ29" s="24">
        <f t="shared" si="20"/>
        <v>75.260999999999996</v>
      </c>
      <c r="CR29" s="25">
        <f t="shared" si="20"/>
        <v>58.533999999999999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304.57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8"/>
        <v>0</v>
      </c>
    </row>
    <row r="30" spans="1:110" ht="16.5" customHeight="1">
      <c r="A30" s="127">
        <v>24</v>
      </c>
      <c r="B30" s="103">
        <f>'[1]январь 20'!K29</f>
        <v>477.04500000000002</v>
      </c>
      <c r="C30" s="104">
        <f t="shared" si="0"/>
        <v>1.3869191585699461</v>
      </c>
      <c r="D30" s="143">
        <f t="shared" si="1"/>
        <v>470.42877149999998</v>
      </c>
      <c r="E30" s="104">
        <f t="shared" si="2"/>
        <v>39.143672462765565</v>
      </c>
      <c r="F30" s="128">
        <f t="shared" si="3"/>
        <v>2.0809907613023086</v>
      </c>
      <c r="G30" s="106"/>
      <c r="H30" s="107">
        <f t="shared" si="4"/>
        <v>1.5192814805803765</v>
      </c>
      <c r="I30" s="103">
        <f>'[1]сентябрь 20'!AE29</f>
        <v>0</v>
      </c>
      <c r="J30" s="328">
        <f>'[1]январь 20'!AA29</f>
        <v>15.679</v>
      </c>
      <c r="K30" s="106"/>
      <c r="L30" s="328">
        <f>'[1]январь 20'!AI29</f>
        <v>126.98</v>
      </c>
      <c r="M30" s="103">
        <f t="shared" si="5"/>
        <v>0.56170928072193216</v>
      </c>
      <c r="N30" s="103">
        <f>'[1]июль 20'!AM29</f>
        <v>6.6029999999999998</v>
      </c>
      <c r="O30" s="103">
        <f>'[1]январь 20'!W29</f>
        <v>0</v>
      </c>
      <c r="P30" s="103">
        <f>'[1]январь 20'!S29</f>
        <v>295.37299999999999</v>
      </c>
      <c r="Q30" s="108">
        <f t="shared" si="6"/>
        <v>1.78520040762018</v>
      </c>
      <c r="R30" s="109">
        <f t="shared" si="7"/>
        <v>290.10000000000002</v>
      </c>
      <c r="S30" s="163">
        <v>55.76</v>
      </c>
      <c r="T30" s="109">
        <f t="shared" si="8"/>
        <v>290.10000000000002</v>
      </c>
      <c r="U30" s="110">
        <f t="shared" si="9"/>
        <v>1.2832876227550207</v>
      </c>
      <c r="V30" s="154">
        <v>226.06</v>
      </c>
      <c r="W30" s="157">
        <v>143.53</v>
      </c>
      <c r="X30" s="149">
        <v>0.9</v>
      </c>
      <c r="Y30" s="147">
        <v>665</v>
      </c>
      <c r="Z30" s="147">
        <v>1234</v>
      </c>
      <c r="AA30" s="144" t="s">
        <v>152</v>
      </c>
      <c r="AB30" s="149">
        <v>76.430000000000007</v>
      </c>
      <c r="AC30" s="147">
        <v>159</v>
      </c>
      <c r="AD30" s="155">
        <v>5</v>
      </c>
      <c r="AE30" s="149">
        <v>5.35</v>
      </c>
      <c r="AF30" s="115">
        <f t="shared" si="10"/>
        <v>23.66628328762275</v>
      </c>
      <c r="AG30" s="131">
        <v>111.8</v>
      </c>
      <c r="AH30" s="115">
        <f t="shared" si="11"/>
        <v>494.55896664602312</v>
      </c>
      <c r="AI30" s="139">
        <v>26.71</v>
      </c>
      <c r="AJ30" s="131"/>
      <c r="AK30" s="157">
        <v>11.91</v>
      </c>
      <c r="AL30" s="157">
        <v>49.54</v>
      </c>
      <c r="AM30" s="110">
        <f t="shared" si="12"/>
        <v>0.17437521999296021</v>
      </c>
      <c r="AN30" s="158" t="s">
        <v>153</v>
      </c>
      <c r="AO30" s="404">
        <v>9.4600000000000009</v>
      </c>
      <c r="AP30" s="159">
        <v>7.02</v>
      </c>
      <c r="AQ30" s="155"/>
      <c r="AR30" s="149">
        <v>5.95</v>
      </c>
      <c r="AS30" s="156">
        <v>284.10000000000002</v>
      </c>
      <c r="AT30" s="131">
        <v>3.41</v>
      </c>
      <c r="AU30" s="164"/>
      <c r="AV30" s="149"/>
      <c r="AW30" s="109">
        <f t="shared" si="29"/>
        <v>0</v>
      </c>
      <c r="AX30" s="109">
        <f t="shared" si="13"/>
        <v>226.06000000000003</v>
      </c>
      <c r="AY30" s="115">
        <f t="shared" si="24"/>
        <v>210.33223093782181</v>
      </c>
      <c r="AZ30" s="140">
        <f t="shared" si="14"/>
        <v>5.1530352112676061</v>
      </c>
      <c r="BA30" s="141">
        <f t="shared" si="30"/>
        <v>9.0424000000000007</v>
      </c>
      <c r="BB30" s="128">
        <f t="shared" si="16"/>
        <v>0.93827930755101707</v>
      </c>
      <c r="BC30" s="141">
        <f t="shared" si="17"/>
        <v>14.195435211267608</v>
      </c>
      <c r="BD30" s="162">
        <v>0.89200000000000002</v>
      </c>
      <c r="BE30" s="16">
        <f t="shared" si="25"/>
        <v>5000.87</v>
      </c>
      <c r="BF30" s="16">
        <f t="shared" si="18"/>
        <v>209.67741935483872</v>
      </c>
      <c r="BG30" s="16">
        <f t="shared" si="26"/>
        <v>5032.2580645161288</v>
      </c>
      <c r="BH30" s="17">
        <f t="shared" si="19"/>
        <v>1</v>
      </c>
      <c r="BI30" s="16">
        <f t="shared" si="27"/>
        <v>5032.2580645161288</v>
      </c>
      <c r="BJ30" s="255">
        <v>350.065</v>
      </c>
      <c r="BK30" s="210">
        <v>71.358000000000004</v>
      </c>
      <c r="BL30" s="210">
        <v>55.622</v>
      </c>
      <c r="BM30" s="210"/>
      <c r="BN30" s="233"/>
      <c r="BO30" s="233"/>
      <c r="BP30" s="260"/>
      <c r="BQ30" s="212"/>
      <c r="BR30" s="213">
        <v>1.89</v>
      </c>
      <c r="BS30" s="213"/>
      <c r="BT30" s="213"/>
      <c r="BU30" s="213"/>
      <c r="BV30" s="235"/>
      <c r="BW30" s="235"/>
      <c r="BX30" s="214"/>
      <c r="BY30" s="215">
        <v>37.130000000000003</v>
      </c>
      <c r="BZ30" s="213">
        <v>44.13</v>
      </c>
      <c r="CA30" s="216">
        <v>45.42</v>
      </c>
      <c r="CB30" s="213"/>
      <c r="CC30" s="235"/>
      <c r="CD30" s="235"/>
      <c r="CE30" s="214"/>
      <c r="CF30" s="212"/>
      <c r="CG30" s="210"/>
      <c r="CH30" s="210"/>
      <c r="CI30" s="233">
        <v>290.10000000000002</v>
      </c>
      <c r="CJ30" s="198"/>
      <c r="CK30" s="202"/>
      <c r="CL30" s="208"/>
      <c r="CM30" s="208"/>
      <c r="CN30" s="201"/>
      <c r="CO30" s="284"/>
      <c r="CP30" s="286">
        <f t="shared" si="20"/>
        <v>343.44877149999996</v>
      </c>
      <c r="CQ30" s="24">
        <f t="shared" si="20"/>
        <v>71.358000000000004</v>
      </c>
      <c r="CR30" s="25">
        <f t="shared" si="20"/>
        <v>55.622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290.10000000000002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8"/>
        <v>0</v>
      </c>
    </row>
    <row r="31" spans="1:110" ht="16.5" customHeight="1">
      <c r="A31" s="127">
        <v>25</v>
      </c>
      <c r="B31" s="103">
        <f>'[1]январь 20'!K30</f>
        <v>468.26400000000001</v>
      </c>
      <c r="C31" s="104">
        <f t="shared" si="0"/>
        <v>1.9138182948080569</v>
      </c>
      <c r="D31" s="143">
        <f t="shared" si="1"/>
        <v>459.30227790000004</v>
      </c>
      <c r="E31" s="104">
        <f t="shared" si="2"/>
        <v>39.336317034835055</v>
      </c>
      <c r="F31" s="128">
        <f t="shared" si="3"/>
        <v>1.9915977707917791</v>
      </c>
      <c r="G31" s="106"/>
      <c r="H31" s="107">
        <f t="shared" si="4"/>
        <v>1.4500012050125748</v>
      </c>
      <c r="I31" s="103">
        <f>'[1]сентябрь 20'!AE30</f>
        <v>0</v>
      </c>
      <c r="J31" s="328">
        <f>'[1]январь 20'!AA30</f>
        <v>15.695</v>
      </c>
      <c r="K31" s="106"/>
      <c r="L31" s="328">
        <f>'[1]январь 20'!AI30</f>
        <v>124.90300000000001</v>
      </c>
      <c r="M31" s="103">
        <f t="shared" si="5"/>
        <v>0.5415965657792039</v>
      </c>
      <c r="N31" s="103">
        <f>'[1]июль 20'!AM30</f>
        <v>7.069</v>
      </c>
      <c r="O31" s="103">
        <f>'[1]январь 20'!W30</f>
        <v>0</v>
      </c>
      <c r="P31" s="103">
        <f>'[1]январь 20'!S30</f>
        <v>286.89600000000002</v>
      </c>
      <c r="Q31" s="108">
        <f t="shared" si="6"/>
        <v>1.8111092521331917</v>
      </c>
      <c r="R31" s="109">
        <f t="shared" si="7"/>
        <v>281.7</v>
      </c>
      <c r="S31" s="106">
        <v>13.41</v>
      </c>
      <c r="T31" s="109">
        <f t="shared" si="8"/>
        <v>281.7</v>
      </c>
      <c r="U31" s="110">
        <f t="shared" si="9"/>
        <v>1.2214898967999308</v>
      </c>
      <c r="V31" s="136">
        <v>230.62</v>
      </c>
      <c r="W31" s="136">
        <v>97.78</v>
      </c>
      <c r="X31" s="131">
        <v>1.1000000000000001</v>
      </c>
      <c r="Y31" s="133">
        <v>635</v>
      </c>
      <c r="Z31" s="133">
        <v>1237</v>
      </c>
      <c r="AA31" s="144" t="s">
        <v>154</v>
      </c>
      <c r="AB31" s="131">
        <v>76.36</v>
      </c>
      <c r="AC31" s="133">
        <v>156</v>
      </c>
      <c r="AD31" s="134">
        <v>5</v>
      </c>
      <c r="AE31" s="131">
        <v>5.8</v>
      </c>
      <c r="AF31" s="115">
        <f t="shared" si="10"/>
        <v>25.149596739224702</v>
      </c>
      <c r="AG31" s="131">
        <v>112.8</v>
      </c>
      <c r="AH31" s="115">
        <f t="shared" si="11"/>
        <v>489.11629520423213</v>
      </c>
      <c r="AI31" s="139">
        <v>20.96</v>
      </c>
      <c r="AJ31" s="131"/>
      <c r="AK31" s="136">
        <v>8.91</v>
      </c>
      <c r="AL31" s="136">
        <v>52.34</v>
      </c>
      <c r="AM31" s="110">
        <f t="shared" si="12"/>
        <v>0.18098201936376213</v>
      </c>
      <c r="AN31" s="137" t="s">
        <v>155</v>
      </c>
      <c r="AO31" s="150">
        <v>9.34</v>
      </c>
      <c r="AP31" s="138">
        <v>7.06</v>
      </c>
      <c r="AQ31" s="134"/>
      <c r="AR31" s="131">
        <v>5.56</v>
      </c>
      <c r="AS31" s="139">
        <v>289.2</v>
      </c>
      <c r="AT31" s="131">
        <v>2.67</v>
      </c>
      <c r="AU31" s="148"/>
      <c r="AV31" s="131"/>
      <c r="AW31" s="109">
        <f t="shared" si="29"/>
        <v>0</v>
      </c>
      <c r="AX31" s="109">
        <f t="shared" si="13"/>
        <v>230.61999999999998</v>
      </c>
      <c r="AY31" s="115">
        <f t="shared" si="24"/>
        <v>206.55733362981516</v>
      </c>
      <c r="AZ31" s="140">
        <f t="shared" si="14"/>
        <v>4.8583436619718299</v>
      </c>
      <c r="BA31" s="141">
        <f t="shared" si="30"/>
        <v>9.2248000000000001</v>
      </c>
      <c r="BB31" s="128">
        <f t="shared" si="16"/>
        <v>0.97469916202936124</v>
      </c>
      <c r="BC31" s="141">
        <f t="shared" si="17"/>
        <v>14.08314366197183</v>
      </c>
      <c r="BD31" s="142">
        <v>0.89600000000000002</v>
      </c>
      <c r="BE31" s="16">
        <f t="shared" si="25"/>
        <v>5231.49</v>
      </c>
      <c r="BF31" s="16">
        <f t="shared" si="18"/>
        <v>209.67741935483872</v>
      </c>
      <c r="BG31" s="16">
        <f t="shared" si="26"/>
        <v>5241.9354838709678</v>
      </c>
      <c r="BH31" s="17">
        <f t="shared" si="19"/>
        <v>1</v>
      </c>
      <c r="BI31" s="16">
        <f t="shared" si="27"/>
        <v>5241.9354838709678</v>
      </c>
      <c r="BJ31" s="254">
        <v>343.36099999999999</v>
      </c>
      <c r="BK31" s="197">
        <v>70.266999999999996</v>
      </c>
      <c r="BL31" s="197">
        <v>54.636000000000003</v>
      </c>
      <c r="BM31" s="197"/>
      <c r="BN31" s="230"/>
      <c r="BO31" s="230"/>
      <c r="BP31" s="259"/>
      <c r="BQ31" s="199"/>
      <c r="BR31" s="200">
        <v>2.61</v>
      </c>
      <c r="BS31" s="200"/>
      <c r="BT31" s="200"/>
      <c r="BU31" s="200"/>
      <c r="BV31" s="208"/>
      <c r="BW31" s="208"/>
      <c r="BX31" s="201"/>
      <c r="BY31" s="202">
        <v>37.340000000000003</v>
      </c>
      <c r="BZ31" s="200">
        <v>43.98</v>
      </c>
      <c r="CA31" s="200">
        <v>45.91</v>
      </c>
      <c r="CB31" s="200"/>
      <c r="CC31" s="208"/>
      <c r="CD31" s="208"/>
      <c r="CE31" s="209"/>
      <c r="CF31" s="199"/>
      <c r="CG31" s="197"/>
      <c r="CH31" s="197"/>
      <c r="CI31" s="230">
        <v>281.7</v>
      </c>
      <c r="CJ31" s="198"/>
      <c r="CK31" s="202"/>
      <c r="CL31" s="208"/>
      <c r="CM31" s="208"/>
      <c r="CN31" s="201"/>
      <c r="CO31" s="284"/>
      <c r="CP31" s="286">
        <f t="shared" si="20"/>
        <v>334.39927789999996</v>
      </c>
      <c r="CQ31" s="24">
        <f t="shared" si="20"/>
        <v>70.266999999999996</v>
      </c>
      <c r="CR31" s="25">
        <f t="shared" si="20"/>
        <v>54.636000000000003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281.7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8"/>
        <v>0</v>
      </c>
    </row>
    <row r="32" spans="1:110" ht="16.5" customHeight="1">
      <c r="A32" s="127">
        <v>26</v>
      </c>
      <c r="B32" s="103">
        <f>'[1]январь 20'!K31</f>
        <v>453.21499999999997</v>
      </c>
      <c r="C32" s="104">
        <f t="shared" si="0"/>
        <v>2.4785647430027691</v>
      </c>
      <c r="D32" s="143">
        <f t="shared" si="1"/>
        <v>441.98177279999999</v>
      </c>
      <c r="E32" s="104">
        <f t="shared" si="2"/>
        <v>39.408258729300663</v>
      </c>
      <c r="F32" s="128">
        <f t="shared" si="3"/>
        <v>1.9972063840939904</v>
      </c>
      <c r="G32" s="106"/>
      <c r="H32" s="107">
        <f t="shared" si="4"/>
        <v>1.4510202114776325</v>
      </c>
      <c r="I32" s="103">
        <f>'[1]сентябрь 20'!AE31</f>
        <v>0</v>
      </c>
      <c r="J32" s="328">
        <f>'[1]январь 20'!AA31</f>
        <v>15.173999999999999</v>
      </c>
      <c r="K32" s="106"/>
      <c r="L32" s="328">
        <f>'[1]январь 20'!AI31</f>
        <v>120.871</v>
      </c>
      <c r="M32" s="103">
        <f t="shared" si="5"/>
        <v>0.54618617261635793</v>
      </c>
      <c r="N32" s="103">
        <f>'[1]июль 20'!AM31</f>
        <v>7.0679999999999996</v>
      </c>
      <c r="O32" s="103">
        <f>'[1]январь 20'!W31</f>
        <v>0</v>
      </c>
      <c r="P32" s="103">
        <f>'[1]январь 20'!S31</f>
        <v>275.66399999999999</v>
      </c>
      <c r="Q32" s="108">
        <f t="shared" si="6"/>
        <v>1.9023158627894721</v>
      </c>
      <c r="R32" s="109">
        <f t="shared" si="7"/>
        <v>270.41999999999996</v>
      </c>
      <c r="S32" s="106">
        <v>16.760000000000002</v>
      </c>
      <c r="T32" s="109">
        <f t="shared" si="8"/>
        <v>270.42</v>
      </c>
      <c r="U32" s="110">
        <f t="shared" si="9"/>
        <v>1.2219611387257117</v>
      </c>
      <c r="V32" s="136">
        <v>221.3</v>
      </c>
      <c r="W32" s="136"/>
      <c r="X32" s="131">
        <v>1.26</v>
      </c>
      <c r="Y32" s="133">
        <v>620</v>
      </c>
      <c r="Z32" s="133">
        <v>1234</v>
      </c>
      <c r="AA32" s="144" t="s">
        <v>134</v>
      </c>
      <c r="AB32" s="131">
        <v>75.98</v>
      </c>
      <c r="AC32" s="133">
        <v>151</v>
      </c>
      <c r="AD32" s="134">
        <v>5</v>
      </c>
      <c r="AE32" s="131">
        <v>5.2</v>
      </c>
      <c r="AF32" s="115">
        <f t="shared" si="10"/>
        <v>23.497514685946687</v>
      </c>
      <c r="AG32" s="131">
        <v>115.65</v>
      </c>
      <c r="AH32" s="115">
        <f t="shared" si="11"/>
        <v>522.59376412110271</v>
      </c>
      <c r="AI32" s="139">
        <v>19.34</v>
      </c>
      <c r="AJ32" s="131"/>
      <c r="AK32" s="136">
        <v>9.74</v>
      </c>
      <c r="AL32" s="136">
        <v>47.81</v>
      </c>
      <c r="AM32" s="110">
        <f t="shared" si="12"/>
        <v>0.1728176396168444</v>
      </c>
      <c r="AN32" s="137" t="s">
        <v>156</v>
      </c>
      <c r="AO32" s="150">
        <v>9.7100000000000009</v>
      </c>
      <c r="AP32" s="138">
        <v>7.23</v>
      </c>
      <c r="AQ32" s="134"/>
      <c r="AR32" s="131">
        <v>5.25</v>
      </c>
      <c r="AS32" s="139">
        <v>276.64999999999998</v>
      </c>
      <c r="AT32" s="131">
        <v>2.2000000000000002</v>
      </c>
      <c r="AU32" s="148"/>
      <c r="AV32" s="131"/>
      <c r="AW32" s="109">
        <f t="shared" si="29"/>
        <v>0</v>
      </c>
      <c r="AX32" s="109">
        <f t="shared" si="13"/>
        <v>221.29999999999995</v>
      </c>
      <c r="AY32" s="115">
        <f t="shared" si="24"/>
        <v>200.12740306670088</v>
      </c>
      <c r="AZ32" s="140">
        <f t="shared" si="14"/>
        <v>4.7033714788732395</v>
      </c>
      <c r="BA32" s="141">
        <f t="shared" si="30"/>
        <v>8.8519999999999985</v>
      </c>
      <c r="BB32" s="128">
        <f t="shared" si="16"/>
        <v>0.96535955116356353</v>
      </c>
      <c r="BC32" s="141">
        <f t="shared" si="17"/>
        <v>13.555371478873237</v>
      </c>
      <c r="BD32" s="142">
        <v>0.89800000000000002</v>
      </c>
      <c r="BE32" s="16">
        <f t="shared" si="25"/>
        <v>5452.79</v>
      </c>
      <c r="BF32" s="16">
        <f t="shared" si="18"/>
        <v>209.67741935483872</v>
      </c>
      <c r="BG32" s="16">
        <f t="shared" si="26"/>
        <v>5451.6129032258068</v>
      </c>
      <c r="BH32" s="17">
        <f t="shared" si="19"/>
        <v>1</v>
      </c>
      <c r="BI32" s="16">
        <f t="shared" si="27"/>
        <v>5451.6129032258068</v>
      </c>
      <c r="BJ32" s="254">
        <v>332.34399999999999</v>
      </c>
      <c r="BK32" s="197"/>
      <c r="BL32" s="197">
        <v>120.871</v>
      </c>
      <c r="BM32" s="197"/>
      <c r="BN32" s="230"/>
      <c r="BO32" s="230"/>
      <c r="BP32" s="258"/>
      <c r="BQ32" s="199"/>
      <c r="BR32" s="200">
        <v>3.38</v>
      </c>
      <c r="BS32" s="200"/>
      <c r="BT32" s="200"/>
      <c r="BU32" s="200"/>
      <c r="BV32" s="208"/>
      <c r="BW32" s="208"/>
      <c r="BX32" s="201"/>
      <c r="BY32" s="202">
        <v>37.119999999999997</v>
      </c>
      <c r="BZ32" s="200"/>
      <c r="CA32" s="200">
        <v>45.7</v>
      </c>
      <c r="CB32" s="200"/>
      <c r="CC32" s="208"/>
      <c r="CD32" s="208"/>
      <c r="CE32" s="209"/>
      <c r="CF32" s="199"/>
      <c r="CG32" s="197"/>
      <c r="CH32" s="197"/>
      <c r="CI32" s="230">
        <v>270.42</v>
      </c>
      <c r="CJ32" s="198"/>
      <c r="CK32" s="202"/>
      <c r="CL32" s="208"/>
      <c r="CM32" s="208"/>
      <c r="CN32" s="201"/>
      <c r="CO32" s="284"/>
      <c r="CP32" s="286">
        <f t="shared" si="20"/>
        <v>321.11077280000001</v>
      </c>
      <c r="CQ32" s="24">
        <f t="shared" si="20"/>
        <v>0</v>
      </c>
      <c r="CR32" s="25">
        <f t="shared" si="20"/>
        <v>120.871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270.42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8"/>
        <v>0</v>
      </c>
    </row>
    <row r="33" spans="1:110" ht="16.5" customHeight="1">
      <c r="A33" s="127">
        <v>27</v>
      </c>
      <c r="B33" s="103">
        <f>'[1]январь 20'!K32</f>
        <v>428.14699999999999</v>
      </c>
      <c r="C33" s="104">
        <f t="shared" si="0"/>
        <v>1.6301692876512039</v>
      </c>
      <c r="D33" s="143">
        <f t="shared" si="1"/>
        <v>421.16747910000004</v>
      </c>
      <c r="E33" s="104">
        <f t="shared" si="2"/>
        <v>39.276285668240114</v>
      </c>
      <c r="F33" s="128">
        <f t="shared" si="3"/>
        <v>2.0227042507924318</v>
      </c>
      <c r="G33" s="106"/>
      <c r="H33" s="107">
        <f t="shared" si="4"/>
        <v>1.4696161708769573</v>
      </c>
      <c r="I33" s="103">
        <f>'[1]сентябрь 20'!AE32</f>
        <v>0</v>
      </c>
      <c r="J33" s="103">
        <f>'[1]январь 20'!AA32</f>
        <v>12.209</v>
      </c>
      <c r="K33" s="106"/>
      <c r="L33" s="328">
        <f>'[1]январь 20'!AI32</f>
        <v>115.164</v>
      </c>
      <c r="M33" s="103">
        <f t="shared" si="5"/>
        <v>0.55308807991547415</v>
      </c>
      <c r="N33" s="103">
        <f>'[1]июль 20'!AM32</f>
        <v>6.9580000000000002</v>
      </c>
      <c r="O33" s="103">
        <f>'[1]январь 20'!W32</f>
        <v>0</v>
      </c>
      <c r="P33" s="103">
        <f>'[1]январь 20'!S32</f>
        <v>262.572</v>
      </c>
      <c r="Q33" s="108">
        <f t="shared" si="6"/>
        <v>1.5850890422436481</v>
      </c>
      <c r="R33" s="109">
        <f t="shared" si="7"/>
        <v>258.41000000000003</v>
      </c>
      <c r="S33" s="131">
        <v>25.82</v>
      </c>
      <c r="T33" s="109">
        <f t="shared" si="8"/>
        <v>258.41000000000003</v>
      </c>
      <c r="U33" s="110">
        <f t="shared" si="9"/>
        <v>1.2410431274613392</v>
      </c>
      <c r="V33" s="136">
        <v>208.22</v>
      </c>
      <c r="W33" s="136">
        <v>208.22</v>
      </c>
      <c r="X33" s="131">
        <v>0.43</v>
      </c>
      <c r="Y33" s="133">
        <v>607</v>
      </c>
      <c r="Z33" s="133">
        <v>1230</v>
      </c>
      <c r="AA33" s="144" t="s">
        <v>157</v>
      </c>
      <c r="AB33" s="131">
        <v>76.11</v>
      </c>
      <c r="AC33" s="133">
        <v>143</v>
      </c>
      <c r="AD33" s="134">
        <v>5</v>
      </c>
      <c r="AE33" s="131">
        <v>5.75</v>
      </c>
      <c r="AF33" s="115">
        <f t="shared" si="10"/>
        <v>27.615022572279322</v>
      </c>
      <c r="AG33" s="131">
        <v>136.35</v>
      </c>
      <c r="AH33" s="115">
        <f t="shared" si="11"/>
        <v>654.83623090961487</v>
      </c>
      <c r="AI33" s="139">
        <v>19.670000000000002</v>
      </c>
      <c r="AJ33" s="131"/>
      <c r="AK33" s="136">
        <v>7.43</v>
      </c>
      <c r="AL33" s="136">
        <v>53.52</v>
      </c>
      <c r="AM33" s="110">
        <f t="shared" si="12"/>
        <v>0.20127867619405795</v>
      </c>
      <c r="AN33" s="137" t="s">
        <v>158</v>
      </c>
      <c r="AO33" s="150">
        <v>8.77</v>
      </c>
      <c r="AP33" s="138">
        <v>7.05</v>
      </c>
      <c r="AQ33" s="134"/>
      <c r="AR33" s="131">
        <v>8.4600000000000009</v>
      </c>
      <c r="AS33" s="139">
        <v>265.89999999999998</v>
      </c>
      <c r="AT33" s="131">
        <v>3.27</v>
      </c>
      <c r="AU33" s="116"/>
      <c r="AV33" s="131"/>
      <c r="AW33" s="109">
        <f t="shared" si="29"/>
        <v>0</v>
      </c>
      <c r="AX33" s="109">
        <f t="shared" si="13"/>
        <v>208.21999999999997</v>
      </c>
      <c r="AY33" s="115">
        <f t="shared" si="24"/>
        <v>189.73950409860097</v>
      </c>
      <c r="AZ33" s="140">
        <f t="shared" si="14"/>
        <v>8.9357260563380265</v>
      </c>
      <c r="BA33" s="141">
        <f t="shared" si="30"/>
        <v>8.3287999999999993</v>
      </c>
      <c r="BB33" s="128">
        <f t="shared" si="16"/>
        <v>0.95802959359236706</v>
      </c>
      <c r="BC33" s="141">
        <f t="shared" si="17"/>
        <v>17.264526056338028</v>
      </c>
      <c r="BD33" s="142">
        <v>0.9</v>
      </c>
      <c r="BE33" s="16">
        <f t="shared" si="25"/>
        <v>5661.01</v>
      </c>
      <c r="BF33" s="16">
        <f t="shared" si="18"/>
        <v>209.67741935483872</v>
      </c>
      <c r="BG33" s="16">
        <f t="shared" si="26"/>
        <v>5661.2903225806458</v>
      </c>
      <c r="BH33" s="17">
        <f t="shared" si="19"/>
        <v>1</v>
      </c>
      <c r="BI33" s="16">
        <f t="shared" si="27"/>
        <v>5661.2903225806458</v>
      </c>
      <c r="BJ33" s="254">
        <v>312.983</v>
      </c>
      <c r="BK33" s="197"/>
      <c r="BL33" s="197">
        <v>115.164</v>
      </c>
      <c r="BM33" s="197"/>
      <c r="BN33" s="230"/>
      <c r="BO33" s="230"/>
      <c r="BP33" s="258"/>
      <c r="BQ33" s="199"/>
      <c r="BR33" s="200">
        <v>2.23</v>
      </c>
      <c r="BS33" s="200"/>
      <c r="BT33" s="200"/>
      <c r="BU33" s="200"/>
      <c r="BV33" s="208"/>
      <c r="BW33" s="208"/>
      <c r="BX33" s="201"/>
      <c r="BY33" s="202">
        <v>36.92</v>
      </c>
      <c r="BZ33" s="200"/>
      <c r="CA33" s="200">
        <v>45.68</v>
      </c>
      <c r="CB33" s="200"/>
      <c r="CC33" s="208"/>
      <c r="CD33" s="208"/>
      <c r="CE33" s="209"/>
      <c r="CF33" s="199"/>
      <c r="CG33" s="197"/>
      <c r="CH33" s="197"/>
      <c r="CI33" s="230">
        <v>258.41000000000003</v>
      </c>
      <c r="CJ33" s="198"/>
      <c r="CK33" s="202"/>
      <c r="CL33" s="208"/>
      <c r="CM33" s="208"/>
      <c r="CN33" s="209"/>
      <c r="CO33" s="284"/>
      <c r="CP33" s="286">
        <f t="shared" si="20"/>
        <v>306.00347909999999</v>
      </c>
      <c r="CQ33" s="24">
        <f t="shared" si="20"/>
        <v>0</v>
      </c>
      <c r="CR33" s="25">
        <f t="shared" si="20"/>
        <v>115.164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258.41000000000003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8"/>
        <v>0</v>
      </c>
    </row>
    <row r="34" spans="1:110" ht="16.5" customHeight="1">
      <c r="A34" s="127">
        <v>28</v>
      </c>
      <c r="B34" s="103">
        <f>'[1]январь 20'!K33</f>
        <v>495.315</v>
      </c>
      <c r="C34" s="104">
        <f t="shared" si="0"/>
        <v>1.5420764563964346</v>
      </c>
      <c r="D34" s="143">
        <f t="shared" si="1"/>
        <v>487.67686400000002</v>
      </c>
      <c r="E34" s="104">
        <f t="shared" si="2"/>
        <v>39.795355339531405</v>
      </c>
      <c r="F34" s="128">
        <f t="shared" si="3"/>
        <v>2.2698480986734935</v>
      </c>
      <c r="G34" s="106"/>
      <c r="H34" s="107">
        <f t="shared" si="4"/>
        <v>1.5804043006748894</v>
      </c>
      <c r="I34" s="103">
        <f>'[1]сентябрь 20'!AE33</f>
        <v>0</v>
      </c>
      <c r="J34" s="103">
        <f>'[1]январь 20'!AA33</f>
        <v>11.449</v>
      </c>
      <c r="K34" s="106"/>
      <c r="L34" s="328">
        <f>'[1]январь 20'!AI33</f>
        <v>148.12700000000001</v>
      </c>
      <c r="M34" s="103">
        <f t="shared" si="5"/>
        <v>0.68944379799860378</v>
      </c>
      <c r="N34" s="103">
        <f>'[1]июль 20'!AM33</f>
        <v>7.2119999999999997</v>
      </c>
      <c r="O34" s="103">
        <f>'[1]январь 20'!W33</f>
        <v>0</v>
      </c>
      <c r="P34" s="103">
        <f>'[1]январь 20'!S33</f>
        <v>305.74299999999999</v>
      </c>
      <c r="Q34" s="108">
        <f t="shared" si="6"/>
        <v>1.7802533500358098</v>
      </c>
      <c r="R34" s="109">
        <f t="shared" si="7"/>
        <v>300.3</v>
      </c>
      <c r="S34" s="149">
        <v>5.07</v>
      </c>
      <c r="T34" s="109">
        <f t="shared" si="8"/>
        <v>300.3</v>
      </c>
      <c r="U34" s="110">
        <f t="shared" si="9"/>
        <v>1.3977193390737725</v>
      </c>
      <c r="V34" s="157">
        <v>214.85</v>
      </c>
      <c r="W34" s="157">
        <v>214.85</v>
      </c>
      <c r="X34" s="149">
        <v>0.85</v>
      </c>
      <c r="Y34" s="147">
        <v>586</v>
      </c>
      <c r="Z34" s="147">
        <v>1233</v>
      </c>
      <c r="AA34" s="144" t="s">
        <v>154</v>
      </c>
      <c r="AB34" s="149">
        <v>77.36</v>
      </c>
      <c r="AC34" s="147">
        <v>165</v>
      </c>
      <c r="AD34" s="155">
        <v>5</v>
      </c>
      <c r="AE34" s="149">
        <v>5.55</v>
      </c>
      <c r="AF34" s="115">
        <f t="shared" si="10"/>
        <v>25.83197579706772</v>
      </c>
      <c r="AG34" s="149">
        <v>110.3</v>
      </c>
      <c r="AH34" s="115">
        <f t="shared" si="11"/>
        <v>513.38142890388633</v>
      </c>
      <c r="AI34" s="156">
        <v>24.59</v>
      </c>
      <c r="AJ34" s="149"/>
      <c r="AK34" s="157">
        <v>8.98</v>
      </c>
      <c r="AL34" s="157">
        <v>48.08</v>
      </c>
      <c r="AM34" s="110">
        <f t="shared" si="12"/>
        <v>0.17814005187106335</v>
      </c>
      <c r="AN34" s="158" t="s">
        <v>159</v>
      </c>
      <c r="AO34" s="404">
        <v>11.29</v>
      </c>
      <c r="AP34" s="159">
        <v>6.93</v>
      </c>
      <c r="AQ34" s="155"/>
      <c r="AR34" s="149">
        <v>6.4</v>
      </c>
      <c r="AS34" s="156">
        <v>269.89999999999998</v>
      </c>
      <c r="AT34" s="131">
        <v>2.0099999999999998</v>
      </c>
      <c r="AU34" s="148"/>
      <c r="AV34" s="149"/>
      <c r="AW34" s="109">
        <f t="shared" si="29"/>
        <v>0</v>
      </c>
      <c r="AX34" s="109">
        <f t="shared" si="13"/>
        <v>214.85</v>
      </c>
      <c r="AY34" s="115">
        <f t="shared" si="24"/>
        <v>219.00918153880937</v>
      </c>
      <c r="AZ34" s="140">
        <f t="shared" si="14"/>
        <v>5.4683943661971837</v>
      </c>
      <c r="BA34" s="141">
        <f t="shared" si="30"/>
        <v>8.5939999999999994</v>
      </c>
      <c r="BB34" s="128">
        <f t="shared" si="16"/>
        <v>0.85642094400851776</v>
      </c>
      <c r="BC34" s="141">
        <f t="shared" si="17"/>
        <v>14.062394366197182</v>
      </c>
      <c r="BD34" s="165">
        <v>0.89900000000000002</v>
      </c>
      <c r="BE34" s="16">
        <f t="shared" si="25"/>
        <v>5875.8600000000006</v>
      </c>
      <c r="BF34" s="16">
        <f t="shared" si="18"/>
        <v>209.67741935483872</v>
      </c>
      <c r="BG34" s="16">
        <f t="shared" si="26"/>
        <v>5870.9677419354848</v>
      </c>
      <c r="BH34" s="17">
        <f t="shared" si="19"/>
        <v>1</v>
      </c>
      <c r="BI34" s="16">
        <f t="shared" si="27"/>
        <v>5870.9677419354848</v>
      </c>
      <c r="BJ34" s="255">
        <v>347.18799999999999</v>
      </c>
      <c r="BK34" s="210"/>
      <c r="BL34" s="210">
        <v>148.12700000000001</v>
      </c>
      <c r="BM34" s="210"/>
      <c r="BN34" s="233"/>
      <c r="BO34" s="233"/>
      <c r="BP34" s="260"/>
      <c r="BQ34" s="212"/>
      <c r="BR34" s="213">
        <v>2.2000000000000002</v>
      </c>
      <c r="BS34" s="213"/>
      <c r="BT34" s="213"/>
      <c r="BU34" s="213"/>
      <c r="BV34" s="235"/>
      <c r="BW34" s="235"/>
      <c r="BX34" s="214"/>
      <c r="BY34" s="215">
        <v>37.69</v>
      </c>
      <c r="BZ34" s="213"/>
      <c r="CA34" s="213">
        <v>44.73</v>
      </c>
      <c r="CB34" s="213"/>
      <c r="CC34" s="235"/>
      <c r="CD34" s="235"/>
      <c r="CE34" s="211"/>
      <c r="CF34" s="212"/>
      <c r="CG34" s="210"/>
      <c r="CH34" s="210"/>
      <c r="CI34" s="233">
        <v>300.3</v>
      </c>
      <c r="CJ34" s="198"/>
      <c r="CK34" s="202"/>
      <c r="CL34" s="208"/>
      <c r="CM34" s="208"/>
      <c r="CN34" s="209"/>
      <c r="CO34" s="284"/>
      <c r="CP34" s="286">
        <f t="shared" si="20"/>
        <v>339.54986399999996</v>
      </c>
      <c r="CQ34" s="24">
        <f t="shared" si="20"/>
        <v>0</v>
      </c>
      <c r="CR34" s="25">
        <f t="shared" si="20"/>
        <v>148.12700000000001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300.3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8"/>
        <v>0</v>
      </c>
    </row>
    <row r="35" spans="1:110" ht="16.5" customHeight="1">
      <c r="A35" s="127">
        <v>29</v>
      </c>
      <c r="B35" s="103">
        <f>'[1]январь 20'!K34</f>
        <v>163.506</v>
      </c>
      <c r="C35" s="104">
        <f t="shared" si="0"/>
        <v>1.4893882181693638</v>
      </c>
      <c r="D35" s="143">
        <f t="shared" si="1"/>
        <v>161.07076090000001</v>
      </c>
      <c r="E35" s="104">
        <f t="shared" si="2"/>
        <v>39.945033515589643</v>
      </c>
      <c r="F35" s="128">
        <f t="shared" si="3"/>
        <v>1.5830050211302209</v>
      </c>
      <c r="G35" s="106"/>
      <c r="H35" s="107">
        <f t="shared" si="4"/>
        <v>1.0789951931203929</v>
      </c>
      <c r="I35" s="103">
        <f>'[1]сентябрь 20'!AE34</f>
        <v>0</v>
      </c>
      <c r="J35" s="103">
        <f>'[1]январь 20'!AA34</f>
        <v>4.3419999999999996</v>
      </c>
      <c r="K35" s="106"/>
      <c r="L35" s="328">
        <f>'[1]январь 20'!AI34</f>
        <v>51.283000000000001</v>
      </c>
      <c r="M35" s="103">
        <f t="shared" si="5"/>
        <v>0.50400982800982796</v>
      </c>
      <c r="N35" s="103">
        <f>'[1]июль 20'!AM34</f>
        <v>6.298</v>
      </c>
      <c r="O35" s="103">
        <f>'[1]январь 20'!W34</f>
        <v>0</v>
      </c>
      <c r="P35" s="103">
        <f>'[1]январь 20'!S34</f>
        <v>106.744</v>
      </c>
      <c r="Q35" s="108">
        <f t="shared" si="6"/>
        <v>1.9335981413475145</v>
      </c>
      <c r="R35" s="109">
        <f t="shared" si="7"/>
        <v>104.68</v>
      </c>
      <c r="S35" s="131">
        <v>1.92</v>
      </c>
      <c r="T35" s="109">
        <f t="shared" si="8"/>
        <v>104.68</v>
      </c>
      <c r="U35" s="110">
        <f t="shared" si="9"/>
        <v>1.0287960687960687</v>
      </c>
      <c r="V35" s="136">
        <v>101.75</v>
      </c>
      <c r="W35" s="136">
        <v>101.75</v>
      </c>
      <c r="X35" s="131">
        <v>0.7</v>
      </c>
      <c r="Y35" s="133">
        <v>613</v>
      </c>
      <c r="Z35" s="133">
        <v>1163</v>
      </c>
      <c r="AA35" s="144" t="s">
        <v>160</v>
      </c>
      <c r="AB35" s="131">
        <v>77.239999999999995</v>
      </c>
      <c r="AC35" s="133">
        <v>56</v>
      </c>
      <c r="AD35" s="134">
        <v>2</v>
      </c>
      <c r="AE35" s="166">
        <v>6.1</v>
      </c>
      <c r="AF35" s="115">
        <f t="shared" si="10"/>
        <v>59.950859950859943</v>
      </c>
      <c r="AG35" s="166">
        <v>61.1</v>
      </c>
      <c r="AH35" s="115">
        <f t="shared" si="11"/>
        <v>600.49140049140033</v>
      </c>
      <c r="AI35" s="139">
        <v>16.170000000000002</v>
      </c>
      <c r="AJ35" s="131"/>
      <c r="AK35" s="167">
        <v>4.93</v>
      </c>
      <c r="AL35" s="167">
        <v>29.57</v>
      </c>
      <c r="AM35" s="110">
        <f t="shared" si="12"/>
        <v>0.21936201780415429</v>
      </c>
      <c r="AN35" s="168" t="s">
        <v>128</v>
      </c>
      <c r="AO35" s="405">
        <v>12.21</v>
      </c>
      <c r="AP35" s="169">
        <v>7.35</v>
      </c>
      <c r="AQ35" s="170"/>
      <c r="AR35" s="166">
        <v>7.26</v>
      </c>
      <c r="AS35" s="171">
        <v>134.80000000000001</v>
      </c>
      <c r="AT35" s="131">
        <v>1.45</v>
      </c>
      <c r="AU35" s="116"/>
      <c r="AV35" s="131"/>
      <c r="AW35" s="109">
        <f t="shared" si="29"/>
        <v>0</v>
      </c>
      <c r="AX35" s="109">
        <f t="shared" si="13"/>
        <v>101.75000000000001</v>
      </c>
      <c r="AY35" s="115">
        <f t="shared" si="24"/>
        <v>72.719599570565236</v>
      </c>
      <c r="AZ35" s="140">
        <f t="shared" si="14"/>
        <v>3.4362295774647884</v>
      </c>
      <c r="BA35" s="141">
        <f t="shared" si="30"/>
        <v>4.07</v>
      </c>
      <c r="BB35" s="128">
        <f t="shared" si="16"/>
        <v>1.2215104390640084</v>
      </c>
      <c r="BC35" s="141">
        <f t="shared" si="17"/>
        <v>7.5062295774647882</v>
      </c>
      <c r="BD35" s="165">
        <v>0.90300000000000002</v>
      </c>
      <c r="BE35" s="16">
        <f t="shared" si="25"/>
        <v>5977.6100000000006</v>
      </c>
      <c r="BF35" s="16">
        <f t="shared" si="18"/>
        <v>209.67741935483872</v>
      </c>
      <c r="BG35" s="16">
        <f t="shared" si="26"/>
        <v>6080.6451612903238</v>
      </c>
      <c r="BH35" s="17">
        <f t="shared" si="19"/>
        <v>1</v>
      </c>
      <c r="BI35" s="16">
        <f t="shared" si="27"/>
        <v>6080.6451612903238</v>
      </c>
      <c r="BJ35" s="254">
        <v>112.223</v>
      </c>
      <c r="BK35" s="197"/>
      <c r="BL35" s="197">
        <v>51.283000000000001</v>
      </c>
      <c r="BM35" s="197"/>
      <c r="BN35" s="230"/>
      <c r="BO35" s="230"/>
      <c r="BP35" s="259"/>
      <c r="BQ35" s="199"/>
      <c r="BR35" s="200">
        <v>2.17</v>
      </c>
      <c r="BS35" s="200"/>
      <c r="BT35" s="200"/>
      <c r="BU35" s="200"/>
      <c r="BV35" s="208"/>
      <c r="BW35" s="208"/>
      <c r="BX35" s="201"/>
      <c r="BY35" s="202">
        <v>37.369999999999997</v>
      </c>
      <c r="BZ35" s="200"/>
      <c r="CA35" s="200">
        <v>45.58</v>
      </c>
      <c r="CB35" s="200"/>
      <c r="CC35" s="208"/>
      <c r="CD35" s="208"/>
      <c r="CE35" s="209"/>
      <c r="CF35" s="199"/>
      <c r="CG35" s="197"/>
      <c r="CH35" s="197"/>
      <c r="CI35" s="230">
        <v>104.68</v>
      </c>
      <c r="CJ35" s="198"/>
      <c r="CK35" s="202"/>
      <c r="CL35" s="208"/>
      <c r="CM35" s="208"/>
      <c r="CN35" s="209"/>
      <c r="CP35" s="286">
        <f t="shared" si="20"/>
        <v>109.78776089999999</v>
      </c>
      <c r="CQ35" s="24">
        <f t="shared" si="20"/>
        <v>0</v>
      </c>
      <c r="CR35" s="24">
        <f t="shared" si="20"/>
        <v>51.283000000000001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104.68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8"/>
        <v>0</v>
      </c>
    </row>
    <row r="36" spans="1:110" ht="16.5" customHeight="1">
      <c r="A36" s="127">
        <v>30</v>
      </c>
      <c r="B36" s="103">
        <f>'[1]январь 20'!K35</f>
        <v>477.25400000000002</v>
      </c>
      <c r="C36" s="104">
        <f t="shared" si="0"/>
        <v>1.1626014658860901</v>
      </c>
      <c r="D36" s="143">
        <f t="shared" si="1"/>
        <v>471.70543800000007</v>
      </c>
      <c r="E36" s="104">
        <f t="shared" si="2"/>
        <v>39.711186831330913</v>
      </c>
      <c r="F36" s="128">
        <f t="shared" si="3"/>
        <v>2.2578280585870192</v>
      </c>
      <c r="G36" s="106"/>
      <c r="H36" s="107">
        <f t="shared" si="4"/>
        <v>1.5356951847597167</v>
      </c>
      <c r="I36" s="103">
        <f>'[1]сентябрь 20'!AE35</f>
        <v>0</v>
      </c>
      <c r="J36" s="103">
        <f>'[1]январь 20'!AA35</f>
        <v>12.614000000000001</v>
      </c>
      <c r="K36" s="106"/>
      <c r="L36" s="328">
        <f>'[1]январь 20'!AI35</f>
        <v>150.86799999999999</v>
      </c>
      <c r="M36" s="103">
        <f t="shared" si="5"/>
        <v>0.72213287382730229</v>
      </c>
      <c r="N36" s="103">
        <f>'[1]июль 20'!AM35</f>
        <v>7.1239999999999997</v>
      </c>
      <c r="O36" s="103">
        <f>'[1]январь 20'!W35</f>
        <v>0</v>
      </c>
      <c r="P36" s="103">
        <f>'[1]январь 20'!S35</f>
        <v>297.27100000000002</v>
      </c>
      <c r="Q36" s="108">
        <f t="shared" si="6"/>
        <v>1.7529459651294599</v>
      </c>
      <c r="R36" s="109">
        <f t="shared" si="7"/>
        <v>292.06</v>
      </c>
      <c r="S36" s="131">
        <v>52.91</v>
      </c>
      <c r="T36" s="109">
        <f t="shared" si="8"/>
        <v>292.06</v>
      </c>
      <c r="U36" s="110">
        <f t="shared" si="9"/>
        <v>1.3979513689450507</v>
      </c>
      <c r="V36" s="136">
        <v>208.92</v>
      </c>
      <c r="W36" s="136">
        <v>208.92</v>
      </c>
      <c r="X36" s="131">
        <v>0.59</v>
      </c>
      <c r="Y36" s="133">
        <v>624</v>
      </c>
      <c r="Z36" s="133">
        <v>1171</v>
      </c>
      <c r="AA36" s="144" t="s">
        <v>140</v>
      </c>
      <c r="AB36" s="131">
        <v>76.36</v>
      </c>
      <c r="AC36" s="133">
        <v>159</v>
      </c>
      <c r="AD36" s="134">
        <v>5</v>
      </c>
      <c r="AE36" s="131">
        <v>4.9000000000000004</v>
      </c>
      <c r="AF36" s="115">
        <f t="shared" si="10"/>
        <v>23.453953666475204</v>
      </c>
      <c r="AG36" s="131">
        <v>124.65</v>
      </c>
      <c r="AH36" s="115">
        <f t="shared" si="11"/>
        <v>596.63986214819067</v>
      </c>
      <c r="AI36" s="139">
        <v>24.88</v>
      </c>
      <c r="AJ36" s="131"/>
      <c r="AK36" s="136">
        <v>7.63</v>
      </c>
      <c r="AL36" s="136">
        <v>41.78</v>
      </c>
      <c r="AM36" s="110">
        <f t="shared" si="12"/>
        <v>0.16298030037058708</v>
      </c>
      <c r="AN36" s="137" t="s">
        <v>161</v>
      </c>
      <c r="AO36" s="150">
        <v>10.96</v>
      </c>
      <c r="AP36" s="138">
        <v>6.84</v>
      </c>
      <c r="AQ36" s="134"/>
      <c r="AR36" s="131">
        <v>8.73</v>
      </c>
      <c r="AS36" s="139">
        <v>256.35000000000002</v>
      </c>
      <c r="AT36" s="131">
        <v>1.98</v>
      </c>
      <c r="AU36" s="116"/>
      <c r="AV36" s="131"/>
      <c r="AW36" s="109">
        <f t="shared" si="29"/>
        <v>0</v>
      </c>
      <c r="AX36" s="109">
        <f t="shared" si="13"/>
        <v>208.92000000000002</v>
      </c>
      <c r="AY36" s="115">
        <f t="shared" si="24"/>
        <v>214.1569010607077</v>
      </c>
      <c r="AZ36" s="140">
        <f t="shared" si="14"/>
        <v>8.4296757042253514</v>
      </c>
      <c r="BA36" s="141">
        <f t="shared" si="30"/>
        <v>8.3568000000000016</v>
      </c>
      <c r="BB36" s="128">
        <f t="shared" si="16"/>
        <v>0.85165203220931074</v>
      </c>
      <c r="BC36" s="141">
        <f t="shared" si="17"/>
        <v>16.786475704225353</v>
      </c>
      <c r="BD36" s="165">
        <v>0.90100000000000002</v>
      </c>
      <c r="BE36" s="16">
        <f t="shared" si="25"/>
        <v>6186.5300000000007</v>
      </c>
      <c r="BF36" s="16">
        <f t="shared" si="18"/>
        <v>209.67741935483872</v>
      </c>
      <c r="BG36" s="16">
        <f t="shared" si="26"/>
        <v>6290.3225806451628</v>
      </c>
      <c r="BH36" s="17">
        <f t="shared" si="19"/>
        <v>1</v>
      </c>
      <c r="BI36" s="16">
        <f t="shared" si="27"/>
        <v>6290.3225806451628</v>
      </c>
      <c r="BJ36" s="254">
        <v>326.38600000000002</v>
      </c>
      <c r="BK36" s="197"/>
      <c r="BL36" s="197">
        <v>150.86799999999999</v>
      </c>
      <c r="BM36" s="197"/>
      <c r="BN36" s="230"/>
      <c r="BO36" s="230"/>
      <c r="BP36" s="258"/>
      <c r="BQ36" s="199"/>
      <c r="BR36" s="200">
        <v>1.7</v>
      </c>
      <c r="BS36" s="200"/>
      <c r="BT36" s="200"/>
      <c r="BU36" s="200"/>
      <c r="BV36" s="208"/>
      <c r="BW36" s="208"/>
      <c r="BX36" s="201"/>
      <c r="BY36" s="202">
        <v>37.04</v>
      </c>
      <c r="BZ36" s="200"/>
      <c r="CA36" s="200">
        <v>45.49</v>
      </c>
      <c r="CB36" s="200"/>
      <c r="CC36" s="208"/>
      <c r="CD36" s="208"/>
      <c r="CE36" s="209"/>
      <c r="CF36" s="199"/>
      <c r="CG36" s="197"/>
      <c r="CH36" s="197"/>
      <c r="CI36" s="230">
        <v>292.06</v>
      </c>
      <c r="CJ36" s="198"/>
      <c r="CK36" s="202"/>
      <c r="CL36" s="208"/>
      <c r="CM36" s="208"/>
      <c r="CN36" s="209"/>
      <c r="CP36" s="286">
        <f t="shared" si="20"/>
        <v>320.83743800000002</v>
      </c>
      <c r="CQ36" s="27">
        <f t="shared" si="20"/>
        <v>0</v>
      </c>
      <c r="CR36" s="28">
        <f t="shared" si="20"/>
        <v>150.86799999999999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292.06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8"/>
        <v>0</v>
      </c>
    </row>
    <row r="37" spans="1:110" ht="16.5" customHeight="1" thickBot="1">
      <c r="A37" s="172">
        <v>31</v>
      </c>
      <c r="B37" s="103">
        <f>'[1]январь 20'!K36</f>
        <v>496.12900000000002</v>
      </c>
      <c r="C37" s="104">
        <f t="shared" si="0"/>
        <v>1.3097576235213018</v>
      </c>
      <c r="D37" s="173">
        <f t="shared" si="1"/>
        <v>489.63091260000004</v>
      </c>
      <c r="E37" s="104">
        <f t="shared" si="2"/>
        <v>39.80609466489561</v>
      </c>
      <c r="F37" s="174">
        <f t="shared" si="3"/>
        <v>2.1027739428816834</v>
      </c>
      <c r="G37" s="106"/>
      <c r="H37" s="107">
        <f t="shared" si="4"/>
        <v>1.4331797835516427</v>
      </c>
      <c r="I37" s="103">
        <f>'[1]сентябрь 20'!AE36</f>
        <v>0</v>
      </c>
      <c r="J37" s="103">
        <f>'[1]январь 20'!AA36</f>
        <v>11.656000000000001</v>
      </c>
      <c r="K37" s="106"/>
      <c r="L37" s="328">
        <f>'[1]январь 20'!AI36</f>
        <v>155.91499999999999</v>
      </c>
      <c r="M37" s="103">
        <f t="shared" si="5"/>
        <v>0.66959415933004074</v>
      </c>
      <c r="N37" s="103">
        <f>'[1]июль 20'!AM36</f>
        <v>6.7409999999999997</v>
      </c>
      <c r="O37" s="103">
        <f>'[1]январь 20'!W36</f>
        <v>0</v>
      </c>
      <c r="P37" s="103">
        <f>'[1]январь 20'!S36</f>
        <v>309.50400000000002</v>
      </c>
      <c r="Q37" s="108">
        <f t="shared" si="6"/>
        <v>1.8106389578163906</v>
      </c>
      <c r="R37" s="175">
        <f t="shared" si="7"/>
        <v>303.89999999999998</v>
      </c>
      <c r="S37" s="176">
        <v>17.22</v>
      </c>
      <c r="T37" s="109">
        <f t="shared" si="8"/>
        <v>303.89999999999998</v>
      </c>
      <c r="U37" s="227">
        <f t="shared" si="9"/>
        <v>1.3051320592656215</v>
      </c>
      <c r="V37" s="177">
        <v>232.85</v>
      </c>
      <c r="W37" s="177">
        <v>232.85</v>
      </c>
      <c r="X37" s="176">
        <v>0.79</v>
      </c>
      <c r="Y37" s="178">
        <v>621</v>
      </c>
      <c r="Z37" s="178">
        <v>1229</v>
      </c>
      <c r="AA37" s="179" t="s">
        <v>163</v>
      </c>
      <c r="AB37" s="176">
        <v>76.7</v>
      </c>
      <c r="AC37" s="178">
        <v>166</v>
      </c>
      <c r="AD37" s="180">
        <v>5</v>
      </c>
      <c r="AE37" s="176">
        <v>5.2</v>
      </c>
      <c r="AF37" s="115">
        <f t="shared" si="10"/>
        <v>22.331973373416361</v>
      </c>
      <c r="AG37" s="176">
        <v>118.7</v>
      </c>
      <c r="AH37" s="181">
        <f t="shared" si="11"/>
        <v>509.77023835086965</v>
      </c>
      <c r="AI37" s="182">
        <v>20.41</v>
      </c>
      <c r="AJ37" s="176"/>
      <c r="AK37" s="177">
        <v>6.24</v>
      </c>
      <c r="AL37" s="177">
        <v>51.76</v>
      </c>
      <c r="AM37" s="227">
        <f t="shared" si="12"/>
        <v>0.17796114835826024</v>
      </c>
      <c r="AN37" s="183" t="s">
        <v>164</v>
      </c>
      <c r="AO37" s="406">
        <v>11.95</v>
      </c>
      <c r="AP37" s="184">
        <v>7.01</v>
      </c>
      <c r="AQ37" s="180"/>
      <c r="AR37" s="176">
        <v>6.56</v>
      </c>
      <c r="AS37" s="176">
        <v>290.85000000000002</v>
      </c>
      <c r="AT37" s="131"/>
      <c r="AU37" s="176"/>
      <c r="AV37" s="176"/>
      <c r="AW37" s="185">
        <f t="shared" si="29"/>
        <v>0</v>
      </c>
      <c r="AX37" s="109">
        <f t="shared" si="13"/>
        <v>232.85000000000002</v>
      </c>
      <c r="AY37" s="115">
        <f t="shared" si="24"/>
        <v>221.83868398529788</v>
      </c>
      <c r="AZ37" s="186">
        <f t="shared" si="14"/>
        <v>6.031966197183098</v>
      </c>
      <c r="BA37" s="181">
        <f t="shared" si="30"/>
        <v>9.3140000000000018</v>
      </c>
      <c r="BB37" s="174">
        <f t="shared" si="16"/>
        <v>0.91633274390264619</v>
      </c>
      <c r="BC37" s="181">
        <f t="shared" si="17"/>
        <v>15.345966197183099</v>
      </c>
      <c r="BD37" s="187">
        <v>0.90200000000000002</v>
      </c>
      <c r="BE37" s="16">
        <f t="shared" si="25"/>
        <v>6419.380000000001</v>
      </c>
      <c r="BF37" s="16">
        <f t="shared" si="18"/>
        <v>209.67741935483872</v>
      </c>
      <c r="BG37" s="16">
        <f t="shared" si="26"/>
        <v>6500.0000000000018</v>
      </c>
      <c r="BH37" s="17">
        <f t="shared" si="19"/>
        <v>1</v>
      </c>
      <c r="BI37" s="16">
        <f t="shared" si="27"/>
        <v>6500.0000000000018</v>
      </c>
      <c r="BJ37" s="256">
        <v>340.214</v>
      </c>
      <c r="BK37" s="257"/>
      <c r="BL37" s="257">
        <v>155.91499999999999</v>
      </c>
      <c r="BM37" s="257"/>
      <c r="BN37" s="261"/>
      <c r="BO37" s="261"/>
      <c r="BP37" s="262"/>
      <c r="BQ37" s="219"/>
      <c r="BR37" s="220">
        <v>1.91</v>
      </c>
      <c r="BS37" s="220"/>
      <c r="BT37" s="220"/>
      <c r="BU37" s="220"/>
      <c r="BV37" s="224"/>
      <c r="BW37" s="224"/>
      <c r="BX37" s="221"/>
      <c r="BY37" s="222">
        <v>37.159999999999997</v>
      </c>
      <c r="BZ37" s="220"/>
      <c r="CA37" s="220">
        <v>45.58</v>
      </c>
      <c r="CB37" s="220"/>
      <c r="CC37" s="224"/>
      <c r="CD37" s="224"/>
      <c r="CE37" s="221"/>
      <c r="CF37" s="219"/>
      <c r="CG37" s="217"/>
      <c r="CH37" s="217"/>
      <c r="CI37" s="234">
        <v>303.89999999999998</v>
      </c>
      <c r="CJ37" s="223"/>
      <c r="CK37" s="222"/>
      <c r="CL37" s="224"/>
      <c r="CM37" s="224"/>
      <c r="CN37" s="218"/>
      <c r="CP37" s="287">
        <f t="shared" si="20"/>
        <v>333.71591260000002</v>
      </c>
      <c r="CQ37" s="32">
        <f t="shared" si="20"/>
        <v>0</v>
      </c>
      <c r="CR37" s="30">
        <f t="shared" si="20"/>
        <v>155.91499999999999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303.89999999999998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8"/>
        <v>0</v>
      </c>
    </row>
    <row r="38" spans="1:110" ht="16.5" customHeight="1" thickBot="1">
      <c r="A38" s="55" t="s">
        <v>58</v>
      </c>
      <c r="B38" s="188">
        <f>SUM(B7:B37)</f>
        <v>13902.253000000002</v>
      </c>
      <c r="C38" s="326"/>
      <c r="D38" s="327">
        <f>SUM(D7:D37)</f>
        <v>13528.838150686937</v>
      </c>
      <c r="E38" s="339"/>
      <c r="F38" s="340"/>
      <c r="G38" s="341">
        <f>SUM(G7:G37)</f>
        <v>0</v>
      </c>
      <c r="H38" s="342"/>
      <c r="I38" s="188">
        <f>SUM(I7:I37)</f>
        <v>0</v>
      </c>
      <c r="J38" s="331">
        <f>SUM(J7:J37)</f>
        <v>155.69000000000003</v>
      </c>
      <c r="K38" s="188">
        <f>SUM(K7:K37)</f>
        <v>0</v>
      </c>
      <c r="L38" s="331">
        <f>SUM(L7:L37)</f>
        <v>4183.6400000000012</v>
      </c>
      <c r="M38" s="342"/>
      <c r="N38" s="342">
        <f>SUM(N7:N37)</f>
        <v>85.77</v>
      </c>
      <c r="O38" s="188">
        <f>SUM(O7:O37)</f>
        <v>31.754999999999999</v>
      </c>
      <c r="P38" s="188">
        <f>SUM(P7:P37)</f>
        <v>8401.0879999999997</v>
      </c>
      <c r="Q38" s="342"/>
      <c r="R38" s="341">
        <f>SUM(R7:R37)</f>
        <v>8250.1200002000023</v>
      </c>
      <c r="S38" s="343">
        <f>SUM(S7:S37)</f>
        <v>798.31</v>
      </c>
      <c r="T38" s="341">
        <f>SUM(T7:T37)</f>
        <v>8250.1200002000023</v>
      </c>
      <c r="U38" s="344"/>
      <c r="V38" s="194">
        <f>SUM(V7:V37)</f>
        <v>5988.8300000000017</v>
      </c>
      <c r="W38" s="194">
        <f>SUM(W7:W37)</f>
        <v>4973.5700000000015</v>
      </c>
      <c r="X38" s="345"/>
      <c r="Y38" s="346"/>
      <c r="Z38" s="347"/>
      <c r="AA38" s="348"/>
      <c r="AB38" s="345"/>
      <c r="AC38" s="345"/>
      <c r="AD38" s="347">
        <f>SUM(AD7:AD37)</f>
        <v>150</v>
      </c>
      <c r="AE38" s="194">
        <f>SUM(AE7:AE37)</f>
        <v>198.75</v>
      </c>
      <c r="AF38" s="349"/>
      <c r="AG38" s="194">
        <f>SUM(AG7:AG37)</f>
        <v>3447.2</v>
      </c>
      <c r="AH38" s="343"/>
      <c r="AI38" s="338">
        <f>SUM(AI7:AI37)</f>
        <v>793.25000000000011</v>
      </c>
      <c r="AJ38" s="343">
        <f>SUM(AJ7:AJ37)</f>
        <v>0</v>
      </c>
      <c r="AK38" s="337">
        <f>SUM(AK7:AK37)</f>
        <v>320.1400000000001</v>
      </c>
      <c r="AL38" s="395">
        <f>SUM(AL7:AL37)</f>
        <v>1426.8899999999999</v>
      </c>
      <c r="AM38" s="350"/>
      <c r="AN38" s="351"/>
      <c r="AO38" s="343"/>
      <c r="AP38" s="351"/>
      <c r="AQ38" s="351"/>
      <c r="AR38" s="352"/>
      <c r="AS38" s="337">
        <f>SUM(AS7:AS37)</f>
        <v>8089.25</v>
      </c>
      <c r="AT38" s="341">
        <f>SUM(AT7:AT37)</f>
        <v>77.160000000000025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6419.380000000001</v>
      </c>
      <c r="AY38" s="252">
        <f>SUM(AY7:AY37)</f>
        <v>6217.8174888713756</v>
      </c>
      <c r="AZ38" s="351">
        <f>SUM(AZ7:AZ36)</f>
        <v>274.97374718309857</v>
      </c>
      <c r="BA38" s="351">
        <f>SUM(BA7:BA36)</f>
        <v>237.22959999999998</v>
      </c>
      <c r="BB38" s="340"/>
      <c r="BC38" s="351">
        <f>SUM(BC7:BC37)</f>
        <v>527.54931338028155</v>
      </c>
      <c r="BD38" s="353"/>
      <c r="BE38" s="16"/>
      <c r="BF38" s="16">
        <f t="shared" si="18"/>
        <v>0</v>
      </c>
      <c r="BG38" s="16"/>
      <c r="BH38" s="17">
        <f>SUM(BH7:BH37)</f>
        <v>31</v>
      </c>
      <c r="BI38" s="33"/>
      <c r="BJ38" s="228">
        <f t="shared" ref="BJ38:BP38" si="31">SUM(BJ7:BJ37)</f>
        <v>8299.5860000000011</v>
      </c>
      <c r="BK38" s="38">
        <f t="shared" si="31"/>
        <v>1169.912</v>
      </c>
      <c r="BL38" s="38">
        <f t="shared" si="31"/>
        <v>3013.7279999999996</v>
      </c>
      <c r="BM38" s="38">
        <f t="shared" si="31"/>
        <v>1419.0270000999999</v>
      </c>
      <c r="BN38" s="38">
        <f t="shared" si="31"/>
        <v>9.9999999999999995E-8</v>
      </c>
      <c r="BO38" s="38">
        <f t="shared" si="31"/>
        <v>9.9999999999999995E-8</v>
      </c>
      <c r="BP38" s="38">
        <f t="shared" si="31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1033</v>
      </c>
      <c r="CH38" s="39">
        <f>SUM(CH7:CH37)</f>
        <v>3747.68</v>
      </c>
      <c r="CI38" s="39">
        <f>SUM(CI7:CI37)</f>
        <v>3469.4400000999999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2">SUM(CP7:CP37)</f>
        <v>8107.0404223999985</v>
      </c>
      <c r="CQ38" s="190">
        <f t="shared" si="32"/>
        <v>1169.9119998922461</v>
      </c>
      <c r="CR38" s="191">
        <f t="shared" si="32"/>
        <v>3013.7279998946879</v>
      </c>
      <c r="CS38" s="192">
        <f t="shared" si="32"/>
        <v>1238.1577286000002</v>
      </c>
      <c r="CT38" s="192">
        <f t="shared" si="32"/>
        <v>9.99999999E-8</v>
      </c>
      <c r="CU38" s="192">
        <f t="shared" si="32"/>
        <v>9.99999999E-8</v>
      </c>
      <c r="CV38" s="278">
        <f t="shared" si="32"/>
        <v>9.99999999E-8</v>
      </c>
      <c r="CW38" s="278">
        <f t="shared" si="32"/>
        <v>1032.999999918</v>
      </c>
      <c r="CX38" s="192">
        <f t="shared" si="32"/>
        <v>3747.6799997972998</v>
      </c>
      <c r="CY38" s="192">
        <f t="shared" si="32"/>
        <v>3469.4400000999999</v>
      </c>
      <c r="CZ38" s="192">
        <f t="shared" si="32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448.45977419354847</v>
      </c>
      <c r="C39" s="84">
        <f>(BJ38*BR39+BK38*BS39+BM38*BU39+BP38*BX39+BL38*BT39+BO38*BW39+BN38*BV39)/B38</f>
        <v>2.6860024005682095</v>
      </c>
      <c r="D39" s="82"/>
      <c r="E39" s="354">
        <f>(BJ38*BY39+BK38*BZ39+BM38*CB39+BP38*CE39+BL38*CA39+BO38*CD39+BN38*CC39)/B38</f>
        <v>40.089238065225828</v>
      </c>
      <c r="F39" s="355">
        <f>IF(AX38=0,0,D38/AX38)</f>
        <v>2.1074991900599334</v>
      </c>
      <c r="G39" s="354">
        <f>G38/AS2</f>
        <v>0</v>
      </c>
      <c r="H39" s="355">
        <f>IF(AX38=0,0,(CV38+CS38+CU38+CP38+CT38)/AX38)</f>
        <v>1.455778930566503</v>
      </c>
      <c r="I39" s="354">
        <f>I38/AS2</f>
        <v>0</v>
      </c>
      <c r="J39" s="354">
        <f>J38/AS2</f>
        <v>5.0222580645161301</v>
      </c>
      <c r="K39" s="354">
        <f>K38/AS2</f>
        <v>0</v>
      </c>
      <c r="L39" s="354">
        <f>L38/AS2</f>
        <v>134.9561290322581</v>
      </c>
      <c r="M39" s="355">
        <f>IF($AX$38=0,0,(CR38+CQ38)/$AX$38)</f>
        <v>0.65172025955574109</v>
      </c>
      <c r="N39" s="354">
        <f>N38/AS2</f>
        <v>2.7667741935483869</v>
      </c>
      <c r="O39" s="354">
        <f>O38/AS2</f>
        <v>1.0243548387096775</v>
      </c>
      <c r="P39" s="356">
        <f>P38/AS2</f>
        <v>271.00283870967741</v>
      </c>
      <c r="Q39" s="354">
        <f>(SUMPRODUCT(P7:P37,Q7:Q37))/P38</f>
        <v>1.7970053378800477</v>
      </c>
      <c r="R39" s="357"/>
      <c r="S39" s="354">
        <f>S38/AS2</f>
        <v>25.751935483870966</v>
      </c>
      <c r="T39" s="354">
        <f>T38/AS2:AS2</f>
        <v>266.13290323225812</v>
      </c>
      <c r="U39" s="358">
        <f>IF($AX$38=0,0,R38/$AX$38)</f>
        <v>1.2851895354691576</v>
      </c>
      <c r="V39" s="354">
        <f>V38/AS2</f>
        <v>193.18806451612909</v>
      </c>
      <c r="W39" s="354">
        <f>W38/AS2</f>
        <v>160.43774193548393</v>
      </c>
      <c r="X39" s="354">
        <f>(SUMPRODUCT(X7:X37,AX7:AX37))/AX38</f>
        <v>0.7400835283158187</v>
      </c>
      <c r="Y39" s="359">
        <f>AVERAGE(Y7:Y37)</f>
        <v>632.12903225806451</v>
      </c>
      <c r="Z39" s="359">
        <f>AVERAGE(Z7:Z37)</f>
        <v>1229.0322580645161</v>
      </c>
      <c r="AA39" s="359"/>
      <c r="AB39" s="354">
        <f>(SUMPRODUCT(AB7:AB37,AX7:AX37))/AX38</f>
        <v>76.168477703454215</v>
      </c>
      <c r="AC39" s="360">
        <f>AVERAGE(AC7:AC37)</f>
        <v>149.58064516129033</v>
      </c>
      <c r="AD39" s="360">
        <f>AVERAGE(AD7:AD37)</f>
        <v>4.838709677419355</v>
      </c>
      <c r="AE39" s="354">
        <f>AE38/AS2</f>
        <v>6.411290322580645</v>
      </c>
      <c r="AF39" s="361">
        <f>IF(AX38=0,0,AE38/AX38*1000)</f>
        <v>30.960933921967538</v>
      </c>
      <c r="AG39" s="361">
        <f>AG38/AS2</f>
        <v>111.19999999999999</v>
      </c>
      <c r="AH39" s="361">
        <f>IF(AX38=0,0,AG38/AX38*1000)</f>
        <v>536.99890020531575</v>
      </c>
      <c r="AI39" s="354">
        <f>AI38/AS2</f>
        <v>25.588709677419359</v>
      </c>
      <c r="AJ39" s="359"/>
      <c r="AK39" s="354">
        <f>AK38/AS2</f>
        <v>10.327096774193551</v>
      </c>
      <c r="AL39" s="354">
        <f>AL38/AS2</f>
        <v>46.02870967741935</v>
      </c>
      <c r="AM39" s="346">
        <f>IF(AL39=0,0,AL39/AS39)</f>
        <v>0.17639336156009516</v>
      </c>
      <c r="AN39" s="361">
        <f>SUM(AN8:AN38)</f>
        <v>0</v>
      </c>
      <c r="AO39" s="354">
        <f>AVERAGE(AO7:AO37)</f>
        <v>13.014193548387093</v>
      </c>
      <c r="AP39" s="354">
        <f>AVERAGE(AP7:AP37)</f>
        <v>6.5235483870967741</v>
      </c>
      <c r="AQ39" s="362"/>
      <c r="AR39" s="354">
        <f>AVERAGE(AR7:AR37)</f>
        <v>10.499354838709678</v>
      </c>
      <c r="AS39" s="363">
        <f>AS38/AS2</f>
        <v>260.94354838709677</v>
      </c>
      <c r="AT39" s="363">
        <f>AT38/AS2</f>
        <v>2.4890322580645168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207.07677419354843</v>
      </c>
      <c r="AY39" s="354">
        <f>AY38/AS2</f>
        <v>200.57475770552824</v>
      </c>
      <c r="AZ39" s="362" t="e">
        <f>AZ38/$AV$2</f>
        <v>#DIV/0!</v>
      </c>
      <c r="BA39" s="362" t="e">
        <f>BA38/$AV$2</f>
        <v>#DIV/0!</v>
      </c>
      <c r="BB39" s="355">
        <f>(AX38*AB39)/(D38*E39)</f>
        <v>0.90152973877837583</v>
      </c>
      <c r="BC39" s="354">
        <f>BC38/AS2</f>
        <v>17.017719786460695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 t="shared" ref="BR39:BX39" si="33">(SUMPRODUCT(BJ7:BJ37,BR7:BR37))/BJ38</f>
        <v>2.3199419537311856</v>
      </c>
      <c r="BS39" s="42">
        <f t="shared" si="33"/>
        <v>9.2104363405110807E-9</v>
      </c>
      <c r="BT39" s="42">
        <f t="shared" si="33"/>
        <v>3.4944095817538945E-9</v>
      </c>
      <c r="BU39" s="42">
        <f t="shared" si="33"/>
        <v>12.746006347113481</v>
      </c>
      <c r="BV39" s="42">
        <f t="shared" si="33"/>
        <v>9.9999999999999982E-8</v>
      </c>
      <c r="BW39" s="46">
        <f t="shared" si="33"/>
        <v>9.9999999999999982E-8</v>
      </c>
      <c r="BX39" s="240">
        <f t="shared" si="33"/>
        <v>9.9999999999999982E-8</v>
      </c>
      <c r="BY39" s="41">
        <f t="shared" ref="BY39:CE39" si="34">(SUMPRODUCT(BJ7:BJ37,BY7:BY37))/BJ38</f>
        <v>37.015472799486624</v>
      </c>
      <c r="BZ39" s="42">
        <f t="shared" si="34"/>
        <v>44.203874205923178</v>
      </c>
      <c r="CA39" s="42">
        <f t="shared" si="34"/>
        <v>45.891752221832895</v>
      </c>
      <c r="CB39" s="42">
        <f t="shared" si="34"/>
        <v>42.351363861127993</v>
      </c>
      <c r="CC39" s="42">
        <f t="shared" si="34"/>
        <v>9.9999999999999982E-8</v>
      </c>
      <c r="CD39" s="46">
        <f t="shared" si="34"/>
        <v>9.9999999999999982E-8</v>
      </c>
      <c r="CE39" s="240">
        <f t="shared" si="34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7.9380445304937079E-9</v>
      </c>
      <c r="CL39" s="46">
        <f>(SUMPRODUCT(CH7:CH37,CL7:CL37))/CH38</f>
        <v>5.4086795030525548E-9</v>
      </c>
      <c r="CM39" s="46">
        <f>(SUMPRODUCT(CI7:CI37,CM7:CM37))/CI38</f>
        <v>2.8823095369027187E-18</v>
      </c>
      <c r="CN39" s="44">
        <f>(SUMPRODUCT(CJ7:CJ37,CN7:CN37))/CJ38</f>
        <v>9.9999999999999982E-8</v>
      </c>
      <c r="CP39" s="667">
        <f>CP38+CQ38</f>
        <v>9276.9524222922446</v>
      </c>
      <c r="CQ39" s="667"/>
      <c r="CR39" s="668">
        <f>CR38+CS38+CV38+CU38+CT38</f>
        <v>4251.8857287946876</v>
      </c>
      <c r="CS39" s="668"/>
      <c r="CT39" s="668"/>
      <c r="CU39" s="668"/>
      <c r="CV39" s="668"/>
      <c r="CW39" s="669">
        <f>CW38+CX38+CZ38+CY38</f>
        <v>8250.1199999152996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39.9</v>
      </c>
      <c r="F40" s="366">
        <v>2.08</v>
      </c>
      <c r="G40" s="366"/>
      <c r="H40" s="401">
        <v>1.4144000000000001</v>
      </c>
      <c r="I40" s="366"/>
      <c r="J40" s="408">
        <v>10.4838</v>
      </c>
      <c r="K40" s="365"/>
      <c r="L40" s="366"/>
      <c r="M40" s="401">
        <v>0.66559999999999997</v>
      </c>
      <c r="N40" s="365"/>
      <c r="O40" s="366"/>
      <c r="P40" s="367"/>
      <c r="Q40" s="368"/>
      <c r="R40" s="367"/>
      <c r="S40" s="369">
        <v>24.532</v>
      </c>
      <c r="T40" s="367"/>
      <c r="U40" s="369">
        <v>1.3</v>
      </c>
      <c r="V40" s="370">
        <v>6500</v>
      </c>
      <c r="W40" s="370">
        <v>6500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590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6500</v>
      </c>
      <c r="AT40" s="379">
        <v>45.5</v>
      </c>
      <c r="AU40" s="380"/>
      <c r="AV40" s="381"/>
      <c r="AW40" s="382"/>
      <c r="AX40" s="365">
        <v>209.68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13528.838151086933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2.7499190059933287E-2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1.7970053378800477</v>
      </c>
      <c r="R41" s="386"/>
      <c r="S41" s="388"/>
      <c r="T41" s="388"/>
      <c r="U41" s="385">
        <f>U39-U40</f>
        <v>-1.4810464530842449E-2</v>
      </c>
      <c r="V41" s="385"/>
      <c r="W41" s="385"/>
      <c r="X41" s="385"/>
      <c r="Y41" s="385"/>
      <c r="Z41" s="389">
        <f>Z39-Z40</f>
        <v>-20.9677419354839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1589.25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CW41" s="411"/>
      <c r="CX41" s="411"/>
      <c r="CY41" s="411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209.67741935483872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31</v>
      </c>
      <c r="CQ43" s="247"/>
      <c r="CS43">
        <v>13528.838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53.928333333333335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30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  <c r="CP45" s="411"/>
      <c r="CQ45" s="411"/>
      <c r="CR45" s="411"/>
      <c r="CS45" s="411"/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216.66666666666666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-80.6200000000008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-1.2403076923077045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  <mergeCell ref="DB5:DF5"/>
    <mergeCell ref="CP39:CQ39"/>
    <mergeCell ref="CR39:CV39"/>
    <mergeCell ref="CW39:CZ39"/>
    <mergeCell ref="CG3:CJ5"/>
    <mergeCell ref="CK3:CN5"/>
    <mergeCell ref="V3:V6"/>
    <mergeCell ref="S4:S6"/>
    <mergeCell ref="T4:T6"/>
    <mergeCell ref="U4:U6"/>
    <mergeCell ref="AE5:AE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L3:AL6"/>
    <mergeCell ref="AM3:AM6"/>
    <mergeCell ref="AN3:AN6"/>
    <mergeCell ref="AO3:AO6"/>
    <mergeCell ref="AP3:AP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F88"/>
  <sheetViews>
    <sheetView showZeros="0" zoomScale="90" zoomScaleNormal="90" workbookViewId="0">
      <pane xSplit="1" ySplit="6" topLeftCell="AB16" activePane="bottomRight" state="frozen"/>
      <selection pane="topRight" activeCell="B1" sqref="B1"/>
      <selection pane="bottomLeft" activeCell="A7" sqref="A7"/>
      <selection pane="bottomRight" activeCell="R27" sqref="R27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140625" customWidth="1"/>
    <col min="11" max="11" width="7" customWidth="1"/>
    <col min="12" max="12" width="8" customWidth="1"/>
    <col min="13" max="13" width="7.28515625" customWidth="1"/>
    <col min="14" max="14" width="7" hidden="1" customWidth="1"/>
    <col min="15" max="15" width="7.28515625" customWidth="1"/>
    <col min="16" max="16" width="9" customWidth="1"/>
    <col min="17" max="17" width="5.140625" customWidth="1"/>
    <col min="18" max="18" width="8.85546875" customWidth="1"/>
    <col min="19" max="19" width="8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</cols>
  <sheetData>
    <row r="1" spans="1:110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0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31</v>
      </c>
      <c r="AT2" s="321"/>
      <c r="AU2" s="321"/>
      <c r="AV2" s="322"/>
      <c r="AW2" s="321"/>
      <c r="AX2" s="323" t="s">
        <v>2</v>
      </c>
      <c r="AY2" s="323"/>
      <c r="AZ2" s="323"/>
      <c r="BA2" s="323"/>
      <c r="BB2" s="323" t="s">
        <v>107</v>
      </c>
      <c r="BC2" s="324"/>
      <c r="BD2" s="49"/>
      <c r="BL2" s="2"/>
    </row>
    <row r="3" spans="1:110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0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0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0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10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0" ht="16.5" customHeight="1">
      <c r="A7" s="102">
        <v>1</v>
      </c>
      <c r="B7" s="103">
        <f>BJ7+BK7+BL7+BM7+BN7+BO7+BP7</f>
        <v>483.41200040000012</v>
      </c>
      <c r="C7" s="104">
        <f t="shared" ref="C7:C37" si="0">IF(B7=0,0,(BJ7*BR7+BK7*BS7+BM7*BU7+BP7*BX7+BL7*BT7+BO7*BW7+BN7*BV7)/B7)</f>
        <v>2.0872644852045337</v>
      </c>
      <c r="D7" s="105">
        <f t="shared" ref="D7:D37" si="1">B7*((100-C7)/100)</f>
        <v>473.32191339843411</v>
      </c>
      <c r="E7" s="104">
        <f t="shared" ref="E7:E37" si="2">IF(B7=0,0,(BJ7*BY7+BK7*BZ7+BM7*CB7+BP7*CE7+BL7*CA7+BO7*CD7+BN7*CC7)/B7)</f>
        <v>40.394393196367155</v>
      </c>
      <c r="F7" s="103">
        <f t="shared" ref="F7:F37" si="3">IF(AX7=0,0,D7/AX7)</f>
        <v>2.0508770457924266</v>
      </c>
      <c r="G7" s="106"/>
      <c r="H7" s="107">
        <f t="shared" ref="H7:H37" si="4">IF(AX7=0,0,(CV7+CS7+CU7+CP7+CT7)/AX7)</f>
        <v>1.1775029836648039</v>
      </c>
      <c r="I7" s="103">
        <f>'[1]сентябрь 20'!AE6</f>
        <v>0</v>
      </c>
      <c r="J7" s="103">
        <f>'[1]январь 20'!AA6</f>
        <v>4.3529999999999998</v>
      </c>
      <c r="K7" s="106"/>
      <c r="L7" s="328">
        <f>BK7+BL7</f>
        <v>201.566</v>
      </c>
      <c r="M7" s="103">
        <f t="shared" ref="M7:M37" si="5">IF(AX7=0,0,(CR7+CQ7)/AX7)</f>
        <v>0.8733740621276227</v>
      </c>
      <c r="N7" s="103">
        <f>'[1]июль 20'!AM6</f>
        <v>0</v>
      </c>
      <c r="O7" s="103">
        <f>'[1]январь 20'!W6</f>
        <v>0</v>
      </c>
      <c r="P7" s="103">
        <v>270.87</v>
      </c>
      <c r="Q7" s="108">
        <f t="shared" ref="Q7:Q37" si="6">IF(P7=0,0,(1-(T7/P7))*100)</f>
        <v>2.0932549931701461</v>
      </c>
      <c r="R7" s="109">
        <f t="shared" ref="R7:R37" si="7">P7*((100-Q7)/100)</f>
        <v>265.20000020000003</v>
      </c>
      <c r="S7" s="106">
        <v>13.73</v>
      </c>
      <c r="T7" s="109">
        <f t="shared" ref="T7:T37" si="8">CG7+CH7+CJ7+CI7</f>
        <v>265.20000020000003</v>
      </c>
      <c r="U7" s="110">
        <f t="shared" ref="U7:U37" si="9">IF(AX7=0,0,R7/AX7)</f>
        <v>1.1490965821742714</v>
      </c>
      <c r="V7" s="136">
        <v>189.06</v>
      </c>
      <c r="W7" s="111">
        <v>230.79</v>
      </c>
      <c r="X7" s="106">
        <v>0.3</v>
      </c>
      <c r="Y7" s="112">
        <v>525</v>
      </c>
      <c r="Z7" s="238">
        <v>1233</v>
      </c>
      <c r="AA7" s="113" t="s">
        <v>109</v>
      </c>
      <c r="AB7" s="106">
        <v>75.27</v>
      </c>
      <c r="AC7" s="112">
        <v>164</v>
      </c>
      <c r="AD7" s="114">
        <v>5</v>
      </c>
      <c r="AE7" s="106">
        <v>14.4</v>
      </c>
      <c r="AF7" s="115">
        <f t="shared" ref="AF7:AF37" si="10">IF(AX7=0,0,AE7/AX7*1000)</f>
        <v>62.394384505394527</v>
      </c>
      <c r="AG7" s="106">
        <v>144.75</v>
      </c>
      <c r="AH7" s="115">
        <f t="shared" ref="AH7:AH37" si="11">IF(AX7=0,0,AG7/AX7*1000)</f>
        <v>627.19355258026792</v>
      </c>
      <c r="AI7" s="106">
        <v>32.19</v>
      </c>
      <c r="AJ7" s="116"/>
      <c r="AK7" s="117">
        <v>8.74</v>
      </c>
      <c r="AL7" s="118">
        <v>53.6</v>
      </c>
      <c r="AM7" s="110">
        <f t="shared" ref="AM7:AM37" si="12">IF(AL7=0,0,AL7/AS7)</f>
        <v>0.18521078092605392</v>
      </c>
      <c r="AN7" s="119" t="s">
        <v>110</v>
      </c>
      <c r="AO7" s="403">
        <v>11</v>
      </c>
      <c r="AP7" s="120">
        <v>6.3</v>
      </c>
      <c r="AQ7" s="106"/>
      <c r="AR7" s="106">
        <v>15.4</v>
      </c>
      <c r="AS7" s="314">
        <v>289.39999999999998</v>
      </c>
      <c r="AT7" s="121">
        <v>3.73</v>
      </c>
      <c r="AU7" s="122"/>
      <c r="AV7" s="123"/>
      <c r="AW7" s="124"/>
      <c r="AX7" s="109">
        <f t="shared" ref="AX7:AX37" si="13">AS7-AL7-AK7+AV7+AT7</f>
        <v>230.78999999999996</v>
      </c>
      <c r="AY7" s="115">
        <f>IF(AB7=0,0,((D7*0.97)*(E7/100)*0.9)/(AB7/100))</f>
        <v>221.75326744430049</v>
      </c>
      <c r="AZ7" s="125">
        <f t="shared" ref="AZ7:AZ37" si="14">(AG7*AR7)/100*(55/71)</f>
        <v>17.268063380281689</v>
      </c>
      <c r="BA7" s="115">
        <f t="shared" ref="BA7:BA23" si="15">AX7*$BA$6</f>
        <v>9.2315999999999985</v>
      </c>
      <c r="BB7" s="103">
        <f t="shared" ref="BB7:BB37" si="16">IF((D7*E7)=0,0,(AX7*AB7)/(D7*E7))</f>
        <v>0.90857587949907992</v>
      </c>
      <c r="BC7" s="115">
        <f t="shared" ref="BC7:BC37" si="17">AZ7+BA7</f>
        <v>26.499663380281689</v>
      </c>
      <c r="BD7" s="126">
        <v>0.90900000000000003</v>
      </c>
      <c r="BE7" s="16">
        <f>AX7</f>
        <v>230.78999999999996</v>
      </c>
      <c r="BF7" s="16">
        <f t="shared" ref="BF7:BF38" si="18">IF(A7&lt;=$BD$43,$AS$43,0)</f>
        <v>209.67741935483872</v>
      </c>
      <c r="BG7" s="16">
        <f>BF7</f>
        <v>209.67741935483872</v>
      </c>
      <c r="BH7" s="17">
        <f t="shared" ref="BH7:BH37" si="19">IF(AX7&lt;&gt;0,1,0)</f>
        <v>1</v>
      </c>
      <c r="BI7" s="16">
        <f>BF7*BH7</f>
        <v>209.67741935483872</v>
      </c>
      <c r="BJ7" s="336">
        <v>281.846</v>
      </c>
      <c r="BK7" s="336">
        <v>107.754</v>
      </c>
      <c r="BL7" s="336">
        <v>93.811999999999998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3.58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36.340000000000003</v>
      </c>
      <c r="BZ7" s="336">
        <v>46.65</v>
      </c>
      <c r="CA7" s="336">
        <v>45.39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62.5</v>
      </c>
      <c r="CH7" s="336">
        <v>202.7</v>
      </c>
      <c r="CI7" s="336">
        <v>9.9999999999999995E-8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271.75591320000001</v>
      </c>
      <c r="CQ7" s="22">
        <f t="shared" si="20"/>
        <v>107.75399989224601</v>
      </c>
      <c r="CR7" s="22">
        <f t="shared" si="20"/>
        <v>93.811999906188007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62.4999999375</v>
      </c>
      <c r="CX7" s="21">
        <f t="shared" si="21"/>
        <v>202.69999979729999</v>
      </c>
      <c r="CY7" s="21">
        <f t="shared" si="21"/>
        <v>9.99999999E-8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</row>
    <row r="8" spans="1:110" ht="16.5" customHeight="1">
      <c r="A8" s="127">
        <v>2</v>
      </c>
      <c r="B8" s="103">
        <f t="shared" ref="B8:B37" si="24">BJ8+BK8+BL8+BM8+BN8+BO8+BP8</f>
        <v>509.88599999999997</v>
      </c>
      <c r="C8" s="104">
        <f t="shared" si="0"/>
        <v>1.5947409813173927</v>
      </c>
      <c r="D8" s="105">
        <f t="shared" si="1"/>
        <v>501.754639</v>
      </c>
      <c r="E8" s="104">
        <f t="shared" si="2"/>
        <v>40.328833464735254</v>
      </c>
      <c r="F8" s="128">
        <f t="shared" si="3"/>
        <v>2.3437716694693576</v>
      </c>
      <c r="G8" s="106"/>
      <c r="H8" s="107">
        <f t="shared" si="4"/>
        <v>1.3482513032511212</v>
      </c>
      <c r="I8" s="103">
        <f>'[1]сентябрь 20'!AE7</f>
        <v>0</v>
      </c>
      <c r="J8" s="103">
        <f>'[1]январь 20'!AA7</f>
        <v>1.8779999999999999</v>
      </c>
      <c r="K8" s="106"/>
      <c r="L8" s="328">
        <f t="shared" ref="L8:L37" si="25">BK8+BL8</f>
        <v>213.12100000000001</v>
      </c>
      <c r="M8" s="103">
        <f t="shared" si="5"/>
        <v>0.99552036621823625</v>
      </c>
      <c r="N8" s="103">
        <f>'[1]июль 20'!AM7</f>
        <v>0</v>
      </c>
      <c r="O8" s="103">
        <f>'[1]январь 20'!W7</f>
        <v>0</v>
      </c>
      <c r="P8" s="103">
        <v>291.19</v>
      </c>
      <c r="Q8" s="108">
        <f t="shared" si="6"/>
        <v>2.0742470551873393</v>
      </c>
      <c r="R8" s="109">
        <f t="shared" si="7"/>
        <v>285.14999999999998</v>
      </c>
      <c r="S8" s="106">
        <v>14.9</v>
      </c>
      <c r="T8" s="109">
        <f t="shared" si="8"/>
        <v>285.14999999999998</v>
      </c>
      <c r="U8" s="110">
        <f t="shared" si="9"/>
        <v>1.3319786995515694</v>
      </c>
      <c r="V8" s="136">
        <v>124.69</v>
      </c>
      <c r="W8" s="130">
        <v>167.47</v>
      </c>
      <c r="X8" s="131">
        <v>0.46</v>
      </c>
      <c r="Y8" s="112">
        <v>635</v>
      </c>
      <c r="Z8" s="112">
        <v>1239</v>
      </c>
      <c r="AA8" s="132" t="s">
        <v>111</v>
      </c>
      <c r="AB8" s="131">
        <v>75.069999999999993</v>
      </c>
      <c r="AC8" s="133">
        <v>173</v>
      </c>
      <c r="AD8" s="134">
        <v>5</v>
      </c>
      <c r="AE8" s="131">
        <v>6.75</v>
      </c>
      <c r="AF8" s="115">
        <f t="shared" si="10"/>
        <v>31.530269058295964</v>
      </c>
      <c r="AG8" s="131">
        <v>130.5</v>
      </c>
      <c r="AH8" s="115">
        <f t="shared" si="11"/>
        <v>609.58520179372204</v>
      </c>
      <c r="AI8" s="131">
        <v>32.15</v>
      </c>
      <c r="AJ8" s="116"/>
      <c r="AK8" s="135">
        <v>12.42</v>
      </c>
      <c r="AL8" s="136">
        <v>54.09</v>
      </c>
      <c r="AM8" s="110">
        <f t="shared" si="12"/>
        <v>0.19338577046835898</v>
      </c>
      <c r="AN8" s="137" t="s">
        <v>112</v>
      </c>
      <c r="AO8" s="150">
        <v>12.2</v>
      </c>
      <c r="AP8" s="138">
        <v>6.43</v>
      </c>
      <c r="AQ8" s="131"/>
      <c r="AR8" s="131">
        <v>12.4</v>
      </c>
      <c r="AS8" s="315">
        <v>279.7</v>
      </c>
      <c r="AT8" s="131">
        <v>0.89</v>
      </c>
      <c r="AU8" s="116"/>
      <c r="AV8" s="131"/>
      <c r="AW8" s="109"/>
      <c r="AX8" s="109">
        <f t="shared" si="13"/>
        <v>214.07999999999998</v>
      </c>
      <c r="AY8" s="115">
        <f t="shared" ref="AY8:AY37" si="26">IF(AB8=0,0,((D8*0.97)*(E8/100)*0.9)/(AB8/100))</f>
        <v>235.31785677751313</v>
      </c>
      <c r="AZ8" s="140">
        <f t="shared" si="14"/>
        <v>12.535352112676058</v>
      </c>
      <c r="BA8" s="141">
        <f t="shared" si="15"/>
        <v>8.5632000000000001</v>
      </c>
      <c r="BB8" s="128">
        <f t="shared" si="16"/>
        <v>0.79421019109782787</v>
      </c>
      <c r="BC8" s="141">
        <f t="shared" si="17"/>
        <v>21.09855211267606</v>
      </c>
      <c r="BD8" s="142">
        <v>0.85</v>
      </c>
      <c r="BE8" s="16">
        <f t="shared" ref="BE8:BE37" si="27">BE7+AX8</f>
        <v>444.86999999999995</v>
      </c>
      <c r="BF8" s="16">
        <f t="shared" si="18"/>
        <v>209.67741935483872</v>
      </c>
      <c r="BG8" s="16">
        <f t="shared" ref="BG8:BG37" si="28">BF8+BG7</f>
        <v>419.35483870967744</v>
      </c>
      <c r="BH8" s="17">
        <f t="shared" si="19"/>
        <v>1</v>
      </c>
      <c r="BI8" s="16">
        <f t="shared" ref="BI8:BI37" si="29">BI7+BF8*BH8</f>
        <v>419.35483870967744</v>
      </c>
      <c r="BJ8" s="249">
        <v>296.76499999999999</v>
      </c>
      <c r="BK8" s="195"/>
      <c r="BL8" s="197">
        <v>213.12100000000001</v>
      </c>
      <c r="BM8" s="197"/>
      <c r="BN8" s="230"/>
      <c r="BO8" s="230"/>
      <c r="BP8" s="250"/>
      <c r="BQ8" s="199"/>
      <c r="BR8" s="200">
        <v>2.74</v>
      </c>
      <c r="BS8" s="200"/>
      <c r="BT8" s="200"/>
      <c r="BU8" s="200"/>
      <c r="BV8" s="208"/>
      <c r="BW8" s="208"/>
      <c r="BX8" s="198"/>
      <c r="BY8" s="202">
        <v>36.450000000000003</v>
      </c>
      <c r="BZ8" s="200"/>
      <c r="CA8" s="200">
        <v>45.73</v>
      </c>
      <c r="CB8" s="200"/>
      <c r="CC8" s="197"/>
      <c r="CD8" s="197"/>
      <c r="CE8" s="197"/>
      <c r="CF8" s="203"/>
      <c r="CG8" s="204">
        <v>67</v>
      </c>
      <c r="CH8" s="197">
        <v>218.15</v>
      </c>
      <c r="CI8" s="197"/>
      <c r="CJ8" s="198"/>
      <c r="CK8" s="205"/>
      <c r="CL8" s="206"/>
      <c r="CM8" s="269"/>
      <c r="CN8" s="207"/>
      <c r="CO8" s="284"/>
      <c r="CP8" s="286">
        <f t="shared" si="20"/>
        <v>288.63363900000002</v>
      </c>
      <c r="CQ8" s="24">
        <f t="shared" si="20"/>
        <v>0</v>
      </c>
      <c r="CR8" s="25">
        <f t="shared" si="20"/>
        <v>213.12100000000001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67</v>
      </c>
      <c r="CX8" s="26">
        <f t="shared" si="21"/>
        <v>218.15</v>
      </c>
      <c r="CY8" s="277">
        <f t="shared" si="21"/>
        <v>0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30">IF(I8=0,0,(DE8*DD8%)/(AB8/100))</f>
        <v>0</v>
      </c>
    </row>
    <row r="9" spans="1:110" ht="16.5" customHeight="1">
      <c r="A9" s="127">
        <v>3</v>
      </c>
      <c r="B9" s="103">
        <f t="shared" si="24"/>
        <v>549.70799999999997</v>
      </c>
      <c r="C9" s="104">
        <f t="shared" si="0"/>
        <v>1.6740831314079476</v>
      </c>
      <c r="D9" s="143">
        <f t="shared" si="1"/>
        <v>540.5054310999999</v>
      </c>
      <c r="E9" s="104">
        <f t="shared" si="2"/>
        <v>40.765256718112163</v>
      </c>
      <c r="F9" s="128">
        <f t="shared" si="3"/>
        <v>1.9342450297022613</v>
      </c>
      <c r="G9" s="106"/>
      <c r="H9" s="107">
        <f t="shared" si="4"/>
        <v>1.1145306008445461</v>
      </c>
      <c r="I9" s="103">
        <f>'[1]сентябрь 20'!AE8</f>
        <v>0</v>
      </c>
      <c r="J9" s="103">
        <f>'[1]январь 20'!AA8</f>
        <v>3.1419999999999999</v>
      </c>
      <c r="K9" s="106"/>
      <c r="L9" s="328">
        <f t="shared" si="25"/>
        <v>229.06100000000001</v>
      </c>
      <c r="M9" s="103">
        <f t="shared" si="5"/>
        <v>0.8197144288577155</v>
      </c>
      <c r="N9" s="103">
        <f>'[1]июль 20'!AM8</f>
        <v>0</v>
      </c>
      <c r="O9" s="103">
        <f>'[1]январь 20'!W8</f>
        <v>0</v>
      </c>
      <c r="P9" s="103">
        <v>314.8</v>
      </c>
      <c r="Q9" s="108">
        <f t="shared" si="6"/>
        <v>2.1569250317662103</v>
      </c>
      <c r="R9" s="109">
        <f t="shared" si="7"/>
        <v>308.01</v>
      </c>
      <c r="S9" s="106">
        <v>10.98</v>
      </c>
      <c r="T9" s="109">
        <f t="shared" si="8"/>
        <v>308.01</v>
      </c>
      <c r="U9" s="110">
        <f t="shared" si="9"/>
        <v>1.1022401946750644</v>
      </c>
      <c r="V9" s="136">
        <v>279.44</v>
      </c>
      <c r="W9" s="130">
        <v>279.44</v>
      </c>
      <c r="X9" s="131">
        <v>0.37</v>
      </c>
      <c r="Y9" s="112">
        <v>606</v>
      </c>
      <c r="Z9" s="112">
        <v>1257</v>
      </c>
      <c r="AA9" s="144" t="s">
        <v>109</v>
      </c>
      <c r="AB9" s="131">
        <v>75.88</v>
      </c>
      <c r="AC9" s="133">
        <v>185</v>
      </c>
      <c r="AD9" s="134">
        <v>5</v>
      </c>
      <c r="AE9" s="131">
        <v>6.1</v>
      </c>
      <c r="AF9" s="115">
        <f t="shared" si="10"/>
        <v>21.829373031777841</v>
      </c>
      <c r="AG9" s="131">
        <v>136.9</v>
      </c>
      <c r="AH9" s="115">
        <f t="shared" si="11"/>
        <v>489.90838820498141</v>
      </c>
      <c r="AI9" s="131">
        <v>28.43</v>
      </c>
      <c r="AJ9" s="116"/>
      <c r="AK9" s="135">
        <v>10.18</v>
      </c>
      <c r="AL9" s="136">
        <v>55.81</v>
      </c>
      <c r="AM9" s="110">
        <f t="shared" si="12"/>
        <v>0.16318713450292399</v>
      </c>
      <c r="AN9" s="137" t="s">
        <v>113</v>
      </c>
      <c r="AO9" s="150">
        <v>13.23</v>
      </c>
      <c r="AP9" s="131">
        <v>6.77</v>
      </c>
      <c r="AQ9" s="131"/>
      <c r="AR9" s="131">
        <v>9.0399999999999991</v>
      </c>
      <c r="AS9" s="315">
        <v>342</v>
      </c>
      <c r="AT9" s="131">
        <v>3.43</v>
      </c>
      <c r="AU9" s="116"/>
      <c r="AV9" s="131"/>
      <c r="AW9" s="109"/>
      <c r="AX9" s="109">
        <f t="shared" si="13"/>
        <v>279.44</v>
      </c>
      <c r="AY9" s="115">
        <f t="shared" si="26"/>
        <v>253.49953398750739</v>
      </c>
      <c r="AZ9" s="140">
        <f t="shared" si="14"/>
        <v>9.5868563380281682</v>
      </c>
      <c r="BA9" s="141">
        <f t="shared" si="15"/>
        <v>11.1776</v>
      </c>
      <c r="BB9" s="128">
        <f t="shared" si="16"/>
        <v>0.96233360339045859</v>
      </c>
      <c r="BC9" s="141">
        <f t="shared" si="17"/>
        <v>20.764456338028168</v>
      </c>
      <c r="BD9" s="142">
        <v>0.89</v>
      </c>
      <c r="BE9" s="16">
        <f t="shared" si="27"/>
        <v>724.31</v>
      </c>
      <c r="BF9" s="16">
        <f t="shared" si="18"/>
        <v>209.67741935483872</v>
      </c>
      <c r="BG9" s="16">
        <f t="shared" si="28"/>
        <v>629.0322580645161</v>
      </c>
      <c r="BH9" s="17">
        <f t="shared" si="19"/>
        <v>1</v>
      </c>
      <c r="BI9" s="16">
        <f t="shared" si="29"/>
        <v>629.0322580645161</v>
      </c>
      <c r="BJ9" s="249">
        <v>320.64699999999999</v>
      </c>
      <c r="BK9" s="195"/>
      <c r="BL9" s="197">
        <v>229.06100000000001</v>
      </c>
      <c r="BM9" s="197"/>
      <c r="BN9" s="230"/>
      <c r="BO9" s="230"/>
      <c r="BP9" s="250"/>
      <c r="BQ9" s="199"/>
      <c r="BR9" s="200">
        <v>2.87</v>
      </c>
      <c r="BS9" s="200"/>
      <c r="BT9" s="200"/>
      <c r="BU9" s="200"/>
      <c r="BV9" s="208"/>
      <c r="BW9" s="208"/>
      <c r="BX9" s="201"/>
      <c r="BY9" s="202">
        <v>37.090000000000003</v>
      </c>
      <c r="BZ9" s="200"/>
      <c r="CA9" s="200">
        <v>45.91</v>
      </c>
      <c r="CB9" s="200"/>
      <c r="CC9" s="200"/>
      <c r="CD9" s="200"/>
      <c r="CE9" s="200"/>
      <c r="CF9" s="203"/>
      <c r="CG9" s="204">
        <v>73</v>
      </c>
      <c r="CH9" s="197">
        <v>235.01</v>
      </c>
      <c r="CI9" s="197"/>
      <c r="CJ9" s="198"/>
      <c r="CK9" s="202"/>
      <c r="CL9" s="208"/>
      <c r="CM9" s="208"/>
      <c r="CN9" s="201"/>
      <c r="CO9" s="284"/>
      <c r="CP9" s="286">
        <f t="shared" si="20"/>
        <v>311.44443109999997</v>
      </c>
      <c r="CQ9" s="27">
        <f t="shared" si="20"/>
        <v>0</v>
      </c>
      <c r="CR9" s="28">
        <f t="shared" si="20"/>
        <v>229.06100000000001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73</v>
      </c>
      <c r="CX9" s="26">
        <f t="shared" si="21"/>
        <v>235.01</v>
      </c>
      <c r="CY9" s="277">
        <f t="shared" si="21"/>
        <v>0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30"/>
        <v>0</v>
      </c>
    </row>
    <row r="10" spans="1:110" ht="16.5" customHeight="1">
      <c r="A10" s="127">
        <v>4</v>
      </c>
      <c r="B10" s="103">
        <f t="shared" si="24"/>
        <v>454.15499999999997</v>
      </c>
      <c r="C10" s="104">
        <f t="shared" si="0"/>
        <v>2.5374027809888697</v>
      </c>
      <c r="D10" s="143">
        <f t="shared" si="1"/>
        <v>442.63125839999998</v>
      </c>
      <c r="E10" s="104">
        <f t="shared" si="2"/>
        <v>40.463158371040727</v>
      </c>
      <c r="F10" s="128">
        <f t="shared" si="3"/>
        <v>1.9463163239820596</v>
      </c>
      <c r="G10" s="106"/>
      <c r="H10" s="107">
        <f t="shared" si="4"/>
        <v>1.1168774004045379</v>
      </c>
      <c r="I10" s="103">
        <f>'[1]сентябрь 20'!AE9</f>
        <v>0</v>
      </c>
      <c r="J10" s="103">
        <f>'[1]январь 20'!AA9</f>
        <v>3.0539999999999998</v>
      </c>
      <c r="K10" s="106"/>
      <c r="L10" s="328">
        <f t="shared" si="25"/>
        <v>188.631</v>
      </c>
      <c r="M10" s="103">
        <f t="shared" si="5"/>
        <v>0.8294389235775218</v>
      </c>
      <c r="N10" s="103">
        <f>'[1]июль 20'!AM9</f>
        <v>0</v>
      </c>
      <c r="O10" s="103">
        <f>'[1]январь 20'!W9</f>
        <v>0</v>
      </c>
      <c r="P10" s="103">
        <v>259.10000000000002</v>
      </c>
      <c r="Q10" s="108">
        <f t="shared" si="6"/>
        <v>2.1497491316094242</v>
      </c>
      <c r="R10" s="109">
        <f t="shared" si="7"/>
        <v>253.53</v>
      </c>
      <c r="S10" s="106">
        <v>12.54</v>
      </c>
      <c r="T10" s="109">
        <f t="shared" si="8"/>
        <v>253.53</v>
      </c>
      <c r="U10" s="110">
        <f t="shared" si="9"/>
        <v>1.1148096033770118</v>
      </c>
      <c r="V10" s="136">
        <v>183.04</v>
      </c>
      <c r="W10" s="130">
        <v>89.77</v>
      </c>
      <c r="X10" s="131">
        <v>1.2</v>
      </c>
      <c r="Y10" s="112">
        <v>659</v>
      </c>
      <c r="Z10" s="112">
        <v>1255</v>
      </c>
      <c r="AA10" s="144" t="s">
        <v>114</v>
      </c>
      <c r="AB10" s="131">
        <v>75.260000000000005</v>
      </c>
      <c r="AC10" s="133">
        <v>154</v>
      </c>
      <c r="AD10" s="134">
        <v>5</v>
      </c>
      <c r="AE10" s="131">
        <v>6.95</v>
      </c>
      <c r="AF10" s="115">
        <f t="shared" si="10"/>
        <v>30.56019699234896</v>
      </c>
      <c r="AG10" s="131">
        <v>102.55</v>
      </c>
      <c r="AH10" s="115">
        <f t="shared" si="11"/>
        <v>450.92779878638646</v>
      </c>
      <c r="AI10" s="131">
        <v>34.270000000000003</v>
      </c>
      <c r="AJ10" s="116"/>
      <c r="AK10" s="135">
        <v>7.2</v>
      </c>
      <c r="AL10" s="136">
        <v>54.01</v>
      </c>
      <c r="AM10" s="110">
        <f t="shared" si="12"/>
        <v>0.18874716058011534</v>
      </c>
      <c r="AN10" s="137" t="s">
        <v>115</v>
      </c>
      <c r="AO10" s="150">
        <v>14.32</v>
      </c>
      <c r="AP10" s="138">
        <v>6.66</v>
      </c>
      <c r="AQ10" s="131"/>
      <c r="AR10" s="131">
        <v>8.1300000000000008</v>
      </c>
      <c r="AS10" s="315">
        <v>286.14999999999998</v>
      </c>
      <c r="AT10" s="131">
        <v>2.48</v>
      </c>
      <c r="AU10" s="116"/>
      <c r="AV10" s="131"/>
      <c r="AW10" s="109"/>
      <c r="AX10" s="109">
        <f t="shared" si="13"/>
        <v>227.42</v>
      </c>
      <c r="AY10" s="115">
        <f>IF(AB10=0,0,((D10*0.97)*(E10/100)*0.9)/(AB10/100))</f>
        <v>207.75519336458271</v>
      </c>
      <c r="AZ10" s="140">
        <f t="shared" si="14"/>
        <v>6.4584834507042252</v>
      </c>
      <c r="BA10" s="141">
        <f t="shared" si="15"/>
        <v>9.0968</v>
      </c>
      <c r="BB10" s="128">
        <f t="shared" si="16"/>
        <v>0.95563271745314604</v>
      </c>
      <c r="BC10" s="141">
        <f t="shared" si="17"/>
        <v>15.555283450704225</v>
      </c>
      <c r="BD10" s="142">
        <v>0.90500000000000003</v>
      </c>
      <c r="BE10" s="16">
        <f t="shared" si="27"/>
        <v>951.7299999999999</v>
      </c>
      <c r="BF10" s="16">
        <f t="shared" si="18"/>
        <v>209.67741935483872</v>
      </c>
      <c r="BG10" s="16">
        <f t="shared" si="28"/>
        <v>838.70967741935488</v>
      </c>
      <c r="BH10" s="17">
        <f t="shared" si="19"/>
        <v>1</v>
      </c>
      <c r="BI10" s="16">
        <f t="shared" si="29"/>
        <v>838.70967741935488</v>
      </c>
      <c r="BJ10" s="249">
        <v>265.524</v>
      </c>
      <c r="BK10" s="195"/>
      <c r="BL10" s="197">
        <v>188.631</v>
      </c>
      <c r="BM10" s="195"/>
      <c r="BN10" s="195"/>
      <c r="BO10" s="230"/>
      <c r="BP10" s="250"/>
      <c r="BQ10" s="199"/>
      <c r="BR10" s="200">
        <v>4.34</v>
      </c>
      <c r="BS10" s="200"/>
      <c r="BT10" s="200"/>
      <c r="BU10" s="200"/>
      <c r="BV10" s="208"/>
      <c r="BW10" s="208"/>
      <c r="BX10" s="201"/>
      <c r="BY10" s="202">
        <v>36.479999999999997</v>
      </c>
      <c r="BZ10" s="200"/>
      <c r="CA10" s="200">
        <v>46.07</v>
      </c>
      <c r="CB10" s="200"/>
      <c r="CC10" s="200"/>
      <c r="CD10" s="200"/>
      <c r="CE10" s="200"/>
      <c r="CF10" s="203"/>
      <c r="CG10" s="204">
        <v>57.5</v>
      </c>
      <c r="CH10" s="197">
        <v>196.03</v>
      </c>
      <c r="CI10" s="197"/>
      <c r="CJ10" s="198"/>
      <c r="CK10" s="202"/>
      <c r="CL10" s="208"/>
      <c r="CM10" s="208"/>
      <c r="CN10" s="201"/>
      <c r="CO10" s="284"/>
      <c r="CP10" s="286">
        <f t="shared" si="20"/>
        <v>254.00025840000001</v>
      </c>
      <c r="CQ10" s="29">
        <f t="shared" si="20"/>
        <v>0</v>
      </c>
      <c r="CR10" s="30">
        <f t="shared" si="20"/>
        <v>188.631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57.5</v>
      </c>
      <c r="CX10" s="26">
        <f t="shared" si="21"/>
        <v>196.03</v>
      </c>
      <c r="CY10" s="277">
        <f t="shared" si="21"/>
        <v>0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30"/>
        <v>0</v>
      </c>
    </row>
    <row r="11" spans="1:110" ht="16.5" customHeight="1">
      <c r="A11" s="127">
        <v>5</v>
      </c>
      <c r="B11" s="103">
        <f t="shared" si="24"/>
        <v>426.81400000000002</v>
      </c>
      <c r="C11" s="104">
        <f t="shared" si="0"/>
        <v>1.3670504482046042</v>
      </c>
      <c r="D11" s="143">
        <f t="shared" si="1"/>
        <v>420.97923730000002</v>
      </c>
      <c r="E11" s="104">
        <f t="shared" si="2"/>
        <v>40.463016302183156</v>
      </c>
      <c r="F11" s="128">
        <f t="shared" si="3"/>
        <v>1.9306546081174043</v>
      </c>
      <c r="G11" s="106"/>
      <c r="H11" s="107">
        <f>IF(AX11=0,0,(CV11+CS11+CU11+CP11+CT11)/AX11)</f>
        <v>1.1216887745929833</v>
      </c>
      <c r="I11" s="103">
        <f>'[1]сентябрь 20'!AE10</f>
        <v>0</v>
      </c>
      <c r="J11" s="103">
        <f>'[1]январь 20'!AA10</f>
        <v>3.2210000000000001</v>
      </c>
      <c r="K11" s="106"/>
      <c r="L11" s="328">
        <f t="shared" si="25"/>
        <v>176.39500000000001</v>
      </c>
      <c r="M11" s="103">
        <f t="shared" si="5"/>
        <v>0.80896583352442097</v>
      </c>
      <c r="N11" s="103">
        <f>'[1]июль 20'!AM10</f>
        <v>0</v>
      </c>
      <c r="O11" s="103">
        <f>'[1]январь 20'!W10</f>
        <v>0</v>
      </c>
      <c r="P11" s="103">
        <v>239.7</v>
      </c>
      <c r="Q11" s="108">
        <f t="shared" si="6"/>
        <v>1.7438464747601023</v>
      </c>
      <c r="R11" s="109">
        <f t="shared" si="7"/>
        <v>235.52</v>
      </c>
      <c r="S11" s="106">
        <v>11.59</v>
      </c>
      <c r="T11" s="109">
        <f t="shared" si="8"/>
        <v>235.52</v>
      </c>
      <c r="U11" s="110">
        <f t="shared" si="9"/>
        <v>1.0801192387067187</v>
      </c>
      <c r="V11" s="136">
        <v>168.95</v>
      </c>
      <c r="W11" s="130">
        <v>173.83</v>
      </c>
      <c r="X11" s="131">
        <v>0.92</v>
      </c>
      <c r="Y11" s="112">
        <v>628</v>
      </c>
      <c r="Z11" s="112">
        <v>1249</v>
      </c>
      <c r="AA11" s="144" t="s">
        <v>116</v>
      </c>
      <c r="AB11" s="131">
        <v>75.31</v>
      </c>
      <c r="AC11" s="133">
        <v>145</v>
      </c>
      <c r="AD11" s="134">
        <v>5</v>
      </c>
      <c r="AE11" s="131">
        <v>7.1</v>
      </c>
      <c r="AF11" s="115">
        <f t="shared" si="10"/>
        <v>32.561339142398531</v>
      </c>
      <c r="AG11" s="131">
        <v>113.1</v>
      </c>
      <c r="AH11" s="115">
        <f t="shared" si="11"/>
        <v>518.68837422609488</v>
      </c>
      <c r="AI11" s="131">
        <v>32.979999999999997</v>
      </c>
      <c r="AJ11" s="116"/>
      <c r="AK11" s="135">
        <v>12.28</v>
      </c>
      <c r="AL11" s="136">
        <v>55.5</v>
      </c>
      <c r="AM11" s="110">
        <f t="shared" si="12"/>
        <v>0.19535374868004221</v>
      </c>
      <c r="AN11" s="137" t="s">
        <v>117</v>
      </c>
      <c r="AO11" s="150">
        <v>13.36</v>
      </c>
      <c r="AP11" s="138">
        <v>6.6</v>
      </c>
      <c r="AQ11" s="131"/>
      <c r="AR11" s="131">
        <v>10.16</v>
      </c>
      <c r="AS11" s="315">
        <v>284.10000000000002</v>
      </c>
      <c r="AT11" s="131">
        <v>1.73</v>
      </c>
      <c r="AU11" s="145"/>
      <c r="AV11" s="131"/>
      <c r="AW11" s="109"/>
      <c r="AX11" s="109">
        <f t="shared" si="13"/>
        <v>218.05</v>
      </c>
      <c r="AY11" s="115">
        <f t="shared" si="26"/>
        <v>197.46063397355218</v>
      </c>
      <c r="AZ11" s="140">
        <f t="shared" si="14"/>
        <v>8.9014478873239433</v>
      </c>
      <c r="BA11" s="141">
        <f t="shared" si="15"/>
        <v>8.7220000000000013</v>
      </c>
      <c r="BB11" s="128">
        <f t="shared" si="16"/>
        <v>0.964028354256659</v>
      </c>
      <c r="BC11" s="141">
        <f t="shared" si="17"/>
        <v>17.623447887323945</v>
      </c>
      <c r="BD11" s="142">
        <v>0.91500000000000004</v>
      </c>
      <c r="BE11" s="16">
        <f t="shared" si="27"/>
        <v>1169.78</v>
      </c>
      <c r="BF11" s="16">
        <f t="shared" si="18"/>
        <v>209.67741935483872</v>
      </c>
      <c r="BG11" s="16">
        <f t="shared" si="28"/>
        <v>1048.3870967741937</v>
      </c>
      <c r="BH11" s="17">
        <f t="shared" si="19"/>
        <v>1</v>
      </c>
      <c r="BI11" s="16">
        <f t="shared" si="29"/>
        <v>1048.3870967741937</v>
      </c>
      <c r="BJ11" s="249">
        <v>250.41900000000001</v>
      </c>
      <c r="BK11" s="195"/>
      <c r="BL11" s="197">
        <v>176.39500000000001</v>
      </c>
      <c r="BM11" s="197"/>
      <c r="BN11" s="230"/>
      <c r="BO11" s="230"/>
      <c r="BP11" s="250"/>
      <c r="BQ11" s="199"/>
      <c r="BR11" s="200">
        <v>2.33</v>
      </c>
      <c r="BS11" s="200"/>
      <c r="BT11" s="200"/>
      <c r="BU11" s="200"/>
      <c r="BV11" s="208"/>
      <c r="BW11" s="208"/>
      <c r="BX11" s="201"/>
      <c r="BY11" s="202">
        <v>36.76</v>
      </c>
      <c r="BZ11" s="200"/>
      <c r="CA11" s="200">
        <v>45.72</v>
      </c>
      <c r="CB11" s="200"/>
      <c r="CC11" s="200"/>
      <c r="CD11" s="200"/>
      <c r="CE11" s="200"/>
      <c r="CF11" s="203"/>
      <c r="CG11" s="204">
        <v>53</v>
      </c>
      <c r="CH11" s="197">
        <v>182.52</v>
      </c>
      <c r="CI11" s="230"/>
      <c r="CJ11" s="198"/>
      <c r="CK11" s="202"/>
      <c r="CL11" s="208"/>
      <c r="CM11" s="208"/>
      <c r="CN11" s="201"/>
      <c r="CO11" s="284"/>
      <c r="CP11" s="286">
        <f t="shared" si="20"/>
        <v>244.58423730000001</v>
      </c>
      <c r="CQ11" s="24">
        <f t="shared" si="20"/>
        <v>0</v>
      </c>
      <c r="CR11" s="25">
        <f t="shared" si="20"/>
        <v>176.39500000000001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53</v>
      </c>
      <c r="CX11" s="26">
        <f t="shared" si="21"/>
        <v>182.52</v>
      </c>
      <c r="CY11" s="277">
        <f t="shared" si="21"/>
        <v>0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30"/>
        <v>0</v>
      </c>
    </row>
    <row r="12" spans="1:110" ht="16.5" customHeight="1">
      <c r="A12" s="127">
        <v>6</v>
      </c>
      <c r="B12" s="103">
        <f t="shared" si="24"/>
        <v>452.33100000000002</v>
      </c>
      <c r="C12" s="104">
        <f t="shared" si="0"/>
        <v>1.6746513946645265</v>
      </c>
      <c r="D12" s="143">
        <f t="shared" si="1"/>
        <v>444.75603260000008</v>
      </c>
      <c r="E12" s="104">
        <f t="shared" si="2"/>
        <v>40.655443226309934</v>
      </c>
      <c r="F12" s="128">
        <f t="shared" si="3"/>
        <v>2.1974112282608704</v>
      </c>
      <c r="G12" s="106"/>
      <c r="H12" s="107">
        <f t="shared" si="4"/>
        <v>1.2711661689723321</v>
      </c>
      <c r="I12" s="103">
        <f>'[1]сентябрь 20'!AE11</f>
        <v>0</v>
      </c>
      <c r="J12" s="103">
        <f>'[1]январь 20'!AA11</f>
        <v>3.1640000000000001</v>
      </c>
      <c r="K12" s="106"/>
      <c r="L12" s="328">
        <f t="shared" si="25"/>
        <v>187.47200000000001</v>
      </c>
      <c r="M12" s="103">
        <f t="shared" si="5"/>
        <v>0.92624505928853773</v>
      </c>
      <c r="N12" s="103">
        <f>'[1]июль 20'!AM11</f>
        <v>0</v>
      </c>
      <c r="O12" s="103">
        <f>'[1]январь 20'!W11</f>
        <v>0</v>
      </c>
      <c r="P12" s="103">
        <v>254.97</v>
      </c>
      <c r="Q12" s="108">
        <f t="shared" si="6"/>
        <v>2.110052162999565</v>
      </c>
      <c r="R12" s="109">
        <f t="shared" si="7"/>
        <v>249.59</v>
      </c>
      <c r="S12" s="106">
        <v>14.08</v>
      </c>
      <c r="T12" s="109">
        <f t="shared" si="8"/>
        <v>249.59</v>
      </c>
      <c r="U12" s="110">
        <f t="shared" si="9"/>
        <v>1.2331521739130435</v>
      </c>
      <c r="V12" s="136">
        <v>202.4</v>
      </c>
      <c r="W12" s="130">
        <v>202.4</v>
      </c>
      <c r="X12" s="131">
        <v>0.45</v>
      </c>
      <c r="Y12" s="112">
        <v>660</v>
      </c>
      <c r="Z12" s="133">
        <v>1240</v>
      </c>
      <c r="AA12" s="144" t="s">
        <v>118</v>
      </c>
      <c r="AB12" s="131">
        <v>75.680000000000007</v>
      </c>
      <c r="AC12" s="133">
        <v>153</v>
      </c>
      <c r="AD12" s="134">
        <v>5</v>
      </c>
      <c r="AE12" s="131">
        <v>6.3</v>
      </c>
      <c r="AF12" s="115">
        <f t="shared" si="10"/>
        <v>31.126482213438738</v>
      </c>
      <c r="AG12" s="131">
        <v>110.85</v>
      </c>
      <c r="AH12" s="115">
        <f t="shared" si="11"/>
        <v>547.67786561264836</v>
      </c>
      <c r="AI12" s="131">
        <v>29.09</v>
      </c>
      <c r="AJ12" s="116"/>
      <c r="AK12" s="135">
        <v>14.99</v>
      </c>
      <c r="AL12" s="136">
        <v>55.9</v>
      </c>
      <c r="AM12" s="110">
        <f t="shared" si="12"/>
        <v>0.2066543438077634</v>
      </c>
      <c r="AN12" s="137" t="s">
        <v>119</v>
      </c>
      <c r="AO12" s="150">
        <v>11.51</v>
      </c>
      <c r="AP12" s="138">
        <v>6.32</v>
      </c>
      <c r="AQ12" s="131"/>
      <c r="AR12" s="131">
        <v>12.79</v>
      </c>
      <c r="AS12" s="315">
        <v>270.5</v>
      </c>
      <c r="AT12" s="131">
        <v>2.79</v>
      </c>
      <c r="AU12" s="116"/>
      <c r="AV12" s="131"/>
      <c r="AW12" s="109"/>
      <c r="AX12" s="109">
        <f t="shared" si="13"/>
        <v>202.39999999999998</v>
      </c>
      <c r="AY12" s="115">
        <f t="shared" si="26"/>
        <v>208.58048257857132</v>
      </c>
      <c r="AZ12" s="140">
        <f t="shared" si="14"/>
        <v>10.982736971830985</v>
      </c>
      <c r="BA12" s="141">
        <f t="shared" si="15"/>
        <v>8.0960000000000001</v>
      </c>
      <c r="BB12" s="128">
        <f t="shared" si="16"/>
        <v>0.84713199344257772</v>
      </c>
      <c r="BC12" s="141">
        <f t="shared" si="17"/>
        <v>19.078736971830985</v>
      </c>
      <c r="BD12" s="142">
        <v>0.90500000000000003</v>
      </c>
      <c r="BE12" s="16">
        <f t="shared" si="27"/>
        <v>1372.1799999999998</v>
      </c>
      <c r="BF12" s="16">
        <f t="shared" si="18"/>
        <v>209.67741935483872</v>
      </c>
      <c r="BG12" s="16">
        <f t="shared" si="28"/>
        <v>1258.0645161290324</v>
      </c>
      <c r="BH12" s="17">
        <f t="shared" si="19"/>
        <v>1</v>
      </c>
      <c r="BI12" s="16">
        <f t="shared" si="29"/>
        <v>1258.0645161290324</v>
      </c>
      <c r="BJ12" s="249">
        <v>264.85899999999998</v>
      </c>
      <c r="BK12" s="195"/>
      <c r="BL12" s="271">
        <v>187.47200000000001</v>
      </c>
      <c r="BM12" s="197"/>
      <c r="BN12" s="230"/>
      <c r="BO12" s="230"/>
      <c r="BP12" s="250"/>
      <c r="BQ12" s="199"/>
      <c r="BR12" s="200">
        <v>2.86</v>
      </c>
      <c r="BS12" s="200"/>
      <c r="BT12" s="200"/>
      <c r="BU12" s="200"/>
      <c r="BV12" s="208"/>
      <c r="BW12" s="208"/>
      <c r="BX12" s="201"/>
      <c r="BY12" s="202">
        <v>36.83</v>
      </c>
      <c r="BZ12" s="200"/>
      <c r="CA12" s="200">
        <v>46.06</v>
      </c>
      <c r="CB12" s="200"/>
      <c r="CC12" s="200"/>
      <c r="CD12" s="200"/>
      <c r="CE12" s="200"/>
      <c r="CF12" s="203"/>
      <c r="CG12" s="204">
        <v>57</v>
      </c>
      <c r="CH12" s="197">
        <v>192.59</v>
      </c>
      <c r="CI12" s="230"/>
      <c r="CJ12" s="198"/>
      <c r="CK12" s="202"/>
      <c r="CL12" s="202"/>
      <c r="CM12" s="270"/>
      <c r="CN12" s="201"/>
      <c r="CO12" s="284"/>
      <c r="CP12" s="286">
        <f t="shared" si="20"/>
        <v>257.28403259999999</v>
      </c>
      <c r="CQ12" s="24">
        <f t="shared" si="20"/>
        <v>0</v>
      </c>
      <c r="CR12" s="25">
        <f t="shared" si="20"/>
        <v>187.47200000000001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0</v>
      </c>
      <c r="CW12" s="237">
        <f t="shared" si="21"/>
        <v>57</v>
      </c>
      <c r="CX12" s="26">
        <f t="shared" si="21"/>
        <v>192.59</v>
      </c>
      <c r="CY12" s="277">
        <f t="shared" si="21"/>
        <v>0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30"/>
        <v>0</v>
      </c>
    </row>
    <row r="13" spans="1:110" ht="16.5" customHeight="1">
      <c r="A13" s="127">
        <v>7</v>
      </c>
      <c r="B13" s="103">
        <f t="shared" si="24"/>
        <v>502.608</v>
      </c>
      <c r="C13" s="104">
        <f t="shared" si="0"/>
        <v>2.5073564885556938</v>
      </c>
      <c r="D13" s="143">
        <f t="shared" si="1"/>
        <v>490.00582569999995</v>
      </c>
      <c r="E13" s="104">
        <f t="shared" si="2"/>
        <v>40.778012665934476</v>
      </c>
      <c r="F13" s="128">
        <f t="shared" si="3"/>
        <v>2.309387433782637</v>
      </c>
      <c r="G13" s="106"/>
      <c r="H13" s="107">
        <f t="shared" si="4"/>
        <v>1.3486654053162412</v>
      </c>
      <c r="I13" s="103">
        <f>'[1]сентябрь 20'!AE12</f>
        <v>0</v>
      </c>
      <c r="J13" s="103">
        <f>'[1]январь 20'!AA12</f>
        <v>2.2469999999999999</v>
      </c>
      <c r="K13" s="106"/>
      <c r="L13" s="328">
        <f t="shared" si="25"/>
        <v>203.846</v>
      </c>
      <c r="M13" s="103">
        <f t="shared" si="5"/>
        <v>0.96072202846639643</v>
      </c>
      <c r="N13" s="103">
        <f>'[1]июль 20'!AM12</f>
        <v>0</v>
      </c>
      <c r="O13" s="103">
        <f>'[1]январь 20'!W12</f>
        <v>0</v>
      </c>
      <c r="P13" s="103">
        <v>285.75</v>
      </c>
      <c r="Q13" s="108">
        <f t="shared" si="6"/>
        <v>2.1172353455818027</v>
      </c>
      <c r="R13" s="109">
        <f t="shared" si="7"/>
        <v>279.7</v>
      </c>
      <c r="S13" s="106">
        <v>9.1199999999999992</v>
      </c>
      <c r="T13" s="109">
        <f t="shared" si="8"/>
        <v>279.7</v>
      </c>
      <c r="U13" s="110">
        <f t="shared" si="9"/>
        <v>1.3182203789235554</v>
      </c>
      <c r="V13" s="136">
        <v>212.18</v>
      </c>
      <c r="W13" s="130">
        <v>212.18</v>
      </c>
      <c r="X13" s="131">
        <v>0.6</v>
      </c>
      <c r="Y13" s="146">
        <v>594</v>
      </c>
      <c r="Z13" s="147">
        <v>1255</v>
      </c>
      <c r="AA13" s="144" t="s">
        <v>120</v>
      </c>
      <c r="AB13" s="131">
        <v>75.56</v>
      </c>
      <c r="AC13" s="133">
        <v>170</v>
      </c>
      <c r="AD13" s="134">
        <v>5</v>
      </c>
      <c r="AE13" s="131">
        <v>4.3</v>
      </c>
      <c r="AF13" s="115">
        <f t="shared" si="10"/>
        <v>20.265812046375718</v>
      </c>
      <c r="AG13" s="131">
        <v>101.25</v>
      </c>
      <c r="AH13" s="115">
        <f t="shared" si="11"/>
        <v>477.18917899896314</v>
      </c>
      <c r="AI13" s="131">
        <v>23.62</v>
      </c>
      <c r="AJ13" s="116"/>
      <c r="AK13" s="135">
        <v>12.21</v>
      </c>
      <c r="AL13" s="136">
        <v>55.43</v>
      </c>
      <c r="AM13" s="110">
        <f t="shared" si="12"/>
        <v>0.20112481857764875</v>
      </c>
      <c r="AN13" s="137" t="s">
        <v>121</v>
      </c>
      <c r="AO13" s="150">
        <v>12.93</v>
      </c>
      <c r="AP13" s="138">
        <v>6.41</v>
      </c>
      <c r="AQ13" s="131"/>
      <c r="AR13" s="131">
        <v>10.01</v>
      </c>
      <c r="AS13" s="315">
        <v>275.60000000000002</v>
      </c>
      <c r="AT13" s="131">
        <v>4.22</v>
      </c>
      <c r="AU13" s="148"/>
      <c r="AV13" s="149"/>
      <c r="AW13" s="109"/>
      <c r="AX13" s="109">
        <f t="shared" si="13"/>
        <v>212.18</v>
      </c>
      <c r="AY13" s="115">
        <f t="shared" si="26"/>
        <v>230.86047999464913</v>
      </c>
      <c r="AZ13" s="140">
        <f t="shared" si="14"/>
        <v>7.8511531690140828</v>
      </c>
      <c r="BA13" s="141">
        <f t="shared" si="15"/>
        <v>8.4871999999999996</v>
      </c>
      <c r="BB13" s="128">
        <f t="shared" si="16"/>
        <v>0.80235967630446448</v>
      </c>
      <c r="BC13" s="141">
        <f t="shared" si="17"/>
        <v>16.338353169014084</v>
      </c>
      <c r="BD13" s="142">
        <v>0.88900000000000001</v>
      </c>
      <c r="BE13" s="16">
        <f t="shared" si="27"/>
        <v>1584.36</v>
      </c>
      <c r="BF13" s="16">
        <f t="shared" si="18"/>
        <v>209.67741935483872</v>
      </c>
      <c r="BG13" s="16">
        <f t="shared" si="28"/>
        <v>1467.7419354838712</v>
      </c>
      <c r="BH13" s="17">
        <f t="shared" si="19"/>
        <v>1</v>
      </c>
      <c r="BI13" s="16">
        <f t="shared" si="29"/>
        <v>1467.7419354838712</v>
      </c>
      <c r="BJ13" s="249">
        <v>263.233</v>
      </c>
      <c r="BK13" s="195"/>
      <c r="BL13" s="266">
        <v>203.846</v>
      </c>
      <c r="BM13" s="196">
        <v>35.529000000000003</v>
      </c>
      <c r="BN13" s="313"/>
      <c r="BO13" s="230"/>
      <c r="BP13" s="250"/>
      <c r="BQ13" s="199"/>
      <c r="BR13" s="200">
        <v>2.69</v>
      </c>
      <c r="BS13" s="200"/>
      <c r="BT13" s="200"/>
      <c r="BU13" s="200">
        <v>15.54</v>
      </c>
      <c r="BV13" s="208"/>
      <c r="BW13" s="208"/>
      <c r="BX13" s="201"/>
      <c r="BY13" s="202">
        <v>36.4</v>
      </c>
      <c r="BZ13" s="200"/>
      <c r="CA13" s="202">
        <v>45.91</v>
      </c>
      <c r="CB13" s="200">
        <v>43.77</v>
      </c>
      <c r="CC13" s="200"/>
      <c r="CD13" s="200"/>
      <c r="CE13" s="200"/>
      <c r="CF13" s="203"/>
      <c r="CG13" s="204">
        <v>65.5</v>
      </c>
      <c r="CH13" s="197">
        <v>214.2</v>
      </c>
      <c r="CI13" s="264"/>
      <c r="CJ13" s="265"/>
      <c r="CK13" s="202"/>
      <c r="CL13" s="202"/>
      <c r="CM13" s="270"/>
      <c r="CN13" s="201"/>
      <c r="CO13" s="284"/>
      <c r="CP13" s="286">
        <f t="shared" si="20"/>
        <v>256.15203230000003</v>
      </c>
      <c r="CQ13" s="24">
        <f t="shared" si="20"/>
        <v>0</v>
      </c>
      <c r="CR13" s="25">
        <f t="shared" si="20"/>
        <v>203.846</v>
      </c>
      <c r="CS13" s="24">
        <f t="shared" si="20"/>
        <v>30.007793400000008</v>
      </c>
      <c r="CT13" s="27">
        <f t="shared" si="20"/>
        <v>0</v>
      </c>
      <c r="CU13" s="24">
        <f t="shared" si="20"/>
        <v>0</v>
      </c>
      <c r="CV13" s="280">
        <f t="shared" si="20"/>
        <v>0</v>
      </c>
      <c r="CW13" s="237">
        <f t="shared" si="21"/>
        <v>65.5</v>
      </c>
      <c r="CX13" s="26">
        <f t="shared" si="21"/>
        <v>214.2</v>
      </c>
      <c r="CY13" s="277">
        <f t="shared" si="21"/>
        <v>0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30"/>
        <v>0</v>
      </c>
    </row>
    <row r="14" spans="1:110" ht="16.5" customHeight="1">
      <c r="A14" s="127">
        <v>8</v>
      </c>
      <c r="B14" s="103">
        <f t="shared" si="24"/>
        <v>420.76</v>
      </c>
      <c r="C14" s="104">
        <f>IF(B14=0,0,(BJ14*BR14+BK14*BS14+BM14*BU14+BP14*BX14+BL14*BT14+BO14*BW14+BN14*BV14)/B14)</f>
        <v>3.5879590265234342</v>
      </c>
      <c r="D14" s="143">
        <f>B14*((100-C14)/100)</f>
        <v>405.66330360000001</v>
      </c>
      <c r="E14" s="104">
        <f>IF(B14=0,0,(BJ14*BY14+BK14*BZ14+BM14*CB14+BP14*CE14+BL14*CA14+BO14*CD14+BN14*CC14)/B14)</f>
        <v>41.786657904743798</v>
      </c>
      <c r="F14" s="128">
        <f>IF(AX14=0,0,D14/AX14)</f>
        <v>1.9666616745042906</v>
      </c>
      <c r="G14" s="106"/>
      <c r="H14" s="107">
        <f>IF(AX14=0,0,(CV14+CS14+CU14+CP14+CT14)/AX14)</f>
        <v>1.190547843118243</v>
      </c>
      <c r="I14" s="103">
        <f>'[1]сентябрь 20'!AE13</f>
        <v>0</v>
      </c>
      <c r="J14" s="103">
        <f>'[1]январь 20'!AA13</f>
        <v>0</v>
      </c>
      <c r="K14" s="106"/>
      <c r="L14" s="328">
        <f t="shared" si="25"/>
        <v>160.089</v>
      </c>
      <c r="M14" s="103">
        <f>IF(AX14=0,0,(CR14+CQ14)/AX14)</f>
        <v>0.7761138313860475</v>
      </c>
      <c r="N14" s="103">
        <f>'[1]июль 20'!AM13</f>
        <v>0</v>
      </c>
      <c r="O14" s="103">
        <f>'[1]январь 20'!W13</f>
        <v>2.1509999999999998</v>
      </c>
      <c r="P14" s="103">
        <v>234.78</v>
      </c>
      <c r="Q14" s="108">
        <f>IF(P14=0,0,(1-(T14/P14))*100)</f>
        <v>2.1466905187835339</v>
      </c>
      <c r="R14" s="109">
        <f>P14*((100-Q14)/100)</f>
        <v>229.74</v>
      </c>
      <c r="S14" s="106"/>
      <c r="T14" s="109">
        <f>CG14+CH14+CJ14+CI14</f>
        <v>229.74</v>
      </c>
      <c r="U14" s="110">
        <f>IF(AX14=0,0,R14/AX14)</f>
        <v>1.1137829059000341</v>
      </c>
      <c r="V14" s="136">
        <v>169.64</v>
      </c>
      <c r="W14" s="130">
        <v>41.22</v>
      </c>
      <c r="X14" s="131">
        <v>1.5</v>
      </c>
      <c r="Y14" s="146">
        <v>655</v>
      </c>
      <c r="Z14" s="147">
        <v>1255</v>
      </c>
      <c r="AA14" s="144" t="s">
        <v>122</v>
      </c>
      <c r="AB14" s="131">
        <v>75.63</v>
      </c>
      <c r="AC14" s="133">
        <v>143</v>
      </c>
      <c r="AD14" s="134">
        <v>5</v>
      </c>
      <c r="AE14" s="131">
        <v>5.2</v>
      </c>
      <c r="AF14" s="115">
        <f t="shared" si="10"/>
        <v>25.20967663741698</v>
      </c>
      <c r="AG14" s="131">
        <v>103.15</v>
      </c>
      <c r="AH14" s="115">
        <f>IF(AX14=0,0,AG14/AX14*1000)</f>
        <v>500.07272022106952</v>
      </c>
      <c r="AI14" s="131">
        <v>29.57</v>
      </c>
      <c r="AJ14" s="116"/>
      <c r="AK14" s="135">
        <v>13.64</v>
      </c>
      <c r="AL14" s="136">
        <v>49.9</v>
      </c>
      <c r="AM14" s="110">
        <f>IF(AL14=0,0,AL14/AS14)</f>
        <v>0.18675149700598803</v>
      </c>
      <c r="AN14" s="137" t="s">
        <v>123</v>
      </c>
      <c r="AO14" s="150">
        <v>18.059999999999999</v>
      </c>
      <c r="AP14" s="138">
        <v>6.35</v>
      </c>
      <c r="AQ14" s="131"/>
      <c r="AR14" s="131">
        <v>10.93</v>
      </c>
      <c r="AS14" s="315">
        <v>267.2</v>
      </c>
      <c r="AT14" s="131">
        <v>2.61</v>
      </c>
      <c r="AU14" s="148"/>
      <c r="AV14" s="149"/>
      <c r="AW14" s="109"/>
      <c r="AX14" s="109">
        <f>AS14-AL14-AK14+AV14+AT14</f>
        <v>206.26999999999998</v>
      </c>
      <c r="AY14" s="115">
        <f>IF(AB14=0,0,((D14*0.97)*(E14/100)*0.9)/(AB14/100))</f>
        <v>195.66966617945474</v>
      </c>
      <c r="AZ14" s="140">
        <f>(AG14*AR14)/100*(55/71)</f>
        <v>8.7336088028169012</v>
      </c>
      <c r="BA14" s="141">
        <f>AX14*$BA$6</f>
        <v>8.2507999999999999</v>
      </c>
      <c r="BB14" s="128">
        <f>IF((D14*E14)=0,0,(AX14*AB14)/(D14*E14))</f>
        <v>0.92029446114988911</v>
      </c>
      <c r="BC14" s="141">
        <f>AZ14+BA14</f>
        <v>16.984408802816901</v>
      </c>
      <c r="BD14" s="142">
        <v>0.89300000000000002</v>
      </c>
      <c r="BE14" s="16">
        <f>BE13+AX14</f>
        <v>1790.6299999999999</v>
      </c>
      <c r="BF14" s="16">
        <f>IF(A14&lt;=$BD$43,$AS$43,0)</f>
        <v>209.67741935483872</v>
      </c>
      <c r="BG14" s="16">
        <f>BF14+BG13</f>
        <v>1677.41935483871</v>
      </c>
      <c r="BH14" s="17">
        <f>IF(AX14&lt;&gt;0,1,0)</f>
        <v>1</v>
      </c>
      <c r="BI14" s="16">
        <f>BI13+BF14*BH14</f>
        <v>1677.41935483871</v>
      </c>
      <c r="BJ14" s="249">
        <v>174.93899999999999</v>
      </c>
      <c r="BK14" s="195"/>
      <c r="BL14" s="266">
        <v>160.089</v>
      </c>
      <c r="BM14" s="196">
        <v>85.731999999999999</v>
      </c>
      <c r="BN14" s="313"/>
      <c r="BO14" s="230"/>
      <c r="BP14" s="250"/>
      <c r="BQ14" s="199"/>
      <c r="BR14" s="200">
        <v>2.2000000000000002</v>
      </c>
      <c r="BS14" s="200"/>
      <c r="BT14" s="200"/>
      <c r="BU14" s="200">
        <v>13.12</v>
      </c>
      <c r="BV14" s="208"/>
      <c r="BW14" s="208"/>
      <c r="BX14" s="201"/>
      <c r="BY14" s="202">
        <v>36.92</v>
      </c>
      <c r="BZ14" s="200"/>
      <c r="CA14" s="202">
        <v>46.38</v>
      </c>
      <c r="CB14" s="200">
        <v>43.14</v>
      </c>
      <c r="CC14" s="200"/>
      <c r="CD14" s="200"/>
      <c r="CE14" s="200"/>
      <c r="CF14" s="203"/>
      <c r="CG14" s="204">
        <v>52</v>
      </c>
      <c r="CH14" s="197">
        <v>177.74</v>
      </c>
      <c r="CI14" s="264"/>
      <c r="CJ14" s="265"/>
      <c r="CK14" s="202"/>
      <c r="CL14" s="202"/>
      <c r="CM14" s="270"/>
      <c r="CN14" s="201"/>
      <c r="CO14" s="284"/>
      <c r="CP14" s="286">
        <f t="shared" si="20"/>
        <v>171.09034199999999</v>
      </c>
      <c r="CQ14" s="27">
        <f t="shared" si="20"/>
        <v>0</v>
      </c>
      <c r="CR14" s="28">
        <f t="shared" si="20"/>
        <v>160.089</v>
      </c>
      <c r="CS14" s="27">
        <f t="shared" si="20"/>
        <v>74.483961599999986</v>
      </c>
      <c r="CT14" s="27">
        <f t="shared" si="20"/>
        <v>0</v>
      </c>
      <c r="CU14" s="24">
        <f t="shared" si="20"/>
        <v>0</v>
      </c>
      <c r="CV14" s="282">
        <f t="shared" si="20"/>
        <v>0</v>
      </c>
      <c r="CW14" s="237">
        <f t="shared" si="21"/>
        <v>52</v>
      </c>
      <c r="CX14" s="26">
        <f t="shared" si="21"/>
        <v>177.74</v>
      </c>
      <c r="CY14" s="277">
        <f t="shared" si="21"/>
        <v>0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30"/>
        <v>0</v>
      </c>
    </row>
    <row r="15" spans="1:110" ht="16.5" customHeight="1">
      <c r="A15" s="253">
        <v>9</v>
      </c>
      <c r="B15" s="103">
        <f t="shared" si="24"/>
        <v>470.95300000000003</v>
      </c>
      <c r="C15" s="104">
        <f t="shared" si="0"/>
        <v>3.1867190781245682</v>
      </c>
      <c r="D15" s="143">
        <f t="shared" si="1"/>
        <v>455.94505090000001</v>
      </c>
      <c r="E15" s="104">
        <f t="shared" si="2"/>
        <v>41.29970738056663</v>
      </c>
      <c r="F15" s="128">
        <f t="shared" si="3"/>
        <v>2.0618869031791256</v>
      </c>
      <c r="G15" s="106"/>
      <c r="H15" s="107">
        <f t="shared" si="4"/>
        <v>1.2953785144485146</v>
      </c>
      <c r="I15" s="103">
        <f>'[1]сентябрь 20'!AE14</f>
        <v>0</v>
      </c>
      <c r="J15" s="103">
        <f>'[1]январь 20'!AA14</f>
        <v>0</v>
      </c>
      <c r="K15" s="106"/>
      <c r="L15" s="328">
        <f t="shared" si="25"/>
        <v>169.49799999999999</v>
      </c>
      <c r="M15" s="103">
        <f t="shared" si="5"/>
        <v>0.76650838873061089</v>
      </c>
      <c r="N15" s="103">
        <f>'[1]июль 20'!AM14</f>
        <v>0</v>
      </c>
      <c r="O15" s="103">
        <f>'[1]январь 20'!W14</f>
        <v>9.7249999999999996</v>
      </c>
      <c r="P15" s="103">
        <v>266.39</v>
      </c>
      <c r="Q15" s="108">
        <f t="shared" si="6"/>
        <v>2.1584894327865145</v>
      </c>
      <c r="R15" s="109">
        <f t="shared" si="7"/>
        <v>260.64</v>
      </c>
      <c r="S15" s="106">
        <v>142.97999999999999</v>
      </c>
      <c r="T15" s="109">
        <f t="shared" si="8"/>
        <v>260.64</v>
      </c>
      <c r="U15" s="110">
        <f t="shared" si="9"/>
        <v>1.1786731786731786</v>
      </c>
      <c r="V15" s="136">
        <v>221.13</v>
      </c>
      <c r="W15" s="130">
        <v>181.12</v>
      </c>
      <c r="X15" s="131">
        <v>0.76</v>
      </c>
      <c r="Y15" s="112">
        <v>670</v>
      </c>
      <c r="Z15" s="133">
        <v>1255</v>
      </c>
      <c r="AA15" s="144" t="s">
        <v>124</v>
      </c>
      <c r="AB15" s="131">
        <v>75.58</v>
      </c>
      <c r="AC15" s="133">
        <v>160</v>
      </c>
      <c r="AD15" s="134">
        <v>5</v>
      </c>
      <c r="AE15" s="131">
        <v>4.75</v>
      </c>
      <c r="AF15" s="115">
        <f t="shared" si="10"/>
        <v>21.480577036132591</v>
      </c>
      <c r="AG15" s="131">
        <v>126.5</v>
      </c>
      <c r="AH15" s="115">
        <f t="shared" si="11"/>
        <v>572.06168317279423</v>
      </c>
      <c r="AI15" s="131">
        <v>25.08</v>
      </c>
      <c r="AJ15" s="116"/>
      <c r="AK15" s="135">
        <v>13.93</v>
      </c>
      <c r="AL15" s="136">
        <v>53.55</v>
      </c>
      <c r="AM15" s="110">
        <f t="shared" si="12"/>
        <v>0.18872246696035241</v>
      </c>
      <c r="AN15" s="137" t="s">
        <v>125</v>
      </c>
      <c r="AO15" s="150">
        <v>17.12</v>
      </c>
      <c r="AP15" s="138">
        <v>5.65</v>
      </c>
      <c r="AQ15" s="131"/>
      <c r="AR15" s="131">
        <v>16.3</v>
      </c>
      <c r="AS15" s="315">
        <v>283.75</v>
      </c>
      <c r="AT15" s="131">
        <v>4.8600000000000003</v>
      </c>
      <c r="AU15" s="116"/>
      <c r="AV15" s="131"/>
      <c r="AW15" s="109"/>
      <c r="AX15" s="109">
        <f t="shared" si="13"/>
        <v>221.13</v>
      </c>
      <c r="AY15" s="115">
        <f t="shared" si="26"/>
        <v>217.50379387994892</v>
      </c>
      <c r="AZ15" s="140">
        <f t="shared" si="14"/>
        <v>15.972852112676057</v>
      </c>
      <c r="BA15" s="141">
        <f t="shared" si="15"/>
        <v>8.8452000000000002</v>
      </c>
      <c r="BB15" s="128">
        <f t="shared" si="16"/>
        <v>0.88755458723884095</v>
      </c>
      <c r="BC15" s="141">
        <f t="shared" si="17"/>
        <v>24.818052112676057</v>
      </c>
      <c r="BD15" s="142">
        <v>0.89200000000000002</v>
      </c>
      <c r="BE15" s="16">
        <f t="shared" si="27"/>
        <v>2011.7599999999998</v>
      </c>
      <c r="BF15" s="16">
        <f t="shared" si="18"/>
        <v>209.67741935483872</v>
      </c>
      <c r="BG15" s="16">
        <f t="shared" si="28"/>
        <v>1887.0967741935488</v>
      </c>
      <c r="BH15" s="17">
        <f t="shared" si="19"/>
        <v>1</v>
      </c>
      <c r="BI15" s="16">
        <f t="shared" si="29"/>
        <v>1887.0967741935488</v>
      </c>
      <c r="BJ15" s="249">
        <v>211.203</v>
      </c>
      <c r="BK15" s="195"/>
      <c r="BL15" s="197">
        <v>169.49799999999999</v>
      </c>
      <c r="BM15" s="197">
        <v>90.251999999999995</v>
      </c>
      <c r="BN15" s="230"/>
      <c r="BO15" s="195"/>
      <c r="BP15" s="329"/>
      <c r="BQ15" s="199"/>
      <c r="BR15" s="200">
        <v>2.29</v>
      </c>
      <c r="BS15" s="200"/>
      <c r="BT15" s="200"/>
      <c r="BU15" s="200">
        <v>11.27</v>
      </c>
      <c r="BV15" s="208"/>
      <c r="BW15" s="208"/>
      <c r="BX15" s="330"/>
      <c r="BY15" s="202">
        <v>36.729999999999997</v>
      </c>
      <c r="BZ15" s="200"/>
      <c r="CA15" s="200">
        <v>46.77</v>
      </c>
      <c r="CB15" s="200">
        <v>41.72</v>
      </c>
      <c r="CC15" s="200"/>
      <c r="CD15" s="200"/>
      <c r="CE15" s="200"/>
      <c r="CF15" s="203"/>
      <c r="CG15" s="204">
        <v>60.5</v>
      </c>
      <c r="CH15" s="230">
        <v>200.14</v>
      </c>
      <c r="CI15" s="266"/>
      <c r="CJ15" s="265"/>
      <c r="CK15" s="202"/>
      <c r="CL15" s="208"/>
      <c r="CM15" s="208"/>
      <c r="CN15" s="201"/>
      <c r="CO15" s="284"/>
      <c r="CP15" s="286">
        <f t="shared" si="20"/>
        <v>206.36645129999999</v>
      </c>
      <c r="CQ15" s="29">
        <f t="shared" si="20"/>
        <v>0</v>
      </c>
      <c r="CR15" s="30">
        <f t="shared" si="20"/>
        <v>169.49799999999999</v>
      </c>
      <c r="CS15" s="29">
        <f t="shared" si="20"/>
        <v>80.080599599999999</v>
      </c>
      <c r="CT15" s="27">
        <f t="shared" si="20"/>
        <v>0</v>
      </c>
      <c r="CU15" s="24">
        <f t="shared" si="20"/>
        <v>0</v>
      </c>
      <c r="CV15" s="283">
        <f t="shared" si="20"/>
        <v>0</v>
      </c>
      <c r="CW15" s="237">
        <f t="shared" si="21"/>
        <v>60.5</v>
      </c>
      <c r="CX15" s="24">
        <f t="shared" si="21"/>
        <v>200.14</v>
      </c>
      <c r="CY15" s="277">
        <f t="shared" si="21"/>
        <v>0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30"/>
        <v>0</v>
      </c>
    </row>
    <row r="16" spans="1:110" ht="16.5" customHeight="1">
      <c r="A16" s="127">
        <v>10</v>
      </c>
      <c r="B16" s="103">
        <f t="shared" si="24"/>
        <v>426.625</v>
      </c>
      <c r="C16" s="104">
        <f t="shared" si="0"/>
        <v>3.0638908877820099</v>
      </c>
      <c r="D16" s="143">
        <f t="shared" si="1"/>
        <v>413.5536755</v>
      </c>
      <c r="E16" s="104">
        <f t="shared" si="2"/>
        <v>40.917619876941103</v>
      </c>
      <c r="F16" s="128">
        <f t="shared" si="3"/>
        <v>1.9650923045854121</v>
      </c>
      <c r="G16" s="106"/>
      <c r="H16" s="107">
        <f t="shared" si="4"/>
        <v>1.3346907840342122</v>
      </c>
      <c r="I16" s="103">
        <f>'[1]сентябрь 20'!AE15</f>
        <v>0</v>
      </c>
      <c r="J16" s="103">
        <f>'[1]январь 20'!AA15</f>
        <v>0</v>
      </c>
      <c r="K16" s="106"/>
      <c r="L16" s="328">
        <f t="shared" si="25"/>
        <v>132.66800000000001</v>
      </c>
      <c r="M16" s="103">
        <f t="shared" si="5"/>
        <v>0.6304015205511998</v>
      </c>
      <c r="N16" s="103">
        <f>'[1]июль 20'!AM15</f>
        <v>0</v>
      </c>
      <c r="O16" s="103">
        <f>'[1]январь 20'!W15</f>
        <v>8.7230000000000008</v>
      </c>
      <c r="P16" s="103">
        <v>237.77</v>
      </c>
      <c r="Q16" s="108">
        <f t="shared" si="6"/>
        <v>2.1028725238676049</v>
      </c>
      <c r="R16" s="109">
        <f t="shared" si="7"/>
        <v>232.77</v>
      </c>
      <c r="S16" s="106">
        <v>24.75</v>
      </c>
      <c r="T16" s="109">
        <f t="shared" si="8"/>
        <v>232.77</v>
      </c>
      <c r="U16" s="110">
        <f t="shared" si="9"/>
        <v>1.1060584461867426</v>
      </c>
      <c r="V16" s="136">
        <v>210.45</v>
      </c>
      <c r="W16" s="130">
        <v>122.64</v>
      </c>
      <c r="X16" s="131">
        <v>0.88</v>
      </c>
      <c r="Y16" s="112">
        <v>675</v>
      </c>
      <c r="Z16" s="133">
        <v>1250</v>
      </c>
      <c r="AA16" s="144" t="s">
        <v>116</v>
      </c>
      <c r="AB16" s="131">
        <v>76.760000000000005</v>
      </c>
      <c r="AC16" s="133">
        <v>145</v>
      </c>
      <c r="AD16" s="134">
        <v>5</v>
      </c>
      <c r="AE16" s="131">
        <v>8.4</v>
      </c>
      <c r="AF16" s="115">
        <f t="shared" si="10"/>
        <v>39.914468995010687</v>
      </c>
      <c r="AG16" s="131">
        <v>118.75</v>
      </c>
      <c r="AH16" s="115">
        <f t="shared" si="11"/>
        <v>564.26704680446664</v>
      </c>
      <c r="AI16" s="139">
        <v>27.15</v>
      </c>
      <c r="AJ16" s="131"/>
      <c r="AK16" s="136">
        <v>10.52</v>
      </c>
      <c r="AL16" s="136">
        <v>55.57</v>
      </c>
      <c r="AM16" s="110">
        <f t="shared" si="12"/>
        <v>0.20240393370970677</v>
      </c>
      <c r="AN16" s="137" t="s">
        <v>126</v>
      </c>
      <c r="AO16" s="150">
        <v>16.5</v>
      </c>
      <c r="AP16" s="138">
        <v>5.89</v>
      </c>
      <c r="AQ16" s="131"/>
      <c r="AR16" s="131">
        <v>13.15</v>
      </c>
      <c r="AS16" s="315">
        <v>274.55</v>
      </c>
      <c r="AT16" s="131">
        <v>1.99</v>
      </c>
      <c r="AU16" s="116"/>
      <c r="AV16" s="131"/>
      <c r="AW16" s="109"/>
      <c r="AX16" s="109">
        <f t="shared" si="13"/>
        <v>210.45000000000002</v>
      </c>
      <c r="AY16" s="115">
        <f t="shared" si="26"/>
        <v>192.45160001345235</v>
      </c>
      <c r="AZ16" s="140">
        <f t="shared" si="14"/>
        <v>12.096610915492956</v>
      </c>
      <c r="BA16" s="141">
        <f t="shared" si="15"/>
        <v>8.418000000000001</v>
      </c>
      <c r="BB16" s="128">
        <f t="shared" si="16"/>
        <v>0.95464444040557628</v>
      </c>
      <c r="BC16" s="141">
        <f t="shared" si="17"/>
        <v>20.514610915492959</v>
      </c>
      <c r="BD16" s="142">
        <v>0.89800000000000002</v>
      </c>
      <c r="BE16" s="16">
        <f t="shared" si="27"/>
        <v>2222.2099999999996</v>
      </c>
      <c r="BF16" s="16">
        <f t="shared" si="18"/>
        <v>209.67741935483872</v>
      </c>
      <c r="BG16" s="16">
        <f t="shared" si="28"/>
        <v>2096.7741935483873</v>
      </c>
      <c r="BH16" s="17">
        <f t="shared" si="19"/>
        <v>1</v>
      </c>
      <c r="BI16" s="16">
        <f t="shared" si="29"/>
        <v>2096.7741935483873</v>
      </c>
      <c r="BJ16" s="249">
        <v>221.40600000000001</v>
      </c>
      <c r="BK16" s="195"/>
      <c r="BL16" s="195">
        <v>132.66800000000001</v>
      </c>
      <c r="BM16" s="197">
        <v>72.551000000000002</v>
      </c>
      <c r="BN16" s="230"/>
      <c r="BO16" s="230"/>
      <c r="BP16" s="250"/>
      <c r="BQ16" s="199"/>
      <c r="BR16" s="200">
        <v>3.03</v>
      </c>
      <c r="BS16" s="200"/>
      <c r="BT16" s="200"/>
      <c r="BU16" s="200">
        <v>8.77</v>
      </c>
      <c r="BV16" s="208"/>
      <c r="BW16" s="208"/>
      <c r="BX16" s="201"/>
      <c r="BY16" s="202">
        <v>37.270000000000003</v>
      </c>
      <c r="BZ16" s="200"/>
      <c r="CA16" s="200">
        <v>46.26</v>
      </c>
      <c r="CB16" s="200">
        <v>42.28</v>
      </c>
      <c r="CC16" s="200"/>
      <c r="CD16" s="200"/>
      <c r="CE16" s="200"/>
      <c r="CF16" s="203"/>
      <c r="CG16" s="204">
        <v>53</v>
      </c>
      <c r="CH16" s="230">
        <v>179.77</v>
      </c>
      <c r="CI16" s="266"/>
      <c r="CJ16" s="265"/>
      <c r="CK16" s="202"/>
      <c r="CL16" s="208"/>
      <c r="CM16" s="208"/>
      <c r="CN16" s="201"/>
      <c r="CO16" s="284"/>
      <c r="CP16" s="286">
        <f t="shared" si="20"/>
        <v>214.69739820000001</v>
      </c>
      <c r="CQ16" s="24">
        <f t="shared" si="20"/>
        <v>0</v>
      </c>
      <c r="CR16" s="25">
        <f t="shared" si="20"/>
        <v>132.66800000000001</v>
      </c>
      <c r="CS16" s="24">
        <f t="shared" si="20"/>
        <v>66.188277299999996</v>
      </c>
      <c r="CT16" s="27">
        <f t="shared" si="20"/>
        <v>0</v>
      </c>
      <c r="CU16" s="24">
        <f t="shared" si="20"/>
        <v>0</v>
      </c>
      <c r="CV16" s="280">
        <f t="shared" si="20"/>
        <v>0</v>
      </c>
      <c r="CW16" s="237">
        <f t="shared" si="21"/>
        <v>53</v>
      </c>
      <c r="CX16" s="29">
        <f t="shared" si="21"/>
        <v>179.77</v>
      </c>
      <c r="CY16" s="277">
        <f t="shared" si="21"/>
        <v>0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30"/>
        <v>0</v>
      </c>
    </row>
    <row r="17" spans="1:110" ht="16.5" customHeight="1">
      <c r="A17" s="127">
        <v>11</v>
      </c>
      <c r="B17" s="103">
        <f t="shared" si="24"/>
        <v>454.44299999999998</v>
      </c>
      <c r="C17" s="104">
        <f t="shared" si="0"/>
        <v>3.4489184782249924</v>
      </c>
      <c r="D17" s="143">
        <f t="shared" si="1"/>
        <v>438.76963139999998</v>
      </c>
      <c r="E17" s="104">
        <f t="shared" si="2"/>
        <v>40.880172188811358</v>
      </c>
      <c r="F17" s="128">
        <f t="shared" si="3"/>
        <v>2.0460229955700631</v>
      </c>
      <c r="G17" s="106"/>
      <c r="H17" s="107">
        <f t="shared" si="4"/>
        <v>1.3811220862671956</v>
      </c>
      <c r="I17" s="103">
        <f>'[1]сентябрь 20'!AE16</f>
        <v>0</v>
      </c>
      <c r="J17" s="103">
        <f>'[1]январь 20'!AA16</f>
        <v>0</v>
      </c>
      <c r="K17" s="106"/>
      <c r="L17" s="328">
        <f t="shared" si="25"/>
        <v>142.58799999999999</v>
      </c>
      <c r="M17" s="103">
        <f t="shared" si="5"/>
        <v>0.66490090930286794</v>
      </c>
      <c r="N17" s="103">
        <f>'[1]июль 20'!AM16</f>
        <v>0</v>
      </c>
      <c r="O17" s="103">
        <f>'[1]январь 20'!W16</f>
        <v>9.5359999999999996</v>
      </c>
      <c r="P17" s="103">
        <v>252.28</v>
      </c>
      <c r="Q17" s="108">
        <f t="shared" si="6"/>
        <v>1.4349135880767472</v>
      </c>
      <c r="R17" s="109">
        <f t="shared" si="7"/>
        <v>248.65999999999997</v>
      </c>
      <c r="S17" s="106">
        <v>11.52</v>
      </c>
      <c r="T17" s="109">
        <f t="shared" si="8"/>
        <v>248.66</v>
      </c>
      <c r="U17" s="110">
        <f t="shared" si="9"/>
        <v>1.1595243646537654</v>
      </c>
      <c r="V17" s="136">
        <v>214.45</v>
      </c>
      <c r="W17" s="130">
        <v>214.45</v>
      </c>
      <c r="X17" s="131">
        <v>0.69</v>
      </c>
      <c r="Y17" s="112">
        <v>650</v>
      </c>
      <c r="Z17" s="133">
        <v>1243</v>
      </c>
      <c r="AA17" s="144" t="s">
        <v>127</v>
      </c>
      <c r="AB17" s="131">
        <v>76.569999999999993</v>
      </c>
      <c r="AC17" s="133">
        <v>155</v>
      </c>
      <c r="AD17" s="134">
        <v>5</v>
      </c>
      <c r="AE17" s="131">
        <v>3.8</v>
      </c>
      <c r="AF17" s="115">
        <f t="shared" si="10"/>
        <v>17.719748193051995</v>
      </c>
      <c r="AG17" s="131">
        <v>111.3</v>
      </c>
      <c r="AH17" s="115">
        <f t="shared" si="11"/>
        <v>519.0020983912334</v>
      </c>
      <c r="AI17" s="139">
        <v>23.83</v>
      </c>
      <c r="AJ17" s="131"/>
      <c r="AK17" s="136">
        <v>12.69</v>
      </c>
      <c r="AL17" s="136">
        <v>45.71</v>
      </c>
      <c r="AM17" s="110">
        <f t="shared" si="12"/>
        <v>0.16920229502128448</v>
      </c>
      <c r="AN17" s="137" t="s">
        <v>128</v>
      </c>
      <c r="AO17" s="150">
        <v>15.15</v>
      </c>
      <c r="AP17" s="138">
        <v>5.88</v>
      </c>
      <c r="AQ17" s="131"/>
      <c r="AR17" s="131">
        <v>11.46</v>
      </c>
      <c r="AS17" s="315">
        <v>270.14999999999998</v>
      </c>
      <c r="AT17" s="131">
        <v>2.7</v>
      </c>
      <c r="AU17" s="116"/>
      <c r="AV17" s="131"/>
      <c r="AW17" s="109"/>
      <c r="AX17" s="109">
        <f t="shared" si="13"/>
        <v>214.44999999999996</v>
      </c>
      <c r="AY17" s="115">
        <f t="shared" si="26"/>
        <v>204.50544425141604</v>
      </c>
      <c r="AZ17" s="140">
        <f t="shared" si="14"/>
        <v>9.8806183098591536</v>
      </c>
      <c r="BA17" s="141">
        <f t="shared" si="15"/>
        <v>8.5779999999999994</v>
      </c>
      <c r="BB17" s="128">
        <f t="shared" si="16"/>
        <v>0.91545166773086384</v>
      </c>
      <c r="BC17" s="141">
        <f t="shared" si="17"/>
        <v>18.458618309859155</v>
      </c>
      <c r="BD17" s="142">
        <v>0.89900000000000002</v>
      </c>
      <c r="BE17" s="16">
        <f t="shared" si="27"/>
        <v>2436.6599999999994</v>
      </c>
      <c r="BF17" s="16">
        <f t="shared" si="18"/>
        <v>209.67741935483872</v>
      </c>
      <c r="BG17" s="16">
        <f t="shared" si="28"/>
        <v>2306.4516129032259</v>
      </c>
      <c r="BH17" s="17">
        <f t="shared" si="19"/>
        <v>1</v>
      </c>
      <c r="BI17" s="16">
        <f t="shared" si="29"/>
        <v>2306.4516129032259</v>
      </c>
      <c r="BJ17" s="249">
        <v>234.679</v>
      </c>
      <c r="BK17" s="195"/>
      <c r="BL17" s="195">
        <v>142.58799999999999</v>
      </c>
      <c r="BM17" s="197">
        <v>77.176000000000002</v>
      </c>
      <c r="BN17" s="230"/>
      <c r="BO17" s="230"/>
      <c r="BP17" s="250"/>
      <c r="BQ17" s="199"/>
      <c r="BR17" s="200">
        <v>2.66</v>
      </c>
      <c r="BS17" s="200"/>
      <c r="BT17" s="200"/>
      <c r="BU17" s="200">
        <v>12.22</v>
      </c>
      <c r="BV17" s="208"/>
      <c r="BW17" s="208"/>
      <c r="BX17" s="201"/>
      <c r="BY17" s="202">
        <v>37.07</v>
      </c>
      <c r="BZ17" s="200"/>
      <c r="CA17" s="200">
        <v>46.61</v>
      </c>
      <c r="CB17" s="200">
        <v>41.88</v>
      </c>
      <c r="CC17" s="208"/>
      <c r="CD17" s="208"/>
      <c r="CE17" s="201"/>
      <c r="CF17" s="199"/>
      <c r="CG17" s="197">
        <v>58</v>
      </c>
      <c r="CH17" s="244">
        <v>190.66</v>
      </c>
      <c r="CI17" s="266"/>
      <c r="CJ17" s="265"/>
      <c r="CK17" s="231"/>
      <c r="CL17" s="208"/>
      <c r="CM17" s="208"/>
      <c r="CN17" s="201"/>
      <c r="CO17" s="284"/>
      <c r="CP17" s="286">
        <f t="shared" si="20"/>
        <v>228.43653860000001</v>
      </c>
      <c r="CQ17" s="24">
        <f t="shared" si="20"/>
        <v>0</v>
      </c>
      <c r="CR17" s="25">
        <f t="shared" si="20"/>
        <v>142.58799999999999</v>
      </c>
      <c r="CS17" s="24">
        <f t="shared" si="20"/>
        <v>67.745092800000009</v>
      </c>
      <c r="CT17" s="27">
        <f t="shared" si="20"/>
        <v>0</v>
      </c>
      <c r="CU17" s="27">
        <f t="shared" si="20"/>
        <v>0</v>
      </c>
      <c r="CV17" s="280">
        <f t="shared" si="20"/>
        <v>0</v>
      </c>
      <c r="CW17" s="25">
        <f t="shared" si="21"/>
        <v>58</v>
      </c>
      <c r="CX17" s="26">
        <f t="shared" si="21"/>
        <v>190.66</v>
      </c>
      <c r="CY17" s="277">
        <f t="shared" si="21"/>
        <v>0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30"/>
        <v>0</v>
      </c>
    </row>
    <row r="18" spans="1:110" ht="16.5" customHeight="1">
      <c r="A18" s="127">
        <v>12</v>
      </c>
      <c r="B18" s="103">
        <f t="shared" si="24"/>
        <v>251.63499999999999</v>
      </c>
      <c r="C18" s="104">
        <f t="shared" si="0"/>
        <v>3.7079380849245935</v>
      </c>
      <c r="D18" s="143">
        <f t="shared" si="1"/>
        <v>242.30453</v>
      </c>
      <c r="E18" s="104">
        <f t="shared" si="2"/>
        <v>39.874683569455762</v>
      </c>
      <c r="F18" s="128">
        <f t="shared" si="3"/>
        <v>2.9520532407407409</v>
      </c>
      <c r="G18" s="106"/>
      <c r="H18" s="107">
        <f t="shared" si="4"/>
        <v>2.3285761452241718</v>
      </c>
      <c r="I18" s="103">
        <f>'[1]сентябрь 20'!AE17</f>
        <v>0</v>
      </c>
      <c r="J18" s="103">
        <f>'[1]январь 20'!AA17</f>
        <v>0</v>
      </c>
      <c r="K18" s="106"/>
      <c r="L18" s="328">
        <f t="shared" si="25"/>
        <v>51.174999999999997</v>
      </c>
      <c r="M18" s="103">
        <f t="shared" si="5"/>
        <v>0.62347709551656916</v>
      </c>
      <c r="N18" s="103">
        <f>'[1]июль 20'!AM17</f>
        <v>0</v>
      </c>
      <c r="O18" s="103">
        <f>'[1]январь 20'!W17</f>
        <v>1.62</v>
      </c>
      <c r="P18" s="103">
        <v>135.62</v>
      </c>
      <c r="Q18" s="108">
        <f t="shared" si="6"/>
        <v>1.6369267069753723</v>
      </c>
      <c r="R18" s="109">
        <f t="shared" si="7"/>
        <v>133.4</v>
      </c>
      <c r="S18" s="106">
        <v>21.39</v>
      </c>
      <c r="T18" s="109">
        <f t="shared" si="8"/>
        <v>133.4</v>
      </c>
      <c r="U18" s="110">
        <f t="shared" si="9"/>
        <v>1.6252436647173489</v>
      </c>
      <c r="V18" s="136">
        <v>58.69</v>
      </c>
      <c r="W18" s="130">
        <v>82.08</v>
      </c>
      <c r="X18" s="131">
        <v>0.36</v>
      </c>
      <c r="Y18" s="112">
        <v>557</v>
      </c>
      <c r="Z18" s="133">
        <v>1181</v>
      </c>
      <c r="AA18" s="144" t="s">
        <v>129</v>
      </c>
      <c r="AB18" s="131">
        <v>77.010000000000005</v>
      </c>
      <c r="AC18" s="133">
        <v>85</v>
      </c>
      <c r="AD18" s="134">
        <v>3</v>
      </c>
      <c r="AE18" s="131"/>
      <c r="AF18" s="115">
        <f t="shared" si="10"/>
        <v>0</v>
      </c>
      <c r="AG18" s="131">
        <v>56.7</v>
      </c>
      <c r="AH18" s="115">
        <f t="shared" si="11"/>
        <v>690.78947368421063</v>
      </c>
      <c r="AI18" s="139">
        <v>14.76</v>
      </c>
      <c r="AJ18" s="131"/>
      <c r="AK18" s="136">
        <v>7.87</v>
      </c>
      <c r="AL18" s="136">
        <v>18.350000000000001</v>
      </c>
      <c r="AM18" s="110">
        <f t="shared" si="12"/>
        <v>0.17254348848142925</v>
      </c>
      <c r="AN18" s="137" t="s">
        <v>130</v>
      </c>
      <c r="AO18" s="150">
        <v>13.9</v>
      </c>
      <c r="AP18" s="138">
        <v>5.83</v>
      </c>
      <c r="AQ18" s="131"/>
      <c r="AR18" s="131">
        <v>18.14</v>
      </c>
      <c r="AS18" s="315">
        <v>106.35</v>
      </c>
      <c r="AT18" s="131">
        <v>1.95</v>
      </c>
      <c r="AU18" s="116"/>
      <c r="AV18" s="131"/>
      <c r="AW18" s="109">
        <f t="shared" ref="AW18:AW37" si="31">IF(AX18=0,0,AV18/AX18*100)</f>
        <v>0</v>
      </c>
      <c r="AX18" s="109">
        <f t="shared" si="13"/>
        <v>82.08</v>
      </c>
      <c r="AY18" s="115">
        <f>IF(AB18=0,0,((D18*0.97)*(E18/100)*0.9)/(AB18/100))</f>
        <v>109.528188165483</v>
      </c>
      <c r="AZ18" s="140">
        <f t="shared" si="14"/>
        <v>7.9675478873239429</v>
      </c>
      <c r="BA18" s="141">
        <f t="shared" si="15"/>
        <v>3.2831999999999999</v>
      </c>
      <c r="BB18" s="128">
        <f t="shared" si="16"/>
        <v>0.65422281880292998</v>
      </c>
      <c r="BC18" s="141">
        <f t="shared" si="17"/>
        <v>11.250747887323943</v>
      </c>
      <c r="BD18" s="142">
        <v>0.88800000000000001</v>
      </c>
      <c r="BE18" s="16">
        <f t="shared" si="27"/>
        <v>2518.7399999999993</v>
      </c>
      <c r="BF18" s="16">
        <f t="shared" si="18"/>
        <v>209.67741935483872</v>
      </c>
      <c r="BG18" s="16">
        <f t="shared" si="28"/>
        <v>2516.1290322580644</v>
      </c>
      <c r="BH18" s="17">
        <f t="shared" si="19"/>
        <v>1</v>
      </c>
      <c r="BI18" s="16">
        <f t="shared" si="29"/>
        <v>2516.1290322580644</v>
      </c>
      <c r="BJ18" s="249">
        <v>144.06399999999999</v>
      </c>
      <c r="BK18" s="195">
        <v>51.174999999999997</v>
      </c>
      <c r="BL18" s="195"/>
      <c r="BM18" s="197">
        <v>56.396000000000001</v>
      </c>
      <c r="BN18" s="230"/>
      <c r="BO18" s="230"/>
      <c r="BP18" s="250"/>
      <c r="BQ18" s="199"/>
      <c r="BR18" s="200">
        <v>2.0099999999999998</v>
      </c>
      <c r="BS18" s="200"/>
      <c r="BT18" s="200"/>
      <c r="BU18" s="200">
        <v>11.41</v>
      </c>
      <c r="BV18" s="208"/>
      <c r="BW18" s="208"/>
      <c r="BX18" s="201"/>
      <c r="BY18" s="202">
        <v>36.79</v>
      </c>
      <c r="BZ18" s="200">
        <v>44.96</v>
      </c>
      <c r="CA18" s="200"/>
      <c r="CB18" s="200">
        <v>43.14</v>
      </c>
      <c r="CC18" s="208"/>
      <c r="CD18" s="208"/>
      <c r="CE18" s="209"/>
      <c r="CF18" s="199"/>
      <c r="CG18" s="197">
        <v>23.5</v>
      </c>
      <c r="CH18" s="268">
        <v>109.9</v>
      </c>
      <c r="CI18" s="289"/>
      <c r="CJ18" s="267"/>
      <c r="CK18" s="202"/>
      <c r="CL18" s="208"/>
      <c r="CM18" s="208"/>
      <c r="CN18" s="201"/>
      <c r="CO18" s="284"/>
      <c r="CP18" s="286">
        <f t="shared" si="20"/>
        <v>141.1683136</v>
      </c>
      <c r="CQ18" s="24">
        <f t="shared" si="20"/>
        <v>51.174999999999997</v>
      </c>
      <c r="CR18" s="25">
        <f t="shared" si="20"/>
        <v>0</v>
      </c>
      <c r="CS18" s="24">
        <f t="shared" si="20"/>
        <v>49.961216400000005</v>
      </c>
      <c r="CT18" s="27">
        <f t="shared" si="20"/>
        <v>0</v>
      </c>
      <c r="CU18" s="30">
        <f t="shared" si="20"/>
        <v>0</v>
      </c>
      <c r="CV18" s="280">
        <f t="shared" si="20"/>
        <v>0</v>
      </c>
      <c r="CW18" s="30">
        <f t="shared" si="21"/>
        <v>23.5</v>
      </c>
      <c r="CX18" s="24">
        <f t="shared" si="21"/>
        <v>109.9</v>
      </c>
      <c r="CY18" s="277">
        <f t="shared" si="21"/>
        <v>0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30"/>
        <v>0</v>
      </c>
    </row>
    <row r="19" spans="1:110" ht="16.5" customHeight="1">
      <c r="A19" s="127">
        <v>13</v>
      </c>
      <c r="B19" s="103">
        <f t="shared" si="24"/>
        <v>350.99299999999999</v>
      </c>
      <c r="C19" s="104">
        <f t="shared" si="0"/>
        <v>4.1823988227685458</v>
      </c>
      <c r="D19" s="143">
        <f t="shared" si="1"/>
        <v>336.31307289999995</v>
      </c>
      <c r="E19" s="104">
        <f>IF(B19=0,0,(BJ19*BY19+BK19*BZ19+BM19*CB19+BP19*CE19+BL19*CA19+BO19*CD19+BN19*CC19)/B19)</f>
        <v>39.406493833210348</v>
      </c>
      <c r="F19" s="128">
        <f t="shared" si="3"/>
        <v>1.9573569601908969</v>
      </c>
      <c r="G19" s="106"/>
      <c r="H19" s="107">
        <f t="shared" si="4"/>
        <v>1.640542852403678</v>
      </c>
      <c r="I19" s="103">
        <f>'[1]сентябрь 20'!AE18</f>
        <v>0</v>
      </c>
      <c r="J19" s="103">
        <f>'[1]январь 20'!AA18</f>
        <v>0</v>
      </c>
      <c r="K19" s="106"/>
      <c r="L19" s="328">
        <f t="shared" si="25"/>
        <v>54.435000000000002</v>
      </c>
      <c r="M19" s="103">
        <f t="shared" si="5"/>
        <v>0.31681410778721913</v>
      </c>
      <c r="N19" s="103">
        <f>'[1]июль 20'!AM18</f>
        <v>0</v>
      </c>
      <c r="O19" s="103">
        <f>'[1]январь 20'!W18</f>
        <v>0</v>
      </c>
      <c r="P19" s="103">
        <v>189.42</v>
      </c>
      <c r="Q19" s="108">
        <f t="shared" si="6"/>
        <v>1.4518002322880363</v>
      </c>
      <c r="R19" s="109">
        <f t="shared" si="7"/>
        <v>186.67</v>
      </c>
      <c r="S19" s="106">
        <v>11.79</v>
      </c>
      <c r="T19" s="109">
        <f t="shared" si="8"/>
        <v>186.67</v>
      </c>
      <c r="U19" s="110">
        <f t="shared" si="9"/>
        <v>1.0864276568501918</v>
      </c>
      <c r="V19" s="136">
        <v>171.82</v>
      </c>
      <c r="W19" s="130">
        <v>133.1</v>
      </c>
      <c r="X19" s="131">
        <v>0.44</v>
      </c>
      <c r="Y19" s="112">
        <v>620</v>
      </c>
      <c r="Z19" s="133">
        <v>1230</v>
      </c>
      <c r="AA19" s="144" t="s">
        <v>131</v>
      </c>
      <c r="AB19" s="131">
        <v>76.959999999999994</v>
      </c>
      <c r="AC19" s="133">
        <v>121</v>
      </c>
      <c r="AD19" s="134">
        <v>5</v>
      </c>
      <c r="AE19" s="131">
        <v>7.6</v>
      </c>
      <c r="AF19" s="115">
        <f t="shared" si="10"/>
        <v>44.232336165754852</v>
      </c>
      <c r="AG19" s="131">
        <v>106.3</v>
      </c>
      <c r="AH19" s="115">
        <f t="shared" si="11"/>
        <v>618.67070189733431</v>
      </c>
      <c r="AI19" s="139">
        <v>26.22</v>
      </c>
      <c r="AJ19" s="131"/>
      <c r="AK19" s="136">
        <v>12.45</v>
      </c>
      <c r="AL19" s="136">
        <v>42.73</v>
      </c>
      <c r="AM19" s="110">
        <f t="shared" si="12"/>
        <v>0.1902916945001113</v>
      </c>
      <c r="AN19" s="137" t="s">
        <v>132</v>
      </c>
      <c r="AO19" s="150">
        <v>13.6</v>
      </c>
      <c r="AP19" s="138">
        <v>5.97</v>
      </c>
      <c r="AQ19" s="134"/>
      <c r="AR19" s="131">
        <v>15.22</v>
      </c>
      <c r="AS19" s="315">
        <v>224.55</v>
      </c>
      <c r="AT19" s="131">
        <v>2.4500000000000002</v>
      </c>
      <c r="AU19" s="116"/>
      <c r="AV19" s="131"/>
      <c r="AW19" s="109">
        <f t="shared" si="31"/>
        <v>0</v>
      </c>
      <c r="AX19" s="109">
        <f t="shared" si="13"/>
        <v>171.82000000000002</v>
      </c>
      <c r="AY19" s="115">
        <f t="shared" si="26"/>
        <v>150.33521720423096</v>
      </c>
      <c r="AZ19" s="140">
        <f t="shared" si="14"/>
        <v>12.532919718309859</v>
      </c>
      <c r="BA19" s="141">
        <f t="shared" si="15"/>
        <v>6.8728000000000007</v>
      </c>
      <c r="BB19" s="128">
        <f t="shared" si="16"/>
        <v>0.99776261869649618</v>
      </c>
      <c r="BC19" s="141">
        <f t="shared" si="17"/>
        <v>19.405719718309861</v>
      </c>
      <c r="BD19" s="142">
        <v>0.89500000000000002</v>
      </c>
      <c r="BE19" s="16">
        <f t="shared" si="27"/>
        <v>2690.5599999999995</v>
      </c>
      <c r="BF19" s="16">
        <f t="shared" si="18"/>
        <v>209.67741935483872</v>
      </c>
      <c r="BG19" s="16">
        <f t="shared" si="28"/>
        <v>2725.8064516129029</v>
      </c>
      <c r="BH19" s="17">
        <f t="shared" si="19"/>
        <v>1</v>
      </c>
      <c r="BI19" s="16">
        <f t="shared" si="29"/>
        <v>2725.8064516129029</v>
      </c>
      <c r="BJ19" s="254">
        <v>206.81100000000001</v>
      </c>
      <c r="BK19" s="197">
        <v>54.435000000000002</v>
      </c>
      <c r="BL19" s="197"/>
      <c r="BM19" s="197">
        <v>89.747</v>
      </c>
      <c r="BN19" s="230"/>
      <c r="BO19" s="230"/>
      <c r="BP19" s="258"/>
      <c r="BQ19" s="199"/>
      <c r="BR19" s="200">
        <v>1.83</v>
      </c>
      <c r="BS19" s="200"/>
      <c r="BT19" s="200"/>
      <c r="BU19" s="200">
        <v>12.14</v>
      </c>
      <c r="BV19" s="208"/>
      <c r="BW19" s="208"/>
      <c r="BX19" s="201"/>
      <c r="BY19" s="202">
        <v>36.53</v>
      </c>
      <c r="BZ19" s="200">
        <v>42.3</v>
      </c>
      <c r="CA19" s="200"/>
      <c r="CB19" s="200">
        <v>44.28</v>
      </c>
      <c r="CC19" s="208"/>
      <c r="CD19" s="208"/>
      <c r="CE19" s="209"/>
      <c r="CF19" s="199"/>
      <c r="CG19" s="197">
        <v>40.5</v>
      </c>
      <c r="CH19" s="197">
        <v>146.16999999999999</v>
      </c>
      <c r="CI19" s="197"/>
      <c r="CJ19" s="198"/>
      <c r="CK19" s="202"/>
      <c r="CL19" s="208"/>
      <c r="CM19" s="208"/>
      <c r="CN19" s="201"/>
      <c r="CO19" s="284"/>
      <c r="CP19" s="286">
        <f t="shared" si="20"/>
        <v>203.0263587</v>
      </c>
      <c r="CQ19" s="24">
        <f t="shared" si="20"/>
        <v>54.435000000000002</v>
      </c>
      <c r="CR19" s="25">
        <f t="shared" si="20"/>
        <v>0</v>
      </c>
      <c r="CS19" s="24">
        <f t="shared" si="20"/>
        <v>78.851714200000004</v>
      </c>
      <c r="CT19" s="27">
        <f t="shared" si="20"/>
        <v>0</v>
      </c>
      <c r="CU19" s="24">
        <f t="shared" si="20"/>
        <v>0</v>
      </c>
      <c r="CV19" s="280">
        <f t="shared" si="20"/>
        <v>0</v>
      </c>
      <c r="CW19" s="237">
        <f t="shared" si="21"/>
        <v>40.5</v>
      </c>
      <c r="CX19" s="24">
        <f t="shared" si="21"/>
        <v>146.16999999999999</v>
      </c>
      <c r="CY19" s="277">
        <f t="shared" si="21"/>
        <v>0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30"/>
        <v>0</v>
      </c>
    </row>
    <row r="20" spans="1:110" ht="16.5" customHeight="1">
      <c r="A20" s="127">
        <v>14</v>
      </c>
      <c r="B20" s="103">
        <f t="shared" si="24"/>
        <v>465.94600000000003</v>
      </c>
      <c r="C20" s="104">
        <f t="shared" si="0"/>
        <v>5.3414379992531318</v>
      </c>
      <c r="D20" s="143">
        <f t="shared" si="1"/>
        <v>441.05778330000004</v>
      </c>
      <c r="E20" s="104">
        <f t="shared" si="2"/>
        <v>39.369605040069011</v>
      </c>
      <c r="F20" s="128">
        <f t="shared" si="3"/>
        <v>2.3806217050790739</v>
      </c>
      <c r="G20" s="106"/>
      <c r="H20" s="107">
        <f t="shared" si="4"/>
        <v>1.973982745722459</v>
      </c>
      <c r="I20" s="103">
        <f>'[1]сентябрь 20'!AE19</f>
        <v>0</v>
      </c>
      <c r="J20" s="103">
        <f>'[1]январь 20'!AA19</f>
        <v>0</v>
      </c>
      <c r="K20" s="106"/>
      <c r="L20" s="328">
        <f t="shared" si="25"/>
        <v>75.337999999999994</v>
      </c>
      <c r="M20" s="103">
        <f t="shared" si="5"/>
        <v>0.40663895935661459</v>
      </c>
      <c r="N20" s="103">
        <f>'[1]июль 20'!AM19</f>
        <v>0</v>
      </c>
      <c r="O20" s="103">
        <f>'[1]январь 20'!W19</f>
        <v>0</v>
      </c>
      <c r="P20" s="103">
        <v>251.86</v>
      </c>
      <c r="Q20" s="108">
        <f t="shared" si="6"/>
        <v>1.588183911696972</v>
      </c>
      <c r="R20" s="109">
        <f t="shared" si="7"/>
        <v>247.86</v>
      </c>
      <c r="S20" s="106">
        <v>24.51</v>
      </c>
      <c r="T20" s="109">
        <f t="shared" si="8"/>
        <v>247.86</v>
      </c>
      <c r="U20" s="110">
        <f t="shared" si="9"/>
        <v>1.3378312732768392</v>
      </c>
      <c r="V20" s="136">
        <v>185.27</v>
      </c>
      <c r="W20" s="130">
        <v>62.67</v>
      </c>
      <c r="X20" s="131">
        <v>1.1499999999999999</v>
      </c>
      <c r="Y20" s="112">
        <v>674</v>
      </c>
      <c r="Z20" s="133">
        <v>1228</v>
      </c>
      <c r="AA20" s="151" t="s">
        <v>133</v>
      </c>
      <c r="AB20" s="131">
        <v>76.37</v>
      </c>
      <c r="AC20" s="133">
        <v>158</v>
      </c>
      <c r="AD20" s="134">
        <v>5</v>
      </c>
      <c r="AE20" s="131">
        <v>6.4</v>
      </c>
      <c r="AF20" s="115">
        <f t="shared" si="10"/>
        <v>34.544178766125114</v>
      </c>
      <c r="AG20" s="131">
        <v>88.55</v>
      </c>
      <c r="AH20" s="115">
        <f t="shared" si="11"/>
        <v>477.95109839693419</v>
      </c>
      <c r="AI20" s="139">
        <v>27.76</v>
      </c>
      <c r="AJ20" s="131"/>
      <c r="AK20" s="136">
        <v>8.74</v>
      </c>
      <c r="AL20" s="136">
        <v>31.63</v>
      </c>
      <c r="AM20" s="110">
        <f t="shared" si="12"/>
        <v>0.14190219829519962</v>
      </c>
      <c r="AN20" s="137" t="s">
        <v>113</v>
      </c>
      <c r="AO20" s="150">
        <v>15.05</v>
      </c>
      <c r="AP20" s="138">
        <v>6.18</v>
      </c>
      <c r="AQ20" s="131"/>
      <c r="AR20" s="131">
        <v>11.54</v>
      </c>
      <c r="AS20" s="315">
        <v>222.9</v>
      </c>
      <c r="AT20" s="131">
        <v>2.74</v>
      </c>
      <c r="AU20" s="148"/>
      <c r="AV20" s="131"/>
      <c r="AW20" s="109">
        <f t="shared" si="31"/>
        <v>0</v>
      </c>
      <c r="AX20" s="109">
        <f t="shared" si="13"/>
        <v>185.27</v>
      </c>
      <c r="AY20" s="115">
        <f t="shared" si="26"/>
        <v>198.49428238662352</v>
      </c>
      <c r="AZ20" s="140">
        <f t="shared" si="14"/>
        <v>7.9158711267605613</v>
      </c>
      <c r="BA20" s="141">
        <f t="shared" si="15"/>
        <v>7.4108000000000009</v>
      </c>
      <c r="BB20" s="128">
        <f t="shared" si="16"/>
        <v>0.81483813062667676</v>
      </c>
      <c r="BC20" s="141">
        <f t="shared" si="17"/>
        <v>15.326671126760562</v>
      </c>
      <c r="BD20" s="142">
        <v>0.88900000000000001</v>
      </c>
      <c r="BE20" s="16">
        <f t="shared" si="27"/>
        <v>2875.8299999999995</v>
      </c>
      <c r="BF20" s="16">
        <f t="shared" si="18"/>
        <v>209.67741935483872</v>
      </c>
      <c r="BG20" s="16">
        <f t="shared" si="28"/>
        <v>2935.4838709677415</v>
      </c>
      <c r="BH20" s="17">
        <f t="shared" si="19"/>
        <v>1</v>
      </c>
      <c r="BI20" s="16">
        <f t="shared" si="29"/>
        <v>2935.4838709677415</v>
      </c>
      <c r="BJ20" s="254">
        <v>271.46499999999997</v>
      </c>
      <c r="BK20" s="197">
        <v>75.337999999999994</v>
      </c>
      <c r="BL20" s="197"/>
      <c r="BM20" s="197">
        <v>119.143</v>
      </c>
      <c r="BN20" s="230"/>
      <c r="BO20" s="230"/>
      <c r="BP20" s="259"/>
      <c r="BQ20" s="199"/>
      <c r="BR20" s="200">
        <v>3.05</v>
      </c>
      <c r="BS20" s="200"/>
      <c r="BT20" s="200"/>
      <c r="BU20" s="200">
        <v>13.94</v>
      </c>
      <c r="BV20" s="208"/>
      <c r="BW20" s="208"/>
      <c r="BX20" s="201"/>
      <c r="BY20" s="202">
        <v>37.299999999999997</v>
      </c>
      <c r="BZ20" s="200">
        <v>43.79</v>
      </c>
      <c r="CA20" s="200"/>
      <c r="CB20" s="200">
        <v>41.29</v>
      </c>
      <c r="CC20" s="208"/>
      <c r="CD20" s="208"/>
      <c r="CE20" s="209"/>
      <c r="CF20" s="199"/>
      <c r="CG20" s="197">
        <v>37</v>
      </c>
      <c r="CH20" s="197">
        <v>210.86</v>
      </c>
      <c r="CI20" s="197"/>
      <c r="CJ20" s="198"/>
      <c r="CK20" s="202"/>
      <c r="CL20" s="208"/>
      <c r="CM20" s="208"/>
      <c r="CN20" s="201"/>
      <c r="CO20" s="284"/>
      <c r="CP20" s="286">
        <f t="shared" si="20"/>
        <v>263.1853175</v>
      </c>
      <c r="CQ20" s="24">
        <f t="shared" si="20"/>
        <v>75.337999999999994</v>
      </c>
      <c r="CR20" s="25">
        <f t="shared" si="20"/>
        <v>0</v>
      </c>
      <c r="CS20" s="24">
        <f t="shared" si="20"/>
        <v>102.53446580000001</v>
      </c>
      <c r="CT20" s="27">
        <f t="shared" si="20"/>
        <v>0</v>
      </c>
      <c r="CU20" s="30">
        <f t="shared" si="20"/>
        <v>0</v>
      </c>
      <c r="CV20" s="280">
        <f t="shared" si="20"/>
        <v>0</v>
      </c>
      <c r="CW20" s="237">
        <f t="shared" si="21"/>
        <v>37</v>
      </c>
      <c r="CX20" s="29">
        <f t="shared" si="21"/>
        <v>210.86</v>
      </c>
      <c r="CY20" s="277">
        <f t="shared" si="21"/>
        <v>0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30"/>
        <v>0</v>
      </c>
    </row>
    <row r="21" spans="1:110" ht="16.5" customHeight="1">
      <c r="A21" s="127">
        <v>15</v>
      </c>
      <c r="B21" s="103">
        <f t="shared" si="24"/>
        <v>381.88900000000001</v>
      </c>
      <c r="C21" s="104">
        <f t="shared" si="0"/>
        <v>5.0859012697406838</v>
      </c>
      <c r="D21" s="143">
        <f t="shared" si="1"/>
        <v>362.46650249999999</v>
      </c>
      <c r="E21" s="104">
        <f t="shared" si="2"/>
        <v>39.561046796320397</v>
      </c>
      <c r="F21" s="128">
        <f t="shared" si="3"/>
        <v>1.7627978917420484</v>
      </c>
      <c r="G21" s="106"/>
      <c r="H21" s="107">
        <f t="shared" si="4"/>
        <v>1.4735361467756054</v>
      </c>
      <c r="I21" s="103">
        <f>'[1]сентябрь 20'!AE20</f>
        <v>0</v>
      </c>
      <c r="J21" s="103">
        <f>'[1]январь 20'!AA20</f>
        <v>0</v>
      </c>
      <c r="K21" s="106"/>
      <c r="L21" s="328">
        <f t="shared" si="25"/>
        <v>59.478000000000002</v>
      </c>
      <c r="M21" s="103">
        <f t="shared" si="5"/>
        <v>0.28926174496644297</v>
      </c>
      <c r="N21" s="103">
        <f>'[1]июль 20'!AM20</f>
        <v>0</v>
      </c>
      <c r="O21" s="103">
        <f>'[1]январь 20'!W20</f>
        <v>0</v>
      </c>
      <c r="P21" s="103">
        <f>'[1]январь 20'!S20</f>
        <v>232.536</v>
      </c>
      <c r="Q21" s="108">
        <f t="shared" si="6"/>
        <v>1.365810025114389</v>
      </c>
      <c r="R21" s="109">
        <f t="shared" si="7"/>
        <v>229.36</v>
      </c>
      <c r="S21" s="106">
        <v>28.1</v>
      </c>
      <c r="T21" s="109">
        <f t="shared" si="8"/>
        <v>229.36</v>
      </c>
      <c r="U21" s="110">
        <f t="shared" si="9"/>
        <v>1.1154556949713064</v>
      </c>
      <c r="V21" s="136">
        <v>92.56</v>
      </c>
      <c r="W21" s="130">
        <v>205.62</v>
      </c>
      <c r="X21" s="131">
        <v>0.08</v>
      </c>
      <c r="Y21" s="112">
        <v>603</v>
      </c>
      <c r="Z21" s="133">
        <v>1220</v>
      </c>
      <c r="AA21" s="151" t="s">
        <v>134</v>
      </c>
      <c r="AB21" s="131">
        <v>75.14</v>
      </c>
      <c r="AC21" s="133">
        <v>132</v>
      </c>
      <c r="AD21" s="134">
        <v>5</v>
      </c>
      <c r="AE21" s="131">
        <v>4.8499999999999996</v>
      </c>
      <c r="AF21" s="115">
        <f t="shared" si="10"/>
        <v>23.587199688746232</v>
      </c>
      <c r="AG21" s="131">
        <v>144.9</v>
      </c>
      <c r="AH21" s="115">
        <f t="shared" si="11"/>
        <v>704.69798657718115</v>
      </c>
      <c r="AI21" s="139">
        <v>23.04</v>
      </c>
      <c r="AJ21" s="131"/>
      <c r="AK21" s="136">
        <v>9.44</v>
      </c>
      <c r="AL21" s="136">
        <v>24.54</v>
      </c>
      <c r="AM21" s="110">
        <f t="shared" si="12"/>
        <v>0.1031742694975825</v>
      </c>
      <c r="AN21" s="137" t="s">
        <v>135</v>
      </c>
      <c r="AO21" s="150">
        <v>12.11</v>
      </c>
      <c r="AP21" s="138">
        <v>5.75</v>
      </c>
      <c r="AQ21" s="131"/>
      <c r="AR21" s="131">
        <v>21.3</v>
      </c>
      <c r="AS21" s="315">
        <v>237.85</v>
      </c>
      <c r="AT21" s="131">
        <v>1.75</v>
      </c>
      <c r="AU21" s="116"/>
      <c r="AV21" s="131"/>
      <c r="AW21" s="109">
        <f t="shared" si="31"/>
        <v>0</v>
      </c>
      <c r="AX21" s="109">
        <f t="shared" si="13"/>
        <v>205.62</v>
      </c>
      <c r="AY21" s="115">
        <f t="shared" si="26"/>
        <v>166.60142235198896</v>
      </c>
      <c r="AZ21" s="140">
        <f t="shared" si="14"/>
        <v>23.908500000000004</v>
      </c>
      <c r="BA21" s="141">
        <f t="shared" si="15"/>
        <v>8.2248000000000001</v>
      </c>
      <c r="BB21" s="128">
        <f t="shared" si="16"/>
        <v>1.0774593485807478</v>
      </c>
      <c r="BC21" s="141">
        <f t="shared" si="17"/>
        <v>32.133300000000006</v>
      </c>
      <c r="BD21" s="142">
        <v>0.9</v>
      </c>
      <c r="BE21" s="16">
        <f t="shared" si="27"/>
        <v>3081.4499999999994</v>
      </c>
      <c r="BF21" s="16">
        <f t="shared" si="18"/>
        <v>209.67741935483872</v>
      </c>
      <c r="BG21" s="16">
        <f t="shared" si="28"/>
        <v>3145.16129032258</v>
      </c>
      <c r="BH21" s="17">
        <f t="shared" si="19"/>
        <v>1</v>
      </c>
      <c r="BI21" s="16">
        <f t="shared" si="29"/>
        <v>3145.16129032258</v>
      </c>
      <c r="BJ21" s="254">
        <v>218.21199999999999</v>
      </c>
      <c r="BK21" s="197">
        <v>59.478000000000002</v>
      </c>
      <c r="BL21" s="197"/>
      <c r="BM21" s="197">
        <v>104.199</v>
      </c>
      <c r="BN21" s="230"/>
      <c r="BO21" s="230"/>
      <c r="BP21" s="259"/>
      <c r="BQ21" s="199"/>
      <c r="BR21" s="200">
        <v>2.44</v>
      </c>
      <c r="BS21" s="200"/>
      <c r="BT21" s="200"/>
      <c r="BU21" s="200">
        <v>13.53</v>
      </c>
      <c r="BV21" s="208"/>
      <c r="BW21" s="208"/>
      <c r="BX21" s="201"/>
      <c r="BY21" s="202">
        <v>37.049999999999997</v>
      </c>
      <c r="BZ21" s="200">
        <v>43.8</v>
      </c>
      <c r="CA21" s="200"/>
      <c r="CB21" s="200">
        <v>42.4</v>
      </c>
      <c r="CC21" s="208"/>
      <c r="CD21" s="208"/>
      <c r="CE21" s="209"/>
      <c r="CF21" s="199"/>
      <c r="CG21" s="197"/>
      <c r="CH21" s="197">
        <v>229.36</v>
      </c>
      <c r="CI21" s="197"/>
      <c r="CJ21" s="198"/>
      <c r="CK21" s="202"/>
      <c r="CL21" s="208"/>
      <c r="CM21" s="208"/>
      <c r="CN21" s="201"/>
      <c r="CO21" s="284"/>
      <c r="CP21" s="286">
        <f t="shared" si="20"/>
        <v>212.8876272</v>
      </c>
      <c r="CQ21" s="27">
        <f t="shared" si="20"/>
        <v>59.478000000000002</v>
      </c>
      <c r="CR21" s="28">
        <f t="shared" si="20"/>
        <v>0</v>
      </c>
      <c r="CS21" s="27">
        <f t="shared" si="20"/>
        <v>90.100875299999998</v>
      </c>
      <c r="CT21" s="27">
        <f t="shared" si="20"/>
        <v>0</v>
      </c>
      <c r="CU21" s="24">
        <f t="shared" si="20"/>
        <v>0</v>
      </c>
      <c r="CV21" s="281">
        <f t="shared" si="20"/>
        <v>0</v>
      </c>
      <c r="CW21" s="237">
        <f t="shared" si="21"/>
        <v>0</v>
      </c>
      <c r="CX21" s="24">
        <f t="shared" si="21"/>
        <v>229.36</v>
      </c>
      <c r="CY21" s="277">
        <f t="shared" si="21"/>
        <v>0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30"/>
        <v>0</v>
      </c>
    </row>
    <row r="22" spans="1:110" ht="16.5" customHeight="1">
      <c r="A22" s="127">
        <v>16</v>
      </c>
      <c r="B22" s="103">
        <f t="shared" si="24"/>
        <v>459.64299999999997</v>
      </c>
      <c r="C22" s="104">
        <f t="shared" si="0"/>
        <v>5.0057185902972527</v>
      </c>
      <c r="D22" s="143">
        <f t="shared" si="1"/>
        <v>436.63456489999999</v>
      </c>
      <c r="E22" s="104">
        <f t="shared" si="2"/>
        <v>39.989880494209643</v>
      </c>
      <c r="F22" s="128">
        <f t="shared" si="3"/>
        <v>2.9920822647844862</v>
      </c>
      <c r="G22" s="106"/>
      <c r="H22" s="107">
        <f t="shared" si="4"/>
        <v>2.4835644822860279</v>
      </c>
      <c r="I22" s="103">
        <f>'[1]сентябрь 20'!AE21</f>
        <v>0</v>
      </c>
      <c r="J22" s="103">
        <f>'[1]январь 20'!AA21</f>
        <v>0</v>
      </c>
      <c r="K22" s="106"/>
      <c r="L22" s="328">
        <f t="shared" si="25"/>
        <v>74.207999999999998</v>
      </c>
      <c r="M22" s="103">
        <f t="shared" si="5"/>
        <v>0.50851778249845825</v>
      </c>
      <c r="N22" s="103">
        <f>'[1]июль 20'!AM21</f>
        <v>0</v>
      </c>
      <c r="O22" s="103">
        <f>'[1]январь 20'!W21</f>
        <v>0</v>
      </c>
      <c r="P22" s="103">
        <f>'[1]январь 20'!S21</f>
        <v>280.59300000000002</v>
      </c>
      <c r="Q22" s="108">
        <f t="shared" si="6"/>
        <v>1.3874187880667077</v>
      </c>
      <c r="R22" s="109">
        <f t="shared" si="7"/>
        <v>276.7</v>
      </c>
      <c r="S22" s="106">
        <v>15.82</v>
      </c>
      <c r="T22" s="109">
        <f t="shared" si="8"/>
        <v>276.7</v>
      </c>
      <c r="U22" s="110">
        <f t="shared" si="9"/>
        <v>1.8961145754813953</v>
      </c>
      <c r="V22" s="136">
        <v>113.06</v>
      </c>
      <c r="W22" s="129">
        <v>145.93</v>
      </c>
      <c r="X22" s="131">
        <v>0.43</v>
      </c>
      <c r="Y22" s="112">
        <v>633</v>
      </c>
      <c r="Z22" s="152">
        <v>1217</v>
      </c>
      <c r="AA22" s="144" t="s">
        <v>136</v>
      </c>
      <c r="AB22" s="131">
        <v>75.63</v>
      </c>
      <c r="AC22" s="133">
        <v>157</v>
      </c>
      <c r="AD22" s="134">
        <v>5</v>
      </c>
      <c r="AE22" s="131">
        <v>7.3</v>
      </c>
      <c r="AF22" s="115">
        <f t="shared" si="10"/>
        <v>50.023984101966697</v>
      </c>
      <c r="AG22" s="131">
        <v>87.25</v>
      </c>
      <c r="AH22" s="115">
        <f t="shared" si="11"/>
        <v>597.88939902693085</v>
      </c>
      <c r="AI22" s="139">
        <v>27.1</v>
      </c>
      <c r="AJ22" s="131"/>
      <c r="AK22" s="136">
        <v>10.35</v>
      </c>
      <c r="AL22" s="136">
        <v>31.96</v>
      </c>
      <c r="AM22" s="110">
        <f t="shared" si="12"/>
        <v>0.17141324751944223</v>
      </c>
      <c r="AN22" s="137" t="s">
        <v>137</v>
      </c>
      <c r="AO22" s="150">
        <v>13.55</v>
      </c>
      <c r="AP22" s="138">
        <v>5.92</v>
      </c>
      <c r="AQ22" s="134"/>
      <c r="AR22" s="131">
        <v>15.14</v>
      </c>
      <c r="AS22" s="315">
        <v>186.45</v>
      </c>
      <c r="AT22" s="131">
        <v>1.79</v>
      </c>
      <c r="AU22" s="116"/>
      <c r="AV22" s="131"/>
      <c r="AW22" s="109">
        <f t="shared" si="31"/>
        <v>0</v>
      </c>
      <c r="AX22" s="109">
        <f t="shared" si="13"/>
        <v>145.92999999999998</v>
      </c>
      <c r="AY22" s="115">
        <f t="shared" si="26"/>
        <v>201.55258010185395</v>
      </c>
      <c r="AZ22" s="140">
        <f t="shared" si="14"/>
        <v>10.232827464788734</v>
      </c>
      <c r="BA22" s="141">
        <f t="shared" si="15"/>
        <v>5.8371999999999993</v>
      </c>
      <c r="BB22" s="128">
        <f t="shared" si="16"/>
        <v>0.63207769374929557</v>
      </c>
      <c r="BC22" s="141">
        <f t="shared" si="17"/>
        <v>16.070027464788733</v>
      </c>
      <c r="BD22" s="142">
        <v>0.88300000000000001</v>
      </c>
      <c r="BE22" s="16">
        <f t="shared" si="27"/>
        <v>3227.3799999999992</v>
      </c>
      <c r="BF22" s="16">
        <f t="shared" si="18"/>
        <v>209.67741935483872</v>
      </c>
      <c r="BG22" s="16">
        <f t="shared" si="28"/>
        <v>3354.8387096774186</v>
      </c>
      <c r="BH22" s="17">
        <f t="shared" si="19"/>
        <v>1</v>
      </c>
      <c r="BI22" s="16">
        <f t="shared" si="29"/>
        <v>3354.8387096774186</v>
      </c>
      <c r="BJ22" s="254">
        <v>260.46100000000001</v>
      </c>
      <c r="BK22" s="197">
        <v>74.207999999999998</v>
      </c>
      <c r="BL22" s="197"/>
      <c r="BM22" s="197">
        <v>124.974</v>
      </c>
      <c r="BN22" s="230"/>
      <c r="BO22" s="230"/>
      <c r="BP22" s="258"/>
      <c r="BQ22" s="199"/>
      <c r="BR22" s="200">
        <v>1.79</v>
      </c>
      <c r="BS22" s="200"/>
      <c r="BT22" s="200"/>
      <c r="BU22" s="200">
        <v>14.68</v>
      </c>
      <c r="BV22" s="208"/>
      <c r="BW22" s="208"/>
      <c r="BX22" s="201"/>
      <c r="BY22" s="202">
        <v>37.26</v>
      </c>
      <c r="BZ22" s="200">
        <v>43.98</v>
      </c>
      <c r="CA22" s="200"/>
      <c r="CB22" s="200">
        <v>43.31</v>
      </c>
      <c r="CC22" s="208"/>
      <c r="CD22" s="208"/>
      <c r="CE22" s="201"/>
      <c r="CF22" s="199"/>
      <c r="CG22" s="197"/>
      <c r="CH22" s="197">
        <v>276.7</v>
      </c>
      <c r="CI22" s="197"/>
      <c r="CJ22" s="198"/>
      <c r="CK22" s="202"/>
      <c r="CL22" s="200"/>
      <c r="CM22" s="208"/>
      <c r="CN22" s="201"/>
      <c r="CO22" s="284"/>
      <c r="CP22" s="286">
        <f t="shared" si="20"/>
        <v>255.79874810000001</v>
      </c>
      <c r="CQ22" s="29">
        <f t="shared" si="20"/>
        <v>74.207999999999998</v>
      </c>
      <c r="CR22" s="30">
        <f t="shared" si="20"/>
        <v>0</v>
      </c>
      <c r="CS22" s="29">
        <f t="shared" si="20"/>
        <v>106.62781680000001</v>
      </c>
      <c r="CT22" s="27">
        <f t="shared" si="20"/>
        <v>0</v>
      </c>
      <c r="CU22" s="24">
        <f t="shared" si="20"/>
        <v>0</v>
      </c>
      <c r="CV22" s="282">
        <f t="shared" si="20"/>
        <v>0</v>
      </c>
      <c r="CW22" s="237">
        <f t="shared" si="21"/>
        <v>0</v>
      </c>
      <c r="CX22" s="24">
        <f t="shared" si="21"/>
        <v>276.7</v>
      </c>
      <c r="CY22" s="277">
        <f t="shared" si="21"/>
        <v>0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30"/>
        <v>0</v>
      </c>
    </row>
    <row r="23" spans="1:110" ht="16.5" customHeight="1">
      <c r="A23" s="127">
        <v>17</v>
      </c>
      <c r="B23" s="103">
        <f t="shared" si="24"/>
        <v>423.36699999999996</v>
      </c>
      <c r="C23" s="104">
        <f t="shared" si="0"/>
        <v>5.261100085741214</v>
      </c>
      <c r="D23" s="143">
        <f t="shared" si="1"/>
        <v>401.0932383999999</v>
      </c>
      <c r="E23" s="104">
        <f t="shared" si="2"/>
        <v>39.192843726601275</v>
      </c>
      <c r="F23" s="128">
        <f t="shared" si="3"/>
        <v>2.3115101337021664</v>
      </c>
      <c r="G23" s="106"/>
      <c r="H23" s="107">
        <f t="shared" si="4"/>
        <v>1.9213764315352695</v>
      </c>
      <c r="I23" s="103">
        <f>'[1]сентябрь 20'!AE22</f>
        <v>0</v>
      </c>
      <c r="J23" s="103">
        <f>'[1]январь 20'!AA22</f>
        <v>0</v>
      </c>
      <c r="K23" s="106"/>
      <c r="L23" s="328">
        <f t="shared" si="25"/>
        <v>67.695999999999998</v>
      </c>
      <c r="M23" s="103">
        <f t="shared" si="5"/>
        <v>0.39013370216689713</v>
      </c>
      <c r="N23" s="103">
        <f>'[1]июль 20'!AM22</f>
        <v>0</v>
      </c>
      <c r="O23" s="103">
        <f>'[1]январь 20'!W22</f>
        <v>0</v>
      </c>
      <c r="P23" s="103">
        <f>'[1]январь 20'!S22</f>
        <v>259.88400000000001</v>
      </c>
      <c r="Q23" s="108">
        <f t="shared" si="6"/>
        <v>1.3213587600621968</v>
      </c>
      <c r="R23" s="109">
        <f t="shared" si="7"/>
        <v>256.45</v>
      </c>
      <c r="S23" s="106">
        <v>20.239999999999998</v>
      </c>
      <c r="T23" s="109">
        <f t="shared" si="8"/>
        <v>256.45</v>
      </c>
      <c r="U23" s="110">
        <f t="shared" si="9"/>
        <v>1.4779276164130934</v>
      </c>
      <c r="V23" s="136">
        <v>173.52</v>
      </c>
      <c r="W23" s="129">
        <v>173.52</v>
      </c>
      <c r="X23" s="131">
        <v>0.56000000000000005</v>
      </c>
      <c r="Y23" s="112">
        <v>606</v>
      </c>
      <c r="Z23" s="133">
        <v>1221</v>
      </c>
      <c r="AA23" s="144" t="s">
        <v>138</v>
      </c>
      <c r="AB23" s="131">
        <v>75.89</v>
      </c>
      <c r="AC23" s="133">
        <v>144</v>
      </c>
      <c r="AD23" s="134">
        <v>5</v>
      </c>
      <c r="AE23" s="131">
        <v>8.1999999999999993</v>
      </c>
      <c r="AF23" s="115">
        <f t="shared" si="10"/>
        <v>47.256800368833552</v>
      </c>
      <c r="AG23" s="131">
        <v>101.55</v>
      </c>
      <c r="AH23" s="115">
        <f t="shared" si="11"/>
        <v>585.23513139695706</v>
      </c>
      <c r="AI23" s="139">
        <v>27.54</v>
      </c>
      <c r="AJ23" s="131"/>
      <c r="AK23" s="136">
        <v>8.4700000000000006</v>
      </c>
      <c r="AL23" s="136">
        <v>37.9</v>
      </c>
      <c r="AM23" s="110">
        <f t="shared" si="12"/>
        <v>0.17433302667893283</v>
      </c>
      <c r="AN23" s="137" t="s">
        <v>139</v>
      </c>
      <c r="AO23" s="150">
        <v>14.61</v>
      </c>
      <c r="AP23" s="138">
        <v>5.96</v>
      </c>
      <c r="AQ23" s="134"/>
      <c r="AR23" s="131">
        <v>15.62</v>
      </c>
      <c r="AS23" s="315">
        <v>217.4</v>
      </c>
      <c r="AT23" s="131">
        <v>2.4900000000000002</v>
      </c>
      <c r="AU23" s="116"/>
      <c r="AV23" s="131"/>
      <c r="AW23" s="109">
        <f t="shared" si="31"/>
        <v>0</v>
      </c>
      <c r="AX23" s="109">
        <f t="shared" si="13"/>
        <v>173.52</v>
      </c>
      <c r="AY23" s="115">
        <f t="shared" si="26"/>
        <v>180.83471559667754</v>
      </c>
      <c r="AZ23" s="140">
        <f t="shared" si="14"/>
        <v>12.287549999999998</v>
      </c>
      <c r="BA23" s="141">
        <f t="shared" si="15"/>
        <v>6.9408000000000003</v>
      </c>
      <c r="BB23" s="128">
        <f t="shared" si="16"/>
        <v>0.83768738485954297</v>
      </c>
      <c r="BC23" s="141">
        <f t="shared" si="17"/>
        <v>19.228349999999999</v>
      </c>
      <c r="BD23" s="142">
        <v>0.88</v>
      </c>
      <c r="BE23" s="16">
        <f t="shared" si="27"/>
        <v>3400.8999999999992</v>
      </c>
      <c r="BF23" s="16">
        <f t="shared" si="18"/>
        <v>209.67741935483872</v>
      </c>
      <c r="BG23" s="16">
        <f t="shared" si="28"/>
        <v>3564.5161290322571</v>
      </c>
      <c r="BH23" s="17">
        <f t="shared" si="19"/>
        <v>1</v>
      </c>
      <c r="BI23" s="16">
        <f t="shared" si="29"/>
        <v>3564.5161290322571</v>
      </c>
      <c r="BJ23" s="254">
        <v>244.46299999999999</v>
      </c>
      <c r="BK23" s="197">
        <v>67.695999999999998</v>
      </c>
      <c r="BL23" s="197"/>
      <c r="BM23" s="197">
        <v>111.208</v>
      </c>
      <c r="BN23" s="230"/>
      <c r="BO23" s="230"/>
      <c r="BP23" s="258"/>
      <c r="BQ23" s="199"/>
      <c r="BR23" s="200">
        <v>1.76</v>
      </c>
      <c r="BS23" s="200"/>
      <c r="BT23" s="200"/>
      <c r="BU23" s="200">
        <v>16.16</v>
      </c>
      <c r="BV23" s="208"/>
      <c r="BW23" s="208"/>
      <c r="BX23" s="201"/>
      <c r="BY23" s="202">
        <v>36.93</v>
      </c>
      <c r="BZ23" s="200">
        <v>43.87</v>
      </c>
      <c r="CA23" s="200"/>
      <c r="CB23" s="200">
        <v>41.32</v>
      </c>
      <c r="CC23" s="208"/>
      <c r="CD23" s="208"/>
      <c r="CE23" s="209"/>
      <c r="CF23" s="199"/>
      <c r="CG23" s="197"/>
      <c r="CH23" s="197">
        <v>256.45</v>
      </c>
      <c r="CI23" s="197"/>
      <c r="CJ23" s="198"/>
      <c r="CK23" s="202"/>
      <c r="CL23" s="208"/>
      <c r="CM23" s="208"/>
      <c r="CN23" s="201"/>
      <c r="CO23" s="284"/>
      <c r="CP23" s="286">
        <f t="shared" si="20"/>
        <v>240.16045119999998</v>
      </c>
      <c r="CQ23" s="24">
        <f t="shared" si="20"/>
        <v>67.695999999999998</v>
      </c>
      <c r="CR23" s="25">
        <f t="shared" si="20"/>
        <v>0</v>
      </c>
      <c r="CS23" s="24">
        <f t="shared" si="20"/>
        <v>93.236787200000009</v>
      </c>
      <c r="CT23" s="27">
        <f t="shared" si="20"/>
        <v>0</v>
      </c>
      <c r="CU23" s="24">
        <f t="shared" si="20"/>
        <v>0</v>
      </c>
      <c r="CV23" s="280">
        <f t="shared" si="20"/>
        <v>0</v>
      </c>
      <c r="CW23" s="237">
        <f t="shared" si="21"/>
        <v>0</v>
      </c>
      <c r="CX23" s="29">
        <f t="shared" si="21"/>
        <v>256.45</v>
      </c>
      <c r="CY23" s="277">
        <f t="shared" si="21"/>
        <v>0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30"/>
        <v>0</v>
      </c>
    </row>
    <row r="24" spans="1:110" ht="16.5" customHeight="1">
      <c r="A24" s="127">
        <v>18</v>
      </c>
      <c r="B24" s="103">
        <f t="shared" si="24"/>
        <v>483.76200000000006</v>
      </c>
      <c r="C24" s="104">
        <f t="shared" si="0"/>
        <v>3.6163715008619945</v>
      </c>
      <c r="D24" s="143">
        <f t="shared" si="1"/>
        <v>466.26736890000006</v>
      </c>
      <c r="E24" s="104">
        <f t="shared" si="2"/>
        <v>39.214500828920009</v>
      </c>
      <c r="F24" s="128">
        <f t="shared" si="3"/>
        <v>1.8228522182258888</v>
      </c>
      <c r="G24" s="106"/>
      <c r="H24" s="107">
        <f t="shared" si="4"/>
        <v>1.514908201649791</v>
      </c>
      <c r="I24" s="103">
        <f>'[1]сентябрь 20'!AE23</f>
        <v>0</v>
      </c>
      <c r="J24" s="103">
        <f>'[1]январь 20'!AA23</f>
        <v>0</v>
      </c>
      <c r="K24" s="106"/>
      <c r="L24" s="328">
        <f t="shared" si="25"/>
        <v>78.769000000000005</v>
      </c>
      <c r="M24" s="103">
        <f t="shared" si="5"/>
        <v>0.3079440165760976</v>
      </c>
      <c r="N24" s="103">
        <f>'[1]июль 20'!AM23</f>
        <v>0</v>
      </c>
      <c r="O24" s="103">
        <f>'[1]январь 20'!W23</f>
        <v>0</v>
      </c>
      <c r="P24" s="103">
        <f>'[1]январь 20'!S23</f>
        <v>297.375</v>
      </c>
      <c r="Q24" s="108">
        <f t="shared" si="6"/>
        <v>1.5081967213114833</v>
      </c>
      <c r="R24" s="109">
        <f t="shared" si="7"/>
        <v>292.89</v>
      </c>
      <c r="S24" s="106">
        <v>12.77</v>
      </c>
      <c r="T24" s="109">
        <f t="shared" si="8"/>
        <v>292.89</v>
      </c>
      <c r="U24" s="110">
        <f t="shared" si="9"/>
        <v>1.1450408538254035</v>
      </c>
      <c r="V24" s="136">
        <v>255.79</v>
      </c>
      <c r="W24" s="129">
        <v>201.07</v>
      </c>
      <c r="X24" s="131">
        <v>0.57999999999999996</v>
      </c>
      <c r="Y24" s="133">
        <v>633</v>
      </c>
      <c r="Z24" s="133">
        <v>1207</v>
      </c>
      <c r="AA24" s="144" t="s">
        <v>140</v>
      </c>
      <c r="AB24" s="131">
        <v>77.48</v>
      </c>
      <c r="AC24" s="133">
        <v>164</v>
      </c>
      <c r="AD24" s="134">
        <v>5</v>
      </c>
      <c r="AE24" s="131">
        <v>6.45</v>
      </c>
      <c r="AF24" s="115">
        <f t="shared" si="10"/>
        <v>25.215997497947537</v>
      </c>
      <c r="AG24" s="131">
        <v>116.05</v>
      </c>
      <c r="AH24" s="115">
        <f t="shared" si="11"/>
        <v>453.69248211423434</v>
      </c>
      <c r="AI24" s="139">
        <v>31.61</v>
      </c>
      <c r="AJ24" s="131"/>
      <c r="AK24" s="136">
        <v>10.19</v>
      </c>
      <c r="AL24" s="136">
        <v>25.19</v>
      </c>
      <c r="AM24" s="110">
        <f t="shared" si="12"/>
        <v>8.7268318032218961E-2</v>
      </c>
      <c r="AN24" s="137" t="s">
        <v>141</v>
      </c>
      <c r="AO24" s="150">
        <v>16.5</v>
      </c>
      <c r="AP24" s="138">
        <v>6.76</v>
      </c>
      <c r="AQ24" s="134"/>
      <c r="AR24" s="131">
        <v>8.25</v>
      </c>
      <c r="AS24" s="315">
        <v>288.64999999999998</v>
      </c>
      <c r="AT24" s="131">
        <v>2.52</v>
      </c>
      <c r="AU24" s="116"/>
      <c r="AV24" s="131"/>
      <c r="AW24" s="109">
        <f t="shared" si="31"/>
        <v>0</v>
      </c>
      <c r="AX24" s="109">
        <f t="shared" si="13"/>
        <v>255.79</v>
      </c>
      <c r="AY24" s="115">
        <f t="shared" si="26"/>
        <v>206.01855929853539</v>
      </c>
      <c r="AZ24" s="140">
        <f t="shared" si="14"/>
        <v>7.4165757042253517</v>
      </c>
      <c r="BA24" s="141"/>
      <c r="BB24" s="128">
        <f t="shared" si="16"/>
        <v>1.0839055993805673</v>
      </c>
      <c r="BC24" s="141">
        <f t="shared" si="17"/>
        <v>7.4165757042253517</v>
      </c>
      <c r="BD24" s="142">
        <v>0.89200000000000002</v>
      </c>
      <c r="BE24" s="16">
        <f t="shared" si="27"/>
        <v>3656.6899999999991</v>
      </c>
      <c r="BF24" s="16">
        <f t="shared" si="18"/>
        <v>209.67741935483872</v>
      </c>
      <c r="BG24" s="16">
        <f t="shared" si="28"/>
        <v>3774.1935483870957</v>
      </c>
      <c r="BH24" s="17">
        <f t="shared" si="19"/>
        <v>1</v>
      </c>
      <c r="BI24" s="16">
        <f t="shared" si="29"/>
        <v>3774.1935483870957</v>
      </c>
      <c r="BJ24" s="254">
        <v>276.49700000000001</v>
      </c>
      <c r="BK24" s="197">
        <v>78.769000000000005</v>
      </c>
      <c r="BL24" s="197"/>
      <c r="BM24" s="197">
        <v>128.49600000000001</v>
      </c>
      <c r="BN24" s="230"/>
      <c r="BO24" s="230"/>
      <c r="BP24" s="258"/>
      <c r="BQ24" s="199"/>
      <c r="BR24" s="200">
        <v>1.35</v>
      </c>
      <c r="BS24" s="200"/>
      <c r="BT24" s="200"/>
      <c r="BU24" s="200">
        <v>10.71</v>
      </c>
      <c r="BV24" s="208"/>
      <c r="BW24" s="208"/>
      <c r="BX24" s="201"/>
      <c r="BY24" s="202">
        <v>37.07</v>
      </c>
      <c r="BZ24" s="200">
        <v>43.96</v>
      </c>
      <c r="CA24" s="200"/>
      <c r="CB24" s="200">
        <v>40.92</v>
      </c>
      <c r="CC24" s="208"/>
      <c r="CD24" s="208"/>
      <c r="CE24" s="209"/>
      <c r="CF24" s="199"/>
      <c r="CG24" s="197"/>
      <c r="CH24" s="197">
        <v>292.89</v>
      </c>
      <c r="CI24" s="197"/>
      <c r="CJ24" s="198"/>
      <c r="CK24" s="202"/>
      <c r="CL24" s="208"/>
      <c r="CM24" s="208"/>
      <c r="CN24" s="201"/>
      <c r="CO24" s="284"/>
      <c r="CP24" s="286">
        <f t="shared" si="20"/>
        <v>272.76429050000002</v>
      </c>
      <c r="CQ24" s="29">
        <f t="shared" si="20"/>
        <v>78.769000000000005</v>
      </c>
      <c r="CR24" s="30">
        <f t="shared" si="20"/>
        <v>0</v>
      </c>
      <c r="CS24" s="29">
        <f t="shared" si="20"/>
        <v>114.7340784</v>
      </c>
      <c r="CT24" s="27">
        <f t="shared" si="20"/>
        <v>0</v>
      </c>
      <c r="CU24" s="27">
        <f t="shared" si="20"/>
        <v>0</v>
      </c>
      <c r="CV24" s="282">
        <f t="shared" si="20"/>
        <v>0</v>
      </c>
      <c r="CW24" s="25">
        <f t="shared" si="21"/>
        <v>0</v>
      </c>
      <c r="CX24" s="26">
        <f t="shared" si="21"/>
        <v>292.89</v>
      </c>
      <c r="CY24" s="277">
        <f t="shared" si="21"/>
        <v>0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30"/>
        <v>0</v>
      </c>
    </row>
    <row r="25" spans="1:110" ht="16.5" customHeight="1">
      <c r="A25" s="127">
        <v>19</v>
      </c>
      <c r="B25" s="103">
        <f t="shared" si="24"/>
        <v>450.07400000000001</v>
      </c>
      <c r="C25" s="104">
        <f t="shared" si="0"/>
        <v>4.8439084906037664</v>
      </c>
      <c r="D25" s="143">
        <f t="shared" si="1"/>
        <v>428.27282730000002</v>
      </c>
      <c r="E25" s="104">
        <f t="shared" si="2"/>
        <v>39.464697160911314</v>
      </c>
      <c r="F25" s="128">
        <f t="shared" si="3"/>
        <v>1.9688894230415592</v>
      </c>
      <c r="G25" s="106"/>
      <c r="H25" s="107">
        <f t="shared" si="4"/>
        <v>1.6346718798271422</v>
      </c>
      <c r="I25" s="103">
        <f>'[1]сентябрь 20'!AE24</f>
        <v>0</v>
      </c>
      <c r="J25" s="103">
        <f>'[1]январь 20'!AA24</f>
        <v>0</v>
      </c>
      <c r="K25" s="106"/>
      <c r="L25" s="328">
        <f t="shared" si="25"/>
        <v>72.698999999999998</v>
      </c>
      <c r="M25" s="103">
        <f t="shared" si="5"/>
        <v>0.33421754321441699</v>
      </c>
      <c r="N25" s="103">
        <f>'[1]июль 20'!AM24</f>
        <v>2.8069999999999999</v>
      </c>
      <c r="O25" s="103">
        <f>'[1]январь 20'!W24</f>
        <v>0</v>
      </c>
      <c r="P25" s="103">
        <v>261.67</v>
      </c>
      <c r="Q25" s="108">
        <f t="shared" si="6"/>
        <v>1.7579393893071504</v>
      </c>
      <c r="R25" s="109">
        <f t="shared" si="7"/>
        <v>257.07</v>
      </c>
      <c r="S25" s="106">
        <v>56.5</v>
      </c>
      <c r="T25" s="109">
        <f t="shared" si="8"/>
        <v>257.07</v>
      </c>
      <c r="U25" s="110">
        <f t="shared" si="9"/>
        <v>1.1818223611621916</v>
      </c>
      <c r="V25" s="136">
        <v>217.52</v>
      </c>
      <c r="W25" s="129">
        <v>217.52</v>
      </c>
      <c r="X25" s="131">
        <v>0.39</v>
      </c>
      <c r="Y25" s="133">
        <v>661</v>
      </c>
      <c r="Z25" s="133">
        <v>1214</v>
      </c>
      <c r="AA25" s="144" t="s">
        <v>142</v>
      </c>
      <c r="AB25" s="131">
        <v>76.75</v>
      </c>
      <c r="AC25" s="133">
        <v>154</v>
      </c>
      <c r="AD25" s="134">
        <v>5</v>
      </c>
      <c r="AE25" s="131">
        <v>6.7</v>
      </c>
      <c r="AF25" s="115">
        <f t="shared" si="10"/>
        <v>30.80176535490989</v>
      </c>
      <c r="AG25" s="131">
        <v>117.85</v>
      </c>
      <c r="AH25" s="115">
        <f t="shared" si="11"/>
        <v>541.78926075763138</v>
      </c>
      <c r="AI25" s="139">
        <v>24.83</v>
      </c>
      <c r="AJ25" s="131"/>
      <c r="AK25" s="136">
        <v>10.33</v>
      </c>
      <c r="AL25" s="136">
        <v>48.83</v>
      </c>
      <c r="AM25" s="110">
        <f t="shared" si="12"/>
        <v>0.17798432659012209</v>
      </c>
      <c r="AN25" s="137" t="s">
        <v>143</v>
      </c>
      <c r="AO25" s="150">
        <v>15.4</v>
      </c>
      <c r="AP25" s="138">
        <v>6.68</v>
      </c>
      <c r="AQ25" s="153"/>
      <c r="AR25" s="131">
        <v>9.19</v>
      </c>
      <c r="AS25" s="315">
        <v>274.35000000000002</v>
      </c>
      <c r="AT25" s="131">
        <v>2.33</v>
      </c>
      <c r="AU25" s="148"/>
      <c r="AV25" s="131"/>
      <c r="AW25" s="109">
        <f t="shared" si="31"/>
        <v>0</v>
      </c>
      <c r="AX25" s="109">
        <f t="shared" si="13"/>
        <v>217.52000000000004</v>
      </c>
      <c r="AY25" s="115">
        <f t="shared" si="26"/>
        <v>192.24947150258328</v>
      </c>
      <c r="AZ25" s="140">
        <f t="shared" si="14"/>
        <v>8.3897580985915479</v>
      </c>
      <c r="BA25" s="141">
        <f t="shared" ref="BA25:BA37" si="32">AX25*$BA$6</f>
        <v>8.700800000000001</v>
      </c>
      <c r="BB25" s="128">
        <f t="shared" si="16"/>
        <v>0.9877528323787792</v>
      </c>
      <c r="BC25" s="141">
        <f t="shared" si="17"/>
        <v>17.090558098591551</v>
      </c>
      <c r="BD25" s="142">
        <v>0.89700000000000002</v>
      </c>
      <c r="BE25" s="16">
        <f t="shared" si="27"/>
        <v>3874.2099999999991</v>
      </c>
      <c r="BF25" s="16">
        <f t="shared" si="18"/>
        <v>209.67741935483872</v>
      </c>
      <c r="BG25" s="16">
        <f t="shared" si="28"/>
        <v>3983.8709677419342</v>
      </c>
      <c r="BH25" s="17">
        <f t="shared" si="19"/>
        <v>1</v>
      </c>
      <c r="BI25" s="16">
        <f t="shared" si="29"/>
        <v>3983.8709677419342</v>
      </c>
      <c r="BJ25" s="254">
        <v>254.94200000000001</v>
      </c>
      <c r="BK25" s="197">
        <v>72.698999999999998</v>
      </c>
      <c r="BL25" s="197"/>
      <c r="BM25" s="197">
        <v>122.43300000000001</v>
      </c>
      <c r="BN25" s="230"/>
      <c r="BO25" s="230"/>
      <c r="BP25" s="258"/>
      <c r="BQ25" s="199"/>
      <c r="BR25" s="200">
        <v>1.66</v>
      </c>
      <c r="BS25" s="200"/>
      <c r="BT25" s="200"/>
      <c r="BU25" s="200">
        <v>14.35</v>
      </c>
      <c r="BV25" s="208"/>
      <c r="BW25" s="208"/>
      <c r="BX25" s="201"/>
      <c r="BY25" s="202">
        <v>36.82</v>
      </c>
      <c r="BZ25" s="200">
        <v>43.88</v>
      </c>
      <c r="CA25" s="200"/>
      <c r="CB25" s="200">
        <v>42.35</v>
      </c>
      <c r="CC25" s="208"/>
      <c r="CD25" s="208"/>
      <c r="CE25" s="201"/>
      <c r="CF25" s="199"/>
      <c r="CG25" s="197"/>
      <c r="CH25" s="197">
        <v>35.840000000000003</v>
      </c>
      <c r="CI25" s="197">
        <v>221.23</v>
      </c>
      <c r="CJ25" s="198"/>
      <c r="CK25" s="202"/>
      <c r="CL25" s="208"/>
      <c r="CM25" s="208"/>
      <c r="CN25" s="201"/>
      <c r="CO25" s="284"/>
      <c r="CP25" s="286">
        <f t="shared" si="20"/>
        <v>250.70996280000003</v>
      </c>
      <c r="CQ25" s="24">
        <f t="shared" si="20"/>
        <v>72.698999999999998</v>
      </c>
      <c r="CR25" s="25">
        <f t="shared" si="20"/>
        <v>0</v>
      </c>
      <c r="CS25" s="24">
        <f t="shared" si="20"/>
        <v>104.86386450000001</v>
      </c>
      <c r="CT25" s="27">
        <f t="shared" si="20"/>
        <v>0</v>
      </c>
      <c r="CU25" s="30">
        <f t="shared" si="20"/>
        <v>0</v>
      </c>
      <c r="CV25" s="280">
        <f t="shared" si="20"/>
        <v>0</v>
      </c>
      <c r="CW25" s="25">
        <f t="shared" si="21"/>
        <v>0</v>
      </c>
      <c r="CX25" s="26">
        <f t="shared" si="21"/>
        <v>35.840000000000003</v>
      </c>
      <c r="CY25" s="277">
        <f t="shared" si="21"/>
        <v>221.23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30"/>
        <v>0</v>
      </c>
    </row>
    <row r="26" spans="1:110" ht="16.5" customHeight="1">
      <c r="A26" s="127">
        <v>20</v>
      </c>
      <c r="B26" s="103">
        <f t="shared" si="24"/>
        <v>475.76900000000001</v>
      </c>
      <c r="C26" s="104">
        <f t="shared" si="0"/>
        <v>4.0272070269395446</v>
      </c>
      <c r="D26" s="143">
        <f t="shared" si="1"/>
        <v>456.60879739999996</v>
      </c>
      <c r="E26" s="104">
        <f t="shared" si="2"/>
        <v>40.142158253269969</v>
      </c>
      <c r="F26" s="128">
        <f t="shared" si="3"/>
        <v>2.1535103400462194</v>
      </c>
      <c r="G26" s="106"/>
      <c r="H26" s="107">
        <f t="shared" si="4"/>
        <v>1.7904720907418759</v>
      </c>
      <c r="I26" s="103">
        <f>'[1]сентябрь 20'!AE25</f>
        <v>0</v>
      </c>
      <c r="J26" s="103">
        <f>'[1]январь 20'!AA25</f>
        <v>0</v>
      </c>
      <c r="K26" s="106"/>
      <c r="L26" s="328">
        <f t="shared" si="25"/>
        <v>76.974999999999994</v>
      </c>
      <c r="M26" s="103">
        <f t="shared" si="5"/>
        <v>0.36303824930434364</v>
      </c>
      <c r="N26" s="103">
        <f>'[1]июль 20'!AM25</f>
        <v>7.1479999999999997</v>
      </c>
      <c r="O26" s="103">
        <f>'[1]январь 20'!W25</f>
        <v>0</v>
      </c>
      <c r="P26" s="103">
        <v>274.75</v>
      </c>
      <c r="Q26" s="108">
        <f t="shared" si="6"/>
        <v>1.6196542311191942</v>
      </c>
      <c r="R26" s="109">
        <f t="shared" si="7"/>
        <v>270.3</v>
      </c>
      <c r="S26" s="106">
        <v>57.21</v>
      </c>
      <c r="T26" s="109">
        <f t="shared" si="8"/>
        <v>270.3</v>
      </c>
      <c r="U26" s="110">
        <f t="shared" si="9"/>
        <v>1.2748196009998585</v>
      </c>
      <c r="V26" s="136">
        <v>212.03</v>
      </c>
      <c r="W26" s="154">
        <v>212.03</v>
      </c>
      <c r="X26" s="149">
        <v>0.57999999999999996</v>
      </c>
      <c r="Y26" s="147">
        <v>716</v>
      </c>
      <c r="Z26" s="147">
        <v>1191</v>
      </c>
      <c r="AA26" s="144" t="s">
        <v>144</v>
      </c>
      <c r="AB26" s="149">
        <v>77.069999999999993</v>
      </c>
      <c r="AC26" s="147">
        <v>161</v>
      </c>
      <c r="AD26" s="155">
        <v>5</v>
      </c>
      <c r="AE26" s="149">
        <v>6.35</v>
      </c>
      <c r="AF26" s="115">
        <f t="shared" si="10"/>
        <v>29.948592180351831</v>
      </c>
      <c r="AG26" s="149">
        <v>114.2</v>
      </c>
      <c r="AH26" s="115">
        <f t="shared" si="11"/>
        <v>538.60302787341402</v>
      </c>
      <c r="AI26" s="156">
        <v>26.97</v>
      </c>
      <c r="AJ26" s="149"/>
      <c r="AK26" s="157">
        <v>13.16</v>
      </c>
      <c r="AL26" s="157">
        <v>50.73</v>
      </c>
      <c r="AM26" s="110">
        <f t="shared" si="12"/>
        <v>0.18541666666666665</v>
      </c>
      <c r="AN26" s="158" t="s">
        <v>145</v>
      </c>
      <c r="AO26" s="404">
        <v>16.690000000000001</v>
      </c>
      <c r="AP26" s="159">
        <v>6.64</v>
      </c>
      <c r="AQ26" s="155"/>
      <c r="AR26" s="149">
        <v>8.92</v>
      </c>
      <c r="AS26" s="315">
        <v>273.60000000000002</v>
      </c>
      <c r="AT26" s="131">
        <v>2.3199999999999998</v>
      </c>
      <c r="AU26" s="148"/>
      <c r="AV26" s="149"/>
      <c r="AW26" s="160">
        <f t="shared" si="31"/>
        <v>0</v>
      </c>
      <c r="AX26" s="109">
        <f t="shared" si="13"/>
        <v>212.03000000000003</v>
      </c>
      <c r="AY26" s="115">
        <f t="shared" si="26"/>
        <v>207.62224282110668</v>
      </c>
      <c r="AZ26" s="140">
        <f t="shared" si="14"/>
        <v>7.8910591549295779</v>
      </c>
      <c r="BA26" s="140">
        <f t="shared" si="32"/>
        <v>8.4812000000000012</v>
      </c>
      <c r="BB26" s="161">
        <f t="shared" si="16"/>
        <v>0.89153352494842963</v>
      </c>
      <c r="BC26" s="140">
        <f t="shared" si="17"/>
        <v>16.37225915492958</v>
      </c>
      <c r="BD26" s="162">
        <v>0.89700000000000002</v>
      </c>
      <c r="BE26" s="16">
        <f t="shared" si="27"/>
        <v>4086.2399999999993</v>
      </c>
      <c r="BF26" s="16">
        <f t="shared" si="18"/>
        <v>209.67741935483872</v>
      </c>
      <c r="BG26" s="16">
        <f t="shared" si="28"/>
        <v>4193.5483870967728</v>
      </c>
      <c r="BH26" s="17">
        <f t="shared" si="19"/>
        <v>1</v>
      </c>
      <c r="BI26" s="16">
        <f t="shared" si="29"/>
        <v>4193.5483870967728</v>
      </c>
      <c r="BJ26" s="254">
        <v>270.00599999999997</v>
      </c>
      <c r="BK26" s="197">
        <v>76.974999999999994</v>
      </c>
      <c r="BL26" s="197"/>
      <c r="BM26" s="197">
        <v>128.78800000000001</v>
      </c>
      <c r="BN26" s="230"/>
      <c r="BO26" s="230"/>
      <c r="BP26" s="258"/>
      <c r="BQ26" s="199"/>
      <c r="BR26" s="200">
        <v>1.63</v>
      </c>
      <c r="BS26" s="200"/>
      <c r="BT26" s="200"/>
      <c r="BU26" s="200">
        <v>11.46</v>
      </c>
      <c r="BV26" s="208"/>
      <c r="BW26" s="208"/>
      <c r="BX26" s="201"/>
      <c r="BY26" s="202">
        <v>37.54</v>
      </c>
      <c r="BZ26" s="200">
        <v>44.07</v>
      </c>
      <c r="CA26" s="200"/>
      <c r="CB26" s="200">
        <v>43.25</v>
      </c>
      <c r="CC26" s="208"/>
      <c r="CD26" s="208"/>
      <c r="CE26" s="209"/>
      <c r="CF26" s="199"/>
      <c r="CG26" s="197"/>
      <c r="CH26" s="197"/>
      <c r="CI26" s="197">
        <v>270.3</v>
      </c>
      <c r="CJ26" s="198"/>
      <c r="CK26" s="202"/>
      <c r="CL26" s="208"/>
      <c r="CM26" s="208"/>
      <c r="CN26" s="201"/>
      <c r="CO26" s="284"/>
      <c r="CP26" s="286">
        <f t="shared" si="20"/>
        <v>265.60490219999997</v>
      </c>
      <c r="CQ26" s="24">
        <f t="shared" si="20"/>
        <v>76.974999999999994</v>
      </c>
      <c r="CR26" s="25">
        <f t="shared" si="20"/>
        <v>0</v>
      </c>
      <c r="CS26" s="24">
        <f t="shared" si="20"/>
        <v>114.02889520000001</v>
      </c>
      <c r="CT26" s="27">
        <f t="shared" si="20"/>
        <v>0</v>
      </c>
      <c r="CU26" s="24">
        <f t="shared" si="20"/>
        <v>0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270.3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30"/>
        <v>0</v>
      </c>
    </row>
    <row r="27" spans="1:110" ht="16.5" customHeight="1">
      <c r="A27" s="127">
        <v>21</v>
      </c>
      <c r="B27" s="103">
        <f t="shared" si="24"/>
        <v>404.185</v>
      </c>
      <c r="C27" s="104">
        <f t="shared" si="0"/>
        <v>2.846314732115244</v>
      </c>
      <c r="D27" s="143">
        <f t="shared" si="1"/>
        <v>392.68062279999998</v>
      </c>
      <c r="E27" s="104">
        <f t="shared" si="2"/>
        <v>38.852635872187243</v>
      </c>
      <c r="F27" s="128">
        <f t="shared" si="3"/>
        <v>1.720773982471516</v>
      </c>
      <c r="G27" s="106"/>
      <c r="H27" s="107">
        <f t="shared" si="4"/>
        <v>1.4261815197195442</v>
      </c>
      <c r="I27" s="103">
        <f>'[1]сентябрь 20'!AE26</f>
        <v>0</v>
      </c>
      <c r="J27" s="103">
        <f>'[1]январь 20'!AA26</f>
        <v>7.4039999999999999</v>
      </c>
      <c r="K27" s="106"/>
      <c r="L27" s="328">
        <f t="shared" si="25"/>
        <v>67.225999999999999</v>
      </c>
      <c r="M27" s="103">
        <f t="shared" si="5"/>
        <v>0.29459246275197193</v>
      </c>
      <c r="N27" s="103">
        <f>'[1]июль 20'!AM26</f>
        <v>7.0339999999999998</v>
      </c>
      <c r="O27" s="103">
        <f>'[1]январь 20'!W26</f>
        <v>0</v>
      </c>
      <c r="P27" s="103">
        <v>233.97</v>
      </c>
      <c r="Q27" s="108">
        <f t="shared" si="6"/>
        <v>1.483096123434624</v>
      </c>
      <c r="R27" s="109">
        <f t="shared" si="7"/>
        <v>230.5</v>
      </c>
      <c r="S27" s="106">
        <v>4.63</v>
      </c>
      <c r="T27" s="109">
        <f t="shared" si="8"/>
        <v>230.5</v>
      </c>
      <c r="U27" s="110">
        <f t="shared" si="9"/>
        <v>1.0100788781770376</v>
      </c>
      <c r="V27" s="129">
        <v>228.2</v>
      </c>
      <c r="W27" s="129">
        <v>136.74</v>
      </c>
      <c r="X27" s="131">
        <v>0.92</v>
      </c>
      <c r="Y27" s="133">
        <v>690</v>
      </c>
      <c r="Z27" s="133">
        <v>1234</v>
      </c>
      <c r="AA27" s="144" t="s">
        <v>109</v>
      </c>
      <c r="AB27" s="131">
        <v>76.39</v>
      </c>
      <c r="AC27" s="133">
        <v>137</v>
      </c>
      <c r="AD27" s="134">
        <v>5</v>
      </c>
      <c r="AE27" s="131">
        <v>16.8</v>
      </c>
      <c r="AF27" s="115">
        <f t="shared" si="10"/>
        <v>73.619631901840478</v>
      </c>
      <c r="AG27" s="131">
        <v>92.75</v>
      </c>
      <c r="AH27" s="115">
        <f t="shared" si="11"/>
        <v>406.44171779141101</v>
      </c>
      <c r="AI27" s="139">
        <v>22.63</v>
      </c>
      <c r="AJ27" s="131"/>
      <c r="AK27" s="136">
        <v>12.69</v>
      </c>
      <c r="AL27" s="136">
        <v>48.19</v>
      </c>
      <c r="AM27" s="110">
        <f t="shared" si="12"/>
        <v>0.16846705121482256</v>
      </c>
      <c r="AN27" s="137" t="s">
        <v>146</v>
      </c>
      <c r="AO27" s="150">
        <v>16.010000000000002</v>
      </c>
      <c r="AP27" s="138">
        <v>6.61</v>
      </c>
      <c r="AQ27" s="134"/>
      <c r="AR27" s="131">
        <v>6.25</v>
      </c>
      <c r="AS27" s="139">
        <v>286.05</v>
      </c>
      <c r="AT27" s="131">
        <v>3.03</v>
      </c>
      <c r="AU27" s="148"/>
      <c r="AV27" s="131"/>
      <c r="AW27" s="109">
        <f t="shared" si="31"/>
        <v>0</v>
      </c>
      <c r="AX27" s="109">
        <f t="shared" si="13"/>
        <v>228.20000000000002</v>
      </c>
      <c r="AY27" s="115">
        <f t="shared" si="26"/>
        <v>174.35631942328405</v>
      </c>
      <c r="AZ27" s="140">
        <f t="shared" si="14"/>
        <v>4.490536971830986</v>
      </c>
      <c r="BA27" s="141">
        <f t="shared" si="32"/>
        <v>9.1280000000000001</v>
      </c>
      <c r="BB27" s="128">
        <f t="shared" si="16"/>
        <v>1.1425946628086241</v>
      </c>
      <c r="BC27" s="141">
        <f t="shared" si="17"/>
        <v>13.618536971830986</v>
      </c>
      <c r="BD27" s="142">
        <v>0.90700000000000003</v>
      </c>
      <c r="BE27" s="16">
        <f t="shared" si="27"/>
        <v>4314.4399999999996</v>
      </c>
      <c r="BF27" s="16">
        <f t="shared" si="18"/>
        <v>209.67741935483872</v>
      </c>
      <c r="BG27" s="16">
        <f t="shared" si="28"/>
        <v>4403.2258064516118</v>
      </c>
      <c r="BH27" s="17">
        <f t="shared" si="19"/>
        <v>1</v>
      </c>
      <c r="BI27" s="16">
        <f t="shared" si="29"/>
        <v>4403.2258064516118</v>
      </c>
      <c r="BJ27" s="254">
        <v>267.05099999999999</v>
      </c>
      <c r="BK27" s="197">
        <v>67.225999999999999</v>
      </c>
      <c r="BL27" s="197"/>
      <c r="BM27" s="197">
        <v>69.908000000000001</v>
      </c>
      <c r="BN27" s="230"/>
      <c r="BO27" s="230"/>
      <c r="BP27" s="258"/>
      <c r="BQ27" s="199"/>
      <c r="BR27" s="200">
        <v>1.52</v>
      </c>
      <c r="BS27" s="200"/>
      <c r="BT27" s="200"/>
      <c r="BU27" s="200">
        <v>10.65</v>
      </c>
      <c r="BV27" s="208"/>
      <c r="BW27" s="208"/>
      <c r="BX27" s="201"/>
      <c r="BY27" s="202">
        <v>36.770000000000003</v>
      </c>
      <c r="BZ27" s="200">
        <v>44.3</v>
      </c>
      <c r="CA27" s="200"/>
      <c r="CB27" s="200">
        <v>41.57</v>
      </c>
      <c r="CC27" s="208"/>
      <c r="CD27" s="208"/>
      <c r="CE27" s="209"/>
      <c r="CF27" s="199"/>
      <c r="CG27" s="197"/>
      <c r="CH27" s="197"/>
      <c r="CI27" s="197">
        <v>230.5</v>
      </c>
      <c r="CJ27" s="198"/>
      <c r="CK27" s="202"/>
      <c r="CL27" s="208"/>
      <c r="CM27" s="208"/>
      <c r="CN27" s="201"/>
      <c r="CO27" s="284"/>
      <c r="CP27" s="286">
        <f t="shared" si="20"/>
        <v>262.99182480000002</v>
      </c>
      <c r="CQ27" s="24">
        <f t="shared" si="20"/>
        <v>67.225999999999999</v>
      </c>
      <c r="CR27" s="25">
        <f t="shared" si="20"/>
        <v>0</v>
      </c>
      <c r="CS27" s="24">
        <f t="shared" si="20"/>
        <v>62.462797999999999</v>
      </c>
      <c r="CT27" s="27">
        <f t="shared" si="20"/>
        <v>0</v>
      </c>
      <c r="CU27" s="29">
        <f t="shared" si="20"/>
        <v>0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230.5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30"/>
        <v>0</v>
      </c>
    </row>
    <row r="28" spans="1:110" ht="16.5" customHeight="1">
      <c r="A28" s="127">
        <v>22</v>
      </c>
      <c r="B28" s="103">
        <f t="shared" si="24"/>
        <v>456.93700000000001</v>
      </c>
      <c r="C28" s="104">
        <f t="shared" si="0"/>
        <v>1.1742385930664401</v>
      </c>
      <c r="D28" s="143">
        <f t="shared" si="1"/>
        <v>451.57146940000001</v>
      </c>
      <c r="E28" s="104">
        <f t="shared" si="2"/>
        <v>39.545869933929623</v>
      </c>
      <c r="F28" s="128">
        <f t="shared" si="3"/>
        <v>1.9741692288187462</v>
      </c>
      <c r="G28" s="106"/>
      <c r="H28" s="107">
        <f t="shared" si="4"/>
        <v>1.4504304861414705</v>
      </c>
      <c r="I28" s="103">
        <f>'[1]сентябрь 20'!AE27</f>
        <v>0</v>
      </c>
      <c r="J28" s="328">
        <f>'[1]январь 20'!AA27</f>
        <v>14.169</v>
      </c>
      <c r="K28" s="106"/>
      <c r="L28" s="328">
        <f t="shared" si="25"/>
        <v>119.80000000000001</v>
      </c>
      <c r="M28" s="103">
        <f t="shared" si="5"/>
        <v>0.52373874267727549</v>
      </c>
      <c r="N28" s="103">
        <f>'[1]июль 20'!AM27</f>
        <v>6.6520000000000001</v>
      </c>
      <c r="O28" s="103">
        <f>'[1]январь 20'!W27</f>
        <v>0</v>
      </c>
      <c r="P28" s="103">
        <v>268.01</v>
      </c>
      <c r="Q28" s="108">
        <f t="shared" si="6"/>
        <v>1.7685907242267151</v>
      </c>
      <c r="R28" s="109">
        <f t="shared" si="7"/>
        <v>263.27</v>
      </c>
      <c r="S28" s="106">
        <v>38.14</v>
      </c>
      <c r="T28" s="109">
        <f t="shared" si="8"/>
        <v>263.27</v>
      </c>
      <c r="U28" s="110">
        <f t="shared" si="9"/>
        <v>1.1509574189035585</v>
      </c>
      <c r="V28" s="129">
        <v>228.74</v>
      </c>
      <c r="W28" s="136">
        <v>48.45</v>
      </c>
      <c r="X28" s="131">
        <v>1.76</v>
      </c>
      <c r="Y28" s="133">
        <v>642</v>
      </c>
      <c r="Z28" s="133">
        <v>1252</v>
      </c>
      <c r="AA28" s="144" t="s">
        <v>142</v>
      </c>
      <c r="AB28" s="131">
        <v>76</v>
      </c>
      <c r="AC28" s="133">
        <v>155</v>
      </c>
      <c r="AD28" s="134">
        <v>5</v>
      </c>
      <c r="AE28" s="131">
        <v>4.05</v>
      </c>
      <c r="AF28" s="115">
        <f t="shared" si="10"/>
        <v>17.705692052111566</v>
      </c>
      <c r="AG28" s="131">
        <v>111.95</v>
      </c>
      <c r="AH28" s="115">
        <f t="shared" si="11"/>
        <v>489.42030252688642</v>
      </c>
      <c r="AI28" s="139">
        <v>26.45</v>
      </c>
      <c r="AJ28" s="131"/>
      <c r="AK28" s="136">
        <v>9.44</v>
      </c>
      <c r="AL28" s="136">
        <v>49.84</v>
      </c>
      <c r="AM28" s="110">
        <f t="shared" si="12"/>
        <v>0.17518453427065028</v>
      </c>
      <c r="AN28" s="137" t="s">
        <v>148</v>
      </c>
      <c r="AO28" s="150">
        <v>6.93</v>
      </c>
      <c r="AP28" s="138">
        <v>7.27</v>
      </c>
      <c r="AQ28" s="134"/>
      <c r="AR28" s="131">
        <v>5.62</v>
      </c>
      <c r="AS28" s="139">
        <v>284.5</v>
      </c>
      <c r="AT28" s="131">
        <v>3.52</v>
      </c>
      <c r="AU28" s="148"/>
      <c r="AV28" s="131"/>
      <c r="AW28" s="109">
        <f t="shared" si="31"/>
        <v>0</v>
      </c>
      <c r="AX28" s="109">
        <f t="shared" si="13"/>
        <v>228.74</v>
      </c>
      <c r="AY28" s="115">
        <f t="shared" si="26"/>
        <v>205.12957496356074</v>
      </c>
      <c r="AZ28" s="140">
        <f t="shared" si="14"/>
        <v>4.8737669014084508</v>
      </c>
      <c r="BA28" s="141">
        <f t="shared" si="32"/>
        <v>9.1496000000000013</v>
      </c>
      <c r="BB28" s="128">
        <f t="shared" si="16"/>
        <v>0.97348234663613475</v>
      </c>
      <c r="BC28" s="141">
        <f t="shared" si="17"/>
        <v>14.023366901408451</v>
      </c>
      <c r="BD28" s="142">
        <v>0.91</v>
      </c>
      <c r="BE28" s="16">
        <f t="shared" si="27"/>
        <v>4543.1799999999994</v>
      </c>
      <c r="BF28" s="16">
        <f t="shared" si="18"/>
        <v>209.67741935483872</v>
      </c>
      <c r="BG28" s="16">
        <f t="shared" si="28"/>
        <v>4612.9032258064508</v>
      </c>
      <c r="BH28" s="17">
        <f t="shared" si="19"/>
        <v>1</v>
      </c>
      <c r="BI28" s="16">
        <f t="shared" si="29"/>
        <v>4612.9032258064508</v>
      </c>
      <c r="BJ28" s="254">
        <v>334.642</v>
      </c>
      <c r="BK28" s="197">
        <v>40.773000000000003</v>
      </c>
      <c r="BL28" s="197">
        <v>79.027000000000001</v>
      </c>
      <c r="BM28" s="197">
        <v>2.4950000000000001</v>
      </c>
      <c r="BN28" s="230"/>
      <c r="BO28" s="230"/>
      <c r="BP28" s="258"/>
      <c r="BQ28" s="199"/>
      <c r="BR28" s="200">
        <v>1.53</v>
      </c>
      <c r="BS28" s="200"/>
      <c r="BT28" s="200"/>
      <c r="BU28" s="200">
        <v>9.84</v>
      </c>
      <c r="BV28" s="208"/>
      <c r="BW28" s="208"/>
      <c r="BX28" s="201"/>
      <c r="BY28" s="202">
        <v>37.43</v>
      </c>
      <c r="BZ28" s="200">
        <v>44.37</v>
      </c>
      <c r="CA28" s="200">
        <v>45.9</v>
      </c>
      <c r="CB28" s="200">
        <v>43.24</v>
      </c>
      <c r="CC28" s="208"/>
      <c r="CD28" s="208"/>
      <c r="CE28" s="209"/>
      <c r="CF28" s="199"/>
      <c r="CG28" s="197"/>
      <c r="CH28" s="197"/>
      <c r="CI28" s="197">
        <v>263.27</v>
      </c>
      <c r="CJ28" s="198"/>
      <c r="CK28" s="202"/>
      <c r="CL28" s="208"/>
      <c r="CM28" s="208"/>
      <c r="CN28" s="201"/>
      <c r="CO28" s="284"/>
      <c r="CP28" s="286">
        <f t="shared" si="20"/>
        <v>329.52197740000003</v>
      </c>
      <c r="CQ28" s="29">
        <f t="shared" si="20"/>
        <v>40.773000000000003</v>
      </c>
      <c r="CR28" s="30">
        <f t="shared" si="20"/>
        <v>79.027000000000001</v>
      </c>
      <c r="CS28" s="29">
        <f t="shared" si="20"/>
        <v>2.249492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263.27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30"/>
        <v>0</v>
      </c>
    </row>
    <row r="29" spans="1:110" ht="16.5" customHeight="1">
      <c r="A29" s="127">
        <v>23</v>
      </c>
      <c r="B29" s="103">
        <f t="shared" si="24"/>
        <v>492.983</v>
      </c>
      <c r="C29" s="104">
        <f t="shared" si="0"/>
        <v>1.3008364182943426</v>
      </c>
      <c r="D29" s="143">
        <f t="shared" si="1"/>
        <v>486.57009760000005</v>
      </c>
      <c r="E29" s="104">
        <f t="shared" si="2"/>
        <v>39.181004415973767</v>
      </c>
      <c r="F29" s="128">
        <f t="shared" si="3"/>
        <v>2.1006350541812377</v>
      </c>
      <c r="G29" s="106"/>
      <c r="H29" s="107">
        <f t="shared" si="4"/>
        <v>1.5726594033588048</v>
      </c>
      <c r="I29" s="103">
        <f>'[1]сентябрь 20'!AE28</f>
        <v>0</v>
      </c>
      <c r="J29" s="328">
        <f>'[1]январь 20'!AA28</f>
        <v>14.24</v>
      </c>
      <c r="K29" s="106"/>
      <c r="L29" s="328">
        <f t="shared" si="25"/>
        <v>122.295</v>
      </c>
      <c r="M29" s="103">
        <f t="shared" si="5"/>
        <v>0.52797565082243236</v>
      </c>
      <c r="N29" s="103">
        <f>'[1]июль 20'!AM28</f>
        <v>7.056</v>
      </c>
      <c r="O29" s="103">
        <f>'[1]январь 20'!W28</f>
        <v>0</v>
      </c>
      <c r="P29" s="103">
        <v>290.5</v>
      </c>
      <c r="Q29" s="108">
        <f t="shared" si="6"/>
        <v>1.869191049913943</v>
      </c>
      <c r="R29" s="109">
        <f t="shared" si="7"/>
        <v>285.07000000000005</v>
      </c>
      <c r="S29" s="106">
        <v>52.15</v>
      </c>
      <c r="T29" s="109">
        <f t="shared" si="8"/>
        <v>285.07</v>
      </c>
      <c r="U29" s="110">
        <f t="shared" si="9"/>
        <v>1.2307127746837632</v>
      </c>
      <c r="V29" s="129">
        <v>231.63</v>
      </c>
      <c r="W29" s="136">
        <v>231.63</v>
      </c>
      <c r="X29" s="131">
        <v>0.55000000000000004</v>
      </c>
      <c r="Y29" s="133">
        <v>633</v>
      </c>
      <c r="Z29" s="133">
        <v>1243</v>
      </c>
      <c r="AA29" s="144" t="s">
        <v>149</v>
      </c>
      <c r="AB29" s="131">
        <v>76.290000000000006</v>
      </c>
      <c r="AC29" s="133">
        <v>167</v>
      </c>
      <c r="AD29" s="134">
        <v>5</v>
      </c>
      <c r="AE29" s="131">
        <v>6.15</v>
      </c>
      <c r="AF29" s="115">
        <f t="shared" si="10"/>
        <v>26.550964900919571</v>
      </c>
      <c r="AG29" s="131">
        <v>118.2</v>
      </c>
      <c r="AH29" s="115">
        <f t="shared" si="11"/>
        <v>510.29659370547864</v>
      </c>
      <c r="AI29" s="139">
        <v>23.25</v>
      </c>
      <c r="AJ29" s="131"/>
      <c r="AK29" s="136">
        <v>12.44</v>
      </c>
      <c r="AL29" s="136">
        <v>53.53</v>
      </c>
      <c r="AM29" s="110">
        <f t="shared" si="12"/>
        <v>0.18099746407438716</v>
      </c>
      <c r="AN29" s="137" t="s">
        <v>150</v>
      </c>
      <c r="AO29" s="150">
        <v>10.02</v>
      </c>
      <c r="AP29" s="138">
        <v>6.91</v>
      </c>
      <c r="AQ29" s="134"/>
      <c r="AR29" s="131">
        <v>6.35</v>
      </c>
      <c r="AS29" s="139">
        <v>295.75</v>
      </c>
      <c r="AT29" s="131">
        <v>1.85</v>
      </c>
      <c r="AU29" s="148"/>
      <c r="AV29" s="131"/>
      <c r="AW29" s="109">
        <f t="shared" si="31"/>
        <v>0</v>
      </c>
      <c r="AX29" s="109">
        <f t="shared" si="13"/>
        <v>231.63</v>
      </c>
      <c r="AY29" s="115">
        <f t="shared" si="26"/>
        <v>218.15622479509236</v>
      </c>
      <c r="AZ29" s="140">
        <f t="shared" si="14"/>
        <v>5.8142746478873226</v>
      </c>
      <c r="BA29" s="141">
        <f t="shared" si="32"/>
        <v>9.2652000000000001</v>
      </c>
      <c r="BB29" s="128">
        <f t="shared" si="16"/>
        <v>0.92691826781441877</v>
      </c>
      <c r="BC29" s="141">
        <f t="shared" si="17"/>
        <v>15.079474647887324</v>
      </c>
      <c r="BD29" s="142">
        <v>0.91100000000000003</v>
      </c>
      <c r="BE29" s="16">
        <f t="shared" si="27"/>
        <v>4774.8099999999995</v>
      </c>
      <c r="BF29" s="16">
        <f t="shared" si="18"/>
        <v>209.67741935483872</v>
      </c>
      <c r="BG29" s="16">
        <f t="shared" si="28"/>
        <v>4822.5806451612898</v>
      </c>
      <c r="BH29" s="17">
        <f t="shared" si="19"/>
        <v>1</v>
      </c>
      <c r="BI29" s="16">
        <f t="shared" si="29"/>
        <v>4822.5806451612898</v>
      </c>
      <c r="BJ29" s="254">
        <v>370.68799999999999</v>
      </c>
      <c r="BK29" s="197">
        <v>63.761000000000003</v>
      </c>
      <c r="BL29" s="197">
        <v>58.533999999999999</v>
      </c>
      <c r="BM29" s="197"/>
      <c r="BN29" s="230"/>
      <c r="BO29" s="230"/>
      <c r="BP29" s="258"/>
      <c r="BQ29" s="199"/>
      <c r="BR29" s="200">
        <v>1.73</v>
      </c>
      <c r="BS29" s="200"/>
      <c r="BT29" s="200"/>
      <c r="BU29" s="200"/>
      <c r="BV29" s="208"/>
      <c r="BW29" s="208"/>
      <c r="BX29" s="201"/>
      <c r="BY29" s="202">
        <v>37.26</v>
      </c>
      <c r="BZ29" s="200">
        <v>44.08</v>
      </c>
      <c r="CA29" s="200">
        <v>46.01</v>
      </c>
      <c r="CB29" s="200"/>
      <c r="CC29" s="208"/>
      <c r="CD29" s="208"/>
      <c r="CE29" s="201"/>
      <c r="CF29" s="199"/>
      <c r="CG29" s="197"/>
      <c r="CH29" s="197"/>
      <c r="CI29" s="230">
        <v>285.07</v>
      </c>
      <c r="CJ29" s="198"/>
      <c r="CK29" s="202"/>
      <c r="CL29" s="208"/>
      <c r="CM29" s="208"/>
      <c r="CN29" s="201"/>
      <c r="CO29" s="284"/>
      <c r="CP29" s="286">
        <f t="shared" si="20"/>
        <v>364.27509759999998</v>
      </c>
      <c r="CQ29" s="24">
        <f t="shared" si="20"/>
        <v>63.761000000000003</v>
      </c>
      <c r="CR29" s="25">
        <f t="shared" si="20"/>
        <v>58.533999999999999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285.07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30"/>
        <v>0</v>
      </c>
    </row>
    <row r="30" spans="1:110" ht="16.5" customHeight="1">
      <c r="A30" s="127">
        <v>24</v>
      </c>
      <c r="B30" s="103">
        <f t="shared" si="24"/>
        <v>468.54500000000002</v>
      </c>
      <c r="C30" s="104">
        <f t="shared" si="0"/>
        <v>1.4241809217897958</v>
      </c>
      <c r="D30" s="143">
        <f t="shared" si="1"/>
        <v>461.8720715</v>
      </c>
      <c r="E30" s="104">
        <f t="shared" si="2"/>
        <v>39.008394561888394</v>
      </c>
      <c r="F30" s="128">
        <f t="shared" si="3"/>
        <v>2.0431393059364766</v>
      </c>
      <c r="G30" s="106"/>
      <c r="H30" s="107">
        <f t="shared" si="4"/>
        <v>1.5323014752720514</v>
      </c>
      <c r="I30" s="103">
        <f>'[1]сентябрь 20'!AE29</f>
        <v>0</v>
      </c>
      <c r="J30" s="328">
        <f>'[1]январь 20'!AA29</f>
        <v>15.679</v>
      </c>
      <c r="K30" s="106"/>
      <c r="L30" s="328">
        <f t="shared" si="25"/>
        <v>115.47999999999999</v>
      </c>
      <c r="M30" s="103">
        <f t="shared" si="5"/>
        <v>0.51083783066442523</v>
      </c>
      <c r="N30" s="103">
        <f>'[1]июль 20'!AM29</f>
        <v>6.6029999999999998</v>
      </c>
      <c r="O30" s="103">
        <f>'[1]январь 20'!W29</f>
        <v>0</v>
      </c>
      <c r="P30" s="103">
        <v>275.52999999999997</v>
      </c>
      <c r="Q30" s="108">
        <f t="shared" si="6"/>
        <v>1.7892788444089369</v>
      </c>
      <c r="R30" s="109">
        <f t="shared" si="7"/>
        <v>270.60000000000002</v>
      </c>
      <c r="S30" s="163">
        <v>55.76</v>
      </c>
      <c r="T30" s="109">
        <f t="shared" si="8"/>
        <v>270.60000000000002</v>
      </c>
      <c r="U30" s="110">
        <f t="shared" si="9"/>
        <v>1.1970273378749003</v>
      </c>
      <c r="V30" s="154">
        <v>226.06</v>
      </c>
      <c r="W30" s="157">
        <v>143.53</v>
      </c>
      <c r="X30" s="149">
        <v>0.9</v>
      </c>
      <c r="Y30" s="147">
        <v>665</v>
      </c>
      <c r="Z30" s="147">
        <v>1234</v>
      </c>
      <c r="AA30" s="144" t="s">
        <v>152</v>
      </c>
      <c r="AB30" s="149">
        <v>76.430000000000007</v>
      </c>
      <c r="AC30" s="147">
        <v>159</v>
      </c>
      <c r="AD30" s="155">
        <v>5</v>
      </c>
      <c r="AE30" s="149">
        <v>5.35</v>
      </c>
      <c r="AF30" s="115">
        <f t="shared" si="10"/>
        <v>23.66628328762275</v>
      </c>
      <c r="AG30" s="131">
        <v>111.8</v>
      </c>
      <c r="AH30" s="115">
        <f t="shared" si="11"/>
        <v>494.55896664602312</v>
      </c>
      <c r="AI30" s="139">
        <v>26.71</v>
      </c>
      <c r="AJ30" s="131"/>
      <c r="AK30" s="157">
        <v>11.91</v>
      </c>
      <c r="AL30" s="157">
        <v>49.54</v>
      </c>
      <c r="AM30" s="110">
        <f t="shared" si="12"/>
        <v>0.17437521999296021</v>
      </c>
      <c r="AN30" s="158" t="s">
        <v>153</v>
      </c>
      <c r="AO30" s="404">
        <v>9.4600000000000009</v>
      </c>
      <c r="AP30" s="159">
        <v>7.02</v>
      </c>
      <c r="AQ30" s="155"/>
      <c r="AR30" s="149">
        <v>5.95</v>
      </c>
      <c r="AS30" s="156">
        <v>284.10000000000002</v>
      </c>
      <c r="AT30" s="131">
        <v>3.41</v>
      </c>
      <c r="AU30" s="164"/>
      <c r="AV30" s="149"/>
      <c r="AW30" s="109">
        <f t="shared" si="31"/>
        <v>0</v>
      </c>
      <c r="AX30" s="109">
        <f t="shared" si="13"/>
        <v>226.06000000000003</v>
      </c>
      <c r="AY30" s="115">
        <f t="shared" si="26"/>
        <v>205.79279374474368</v>
      </c>
      <c r="AZ30" s="140">
        <f t="shared" si="14"/>
        <v>5.1530352112676061</v>
      </c>
      <c r="BA30" s="141">
        <f t="shared" si="32"/>
        <v>9.0424000000000007</v>
      </c>
      <c r="BB30" s="128">
        <f t="shared" si="16"/>
        <v>0.95897614493141481</v>
      </c>
      <c r="BC30" s="141">
        <f t="shared" si="17"/>
        <v>14.195435211267608</v>
      </c>
      <c r="BD30" s="162">
        <v>0.91300000000000003</v>
      </c>
      <c r="BE30" s="16">
        <f t="shared" si="27"/>
        <v>5000.87</v>
      </c>
      <c r="BF30" s="16">
        <f t="shared" si="18"/>
        <v>209.67741935483872</v>
      </c>
      <c r="BG30" s="16">
        <f t="shared" si="28"/>
        <v>5032.2580645161288</v>
      </c>
      <c r="BH30" s="17">
        <f t="shared" si="19"/>
        <v>1</v>
      </c>
      <c r="BI30" s="16">
        <f t="shared" si="29"/>
        <v>5032.2580645161288</v>
      </c>
      <c r="BJ30" s="255">
        <v>353.065</v>
      </c>
      <c r="BK30" s="210">
        <v>59.857999999999997</v>
      </c>
      <c r="BL30" s="210">
        <v>55.622</v>
      </c>
      <c r="BM30" s="210"/>
      <c r="BN30" s="233"/>
      <c r="BO30" s="233"/>
      <c r="BP30" s="260"/>
      <c r="BQ30" s="212"/>
      <c r="BR30" s="213">
        <v>1.89</v>
      </c>
      <c r="BS30" s="213"/>
      <c r="BT30" s="213"/>
      <c r="BU30" s="213"/>
      <c r="BV30" s="235"/>
      <c r="BW30" s="235"/>
      <c r="BX30" s="214"/>
      <c r="BY30" s="215">
        <v>37.130000000000003</v>
      </c>
      <c r="BZ30" s="213">
        <v>44.13</v>
      </c>
      <c r="CA30" s="216">
        <v>45.42</v>
      </c>
      <c r="CB30" s="213"/>
      <c r="CC30" s="235"/>
      <c r="CD30" s="235"/>
      <c r="CE30" s="214"/>
      <c r="CF30" s="212"/>
      <c r="CG30" s="210"/>
      <c r="CH30" s="210"/>
      <c r="CI30" s="233">
        <v>270.60000000000002</v>
      </c>
      <c r="CJ30" s="198"/>
      <c r="CK30" s="202"/>
      <c r="CL30" s="208"/>
      <c r="CM30" s="208"/>
      <c r="CN30" s="201"/>
      <c r="CO30" s="284"/>
      <c r="CP30" s="286">
        <f t="shared" si="20"/>
        <v>346.39207149999999</v>
      </c>
      <c r="CQ30" s="24">
        <f t="shared" si="20"/>
        <v>59.857999999999997</v>
      </c>
      <c r="CR30" s="25">
        <f t="shared" si="20"/>
        <v>55.622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270.60000000000002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30"/>
        <v>0</v>
      </c>
    </row>
    <row r="31" spans="1:110" ht="16.5" customHeight="1">
      <c r="A31" s="127">
        <v>25</v>
      </c>
      <c r="B31" s="103">
        <f t="shared" si="24"/>
        <v>459.56399999999996</v>
      </c>
      <c r="C31" s="104">
        <f t="shared" si="0"/>
        <v>1.9670866516959551</v>
      </c>
      <c r="D31" s="143">
        <f t="shared" si="1"/>
        <v>450.52397789999998</v>
      </c>
      <c r="E31" s="104">
        <f t="shared" si="2"/>
        <v>39.204222175801412</v>
      </c>
      <c r="F31" s="128">
        <f t="shared" si="3"/>
        <v>1.9535338561269622</v>
      </c>
      <c r="G31" s="106"/>
      <c r="H31" s="107">
        <f t="shared" si="4"/>
        <v>1.4626700975630909</v>
      </c>
      <c r="I31" s="103">
        <f>'[1]сентябрь 20'!AE30</f>
        <v>0</v>
      </c>
      <c r="J31" s="328">
        <f>'[1]январь 20'!AA30</f>
        <v>15.695</v>
      </c>
      <c r="K31" s="106"/>
      <c r="L31" s="328">
        <f t="shared" si="25"/>
        <v>113.203</v>
      </c>
      <c r="M31" s="103">
        <f t="shared" si="5"/>
        <v>0.49086375856387138</v>
      </c>
      <c r="N31" s="103">
        <f>'[1]июль 20'!AM30</f>
        <v>7.069</v>
      </c>
      <c r="O31" s="103">
        <f>'[1]январь 20'!W30</f>
        <v>0</v>
      </c>
      <c r="P31" s="103">
        <v>267.02999999999997</v>
      </c>
      <c r="Q31" s="108">
        <f t="shared" si="6"/>
        <v>1.8087855297157618</v>
      </c>
      <c r="R31" s="109">
        <f t="shared" si="7"/>
        <v>262.2</v>
      </c>
      <c r="S31" s="106">
        <v>13.41</v>
      </c>
      <c r="T31" s="109">
        <f t="shared" si="8"/>
        <v>262.2</v>
      </c>
      <c r="U31" s="110">
        <f t="shared" si="9"/>
        <v>1.1369352181077097</v>
      </c>
      <c r="V31" s="136">
        <v>230.62</v>
      </c>
      <c r="W31" s="136">
        <v>97.78</v>
      </c>
      <c r="X31" s="131">
        <v>1.1000000000000001</v>
      </c>
      <c r="Y31" s="133">
        <v>635</v>
      </c>
      <c r="Z31" s="133">
        <v>1237</v>
      </c>
      <c r="AA31" s="144" t="s">
        <v>154</v>
      </c>
      <c r="AB31" s="131">
        <v>76.36</v>
      </c>
      <c r="AC31" s="133">
        <v>156</v>
      </c>
      <c r="AD31" s="134">
        <v>5</v>
      </c>
      <c r="AE31" s="131">
        <v>5.8</v>
      </c>
      <c r="AF31" s="115">
        <f t="shared" si="10"/>
        <v>25.149596739224702</v>
      </c>
      <c r="AG31" s="131">
        <v>112.8</v>
      </c>
      <c r="AH31" s="115">
        <f t="shared" si="11"/>
        <v>489.11629520423213</v>
      </c>
      <c r="AI31" s="139">
        <v>20.96</v>
      </c>
      <c r="AJ31" s="131"/>
      <c r="AK31" s="136">
        <v>8.91</v>
      </c>
      <c r="AL31" s="136">
        <v>52.34</v>
      </c>
      <c r="AM31" s="110">
        <f t="shared" si="12"/>
        <v>0.18098201936376213</v>
      </c>
      <c r="AN31" s="137" t="s">
        <v>155</v>
      </c>
      <c r="AO31" s="150">
        <v>9.34</v>
      </c>
      <c r="AP31" s="138">
        <v>7.06</v>
      </c>
      <c r="AQ31" s="134"/>
      <c r="AR31" s="131">
        <v>5.56</v>
      </c>
      <c r="AS31" s="139">
        <v>289.2</v>
      </c>
      <c r="AT31" s="131">
        <v>2.67</v>
      </c>
      <c r="AU31" s="148"/>
      <c r="AV31" s="131"/>
      <c r="AW31" s="109">
        <f t="shared" si="31"/>
        <v>0</v>
      </c>
      <c r="AX31" s="109">
        <f t="shared" si="13"/>
        <v>230.61999999999998</v>
      </c>
      <c r="AY31" s="115">
        <f t="shared" si="26"/>
        <v>201.92917725546792</v>
      </c>
      <c r="AZ31" s="140">
        <f t="shared" si="14"/>
        <v>4.8583436619718299</v>
      </c>
      <c r="BA31" s="141">
        <f t="shared" si="32"/>
        <v>9.2248000000000001</v>
      </c>
      <c r="BB31" s="128">
        <f t="shared" si="16"/>
        <v>0.99703897542893716</v>
      </c>
      <c r="BC31" s="141">
        <f t="shared" si="17"/>
        <v>14.08314366197183</v>
      </c>
      <c r="BD31" s="142">
        <v>0.91700000000000004</v>
      </c>
      <c r="BE31" s="16">
        <f t="shared" si="27"/>
        <v>5231.49</v>
      </c>
      <c r="BF31" s="16">
        <f t="shared" si="18"/>
        <v>209.67741935483872</v>
      </c>
      <c r="BG31" s="16">
        <f t="shared" si="28"/>
        <v>5241.9354838709678</v>
      </c>
      <c r="BH31" s="17">
        <f t="shared" si="19"/>
        <v>1</v>
      </c>
      <c r="BI31" s="16">
        <f t="shared" si="29"/>
        <v>5241.9354838709678</v>
      </c>
      <c r="BJ31" s="254">
        <v>346.36099999999999</v>
      </c>
      <c r="BK31" s="197">
        <v>58.767000000000003</v>
      </c>
      <c r="BL31" s="197">
        <v>54.436</v>
      </c>
      <c r="BM31" s="197"/>
      <c r="BN31" s="230"/>
      <c r="BO31" s="230"/>
      <c r="BP31" s="259"/>
      <c r="BQ31" s="199"/>
      <c r="BR31" s="200">
        <v>2.61</v>
      </c>
      <c r="BS31" s="200"/>
      <c r="BT31" s="200"/>
      <c r="BU31" s="200"/>
      <c r="BV31" s="208"/>
      <c r="BW31" s="208"/>
      <c r="BX31" s="201"/>
      <c r="BY31" s="202">
        <v>37.340000000000003</v>
      </c>
      <c r="BZ31" s="200">
        <v>43.98</v>
      </c>
      <c r="CA31" s="200">
        <v>45.91</v>
      </c>
      <c r="CB31" s="200"/>
      <c r="CC31" s="208"/>
      <c r="CD31" s="208"/>
      <c r="CE31" s="209"/>
      <c r="CF31" s="199"/>
      <c r="CG31" s="197"/>
      <c r="CH31" s="197"/>
      <c r="CI31" s="230">
        <v>262.2</v>
      </c>
      <c r="CJ31" s="198"/>
      <c r="CK31" s="202"/>
      <c r="CL31" s="208"/>
      <c r="CM31" s="208"/>
      <c r="CN31" s="201"/>
      <c r="CO31" s="284"/>
      <c r="CP31" s="286">
        <f t="shared" si="20"/>
        <v>337.3209779</v>
      </c>
      <c r="CQ31" s="24">
        <f t="shared" si="20"/>
        <v>58.767000000000003</v>
      </c>
      <c r="CR31" s="25">
        <f t="shared" si="20"/>
        <v>54.436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262.2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30"/>
        <v>0</v>
      </c>
    </row>
    <row r="32" spans="1:110" ht="16.5" customHeight="1">
      <c r="A32" s="127">
        <v>26</v>
      </c>
      <c r="B32" s="103">
        <f t="shared" si="24"/>
        <v>444.71499999999997</v>
      </c>
      <c r="C32" s="104">
        <f t="shared" si="0"/>
        <v>2.5487395747838506</v>
      </c>
      <c r="D32" s="143">
        <f t="shared" si="1"/>
        <v>433.38037279999998</v>
      </c>
      <c r="E32" s="104">
        <f t="shared" si="2"/>
        <v>39.230122617856381</v>
      </c>
      <c r="F32" s="128">
        <f t="shared" si="3"/>
        <v>1.9583387835517401</v>
      </c>
      <c r="G32" s="106"/>
      <c r="H32" s="107">
        <f t="shared" si="4"/>
        <v>1.464118268413918</v>
      </c>
      <c r="I32" s="103">
        <f>'[1]сентябрь 20'!AE31</f>
        <v>0</v>
      </c>
      <c r="J32" s="328">
        <f>'[1]январь 20'!AA31</f>
        <v>15.173999999999999</v>
      </c>
      <c r="K32" s="106"/>
      <c r="L32" s="328">
        <f t="shared" si="25"/>
        <v>109.371</v>
      </c>
      <c r="M32" s="103">
        <f t="shared" si="5"/>
        <v>0.49422051513782206</v>
      </c>
      <c r="N32" s="103">
        <f>'[1]июль 20'!AM31</f>
        <v>7.0679999999999996</v>
      </c>
      <c r="O32" s="103">
        <f>'[1]январь 20'!W31</f>
        <v>0</v>
      </c>
      <c r="P32" s="103">
        <v>255.77</v>
      </c>
      <c r="Q32" s="108">
        <f t="shared" si="6"/>
        <v>1.896234898541671</v>
      </c>
      <c r="R32" s="109">
        <f t="shared" si="7"/>
        <v>250.91999999999996</v>
      </c>
      <c r="S32" s="106">
        <v>16.760000000000002</v>
      </c>
      <c r="T32" s="109">
        <f t="shared" si="8"/>
        <v>250.92</v>
      </c>
      <c r="U32" s="110">
        <f t="shared" si="9"/>
        <v>1.1338454586534117</v>
      </c>
      <c r="V32" s="136">
        <v>221.3</v>
      </c>
      <c r="W32" s="136"/>
      <c r="X32" s="131">
        <v>1.26</v>
      </c>
      <c r="Y32" s="133">
        <v>620</v>
      </c>
      <c r="Z32" s="133">
        <v>1234</v>
      </c>
      <c r="AA32" s="144" t="s">
        <v>134</v>
      </c>
      <c r="AB32" s="131">
        <v>75.98</v>
      </c>
      <c r="AC32" s="133">
        <v>151</v>
      </c>
      <c r="AD32" s="134">
        <v>5</v>
      </c>
      <c r="AE32" s="131">
        <v>5.2</v>
      </c>
      <c r="AF32" s="115">
        <f t="shared" si="10"/>
        <v>23.497514685946687</v>
      </c>
      <c r="AG32" s="131">
        <v>115.65</v>
      </c>
      <c r="AH32" s="115">
        <f t="shared" si="11"/>
        <v>522.59376412110271</v>
      </c>
      <c r="AI32" s="139">
        <v>19.34</v>
      </c>
      <c r="AJ32" s="131"/>
      <c r="AK32" s="136">
        <v>9.74</v>
      </c>
      <c r="AL32" s="136">
        <v>47.81</v>
      </c>
      <c r="AM32" s="110">
        <f t="shared" si="12"/>
        <v>0.1728176396168444</v>
      </c>
      <c r="AN32" s="137" t="s">
        <v>156</v>
      </c>
      <c r="AO32" s="150">
        <v>9.7100000000000009</v>
      </c>
      <c r="AP32" s="138">
        <v>7.23</v>
      </c>
      <c r="AQ32" s="134"/>
      <c r="AR32" s="131">
        <v>5.25</v>
      </c>
      <c r="AS32" s="139">
        <v>276.64999999999998</v>
      </c>
      <c r="AT32" s="131">
        <v>2.2000000000000002</v>
      </c>
      <c r="AU32" s="148"/>
      <c r="AV32" s="131"/>
      <c r="AW32" s="109">
        <f t="shared" si="31"/>
        <v>0</v>
      </c>
      <c r="AX32" s="109">
        <f t="shared" si="13"/>
        <v>221.29999999999995</v>
      </c>
      <c r="AY32" s="115">
        <f t="shared" si="26"/>
        <v>195.34570135754856</v>
      </c>
      <c r="AZ32" s="140">
        <f t="shared" si="14"/>
        <v>4.7033714788732395</v>
      </c>
      <c r="BA32" s="141">
        <f t="shared" si="32"/>
        <v>8.8519999999999985</v>
      </c>
      <c r="BB32" s="128">
        <f t="shared" si="16"/>
        <v>0.98898976868903865</v>
      </c>
      <c r="BC32" s="141">
        <f t="shared" si="17"/>
        <v>13.555371478873237</v>
      </c>
      <c r="BD32" s="142">
        <v>0.91900000000000004</v>
      </c>
      <c r="BE32" s="16">
        <f t="shared" si="27"/>
        <v>5452.79</v>
      </c>
      <c r="BF32" s="16">
        <f t="shared" si="18"/>
        <v>209.67741935483872</v>
      </c>
      <c r="BG32" s="16">
        <f t="shared" si="28"/>
        <v>5451.6129032258068</v>
      </c>
      <c r="BH32" s="17">
        <f t="shared" si="19"/>
        <v>1</v>
      </c>
      <c r="BI32" s="16">
        <f t="shared" si="29"/>
        <v>5451.6129032258068</v>
      </c>
      <c r="BJ32" s="254">
        <v>335.34399999999999</v>
      </c>
      <c r="BK32" s="197"/>
      <c r="BL32" s="197">
        <v>109.371</v>
      </c>
      <c r="BM32" s="197"/>
      <c r="BN32" s="230"/>
      <c r="BO32" s="230"/>
      <c r="BP32" s="258"/>
      <c r="BQ32" s="199"/>
      <c r="BR32" s="200">
        <v>3.38</v>
      </c>
      <c r="BS32" s="200"/>
      <c r="BT32" s="200"/>
      <c r="BU32" s="200"/>
      <c r="BV32" s="208"/>
      <c r="BW32" s="208"/>
      <c r="BX32" s="201"/>
      <c r="BY32" s="202">
        <v>37.119999999999997</v>
      </c>
      <c r="BZ32" s="200"/>
      <c r="CA32" s="200">
        <v>45.7</v>
      </c>
      <c r="CB32" s="200"/>
      <c r="CC32" s="208"/>
      <c r="CD32" s="208"/>
      <c r="CE32" s="209"/>
      <c r="CF32" s="199"/>
      <c r="CG32" s="197"/>
      <c r="CH32" s="197"/>
      <c r="CI32" s="230">
        <v>250.92</v>
      </c>
      <c r="CJ32" s="198"/>
      <c r="CK32" s="202"/>
      <c r="CL32" s="208"/>
      <c r="CM32" s="208"/>
      <c r="CN32" s="201"/>
      <c r="CO32" s="284"/>
      <c r="CP32" s="286">
        <f t="shared" si="20"/>
        <v>324.00937279999999</v>
      </c>
      <c r="CQ32" s="24">
        <f t="shared" si="20"/>
        <v>0</v>
      </c>
      <c r="CR32" s="25">
        <f t="shared" si="20"/>
        <v>109.371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250.92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30"/>
        <v>0</v>
      </c>
    </row>
    <row r="33" spans="1:110" ht="16.5" customHeight="1">
      <c r="A33" s="127">
        <v>27</v>
      </c>
      <c r="B33" s="103">
        <f t="shared" si="24"/>
        <v>416.64699999999999</v>
      </c>
      <c r="C33" s="104">
        <f t="shared" si="0"/>
        <v>1.6751640837447528</v>
      </c>
      <c r="D33" s="143">
        <f t="shared" si="1"/>
        <v>409.66747909999998</v>
      </c>
      <c r="E33" s="104">
        <f t="shared" si="2"/>
        <v>39.099534810043039</v>
      </c>
      <c r="F33" s="128">
        <f t="shared" si="3"/>
        <v>1.9674742056478727</v>
      </c>
      <c r="G33" s="106"/>
      <c r="H33" s="107">
        <f t="shared" si="4"/>
        <v>1.4696161708769573</v>
      </c>
      <c r="I33" s="103">
        <f>'[1]сентябрь 20'!AE32</f>
        <v>0</v>
      </c>
      <c r="J33" s="103">
        <f>'[1]январь 20'!AA32</f>
        <v>12.209</v>
      </c>
      <c r="K33" s="106"/>
      <c r="L33" s="328">
        <f t="shared" si="25"/>
        <v>103.664</v>
      </c>
      <c r="M33" s="103">
        <f t="shared" si="5"/>
        <v>0.49785803477091545</v>
      </c>
      <c r="N33" s="103">
        <f>'[1]июль 20'!AM32</f>
        <v>6.9580000000000002</v>
      </c>
      <c r="O33" s="103">
        <f>'[1]январь 20'!W32</f>
        <v>0</v>
      </c>
      <c r="P33" s="103">
        <v>242.78</v>
      </c>
      <c r="Q33" s="108">
        <f t="shared" si="6"/>
        <v>1.5940357525331628</v>
      </c>
      <c r="R33" s="109">
        <f t="shared" si="7"/>
        <v>238.91</v>
      </c>
      <c r="S33" s="131">
        <v>25.82</v>
      </c>
      <c r="T33" s="109">
        <f t="shared" si="8"/>
        <v>238.91</v>
      </c>
      <c r="U33" s="110">
        <f t="shared" si="9"/>
        <v>1.1473921813466528</v>
      </c>
      <c r="V33" s="136">
        <v>208.22</v>
      </c>
      <c r="W33" s="136">
        <v>208.22</v>
      </c>
      <c r="X33" s="131">
        <v>0.43</v>
      </c>
      <c r="Y33" s="133">
        <v>607</v>
      </c>
      <c r="Z33" s="133">
        <v>1230</v>
      </c>
      <c r="AA33" s="144" t="s">
        <v>157</v>
      </c>
      <c r="AB33" s="131">
        <v>76.11</v>
      </c>
      <c r="AC33" s="133">
        <v>143</v>
      </c>
      <c r="AD33" s="134">
        <v>5</v>
      </c>
      <c r="AE33" s="131">
        <v>5.75</v>
      </c>
      <c r="AF33" s="115">
        <f t="shared" si="10"/>
        <v>27.615022572279322</v>
      </c>
      <c r="AG33" s="131">
        <v>136.35</v>
      </c>
      <c r="AH33" s="115">
        <f t="shared" si="11"/>
        <v>654.83623090961487</v>
      </c>
      <c r="AI33" s="139">
        <v>19.670000000000002</v>
      </c>
      <c r="AJ33" s="131"/>
      <c r="AK33" s="136">
        <v>7.43</v>
      </c>
      <c r="AL33" s="136">
        <v>53.52</v>
      </c>
      <c r="AM33" s="110">
        <f t="shared" si="12"/>
        <v>0.20127867619405795</v>
      </c>
      <c r="AN33" s="137" t="s">
        <v>158</v>
      </c>
      <c r="AO33" s="150">
        <v>8.77</v>
      </c>
      <c r="AP33" s="138">
        <v>7.05</v>
      </c>
      <c r="AQ33" s="134"/>
      <c r="AR33" s="131">
        <v>8.4600000000000009</v>
      </c>
      <c r="AS33" s="139">
        <v>265.89999999999998</v>
      </c>
      <c r="AT33" s="131">
        <v>3.27</v>
      </c>
      <c r="AU33" s="116"/>
      <c r="AV33" s="131"/>
      <c r="AW33" s="109">
        <f t="shared" si="31"/>
        <v>0</v>
      </c>
      <c r="AX33" s="109">
        <f t="shared" si="13"/>
        <v>208.21999999999997</v>
      </c>
      <c r="AY33" s="115">
        <f t="shared" si="26"/>
        <v>183.72810749497009</v>
      </c>
      <c r="AZ33" s="140">
        <f t="shared" si="14"/>
        <v>8.9357260563380265</v>
      </c>
      <c r="BA33" s="141">
        <f t="shared" si="32"/>
        <v>8.3287999999999993</v>
      </c>
      <c r="BB33" s="128">
        <f t="shared" si="16"/>
        <v>0.98937534642039704</v>
      </c>
      <c r="BC33" s="141">
        <f t="shared" si="17"/>
        <v>17.264526056338028</v>
      </c>
      <c r="BD33" s="142">
        <v>0.92200000000000004</v>
      </c>
      <c r="BE33" s="16">
        <f t="shared" si="27"/>
        <v>5661.01</v>
      </c>
      <c r="BF33" s="16">
        <f t="shared" si="18"/>
        <v>209.67741935483872</v>
      </c>
      <c r="BG33" s="16">
        <f t="shared" si="28"/>
        <v>5661.2903225806458</v>
      </c>
      <c r="BH33" s="17">
        <f t="shared" si="19"/>
        <v>1</v>
      </c>
      <c r="BI33" s="16">
        <f t="shared" si="29"/>
        <v>5661.2903225806458</v>
      </c>
      <c r="BJ33" s="254">
        <v>312.983</v>
      </c>
      <c r="BK33" s="197"/>
      <c r="BL33" s="197">
        <v>103.664</v>
      </c>
      <c r="BM33" s="197"/>
      <c r="BN33" s="230"/>
      <c r="BO33" s="230"/>
      <c r="BP33" s="258"/>
      <c r="BQ33" s="199"/>
      <c r="BR33" s="200">
        <v>2.23</v>
      </c>
      <c r="BS33" s="200"/>
      <c r="BT33" s="200"/>
      <c r="BU33" s="200"/>
      <c r="BV33" s="208"/>
      <c r="BW33" s="208"/>
      <c r="BX33" s="201"/>
      <c r="BY33" s="202">
        <v>36.92</v>
      </c>
      <c r="BZ33" s="200"/>
      <c r="CA33" s="200">
        <v>45.68</v>
      </c>
      <c r="CB33" s="200"/>
      <c r="CC33" s="208"/>
      <c r="CD33" s="208"/>
      <c r="CE33" s="209"/>
      <c r="CF33" s="199"/>
      <c r="CG33" s="197"/>
      <c r="CH33" s="197"/>
      <c r="CI33" s="230">
        <v>238.91</v>
      </c>
      <c r="CJ33" s="198"/>
      <c r="CK33" s="202"/>
      <c r="CL33" s="208"/>
      <c r="CM33" s="208"/>
      <c r="CN33" s="209"/>
      <c r="CO33" s="284"/>
      <c r="CP33" s="286">
        <f t="shared" si="20"/>
        <v>306.00347909999999</v>
      </c>
      <c r="CQ33" s="24">
        <f t="shared" si="20"/>
        <v>0</v>
      </c>
      <c r="CR33" s="25">
        <f t="shared" si="20"/>
        <v>103.664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238.91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30"/>
        <v>0</v>
      </c>
    </row>
    <row r="34" spans="1:110" ht="16.5" customHeight="1">
      <c r="A34" s="127">
        <v>28</v>
      </c>
      <c r="B34" s="103">
        <f t="shared" si="24"/>
        <v>483.815</v>
      </c>
      <c r="C34" s="104">
        <f t="shared" si="0"/>
        <v>1.5787307131858253</v>
      </c>
      <c r="D34" s="143">
        <f t="shared" si="1"/>
        <v>476.17686400000002</v>
      </c>
      <c r="E34" s="104">
        <f t="shared" si="2"/>
        <v>39.678061717805363</v>
      </c>
      <c r="F34" s="128">
        <f t="shared" si="3"/>
        <v>2.2163223830579475</v>
      </c>
      <c r="G34" s="106"/>
      <c r="H34" s="107">
        <f t="shared" si="4"/>
        <v>1.5804043006748894</v>
      </c>
      <c r="I34" s="103">
        <f>'[1]сентябрь 20'!AE33</f>
        <v>0</v>
      </c>
      <c r="J34" s="103">
        <f>'[1]январь 20'!AA33</f>
        <v>11.449</v>
      </c>
      <c r="K34" s="106"/>
      <c r="L34" s="328">
        <f t="shared" si="25"/>
        <v>136.62700000000001</v>
      </c>
      <c r="M34" s="103">
        <f t="shared" si="5"/>
        <v>0.63591808238305803</v>
      </c>
      <c r="N34" s="103">
        <f>'[1]июль 20'!AM33</f>
        <v>7.2119999999999997</v>
      </c>
      <c r="O34" s="103">
        <f>'[1]январь 20'!W33</f>
        <v>0</v>
      </c>
      <c r="P34" s="103">
        <v>285.88</v>
      </c>
      <c r="Q34" s="108">
        <f t="shared" si="6"/>
        <v>1.7769693577724843</v>
      </c>
      <c r="R34" s="109">
        <f t="shared" si="7"/>
        <v>280.8</v>
      </c>
      <c r="S34" s="149">
        <v>5.07</v>
      </c>
      <c r="T34" s="109">
        <f t="shared" si="8"/>
        <v>280.8</v>
      </c>
      <c r="U34" s="110">
        <f t="shared" si="9"/>
        <v>1.3069583430300211</v>
      </c>
      <c r="V34" s="157">
        <v>214.85</v>
      </c>
      <c r="W34" s="157">
        <v>214.85</v>
      </c>
      <c r="X34" s="149">
        <v>0.85</v>
      </c>
      <c r="Y34" s="147">
        <v>586</v>
      </c>
      <c r="Z34" s="147">
        <v>1233</v>
      </c>
      <c r="AA34" s="144" t="s">
        <v>154</v>
      </c>
      <c r="AB34" s="149">
        <v>77.36</v>
      </c>
      <c r="AC34" s="147">
        <v>165</v>
      </c>
      <c r="AD34" s="155">
        <v>5</v>
      </c>
      <c r="AE34" s="149">
        <v>5.55</v>
      </c>
      <c r="AF34" s="115">
        <f t="shared" si="10"/>
        <v>25.83197579706772</v>
      </c>
      <c r="AG34" s="149">
        <v>110.3</v>
      </c>
      <c r="AH34" s="115">
        <f t="shared" si="11"/>
        <v>513.38142890388633</v>
      </c>
      <c r="AI34" s="156">
        <v>24.59</v>
      </c>
      <c r="AJ34" s="149"/>
      <c r="AK34" s="157">
        <v>8.98</v>
      </c>
      <c r="AL34" s="157">
        <v>48.08</v>
      </c>
      <c r="AM34" s="110">
        <f t="shared" si="12"/>
        <v>0.17814005187106335</v>
      </c>
      <c r="AN34" s="158" t="s">
        <v>159</v>
      </c>
      <c r="AO34" s="404">
        <v>11.29</v>
      </c>
      <c r="AP34" s="159">
        <v>6.93</v>
      </c>
      <c r="AQ34" s="155"/>
      <c r="AR34" s="149">
        <v>6.4</v>
      </c>
      <c r="AS34" s="156">
        <v>269.89999999999998</v>
      </c>
      <c r="AT34" s="131">
        <v>2.0099999999999998</v>
      </c>
      <c r="AU34" s="148"/>
      <c r="AV34" s="149"/>
      <c r="AW34" s="109">
        <f t="shared" si="31"/>
        <v>0</v>
      </c>
      <c r="AX34" s="109">
        <f t="shared" si="13"/>
        <v>214.85</v>
      </c>
      <c r="AY34" s="115">
        <f t="shared" si="26"/>
        <v>213.21439469478241</v>
      </c>
      <c r="AZ34" s="140">
        <f t="shared" si="14"/>
        <v>5.4683943661971837</v>
      </c>
      <c r="BA34" s="141">
        <f t="shared" si="32"/>
        <v>8.5939999999999994</v>
      </c>
      <c r="BB34" s="128">
        <f t="shared" si="16"/>
        <v>0.8796969372940272</v>
      </c>
      <c r="BC34" s="141">
        <f t="shared" si="17"/>
        <v>14.062394366197182</v>
      </c>
      <c r="BD34" s="165">
        <v>0.92</v>
      </c>
      <c r="BE34" s="16">
        <f t="shared" si="27"/>
        <v>5875.8600000000006</v>
      </c>
      <c r="BF34" s="16">
        <f t="shared" si="18"/>
        <v>209.67741935483872</v>
      </c>
      <c r="BG34" s="16">
        <f t="shared" si="28"/>
        <v>5870.9677419354848</v>
      </c>
      <c r="BH34" s="17">
        <f t="shared" si="19"/>
        <v>1</v>
      </c>
      <c r="BI34" s="16">
        <f t="shared" si="29"/>
        <v>5870.9677419354848</v>
      </c>
      <c r="BJ34" s="255">
        <v>347.18799999999999</v>
      </c>
      <c r="BK34" s="210"/>
      <c r="BL34" s="210">
        <v>136.62700000000001</v>
      </c>
      <c r="BM34" s="210"/>
      <c r="BN34" s="233"/>
      <c r="BO34" s="233"/>
      <c r="BP34" s="260"/>
      <c r="BQ34" s="212"/>
      <c r="BR34" s="213">
        <v>2.2000000000000002</v>
      </c>
      <c r="BS34" s="213"/>
      <c r="BT34" s="213"/>
      <c r="BU34" s="213"/>
      <c r="BV34" s="235"/>
      <c r="BW34" s="235"/>
      <c r="BX34" s="214"/>
      <c r="BY34" s="215">
        <v>37.69</v>
      </c>
      <c r="BZ34" s="213"/>
      <c r="CA34" s="213">
        <v>44.73</v>
      </c>
      <c r="CB34" s="213"/>
      <c r="CC34" s="235"/>
      <c r="CD34" s="235"/>
      <c r="CE34" s="211"/>
      <c r="CF34" s="212"/>
      <c r="CG34" s="210"/>
      <c r="CH34" s="210"/>
      <c r="CI34" s="233">
        <v>280.8</v>
      </c>
      <c r="CJ34" s="198"/>
      <c r="CK34" s="202"/>
      <c r="CL34" s="208"/>
      <c r="CM34" s="208"/>
      <c r="CN34" s="209"/>
      <c r="CO34" s="284"/>
      <c r="CP34" s="286">
        <f t="shared" si="20"/>
        <v>339.54986399999996</v>
      </c>
      <c r="CQ34" s="24">
        <f t="shared" si="20"/>
        <v>0</v>
      </c>
      <c r="CR34" s="25">
        <f t="shared" si="20"/>
        <v>136.62700000000001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280.8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30"/>
        <v>0</v>
      </c>
    </row>
    <row r="35" spans="1:110" ht="16.5" customHeight="1">
      <c r="A35" s="127">
        <v>29</v>
      </c>
      <c r="B35" s="103">
        <f t="shared" si="24"/>
        <v>152.006</v>
      </c>
      <c r="C35" s="104">
        <f t="shared" si="0"/>
        <v>1.6020677473257634</v>
      </c>
      <c r="D35" s="143">
        <f t="shared" si="1"/>
        <v>149.57076090000001</v>
      </c>
      <c r="E35" s="104">
        <f t="shared" si="2"/>
        <v>39.518720642606212</v>
      </c>
      <c r="F35" s="128">
        <f t="shared" si="3"/>
        <v>1.4699829081081079</v>
      </c>
      <c r="G35" s="106"/>
      <c r="H35" s="107">
        <f t="shared" si="4"/>
        <v>1.0789951931203929</v>
      </c>
      <c r="I35" s="103">
        <f>'[1]сентябрь 20'!AE34</f>
        <v>0</v>
      </c>
      <c r="J35" s="103">
        <f>'[1]январь 20'!AA34</f>
        <v>4.3419999999999996</v>
      </c>
      <c r="K35" s="106"/>
      <c r="L35" s="328">
        <f t="shared" si="25"/>
        <v>39.783000000000001</v>
      </c>
      <c r="M35" s="103">
        <f t="shared" si="5"/>
        <v>0.39098771498771495</v>
      </c>
      <c r="N35" s="103">
        <f>'[1]июль 20'!AM34</f>
        <v>6.298</v>
      </c>
      <c r="O35" s="103">
        <f>'[1]январь 20'!W34</f>
        <v>0</v>
      </c>
      <c r="P35" s="103">
        <v>91.954999999999998</v>
      </c>
      <c r="Q35" s="108">
        <f t="shared" si="6"/>
        <v>1.9302919906475924</v>
      </c>
      <c r="R35" s="109">
        <f t="shared" si="7"/>
        <v>90.18</v>
      </c>
      <c r="S35" s="131">
        <v>1.92</v>
      </c>
      <c r="T35" s="109">
        <f t="shared" si="8"/>
        <v>90.18</v>
      </c>
      <c r="U35" s="110">
        <f t="shared" si="9"/>
        <v>0.8862899262899262</v>
      </c>
      <c r="V35" s="136">
        <v>101.75</v>
      </c>
      <c r="W35" s="136">
        <v>101.75</v>
      </c>
      <c r="X35" s="131">
        <v>0.7</v>
      </c>
      <c r="Y35" s="133">
        <v>613</v>
      </c>
      <c r="Z35" s="133">
        <v>1163</v>
      </c>
      <c r="AA35" s="144" t="s">
        <v>160</v>
      </c>
      <c r="AB35" s="131">
        <v>77.239999999999995</v>
      </c>
      <c r="AC35" s="133">
        <v>56</v>
      </c>
      <c r="AD35" s="134">
        <v>2</v>
      </c>
      <c r="AE35" s="166">
        <v>6.1</v>
      </c>
      <c r="AF35" s="115">
        <f t="shared" si="10"/>
        <v>59.950859950859943</v>
      </c>
      <c r="AG35" s="166">
        <v>61.1</v>
      </c>
      <c r="AH35" s="115">
        <f t="shared" si="11"/>
        <v>600.49140049140033</v>
      </c>
      <c r="AI35" s="139">
        <v>16.170000000000002</v>
      </c>
      <c r="AJ35" s="131"/>
      <c r="AK35" s="167">
        <v>4.93</v>
      </c>
      <c r="AL35" s="167">
        <v>29.57</v>
      </c>
      <c r="AM35" s="110">
        <f t="shared" si="12"/>
        <v>0.21936201780415429</v>
      </c>
      <c r="AN35" s="168" t="s">
        <v>128</v>
      </c>
      <c r="AO35" s="405">
        <v>12.21</v>
      </c>
      <c r="AP35" s="169">
        <v>7.35</v>
      </c>
      <c r="AQ35" s="170"/>
      <c r="AR35" s="166">
        <v>7.26</v>
      </c>
      <c r="AS35" s="171">
        <v>134.80000000000001</v>
      </c>
      <c r="AT35" s="131">
        <v>1.45</v>
      </c>
      <c r="AU35" s="116"/>
      <c r="AV35" s="131"/>
      <c r="AW35" s="109">
        <f t="shared" si="31"/>
        <v>0</v>
      </c>
      <c r="AX35" s="109">
        <f t="shared" si="13"/>
        <v>101.75000000000001</v>
      </c>
      <c r="AY35" s="115">
        <f t="shared" si="26"/>
        <v>66.806936646010968</v>
      </c>
      <c r="AZ35" s="140">
        <f t="shared" si="14"/>
        <v>3.4362295774647884</v>
      </c>
      <c r="BA35" s="141">
        <f t="shared" si="32"/>
        <v>4.07</v>
      </c>
      <c r="BB35" s="128">
        <f t="shared" si="16"/>
        <v>1.3296186662572249</v>
      </c>
      <c r="BC35" s="141">
        <f t="shared" si="17"/>
        <v>7.5062295774647882</v>
      </c>
      <c r="BD35" s="165">
        <v>0.92500000000000004</v>
      </c>
      <c r="BE35" s="16">
        <f t="shared" si="27"/>
        <v>5977.6100000000006</v>
      </c>
      <c r="BF35" s="16">
        <f t="shared" si="18"/>
        <v>209.67741935483872</v>
      </c>
      <c r="BG35" s="16">
        <f t="shared" si="28"/>
        <v>6080.6451612903238</v>
      </c>
      <c r="BH35" s="17">
        <f t="shared" si="19"/>
        <v>1</v>
      </c>
      <c r="BI35" s="16">
        <f t="shared" si="29"/>
        <v>6080.6451612903238</v>
      </c>
      <c r="BJ35" s="254">
        <v>112.223</v>
      </c>
      <c r="BK35" s="197"/>
      <c r="BL35" s="197">
        <v>39.783000000000001</v>
      </c>
      <c r="BM35" s="197"/>
      <c r="BN35" s="230"/>
      <c r="BO35" s="230"/>
      <c r="BP35" s="259"/>
      <c r="BQ35" s="199"/>
      <c r="BR35" s="200">
        <v>2.17</v>
      </c>
      <c r="BS35" s="200"/>
      <c r="BT35" s="200"/>
      <c r="BU35" s="200"/>
      <c r="BV35" s="208"/>
      <c r="BW35" s="208"/>
      <c r="BX35" s="201"/>
      <c r="BY35" s="202">
        <v>37.369999999999997</v>
      </c>
      <c r="BZ35" s="200"/>
      <c r="CA35" s="200">
        <v>45.58</v>
      </c>
      <c r="CB35" s="200"/>
      <c r="CC35" s="208"/>
      <c r="CD35" s="208"/>
      <c r="CE35" s="209"/>
      <c r="CF35" s="199"/>
      <c r="CG35" s="197"/>
      <c r="CH35" s="197"/>
      <c r="CI35" s="230">
        <v>90.18</v>
      </c>
      <c r="CJ35" s="198"/>
      <c r="CK35" s="202"/>
      <c r="CL35" s="208"/>
      <c r="CM35" s="208"/>
      <c r="CN35" s="209"/>
      <c r="CP35" s="286">
        <f t="shared" si="20"/>
        <v>109.78776089999999</v>
      </c>
      <c r="CQ35" s="24">
        <f t="shared" si="20"/>
        <v>0</v>
      </c>
      <c r="CR35" s="24">
        <f t="shared" si="20"/>
        <v>39.783000000000001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90.18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30"/>
        <v>0</v>
      </c>
    </row>
    <row r="36" spans="1:110" ht="16.5" customHeight="1">
      <c r="A36" s="127">
        <v>30</v>
      </c>
      <c r="B36" s="103">
        <f t="shared" si="24"/>
        <v>465.69400000000002</v>
      </c>
      <c r="C36" s="104">
        <f t="shared" si="0"/>
        <v>1.1912418884503557</v>
      </c>
      <c r="D36" s="143">
        <f t="shared" si="1"/>
        <v>460.14645800000005</v>
      </c>
      <c r="E36" s="104">
        <f t="shared" si="2"/>
        <v>39.568827083879114</v>
      </c>
      <c r="F36" s="128">
        <f t="shared" si="3"/>
        <v>2.2025007562703429</v>
      </c>
      <c r="G36" s="106"/>
      <c r="H36" s="107">
        <f t="shared" si="4"/>
        <v>1.5354128757419108</v>
      </c>
      <c r="I36" s="103">
        <f>'[1]сентябрь 20'!AE35</f>
        <v>0</v>
      </c>
      <c r="J36" s="103">
        <f>'[1]январь 20'!AA35</f>
        <v>12.614000000000001</v>
      </c>
      <c r="K36" s="106"/>
      <c r="L36" s="328">
        <f t="shared" si="25"/>
        <v>139.36799999999999</v>
      </c>
      <c r="M36" s="103">
        <f t="shared" si="5"/>
        <v>0.66708788052843182</v>
      </c>
      <c r="N36" s="103">
        <f>'[1]июль 20'!AM35</f>
        <v>7.1239999999999997</v>
      </c>
      <c r="O36" s="103">
        <f>'[1]январь 20'!W35</f>
        <v>0</v>
      </c>
      <c r="P36" s="103">
        <v>277.43</v>
      </c>
      <c r="Q36" s="108">
        <f t="shared" si="6"/>
        <v>1.7507118912879038</v>
      </c>
      <c r="R36" s="109">
        <f t="shared" si="7"/>
        <v>272.57299999999998</v>
      </c>
      <c r="S36" s="131">
        <v>52.91</v>
      </c>
      <c r="T36" s="109">
        <f t="shared" si="8"/>
        <v>272.57299999999998</v>
      </c>
      <c r="U36" s="110">
        <f t="shared" si="9"/>
        <v>1.3046764311698256</v>
      </c>
      <c r="V36" s="136">
        <v>208.92</v>
      </c>
      <c r="W36" s="136">
        <v>208.92</v>
      </c>
      <c r="X36" s="131">
        <v>0.59</v>
      </c>
      <c r="Y36" s="133">
        <v>624</v>
      </c>
      <c r="Z36" s="133">
        <v>1171</v>
      </c>
      <c r="AA36" s="144" t="s">
        <v>140</v>
      </c>
      <c r="AB36" s="131">
        <v>76.36</v>
      </c>
      <c r="AC36" s="133">
        <v>159</v>
      </c>
      <c r="AD36" s="134">
        <v>5</v>
      </c>
      <c r="AE36" s="131">
        <v>4.9000000000000004</v>
      </c>
      <c r="AF36" s="115">
        <f t="shared" si="10"/>
        <v>23.453953666475204</v>
      </c>
      <c r="AG36" s="131">
        <v>124.65</v>
      </c>
      <c r="AH36" s="115">
        <f t="shared" si="11"/>
        <v>596.63986214819067</v>
      </c>
      <c r="AI36" s="139">
        <v>24.88</v>
      </c>
      <c r="AJ36" s="131"/>
      <c r="AK36" s="136">
        <v>7.63</v>
      </c>
      <c r="AL36" s="136">
        <v>41.78</v>
      </c>
      <c r="AM36" s="110">
        <f t="shared" si="12"/>
        <v>0.16298030037058708</v>
      </c>
      <c r="AN36" s="137" t="s">
        <v>161</v>
      </c>
      <c r="AO36" s="150">
        <v>10.96</v>
      </c>
      <c r="AP36" s="138">
        <v>6.84</v>
      </c>
      <c r="AQ36" s="134"/>
      <c r="AR36" s="131">
        <v>8.73</v>
      </c>
      <c r="AS36" s="139">
        <v>256.35000000000002</v>
      </c>
      <c r="AT36" s="131">
        <v>1.98</v>
      </c>
      <c r="AU36" s="116"/>
      <c r="AV36" s="131"/>
      <c r="AW36" s="109">
        <f t="shared" si="31"/>
        <v>0</v>
      </c>
      <c r="AX36" s="109">
        <f t="shared" si="13"/>
        <v>208.92000000000002</v>
      </c>
      <c r="AY36" s="115">
        <f t="shared" si="26"/>
        <v>208.16014621358096</v>
      </c>
      <c r="AZ36" s="140">
        <f t="shared" si="14"/>
        <v>8.4296757042253514</v>
      </c>
      <c r="BA36" s="141">
        <f t="shared" si="32"/>
        <v>8.3568000000000016</v>
      </c>
      <c r="BB36" s="128">
        <f t="shared" si="16"/>
        <v>0.87618674043812028</v>
      </c>
      <c r="BC36" s="141">
        <f t="shared" si="17"/>
        <v>16.786475704225353</v>
      </c>
      <c r="BD36" s="165">
        <v>0.92300000000000004</v>
      </c>
      <c r="BE36" s="16">
        <f t="shared" si="27"/>
        <v>6186.5300000000007</v>
      </c>
      <c r="BF36" s="16">
        <f t="shared" si="18"/>
        <v>209.67741935483872</v>
      </c>
      <c r="BG36" s="16">
        <f t="shared" si="28"/>
        <v>6290.3225806451628</v>
      </c>
      <c r="BH36" s="17">
        <f t="shared" si="19"/>
        <v>1</v>
      </c>
      <c r="BI36" s="16">
        <f t="shared" si="29"/>
        <v>6290.3225806451628</v>
      </c>
      <c r="BJ36" s="254">
        <v>326.32600000000002</v>
      </c>
      <c r="BK36" s="197"/>
      <c r="BL36" s="197">
        <v>139.36799999999999</v>
      </c>
      <c r="BM36" s="197"/>
      <c r="BN36" s="230"/>
      <c r="BO36" s="230"/>
      <c r="BP36" s="258"/>
      <c r="BQ36" s="199"/>
      <c r="BR36" s="200">
        <v>1.7</v>
      </c>
      <c r="BS36" s="200"/>
      <c r="BT36" s="200"/>
      <c r="BU36" s="200"/>
      <c r="BV36" s="208"/>
      <c r="BW36" s="208"/>
      <c r="BX36" s="201"/>
      <c r="BY36" s="202">
        <v>37.04</v>
      </c>
      <c r="BZ36" s="200"/>
      <c r="CA36" s="200">
        <v>45.49</v>
      </c>
      <c r="CB36" s="200"/>
      <c r="CC36" s="208"/>
      <c r="CD36" s="208"/>
      <c r="CE36" s="209"/>
      <c r="CF36" s="199"/>
      <c r="CG36" s="197"/>
      <c r="CH36" s="197"/>
      <c r="CI36" s="230">
        <v>272.57299999999998</v>
      </c>
      <c r="CJ36" s="198"/>
      <c r="CK36" s="202"/>
      <c r="CL36" s="208"/>
      <c r="CM36" s="208"/>
      <c r="CN36" s="209"/>
      <c r="CP36" s="286">
        <f t="shared" si="20"/>
        <v>320.778458</v>
      </c>
      <c r="CQ36" s="27">
        <f t="shared" si="20"/>
        <v>0</v>
      </c>
      <c r="CR36" s="28">
        <f t="shared" si="20"/>
        <v>139.36799999999999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272.57299999999998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30"/>
        <v>0</v>
      </c>
    </row>
    <row r="37" spans="1:110" ht="16.5" customHeight="1" thickBot="1">
      <c r="A37" s="172">
        <v>31</v>
      </c>
      <c r="B37" s="103">
        <f t="shared" si="24"/>
        <v>486.33199999999999</v>
      </c>
      <c r="C37" s="104">
        <f t="shared" si="0"/>
        <v>1.3428305560810307</v>
      </c>
      <c r="D37" s="173">
        <f t="shared" si="1"/>
        <v>479.80138530000005</v>
      </c>
      <c r="E37" s="104">
        <f t="shared" si="2"/>
        <v>39.660296710888851</v>
      </c>
      <c r="F37" s="174">
        <f t="shared" si="3"/>
        <v>2.0605599540476702</v>
      </c>
      <c r="G37" s="106"/>
      <c r="H37" s="107">
        <f t="shared" si="4"/>
        <v>1.4403538127549922</v>
      </c>
      <c r="I37" s="103">
        <f>'[1]сентябрь 20'!AE36</f>
        <v>0</v>
      </c>
      <c r="J37" s="103">
        <f>'[1]январь 20'!AA36</f>
        <v>11.656000000000001</v>
      </c>
      <c r="K37" s="106"/>
      <c r="L37" s="328">
        <f t="shared" si="25"/>
        <v>144.41499999999999</v>
      </c>
      <c r="M37" s="103">
        <f t="shared" si="5"/>
        <v>0.62020614129267759</v>
      </c>
      <c r="N37" s="103">
        <f>'[1]июль 20'!AM36</f>
        <v>6.7409999999999997</v>
      </c>
      <c r="O37" s="103">
        <f>'[1]январь 20'!W36</f>
        <v>0</v>
      </c>
      <c r="P37" s="103">
        <v>289.95</v>
      </c>
      <c r="Q37" s="108">
        <f t="shared" si="6"/>
        <v>1.8106570098292862</v>
      </c>
      <c r="R37" s="175">
        <f t="shared" si="7"/>
        <v>284.7</v>
      </c>
      <c r="S37" s="176">
        <v>17.22</v>
      </c>
      <c r="T37" s="109">
        <f t="shared" si="8"/>
        <v>284.7</v>
      </c>
      <c r="U37" s="227">
        <f t="shared" si="9"/>
        <v>1.2226755421945457</v>
      </c>
      <c r="V37" s="177">
        <v>232.85</v>
      </c>
      <c r="W37" s="177">
        <v>232.85</v>
      </c>
      <c r="X37" s="176">
        <v>0.79</v>
      </c>
      <c r="Y37" s="178">
        <v>621</v>
      </c>
      <c r="Z37" s="178">
        <v>1229</v>
      </c>
      <c r="AA37" s="179" t="s">
        <v>163</v>
      </c>
      <c r="AB37" s="176">
        <v>76.7</v>
      </c>
      <c r="AC37" s="178">
        <v>166</v>
      </c>
      <c r="AD37" s="180">
        <v>5</v>
      </c>
      <c r="AE37" s="176">
        <v>5.2</v>
      </c>
      <c r="AF37" s="115">
        <f t="shared" si="10"/>
        <v>22.331973373416361</v>
      </c>
      <c r="AG37" s="176">
        <v>118.7</v>
      </c>
      <c r="AH37" s="181">
        <f t="shared" si="11"/>
        <v>509.77023835086965</v>
      </c>
      <c r="AI37" s="182">
        <v>20.41</v>
      </c>
      <c r="AJ37" s="176"/>
      <c r="AK37" s="177">
        <v>6.24</v>
      </c>
      <c r="AL37" s="177">
        <v>51.76</v>
      </c>
      <c r="AM37" s="227">
        <f t="shared" si="12"/>
        <v>0.17796114835826024</v>
      </c>
      <c r="AN37" s="183" t="s">
        <v>164</v>
      </c>
      <c r="AO37" s="406">
        <v>11.95</v>
      </c>
      <c r="AP37" s="184">
        <v>7.01</v>
      </c>
      <c r="AQ37" s="180"/>
      <c r="AR37" s="176">
        <v>6.56</v>
      </c>
      <c r="AS37" s="176">
        <v>290.85000000000002</v>
      </c>
      <c r="AT37" s="131"/>
      <c r="AU37" s="176"/>
      <c r="AV37" s="176"/>
      <c r="AW37" s="185">
        <f t="shared" si="31"/>
        <v>0</v>
      </c>
      <c r="AX37" s="109">
        <f t="shared" si="13"/>
        <v>232.85000000000002</v>
      </c>
      <c r="AY37" s="115">
        <f t="shared" si="26"/>
        <v>216.58897014048543</v>
      </c>
      <c r="AZ37" s="186">
        <f t="shared" si="14"/>
        <v>6.031966197183098</v>
      </c>
      <c r="BA37" s="181">
        <f t="shared" si="32"/>
        <v>9.3140000000000018</v>
      </c>
      <c r="BB37" s="174">
        <f t="shared" si="16"/>
        <v>0.9385429455070976</v>
      </c>
      <c r="BC37" s="181">
        <f t="shared" si="17"/>
        <v>15.345966197183099</v>
      </c>
      <c r="BD37" s="187">
        <v>0.92400000000000004</v>
      </c>
      <c r="BE37" s="16">
        <f t="shared" si="27"/>
        <v>6419.380000000001</v>
      </c>
      <c r="BF37" s="16">
        <f t="shared" si="18"/>
        <v>209.67741935483872</v>
      </c>
      <c r="BG37" s="16">
        <f t="shared" si="28"/>
        <v>6500.0000000000018</v>
      </c>
      <c r="BH37" s="17">
        <f t="shared" si="19"/>
        <v>1</v>
      </c>
      <c r="BI37" s="16">
        <f t="shared" si="29"/>
        <v>6500.0000000000018</v>
      </c>
      <c r="BJ37" s="256">
        <v>341.91699999999997</v>
      </c>
      <c r="BK37" s="257"/>
      <c r="BL37" s="257">
        <v>144.41499999999999</v>
      </c>
      <c r="BM37" s="257"/>
      <c r="BN37" s="261"/>
      <c r="BO37" s="261"/>
      <c r="BP37" s="262"/>
      <c r="BQ37" s="219"/>
      <c r="BR37" s="220">
        <v>1.91</v>
      </c>
      <c r="BS37" s="220"/>
      <c r="BT37" s="220"/>
      <c r="BU37" s="220"/>
      <c r="BV37" s="224"/>
      <c r="BW37" s="224"/>
      <c r="BX37" s="221"/>
      <c r="BY37" s="222">
        <v>37.159999999999997</v>
      </c>
      <c r="BZ37" s="220"/>
      <c r="CA37" s="220">
        <v>45.58</v>
      </c>
      <c r="CB37" s="220"/>
      <c r="CC37" s="224"/>
      <c r="CD37" s="224"/>
      <c r="CE37" s="221"/>
      <c r="CF37" s="219"/>
      <c r="CG37" s="217"/>
      <c r="CH37" s="217"/>
      <c r="CI37" s="234">
        <v>284.7</v>
      </c>
      <c r="CJ37" s="223"/>
      <c r="CK37" s="222"/>
      <c r="CL37" s="224"/>
      <c r="CM37" s="224"/>
      <c r="CN37" s="218"/>
      <c r="CP37" s="287">
        <f t="shared" si="20"/>
        <v>335.38638529999997</v>
      </c>
      <c r="CQ37" s="32">
        <f t="shared" si="20"/>
        <v>0</v>
      </c>
      <c r="CR37" s="30">
        <f t="shared" si="20"/>
        <v>144.41499999999999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284.7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30"/>
        <v>0</v>
      </c>
    </row>
    <row r="38" spans="1:110" ht="16.5" customHeight="1" thickBot="1">
      <c r="A38" s="55" t="s">
        <v>58</v>
      </c>
      <c r="B38" s="188">
        <f>SUM(B7:B37)</f>
        <v>13626.196000400003</v>
      </c>
      <c r="C38" s="326"/>
      <c r="D38" s="327">
        <f>SUM(D7:D37)</f>
        <v>13250.866243798435</v>
      </c>
      <c r="E38" s="339"/>
      <c r="F38" s="340"/>
      <c r="G38" s="341">
        <f>SUM(G7:G37)</f>
        <v>0</v>
      </c>
      <c r="H38" s="342"/>
      <c r="I38" s="188">
        <f>SUM(I7:I37)</f>
        <v>0</v>
      </c>
      <c r="J38" s="331">
        <f>SUM(J7:J37)</f>
        <v>155.69000000000003</v>
      </c>
      <c r="K38" s="188">
        <f>SUM(K7:K37)</f>
        <v>0</v>
      </c>
      <c r="L38" s="331">
        <f>SUM(L7:L37)</f>
        <v>3826.940000000001</v>
      </c>
      <c r="M38" s="342"/>
      <c r="N38" s="342">
        <f>SUM(N7:N37)</f>
        <v>85.77</v>
      </c>
      <c r="O38" s="188">
        <f>SUM(O7:O37)</f>
        <v>31.754999999999999</v>
      </c>
      <c r="P38" s="188">
        <f>SUM(P7:P37)</f>
        <v>7870.1130000000012</v>
      </c>
      <c r="Q38" s="342"/>
      <c r="R38" s="341">
        <f>SUM(R7:R37)</f>
        <v>7728.9330002000015</v>
      </c>
      <c r="S38" s="343">
        <f>SUM(S7:S37)</f>
        <v>798.31</v>
      </c>
      <c r="T38" s="341">
        <f>SUM(T7:T37)</f>
        <v>7728.9330002000015</v>
      </c>
      <c r="U38" s="344"/>
      <c r="V38" s="194">
        <f>SUM(V7:V37)</f>
        <v>5988.8300000000017</v>
      </c>
      <c r="W38" s="194">
        <f>SUM(W7:W37)</f>
        <v>4973.5700000000015</v>
      </c>
      <c r="X38" s="345"/>
      <c r="Y38" s="346"/>
      <c r="Z38" s="347"/>
      <c r="AA38" s="348"/>
      <c r="AB38" s="345"/>
      <c r="AC38" s="345"/>
      <c r="AD38" s="347">
        <f>SUM(AD7:AD37)</f>
        <v>150</v>
      </c>
      <c r="AE38" s="194">
        <f>SUM(AE7:AE37)</f>
        <v>198.75</v>
      </c>
      <c r="AF38" s="349"/>
      <c r="AG38" s="194">
        <f>SUM(AG7:AG37)</f>
        <v>3447.2</v>
      </c>
      <c r="AH38" s="343"/>
      <c r="AI38" s="338">
        <f>SUM(AI7:AI37)</f>
        <v>793.25000000000011</v>
      </c>
      <c r="AJ38" s="343">
        <f>SUM(AJ7:AJ37)</f>
        <v>0</v>
      </c>
      <c r="AK38" s="337">
        <f>SUM(AK7:AK37)</f>
        <v>320.1400000000001</v>
      </c>
      <c r="AL38" s="395">
        <f>SUM(AL7:AL37)</f>
        <v>1426.8899999999999</v>
      </c>
      <c r="AM38" s="350"/>
      <c r="AN38" s="351"/>
      <c r="AO38" s="343"/>
      <c r="AP38" s="351"/>
      <c r="AQ38" s="351"/>
      <c r="AR38" s="352"/>
      <c r="AS38" s="337">
        <f>SUM(AS7:AS37)</f>
        <v>8089.25</v>
      </c>
      <c r="AT38" s="341">
        <f>SUM(AT7:AT37)</f>
        <v>77.160000000000025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6419.380000000001</v>
      </c>
      <c r="AY38" s="252">
        <f>SUM(AY7:AY37)</f>
        <v>6067.8029786035604</v>
      </c>
      <c r="AZ38" s="351">
        <f>SUM(AZ7:AZ36)</f>
        <v>274.97374718309857</v>
      </c>
      <c r="BA38" s="351">
        <f>SUM(BA7:BA36)</f>
        <v>237.22959999999998</v>
      </c>
      <c r="BB38" s="340"/>
      <c r="BC38" s="351">
        <f>SUM(BC7:BC37)</f>
        <v>527.54931338028155</v>
      </c>
      <c r="BD38" s="353"/>
      <c r="BE38" s="16"/>
      <c r="BF38" s="16">
        <f t="shared" si="18"/>
        <v>0</v>
      </c>
      <c r="BG38" s="16"/>
      <c r="BH38" s="17">
        <f>SUM(BH7:BH37)</f>
        <v>31</v>
      </c>
      <c r="BI38" s="33"/>
      <c r="BJ38" s="228">
        <f t="shared" ref="BJ38:BP38" si="33">SUM(BJ7:BJ37)</f>
        <v>8380.2290000000012</v>
      </c>
      <c r="BK38" s="38">
        <f t="shared" si="33"/>
        <v>1008.912</v>
      </c>
      <c r="BL38" s="38">
        <f t="shared" si="33"/>
        <v>2818.0280000000002</v>
      </c>
      <c r="BM38" s="38">
        <f t="shared" si="33"/>
        <v>1419.0270000999999</v>
      </c>
      <c r="BN38" s="38">
        <f t="shared" si="33"/>
        <v>9.9999999999999995E-8</v>
      </c>
      <c r="BO38" s="38">
        <f t="shared" si="33"/>
        <v>9.9999999999999995E-8</v>
      </c>
      <c r="BP38" s="38">
        <f t="shared" si="33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760</v>
      </c>
      <c r="CH38" s="39">
        <f>SUM(CH7:CH37)</f>
        <v>3747.68</v>
      </c>
      <c r="CI38" s="39">
        <f>SUM(CI7:CI37)</f>
        <v>3221.2530000999996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4">SUM(CP7:CP37)</f>
        <v>8185.7685150999987</v>
      </c>
      <c r="CQ38" s="190">
        <f t="shared" si="34"/>
        <v>1008.9119998922461</v>
      </c>
      <c r="CR38" s="191">
        <f t="shared" si="34"/>
        <v>2818.0279999061886</v>
      </c>
      <c r="CS38" s="192">
        <f t="shared" si="34"/>
        <v>1238.1577286000002</v>
      </c>
      <c r="CT38" s="192">
        <f t="shared" si="34"/>
        <v>9.99999999E-8</v>
      </c>
      <c r="CU38" s="192">
        <f t="shared" si="34"/>
        <v>9.99999999E-8</v>
      </c>
      <c r="CV38" s="278">
        <f t="shared" si="34"/>
        <v>9.99999999E-8</v>
      </c>
      <c r="CW38" s="278">
        <f t="shared" si="34"/>
        <v>759.99999993749998</v>
      </c>
      <c r="CX38" s="192">
        <f t="shared" si="34"/>
        <v>3747.6799997972998</v>
      </c>
      <c r="CY38" s="192">
        <f t="shared" si="34"/>
        <v>3221.2530000999996</v>
      </c>
      <c r="CZ38" s="192">
        <f t="shared" si="34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439.55470969032268</v>
      </c>
      <c r="C39" s="84">
        <f>(BJ38*BR39+BK38*BS39+BM38*BU39+BP38*BX39+BL38*BT39+BO38*BW39+BN38*BV39)/B38</f>
        <v>2.7544720227901314</v>
      </c>
      <c r="D39" s="82"/>
      <c r="E39" s="354">
        <f>(BJ38*BY39+BK38*BZ39+BM38*CB39+BP38*CE39+BL38*CA39+BO38*CD39+BN38*CC39)/B38</f>
        <v>39.942105575468247</v>
      </c>
      <c r="F39" s="355">
        <f>IF(AX38=0,0,D38/AX38)</f>
        <v>2.0641972034368479</v>
      </c>
      <c r="G39" s="354">
        <f>G38/AS2</f>
        <v>0</v>
      </c>
      <c r="H39" s="355">
        <f>IF(AX38=0,0,(CV38+CS38+CU38+CP38+CT38)/AX38)</f>
        <v>1.4680430577407786</v>
      </c>
      <c r="I39" s="354">
        <f>I38/AS2</f>
        <v>0</v>
      </c>
      <c r="J39" s="354">
        <f>J38/AS2</f>
        <v>5.0222580645161301</v>
      </c>
      <c r="K39" s="354">
        <f>K38/AS2</f>
        <v>0</v>
      </c>
      <c r="L39" s="354">
        <f>L38/AS2</f>
        <v>123.44967741935487</v>
      </c>
      <c r="M39" s="355">
        <f>IF($AX$38=0,0,(CR38+CQ38)/$AX$38)</f>
        <v>0.59615414569606939</v>
      </c>
      <c r="N39" s="354">
        <f>N38/AS2</f>
        <v>2.7667741935483869</v>
      </c>
      <c r="O39" s="354">
        <f>O38/AS2</f>
        <v>1.0243548387096775</v>
      </c>
      <c r="P39" s="356">
        <f>P38/AS2</f>
        <v>253.87461290322585</v>
      </c>
      <c r="Q39" s="354">
        <f>(SUMPRODUCT(P7:P37,Q7:Q37))/P38</f>
        <v>1.7938751298742477</v>
      </c>
      <c r="R39" s="357"/>
      <c r="S39" s="354">
        <f>S38/AS2</f>
        <v>25.751935483870966</v>
      </c>
      <c r="T39" s="354">
        <f>T38/AS2:AS2</f>
        <v>249.32041936129036</v>
      </c>
      <c r="U39" s="358">
        <f>IF($AX$38=0,0,R38/$AX$38)</f>
        <v>1.2039999190264481</v>
      </c>
      <c r="V39" s="354">
        <f>V38/AS2</f>
        <v>193.18806451612909</v>
      </c>
      <c r="W39" s="354">
        <f>W38/AS2</f>
        <v>160.43774193548393</v>
      </c>
      <c r="X39" s="354">
        <f>(SUMPRODUCT(X7:X37,AX7:AX37))/AX38</f>
        <v>0.7400835283158187</v>
      </c>
      <c r="Y39" s="359">
        <f>AVERAGE(Y7:Y37)</f>
        <v>632.12903225806451</v>
      </c>
      <c r="Z39" s="359">
        <f>AVERAGE(Z7:Z37)</f>
        <v>1229.0322580645161</v>
      </c>
      <c r="AA39" s="359"/>
      <c r="AB39" s="354">
        <f>(SUMPRODUCT(AB7:AB37,AX7:AX37))/AX38</f>
        <v>76.168477703454215</v>
      </c>
      <c r="AC39" s="360">
        <f>AVERAGE(AC7:AC37)</f>
        <v>149.58064516129033</v>
      </c>
      <c r="AD39" s="360">
        <f>AVERAGE(AD7:AD37)</f>
        <v>4.838709677419355</v>
      </c>
      <c r="AE39" s="354">
        <f>AE38/AS2</f>
        <v>6.411290322580645</v>
      </c>
      <c r="AF39" s="361">
        <f>IF(AX38=0,0,AE38/AX38*1000)</f>
        <v>30.960933921967538</v>
      </c>
      <c r="AG39" s="361">
        <f>AG38/AS2</f>
        <v>111.19999999999999</v>
      </c>
      <c r="AH39" s="361">
        <f>IF(AX38=0,0,AG38/AX38*1000)</f>
        <v>536.99890020531575</v>
      </c>
      <c r="AI39" s="354">
        <f>AI38/AS2</f>
        <v>25.588709677419359</v>
      </c>
      <c r="AJ39" s="359"/>
      <c r="AK39" s="354">
        <f>AK38/AS2</f>
        <v>10.327096774193551</v>
      </c>
      <c r="AL39" s="354">
        <f>AL38/AS2</f>
        <v>46.02870967741935</v>
      </c>
      <c r="AM39" s="346">
        <f>IF(AL39=0,0,AL39/AS39)</f>
        <v>0.17639336156009516</v>
      </c>
      <c r="AN39" s="361">
        <f>SUM(AN8:AN38)</f>
        <v>0</v>
      </c>
      <c r="AO39" s="354">
        <f>AVERAGE(AO7:AO37)</f>
        <v>13.014193548387093</v>
      </c>
      <c r="AP39" s="354">
        <f>AVERAGE(AP7:AP37)</f>
        <v>6.5235483870967741</v>
      </c>
      <c r="AQ39" s="362"/>
      <c r="AR39" s="354">
        <f>AVERAGE(AR7:AR37)</f>
        <v>10.499354838709678</v>
      </c>
      <c r="AS39" s="363">
        <f>AS38/AS2</f>
        <v>260.94354838709677</v>
      </c>
      <c r="AT39" s="363">
        <f>AT38/AS2</f>
        <v>2.4890322580645168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207.07677419354843</v>
      </c>
      <c r="AY39" s="354">
        <f>AY38/AS2</f>
        <v>195.73557995495355</v>
      </c>
      <c r="AZ39" s="362" t="e">
        <f>AZ38/$AV$2</f>
        <v>#DIV/0!</v>
      </c>
      <c r="BA39" s="362" t="e">
        <f>BA38/$AV$2</f>
        <v>#DIV/0!</v>
      </c>
      <c r="BB39" s="355">
        <f>(AX38*AB39)/(D38*E39)</f>
        <v>0.92383228482332769</v>
      </c>
      <c r="BC39" s="354">
        <f>BC38/AS2</f>
        <v>17.017719786460695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 t="shared" ref="BR39:BX39" si="35">(SUMPRODUCT(BJ7:BJ37,BR7:BR37))/BJ38</f>
        <v>2.320467434720459</v>
      </c>
      <c r="BS39" s="42">
        <f t="shared" si="35"/>
        <v>1.0680217898092203E-8</v>
      </c>
      <c r="BT39" s="42">
        <f t="shared" si="35"/>
        <v>3.3289946018989158E-9</v>
      </c>
      <c r="BU39" s="42">
        <f t="shared" si="35"/>
        <v>12.746006347113481</v>
      </c>
      <c r="BV39" s="42">
        <f t="shared" si="35"/>
        <v>9.9999999999999982E-8</v>
      </c>
      <c r="BW39" s="46">
        <f t="shared" si="35"/>
        <v>9.9999999999999982E-8</v>
      </c>
      <c r="BX39" s="240">
        <f t="shared" si="35"/>
        <v>9.9999999999999982E-8</v>
      </c>
      <c r="BY39" s="41">
        <f t="shared" ref="BY39:CE39" si="36">(SUMPRODUCT(BJ7:BJ37,BY7:BY37))/BJ38</f>
        <v>37.014915810773196</v>
      </c>
      <c r="BZ39" s="42">
        <f t="shared" si="36"/>
        <v>44.242449172970481</v>
      </c>
      <c r="CA39" s="42">
        <f t="shared" si="36"/>
        <v>45.894157772740371</v>
      </c>
      <c r="CB39" s="42">
        <f t="shared" si="36"/>
        <v>42.351363861127993</v>
      </c>
      <c r="CC39" s="42">
        <f t="shared" si="36"/>
        <v>9.9999999999999982E-8</v>
      </c>
      <c r="CD39" s="46">
        <f t="shared" si="36"/>
        <v>9.9999999999999982E-8</v>
      </c>
      <c r="CE39" s="240">
        <f t="shared" si="36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8.223684210526315E-9</v>
      </c>
      <c r="CL39" s="46">
        <f>(SUMPRODUCT(CH7:CH37,CL7:CL37))/CH38</f>
        <v>5.4086795030525548E-9</v>
      </c>
      <c r="CM39" s="46">
        <f>(SUMPRODUCT(CI7:CI37,CM7:CM37))/CI38</f>
        <v>3.1043820524775798E-18</v>
      </c>
      <c r="CN39" s="44">
        <f>(SUMPRODUCT(CJ7:CJ37,CN7:CN37))/CJ38</f>
        <v>9.9999999999999982E-8</v>
      </c>
      <c r="CP39" s="667">
        <f>CP38+CQ38</f>
        <v>9194.6805149922438</v>
      </c>
      <c r="CQ39" s="667"/>
      <c r="CR39" s="668">
        <f>CR38+CS38+CV38+CU38+CT38</f>
        <v>4056.1857288061883</v>
      </c>
      <c r="CS39" s="668"/>
      <c r="CT39" s="668"/>
      <c r="CU39" s="668"/>
      <c r="CV39" s="668"/>
      <c r="CW39" s="669">
        <f>CW38+CX38+CZ38+CY38</f>
        <v>7728.9329999347992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39.9</v>
      </c>
      <c r="F40" s="366">
        <v>2.08</v>
      </c>
      <c r="G40" s="366"/>
      <c r="H40" s="401">
        <v>1.4144000000000001</v>
      </c>
      <c r="I40" s="366"/>
      <c r="J40" s="408">
        <v>10.4838</v>
      </c>
      <c r="K40" s="365"/>
      <c r="L40" s="366"/>
      <c r="M40" s="401">
        <v>0.66559999999999997</v>
      </c>
      <c r="N40" s="365"/>
      <c r="O40" s="366"/>
      <c r="P40" s="367"/>
      <c r="Q40" s="368"/>
      <c r="R40" s="367"/>
      <c r="S40" s="369">
        <v>24.532</v>
      </c>
      <c r="T40" s="367"/>
      <c r="U40" s="369">
        <v>1.3</v>
      </c>
      <c r="V40" s="370">
        <v>6500</v>
      </c>
      <c r="W40" s="370">
        <v>6500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590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6500</v>
      </c>
      <c r="AT40" s="379">
        <v>45.5</v>
      </c>
      <c r="AU40" s="380"/>
      <c r="AV40" s="381"/>
      <c r="AW40" s="382"/>
      <c r="AX40" s="365">
        <v>209.68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13250.866243798431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-1.5802796563152199E-2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1.7938751298742477</v>
      </c>
      <c r="R41" s="386"/>
      <c r="S41" s="388"/>
      <c r="T41" s="388"/>
      <c r="U41" s="385">
        <f>U39-U40</f>
        <v>-9.6000080973551949E-2</v>
      </c>
      <c r="V41" s="385"/>
      <c r="W41" s="385"/>
      <c r="X41" s="385"/>
      <c r="Y41" s="385"/>
      <c r="Z41" s="389">
        <f>Z39-Z40</f>
        <v>-20.9677419354839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1589.25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209.67741935483872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31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  <c r="CP44" s="247"/>
      <c r="CQ44" s="247"/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53.928333333333335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30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  <c r="BK45" s="247"/>
      <c r="CI45" s="247"/>
      <c r="CR45" s="247"/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216.66666666666666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-80.6200000000008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-1.2403076923077045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L3:AL6"/>
    <mergeCell ref="AM3:AM6"/>
    <mergeCell ref="AN3:AN6"/>
    <mergeCell ref="AO3:AO6"/>
    <mergeCell ref="AP3:AP6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V3:V6"/>
    <mergeCell ref="S4:S6"/>
    <mergeCell ref="T4:T6"/>
    <mergeCell ref="U4:U6"/>
    <mergeCell ref="AE5:AE6"/>
    <mergeCell ref="DB5:DF5"/>
    <mergeCell ref="CP39:CQ39"/>
    <mergeCell ref="CR39:CV39"/>
    <mergeCell ref="CW39:CZ39"/>
    <mergeCell ref="CG3:CJ5"/>
    <mergeCell ref="CK3:CN5"/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CL22" activePane="bottomRight" state="frozen"/>
      <selection pane="topRight" activeCell="B1" sqref="B1"/>
      <selection pane="bottomLeft" activeCell="A7" sqref="A7"/>
      <selection pane="bottomRight" activeCell="CQ41" sqref="CQ41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6" customWidth="1"/>
    <col min="12" max="12" width="8" customWidth="1"/>
    <col min="13" max="13" width="7.28515625" customWidth="1"/>
    <col min="14" max="14" width="7" hidden="1" customWidth="1"/>
    <col min="15" max="15" width="6.28515625" customWidth="1"/>
    <col min="16" max="16" width="9" customWidth="1"/>
    <col min="17" max="17" width="5.140625" customWidth="1"/>
    <col min="18" max="18" width="8.85546875" customWidth="1"/>
    <col min="19" max="19" width="9" customWidth="1"/>
    <col min="20" max="20" width="9" hidden="1" customWidth="1"/>
    <col min="21" max="21" width="9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29</v>
      </c>
      <c r="AT2" s="321"/>
      <c r="AU2" s="321"/>
      <c r="AV2" s="322"/>
      <c r="AW2" s="321"/>
      <c r="AX2" s="323" t="s">
        <v>151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09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'[1]февраль 20'!K6</f>
        <v>456.39499999999998</v>
      </c>
      <c r="C7" s="104">
        <f t="shared" ref="C7:C37" si="0">IF(B7=0,0,(BJ7*BR7+BK7*BS7+BM7*BU7+BP7*BX7+BL7*BT7+BO7*BW7+BN7*BV7)/B7)</f>
        <v>0.77250115456786328</v>
      </c>
      <c r="D7" s="105">
        <f t="shared" ref="D7:D37" si="1">B7*((100-C7)/100)</f>
        <v>452.86934335561</v>
      </c>
      <c r="E7" s="104">
        <f t="shared" ref="E7:E37" si="2">IF(B7=0,0,(BJ7*BY7+BK7*BZ7+BM7*CB7+BP7*CE7+BL7*CA7+BO7*CD7+BN7*CC7)/B7)</f>
        <v>40.190634209401942</v>
      </c>
      <c r="F7" s="103">
        <f t="shared" ref="F7:F37" si="3">IF(AX7=0,0,D7/AX7)</f>
        <v>2.004911206638968</v>
      </c>
      <c r="G7" s="106"/>
      <c r="H7" s="107">
        <f t="shared" ref="H7:H37" si="4">IF(AX7=0,0,(CV7+CS7+CU7+CP7+CT7)/AX7)</f>
        <v>1.3656779878696659</v>
      </c>
      <c r="I7" s="103">
        <f>'[1]сентябрь 20'!AE6</f>
        <v>0</v>
      </c>
      <c r="J7" s="328">
        <f>'[1]февраль 20'!AA6</f>
        <v>10.067</v>
      </c>
      <c r="K7" s="106"/>
      <c r="L7" s="328">
        <f>'[1]февраль 20'!AI6</f>
        <v>144.38999999999999</v>
      </c>
      <c r="M7" s="103">
        <f t="shared" ref="M7:M37" si="5">IF(AX7=0,0,(CR7+CQ7)/AX7)</f>
        <v>0.63923322098286706</v>
      </c>
      <c r="N7" s="103">
        <f>'[1]июль 20'!AM6</f>
        <v>0</v>
      </c>
      <c r="O7" s="103">
        <f>'[1]февраль 20'!W6</f>
        <v>0</v>
      </c>
      <c r="P7" s="103">
        <f>'[1]февраль 20'!S6</f>
        <v>281.84199999999998</v>
      </c>
      <c r="Q7" s="108">
        <f t="shared" ref="Q7:Q37" si="6">IF(P7=0,0,(1-(T7/P7))*100)</f>
        <v>1.8457148686143232</v>
      </c>
      <c r="R7" s="109">
        <f t="shared" ref="R7:R37" si="7">P7*((100-Q7)/100)</f>
        <v>276.6400003</v>
      </c>
      <c r="S7" s="106">
        <v>29.94</v>
      </c>
      <c r="T7" s="109">
        <f t="shared" ref="T7:T37" si="8">CG7+CH7+CJ7+CI7</f>
        <v>276.6400003</v>
      </c>
      <c r="U7" s="110">
        <f t="shared" ref="U7:U37" si="9">IF(AX7=0,0,R7/AX7)</f>
        <v>1.2247210921728353</v>
      </c>
      <c r="V7" s="136">
        <v>225.88</v>
      </c>
      <c r="W7" s="111">
        <v>225.88</v>
      </c>
      <c r="X7" s="106">
        <v>0.57999999999999996</v>
      </c>
      <c r="Y7" s="112">
        <v>680</v>
      </c>
      <c r="Z7" s="238">
        <v>1249</v>
      </c>
      <c r="AA7" s="113" t="s">
        <v>165</v>
      </c>
      <c r="AB7" s="106">
        <v>76.77</v>
      </c>
      <c r="AC7" s="112">
        <v>152</v>
      </c>
      <c r="AD7" s="114">
        <v>5</v>
      </c>
      <c r="AE7" s="106">
        <v>5.35</v>
      </c>
      <c r="AF7" s="115">
        <f t="shared" ref="AF7:AF37" si="10">IF(AX7=0,0,AE7/AX7*1000)</f>
        <v>23.685142553568266</v>
      </c>
      <c r="AG7" s="106">
        <v>124.55</v>
      </c>
      <c r="AH7" s="115">
        <f t="shared" ref="AH7:AH37" si="11">IF(AX7=0,0,AG7/AX7*1000)</f>
        <v>551.39897290596787</v>
      </c>
      <c r="AI7" s="106">
        <v>25.1</v>
      </c>
      <c r="AJ7" s="116"/>
      <c r="AK7" s="117">
        <v>9.51</v>
      </c>
      <c r="AL7" s="118">
        <v>53.05</v>
      </c>
      <c r="AM7" s="110">
        <f t="shared" ref="AM7:AM37" si="12">IF(AL7=0,0,AL7/AS7)</f>
        <v>0.18604243380676838</v>
      </c>
      <c r="AN7" s="119" t="s">
        <v>166</v>
      </c>
      <c r="AO7" s="403">
        <v>11.25</v>
      </c>
      <c r="AP7" s="120">
        <v>6.87</v>
      </c>
      <c r="AQ7" s="106"/>
      <c r="AR7" s="106">
        <v>8.41</v>
      </c>
      <c r="AS7" s="314">
        <v>285.14999999999998</v>
      </c>
      <c r="AT7" s="121">
        <v>3.29</v>
      </c>
      <c r="AU7" s="122"/>
      <c r="AV7" s="123"/>
      <c r="AW7" s="124"/>
      <c r="AX7" s="109">
        <f t="shared" ref="AX7:AX37" si="13">AS7-AL7-AK7+AV7+AT7</f>
        <v>225.87999999999997</v>
      </c>
      <c r="AY7" s="115">
        <f>IF(AB7=0,0,((D7*0.97)*(E7/100)*0.9)/(AB7/100))</f>
        <v>206.97623610496663</v>
      </c>
      <c r="AZ7" s="125">
        <f t="shared" ref="AZ7:AZ37" si="14">(AG7*AR7)/100*(55/71)</f>
        <v>8.1141693661971832</v>
      </c>
      <c r="BA7" s="115">
        <f t="shared" ref="BA7:BA23" si="15">AX7*$BA$6</f>
        <v>9.0351999999999997</v>
      </c>
      <c r="BB7" s="103">
        <f t="shared" ref="BB7:BB37" si="16">IF((D7*E7)=0,0,(AX7*AB7)/(D7*E7))</f>
        <v>0.95273372301540327</v>
      </c>
      <c r="BC7" s="115">
        <f t="shared" ref="BC7:BC37" si="17">AZ7+BA7</f>
        <v>17.149369366197185</v>
      </c>
      <c r="BD7" s="126">
        <v>0.95299999999999996</v>
      </c>
      <c r="BE7" s="16">
        <f>AX7</f>
        <v>225.87999999999997</v>
      </c>
      <c r="BF7" s="16">
        <f t="shared" ref="BF7:BF38" si="18">IF(A7&lt;=$BD$43,$AS$43,0)</f>
        <v>221.10344827586206</v>
      </c>
      <c r="BG7" s="16">
        <f>BF7</f>
        <v>221.10344827586206</v>
      </c>
      <c r="BH7" s="17">
        <f t="shared" ref="BH7:BH37" si="19">IF(AX7&lt;&gt;0,1,0)</f>
        <v>1</v>
      </c>
      <c r="BI7" s="16">
        <f>BF7*BH7</f>
        <v>221.10344827586206</v>
      </c>
      <c r="BJ7" s="336">
        <v>312.005</v>
      </c>
      <c r="BK7" s="336">
        <v>9.9999999999999995E-8</v>
      </c>
      <c r="BL7" s="336">
        <v>144.38999999999999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1.1299999999999999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37.840000000000003</v>
      </c>
      <c r="BZ7" s="336">
        <v>9.9999999999999995E-8</v>
      </c>
      <c r="CA7" s="336">
        <v>45.27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276.64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308.47934350000003</v>
      </c>
      <c r="CQ7" s="22">
        <f t="shared" si="20"/>
        <v>9.99999999E-8</v>
      </c>
      <c r="CR7" s="22">
        <f t="shared" si="20"/>
        <v>144.38999985561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276.63999972336001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02"/>
    </row>
    <row r="8" spans="1:112" ht="16.5" customHeight="1">
      <c r="A8" s="127">
        <v>2</v>
      </c>
      <c r="B8" s="103">
        <f>'[1]февраль 20'!K7</f>
        <v>480.00799999999998</v>
      </c>
      <c r="C8" s="104">
        <f t="shared" si="0"/>
        <v>0.87470275495408423</v>
      </c>
      <c r="D8" s="105">
        <f t="shared" si="1"/>
        <v>475.80935679999999</v>
      </c>
      <c r="E8" s="104">
        <f t="shared" si="2"/>
        <v>39.630586636056066</v>
      </c>
      <c r="F8" s="128">
        <f t="shared" si="3"/>
        <v>2.0490476585849016</v>
      </c>
      <c r="G8" s="106"/>
      <c r="H8" s="107">
        <f t="shared" si="4"/>
        <v>1.3945151233796995</v>
      </c>
      <c r="I8" s="103">
        <f>'[1]сентябрь 20'!AE7</f>
        <v>0</v>
      </c>
      <c r="J8" s="103">
        <f>'[1]февраль 20'!AA7</f>
        <v>9.6859999999999999</v>
      </c>
      <c r="K8" s="106"/>
      <c r="L8" s="328">
        <f>'[1]февраль 20'!AI7</f>
        <v>151.989</v>
      </c>
      <c r="M8" s="103">
        <f t="shared" si="5"/>
        <v>0.65453253520520227</v>
      </c>
      <c r="N8" s="103">
        <f>'[1]июль 20'!AM7</f>
        <v>0</v>
      </c>
      <c r="O8" s="103">
        <f>'[1]февраль 20'!W7</f>
        <v>0</v>
      </c>
      <c r="P8" s="103">
        <f>'[1]февраль 20'!S7</f>
        <v>295.90499999999997</v>
      </c>
      <c r="Q8" s="108">
        <f t="shared" si="6"/>
        <v>2.0023318294722814</v>
      </c>
      <c r="R8" s="109">
        <f t="shared" si="7"/>
        <v>289.98</v>
      </c>
      <c r="S8" s="106">
        <v>14.5</v>
      </c>
      <c r="T8" s="109">
        <f t="shared" si="8"/>
        <v>289.98</v>
      </c>
      <c r="U8" s="110">
        <f t="shared" si="9"/>
        <v>1.2487834287929032</v>
      </c>
      <c r="V8" s="136">
        <v>232.21</v>
      </c>
      <c r="W8" s="130">
        <v>141.97999999999999</v>
      </c>
      <c r="X8" s="131">
        <v>0.93</v>
      </c>
      <c r="Y8" s="112">
        <v>630</v>
      </c>
      <c r="Z8" s="112">
        <v>1249</v>
      </c>
      <c r="AA8" s="132" t="s">
        <v>167</v>
      </c>
      <c r="AB8" s="131">
        <v>76.42</v>
      </c>
      <c r="AC8" s="133">
        <v>160</v>
      </c>
      <c r="AD8" s="134">
        <v>5</v>
      </c>
      <c r="AE8" s="131">
        <v>6.25</v>
      </c>
      <c r="AF8" s="115">
        <f t="shared" si="10"/>
        <v>26.915292192412043</v>
      </c>
      <c r="AG8" s="131">
        <v>117.55</v>
      </c>
      <c r="AH8" s="115">
        <f t="shared" si="11"/>
        <v>506.2228155548857</v>
      </c>
      <c r="AI8" s="131">
        <v>22.66</v>
      </c>
      <c r="AJ8" s="116"/>
      <c r="AK8" s="135">
        <v>8.1300000000000008</v>
      </c>
      <c r="AL8" s="136">
        <v>52.77</v>
      </c>
      <c r="AM8" s="110">
        <f t="shared" si="12"/>
        <v>0.18187144580389455</v>
      </c>
      <c r="AN8" s="137" t="s">
        <v>168</v>
      </c>
      <c r="AO8" s="150">
        <v>11.81</v>
      </c>
      <c r="AP8" s="138">
        <v>6.64</v>
      </c>
      <c r="AQ8" s="131"/>
      <c r="AR8" s="131">
        <v>6.51</v>
      </c>
      <c r="AS8" s="315">
        <v>290.14999999999998</v>
      </c>
      <c r="AT8" s="131">
        <v>2.96</v>
      </c>
      <c r="AU8" s="116"/>
      <c r="AV8" s="131"/>
      <c r="AW8" s="109"/>
      <c r="AX8" s="109">
        <f t="shared" si="13"/>
        <v>232.20999999999998</v>
      </c>
      <c r="AY8" s="115">
        <f t="shared" ref="AY8:AY37" si="24">IF(AB8=0,0,((D8*0.97)*(E8/100)*0.9)/(AB8/100))</f>
        <v>215.41239514421787</v>
      </c>
      <c r="AZ8" s="140">
        <f t="shared" si="14"/>
        <v>5.927996830985915</v>
      </c>
      <c r="BA8" s="141">
        <f t="shared" si="15"/>
        <v>9.2883999999999993</v>
      </c>
      <c r="BB8" s="128">
        <f t="shared" si="16"/>
        <v>0.94107551176096471</v>
      </c>
      <c r="BC8" s="141">
        <f t="shared" si="17"/>
        <v>15.216396830985914</v>
      </c>
      <c r="BD8" s="142">
        <v>0.94699999999999995</v>
      </c>
      <c r="BE8" s="16">
        <f t="shared" ref="BE8:BE37" si="25">BE7+AX8</f>
        <v>458.08999999999992</v>
      </c>
      <c r="BF8" s="16">
        <f t="shared" si="18"/>
        <v>221.10344827586206</v>
      </c>
      <c r="BG8" s="16">
        <f t="shared" ref="BG8:BG37" si="26">BF8+BG7</f>
        <v>442.20689655172413</v>
      </c>
      <c r="BH8" s="17">
        <f t="shared" si="19"/>
        <v>1</v>
      </c>
      <c r="BI8" s="16">
        <f t="shared" ref="BI8:BI37" si="27">BI7+BF8*BH8</f>
        <v>442.20689655172413</v>
      </c>
      <c r="BJ8" s="249">
        <v>328.01900000000001</v>
      </c>
      <c r="BK8" s="195"/>
      <c r="BL8" s="197">
        <v>151.989</v>
      </c>
      <c r="BM8" s="197"/>
      <c r="BN8" s="230"/>
      <c r="BO8" s="230"/>
      <c r="BP8" s="250"/>
      <c r="BQ8" s="199"/>
      <c r="BR8" s="200">
        <v>1.28</v>
      </c>
      <c r="BS8" s="200"/>
      <c r="BT8" s="200"/>
      <c r="BU8" s="200"/>
      <c r="BV8" s="208"/>
      <c r="BW8" s="208"/>
      <c r="BX8" s="198"/>
      <c r="BY8" s="202">
        <v>36.86</v>
      </c>
      <c r="BZ8" s="200"/>
      <c r="CA8" s="200">
        <v>45.61</v>
      </c>
      <c r="CB8" s="200"/>
      <c r="CC8" s="197"/>
      <c r="CD8" s="197"/>
      <c r="CE8" s="197"/>
      <c r="CF8" s="203"/>
      <c r="CG8" s="204"/>
      <c r="CH8" s="197"/>
      <c r="CI8" s="197">
        <v>289.98</v>
      </c>
      <c r="CJ8" s="198"/>
      <c r="CK8" s="205"/>
      <c r="CL8" s="206"/>
      <c r="CM8" s="269"/>
      <c r="CN8" s="207"/>
      <c r="CO8" s="284"/>
      <c r="CP8" s="286">
        <f t="shared" si="20"/>
        <v>323.82035680000001</v>
      </c>
      <c r="CQ8" s="24">
        <f t="shared" si="20"/>
        <v>0</v>
      </c>
      <c r="CR8" s="25">
        <f t="shared" si="20"/>
        <v>151.989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289.98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8">IF(I8=0,0,(DE8*DD8%)/(AB8/100))</f>
        <v>0</v>
      </c>
      <c r="DH8" s="402"/>
    </row>
    <row r="9" spans="1:112" ht="16.5" customHeight="1">
      <c r="A9" s="127">
        <v>3</v>
      </c>
      <c r="B9" s="103">
        <f>'[1]февраль 20'!K8</f>
        <v>464.82900000000001</v>
      </c>
      <c r="C9" s="104">
        <f t="shared" si="0"/>
        <v>2.7336676498239139</v>
      </c>
      <c r="D9" s="143">
        <f t="shared" si="1"/>
        <v>452.12212</v>
      </c>
      <c r="E9" s="104">
        <f t="shared" si="2"/>
        <v>40.026182251967931</v>
      </c>
      <c r="F9" s="128">
        <f t="shared" si="3"/>
        <v>2.0338376968061178</v>
      </c>
      <c r="G9" s="106"/>
      <c r="H9" s="107">
        <f t="shared" si="4"/>
        <v>1.3718628879892039</v>
      </c>
      <c r="I9" s="103">
        <f>'[1]сентябрь 20'!AE8</f>
        <v>0</v>
      </c>
      <c r="J9" s="103">
        <f>'[1]февраль 20'!AA8</f>
        <v>10.789</v>
      </c>
      <c r="K9" s="106"/>
      <c r="L9" s="328">
        <f>'[1]февраль 20'!AI8</f>
        <v>147.15700000000001</v>
      </c>
      <c r="M9" s="103">
        <f t="shared" si="5"/>
        <v>0.66197480881691417</v>
      </c>
      <c r="N9" s="103">
        <f>'[1]июль 20'!AM8</f>
        <v>0</v>
      </c>
      <c r="O9" s="103">
        <f>'[1]февраль 20'!W8</f>
        <v>0</v>
      </c>
      <c r="P9" s="103">
        <f>'[1]февраль 20'!S8</f>
        <v>284.66500000000002</v>
      </c>
      <c r="Q9" s="108">
        <f t="shared" si="6"/>
        <v>2.2991937891908121</v>
      </c>
      <c r="R9" s="109">
        <f t="shared" si="7"/>
        <v>278.12</v>
      </c>
      <c r="S9" s="106">
        <v>34.159999999999997</v>
      </c>
      <c r="T9" s="109">
        <f t="shared" si="8"/>
        <v>278.12</v>
      </c>
      <c r="U9" s="110">
        <f t="shared" si="9"/>
        <v>1.2511021142600092</v>
      </c>
      <c r="V9" s="136">
        <v>222.3</v>
      </c>
      <c r="W9" s="130">
        <v>44.56</v>
      </c>
      <c r="X9" s="131">
        <v>1.1100000000000001</v>
      </c>
      <c r="Y9" s="112">
        <v>615</v>
      </c>
      <c r="Z9" s="112">
        <v>1247</v>
      </c>
      <c r="AA9" s="144" t="s">
        <v>169</v>
      </c>
      <c r="AB9" s="131">
        <v>76.61</v>
      </c>
      <c r="AC9" s="133">
        <v>155</v>
      </c>
      <c r="AD9" s="134">
        <v>5</v>
      </c>
      <c r="AE9" s="131">
        <v>3.55</v>
      </c>
      <c r="AF9" s="115">
        <f t="shared" si="10"/>
        <v>15.969410706252813</v>
      </c>
      <c r="AG9" s="131">
        <v>113.95</v>
      </c>
      <c r="AH9" s="115">
        <f t="shared" si="11"/>
        <v>512.59559154295994</v>
      </c>
      <c r="AI9" s="131">
        <v>26.11</v>
      </c>
      <c r="AJ9" s="116"/>
      <c r="AK9" s="135">
        <v>9.73</v>
      </c>
      <c r="AL9" s="136">
        <v>55.34</v>
      </c>
      <c r="AM9" s="110">
        <f t="shared" si="12"/>
        <v>0.19407329475714538</v>
      </c>
      <c r="AN9" s="137" t="s">
        <v>170</v>
      </c>
      <c r="AO9" s="150">
        <v>11.77</v>
      </c>
      <c r="AP9" s="131">
        <v>6.83</v>
      </c>
      <c r="AQ9" s="131"/>
      <c r="AR9" s="131">
        <v>6.03</v>
      </c>
      <c r="AS9" s="315">
        <v>285.14999999999998</v>
      </c>
      <c r="AT9" s="131">
        <v>2.2200000000000002</v>
      </c>
      <c r="AU9" s="116"/>
      <c r="AV9" s="131"/>
      <c r="AW9" s="109"/>
      <c r="AX9" s="109">
        <f t="shared" si="13"/>
        <v>222.29999999999998</v>
      </c>
      <c r="AY9" s="115">
        <f t="shared" si="24"/>
        <v>206.21901362233805</v>
      </c>
      <c r="AZ9" s="140">
        <f t="shared" si="14"/>
        <v>5.3227489436619724</v>
      </c>
      <c r="BA9" s="141">
        <f t="shared" si="15"/>
        <v>8.8919999999999995</v>
      </c>
      <c r="BB9" s="128">
        <f t="shared" si="16"/>
        <v>0.9410766572446555</v>
      </c>
      <c r="BC9" s="141">
        <f t="shared" si="17"/>
        <v>14.214748943661972</v>
      </c>
      <c r="BD9" s="142">
        <v>0.94499999999999995</v>
      </c>
      <c r="BE9" s="16">
        <f t="shared" si="25"/>
        <v>680.38999999999987</v>
      </c>
      <c r="BF9" s="16">
        <f t="shared" si="18"/>
        <v>221.10344827586206</v>
      </c>
      <c r="BG9" s="16">
        <f t="shared" si="26"/>
        <v>663.31034482758616</v>
      </c>
      <c r="BH9" s="17">
        <f t="shared" si="19"/>
        <v>1</v>
      </c>
      <c r="BI9" s="16">
        <f t="shared" si="27"/>
        <v>663.31034482758616</v>
      </c>
      <c r="BJ9" s="249">
        <v>317.67200000000003</v>
      </c>
      <c r="BK9" s="195"/>
      <c r="BL9" s="197">
        <v>147.15700000000001</v>
      </c>
      <c r="BM9" s="197"/>
      <c r="BN9" s="230"/>
      <c r="BO9" s="230"/>
      <c r="BP9" s="250"/>
      <c r="BQ9" s="199"/>
      <c r="BR9" s="200">
        <v>4</v>
      </c>
      <c r="BS9" s="200"/>
      <c r="BT9" s="200"/>
      <c r="BU9" s="200"/>
      <c r="BV9" s="208"/>
      <c r="BW9" s="208"/>
      <c r="BX9" s="201"/>
      <c r="BY9" s="202">
        <v>37.56</v>
      </c>
      <c r="BZ9" s="200"/>
      <c r="CA9" s="200">
        <v>45.35</v>
      </c>
      <c r="CB9" s="200"/>
      <c r="CC9" s="200"/>
      <c r="CD9" s="200"/>
      <c r="CE9" s="200"/>
      <c r="CF9" s="203"/>
      <c r="CG9" s="204"/>
      <c r="CH9" s="197"/>
      <c r="CI9" s="197">
        <v>278.12</v>
      </c>
      <c r="CJ9" s="198"/>
      <c r="CK9" s="202"/>
      <c r="CL9" s="208"/>
      <c r="CM9" s="208"/>
      <c r="CN9" s="201"/>
      <c r="CO9" s="284"/>
      <c r="CP9" s="286">
        <f t="shared" si="20"/>
        <v>304.96512000000001</v>
      </c>
      <c r="CQ9" s="27">
        <f t="shared" si="20"/>
        <v>0</v>
      </c>
      <c r="CR9" s="28">
        <f t="shared" si="20"/>
        <v>147.15700000000001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278.12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8"/>
        <v>0</v>
      </c>
      <c r="DH9" s="402"/>
    </row>
    <row r="10" spans="1:112" ht="16.5" customHeight="1">
      <c r="A10" s="127">
        <v>4</v>
      </c>
      <c r="B10" s="103">
        <f>'[1]февраль 20'!K9</f>
        <v>500.74700000000001</v>
      </c>
      <c r="C10" s="104">
        <f t="shared" si="0"/>
        <v>2.7189822005923148</v>
      </c>
      <c r="D10" s="143">
        <f t="shared" si="1"/>
        <v>487.13177820000004</v>
      </c>
      <c r="E10" s="104">
        <f t="shared" si="2"/>
        <v>39.921740100290165</v>
      </c>
      <c r="F10" s="128">
        <f t="shared" si="3"/>
        <v>2.0072181721537765</v>
      </c>
      <c r="G10" s="106"/>
      <c r="H10" s="107">
        <f t="shared" si="4"/>
        <v>1.3534788339033335</v>
      </c>
      <c r="I10" s="103">
        <f>'[1]сентябрь 20'!AE9</f>
        <v>0</v>
      </c>
      <c r="J10" s="103">
        <f>'[1]февраль 20'!AA9</f>
        <v>11.993</v>
      </c>
      <c r="K10" s="106"/>
      <c r="L10" s="328">
        <f>'[1]февраль 20'!AI9</f>
        <v>158.65600000000001</v>
      </c>
      <c r="M10" s="103">
        <f t="shared" si="5"/>
        <v>0.65373933825044295</v>
      </c>
      <c r="N10" s="103">
        <f>'[1]июль 20'!AM9</f>
        <v>0</v>
      </c>
      <c r="O10" s="103">
        <f>'[1]февраль 20'!W9</f>
        <v>0</v>
      </c>
      <c r="P10" s="103">
        <f>'[1]февраль 20'!S9</f>
        <v>302.46100000000001</v>
      </c>
      <c r="Q10" s="108">
        <f t="shared" si="6"/>
        <v>1.7195605383834689</v>
      </c>
      <c r="R10" s="109">
        <f t="shared" si="7"/>
        <v>297.26000000000005</v>
      </c>
      <c r="S10" s="106">
        <v>6.04</v>
      </c>
      <c r="T10" s="109">
        <f t="shared" si="8"/>
        <v>297.26</v>
      </c>
      <c r="U10" s="110">
        <f t="shared" si="9"/>
        <v>1.224854752977049</v>
      </c>
      <c r="V10" s="136">
        <v>242.69</v>
      </c>
      <c r="W10" s="130">
        <v>195.1</v>
      </c>
      <c r="X10" s="131">
        <v>0.63</v>
      </c>
      <c r="Y10" s="112">
        <v>563</v>
      </c>
      <c r="Z10" s="112">
        <v>1255</v>
      </c>
      <c r="AA10" s="144" t="s">
        <v>171</v>
      </c>
      <c r="AB10" s="131">
        <v>76.86</v>
      </c>
      <c r="AC10" s="133">
        <v>167</v>
      </c>
      <c r="AD10" s="134">
        <v>5</v>
      </c>
      <c r="AE10" s="131">
        <v>5.4</v>
      </c>
      <c r="AF10" s="115">
        <f t="shared" si="10"/>
        <v>22.25060777123079</v>
      </c>
      <c r="AG10" s="131">
        <v>138.15</v>
      </c>
      <c r="AH10" s="115">
        <f t="shared" si="11"/>
        <v>569.24471548065435</v>
      </c>
      <c r="AI10" s="131">
        <v>21.81</v>
      </c>
      <c r="AJ10" s="116"/>
      <c r="AK10" s="135">
        <v>9.4700000000000006</v>
      </c>
      <c r="AL10" s="136">
        <v>53.86</v>
      </c>
      <c r="AM10" s="110">
        <f t="shared" si="12"/>
        <v>0.17746293245469522</v>
      </c>
      <c r="AN10" s="137" t="s">
        <v>172</v>
      </c>
      <c r="AO10" s="150">
        <v>10.98</v>
      </c>
      <c r="AP10" s="138">
        <v>7.12</v>
      </c>
      <c r="AQ10" s="131"/>
      <c r="AR10" s="131">
        <v>7.2</v>
      </c>
      <c r="AS10" s="315">
        <v>303.5</v>
      </c>
      <c r="AT10" s="131">
        <v>2.52</v>
      </c>
      <c r="AU10" s="116"/>
      <c r="AV10" s="131"/>
      <c r="AW10" s="109"/>
      <c r="AX10" s="109">
        <f t="shared" si="13"/>
        <v>242.69</v>
      </c>
      <c r="AY10" s="115">
        <f>IF(AB10=0,0,((D10*0.97)*(E10/100)*0.9)/(AB10/100))</f>
        <v>220.88681260627422</v>
      </c>
      <c r="AZ10" s="140">
        <f t="shared" si="14"/>
        <v>7.7052676056338036</v>
      </c>
      <c r="BA10" s="141">
        <f t="shared" si="15"/>
        <v>9.7075999999999993</v>
      </c>
      <c r="BB10" s="128">
        <f t="shared" si="16"/>
        <v>0.95917165674191063</v>
      </c>
      <c r="BC10" s="141">
        <f t="shared" si="17"/>
        <v>17.412867605633803</v>
      </c>
      <c r="BD10" s="142">
        <v>0.94899999999999995</v>
      </c>
      <c r="BE10" s="16">
        <f t="shared" si="25"/>
        <v>923.07999999999993</v>
      </c>
      <c r="BF10" s="16">
        <f t="shared" si="18"/>
        <v>221.10344827586206</v>
      </c>
      <c r="BG10" s="16">
        <f t="shared" si="26"/>
        <v>884.41379310344826</v>
      </c>
      <c r="BH10" s="17">
        <f t="shared" si="19"/>
        <v>1</v>
      </c>
      <c r="BI10" s="16">
        <f t="shared" si="27"/>
        <v>884.41379310344826</v>
      </c>
      <c r="BJ10" s="249">
        <v>342.09100000000001</v>
      </c>
      <c r="BK10" s="195"/>
      <c r="BL10" s="197">
        <v>158.65600000000001</v>
      </c>
      <c r="BM10" s="195"/>
      <c r="BN10" s="195"/>
      <c r="BO10" s="230"/>
      <c r="BP10" s="250"/>
      <c r="BQ10" s="199"/>
      <c r="BR10" s="200">
        <v>3.98</v>
      </c>
      <c r="BS10" s="200"/>
      <c r="BT10" s="200"/>
      <c r="BU10" s="200"/>
      <c r="BV10" s="208"/>
      <c r="BW10" s="208"/>
      <c r="BX10" s="201"/>
      <c r="BY10" s="202">
        <v>37.33</v>
      </c>
      <c r="BZ10" s="200"/>
      <c r="CA10" s="200">
        <v>45.51</v>
      </c>
      <c r="CB10" s="200"/>
      <c r="CC10" s="200"/>
      <c r="CD10" s="200"/>
      <c r="CE10" s="200"/>
      <c r="CF10" s="203"/>
      <c r="CG10" s="204"/>
      <c r="CH10" s="197"/>
      <c r="CI10" s="197">
        <v>297.26</v>
      </c>
      <c r="CJ10" s="198"/>
      <c r="CK10" s="202"/>
      <c r="CL10" s="208"/>
      <c r="CM10" s="208"/>
      <c r="CN10" s="201"/>
      <c r="CO10" s="284"/>
      <c r="CP10" s="286">
        <f t="shared" si="20"/>
        <v>328.47577819999998</v>
      </c>
      <c r="CQ10" s="29">
        <f t="shared" si="20"/>
        <v>0</v>
      </c>
      <c r="CR10" s="30">
        <f t="shared" si="20"/>
        <v>158.65600000000001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0</v>
      </c>
      <c r="CX10" s="26">
        <f t="shared" si="21"/>
        <v>0</v>
      </c>
      <c r="CY10" s="277">
        <f t="shared" si="21"/>
        <v>297.26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8"/>
        <v>0</v>
      </c>
      <c r="DH10" s="402"/>
    </row>
    <row r="11" spans="1:112" ht="16.5" customHeight="1">
      <c r="A11" s="127">
        <v>5</v>
      </c>
      <c r="B11" s="103">
        <f>'[1]февраль 20'!K10</f>
        <v>489.13099999999997</v>
      </c>
      <c r="C11" s="104">
        <f t="shared" si="0"/>
        <v>2.8635648527695041</v>
      </c>
      <c r="D11" s="143">
        <f t="shared" si="1"/>
        <v>475.12441660000002</v>
      </c>
      <c r="E11" s="104">
        <f t="shared" si="2"/>
        <v>40.031121540037326</v>
      </c>
      <c r="F11" s="128">
        <f t="shared" si="3"/>
        <v>2.1500788152774009</v>
      </c>
      <c r="G11" s="106"/>
      <c r="H11" s="107">
        <f>IF(AX11=0,0,(CV11+CS11+CU11+CP11+CT11)/AX11)</f>
        <v>1.4493592931487016</v>
      </c>
      <c r="I11" s="103">
        <f>'[1]сентябрь 20'!AE10</f>
        <v>0</v>
      </c>
      <c r="J11" s="103">
        <f>'[1]февраль 20'!AA10</f>
        <v>10.175000000000001</v>
      </c>
      <c r="K11" s="106"/>
      <c r="L11" s="328">
        <f>'[1]февраль 20'!AI10</f>
        <v>154.845</v>
      </c>
      <c r="M11" s="103">
        <f t="shared" si="5"/>
        <v>0.70071952212869948</v>
      </c>
      <c r="N11" s="103">
        <f>'[1]июль 20'!AM10</f>
        <v>0</v>
      </c>
      <c r="O11" s="103">
        <f>'[1]февраль 20'!W10</f>
        <v>0</v>
      </c>
      <c r="P11" s="103">
        <f>'[1]февраль 20'!S10</f>
        <v>294.34899999999999</v>
      </c>
      <c r="Q11" s="108">
        <f t="shared" si="6"/>
        <v>1.8647931537052909</v>
      </c>
      <c r="R11" s="109">
        <f t="shared" si="7"/>
        <v>288.86</v>
      </c>
      <c r="S11" s="106">
        <v>43.18</v>
      </c>
      <c r="T11" s="109">
        <f t="shared" si="8"/>
        <v>288.86</v>
      </c>
      <c r="U11" s="110">
        <f t="shared" si="9"/>
        <v>1.3071771201013667</v>
      </c>
      <c r="V11" s="136">
        <v>220.98</v>
      </c>
      <c r="W11" s="130">
        <v>220.98</v>
      </c>
      <c r="X11" s="131">
        <v>0.53</v>
      </c>
      <c r="Y11" s="112">
        <v>656</v>
      </c>
      <c r="Z11" s="112">
        <v>1246</v>
      </c>
      <c r="AA11" s="144" t="s">
        <v>167</v>
      </c>
      <c r="AB11" s="131">
        <v>76.3</v>
      </c>
      <c r="AC11" s="133">
        <v>163</v>
      </c>
      <c r="AD11" s="134">
        <v>5</v>
      </c>
      <c r="AE11" s="131">
        <v>4.7</v>
      </c>
      <c r="AF11" s="115">
        <f t="shared" si="10"/>
        <v>21.268893112498873</v>
      </c>
      <c r="AG11" s="131">
        <v>143.35</v>
      </c>
      <c r="AH11" s="115">
        <f t="shared" si="11"/>
        <v>648.70123993121558</v>
      </c>
      <c r="AI11" s="131">
        <v>26.83</v>
      </c>
      <c r="AJ11" s="116"/>
      <c r="AK11" s="135">
        <v>9.08</v>
      </c>
      <c r="AL11" s="136">
        <v>54.24</v>
      </c>
      <c r="AM11" s="110">
        <f t="shared" si="12"/>
        <v>0.19217006200177147</v>
      </c>
      <c r="AN11" s="137" t="s">
        <v>173</v>
      </c>
      <c r="AO11" s="150">
        <v>10.19</v>
      </c>
      <c r="AP11" s="138">
        <v>6.66</v>
      </c>
      <c r="AQ11" s="131"/>
      <c r="AR11" s="131">
        <v>9.73</v>
      </c>
      <c r="AS11" s="315">
        <v>282.25</v>
      </c>
      <c r="AT11" s="131">
        <v>2.0499999999999998</v>
      </c>
      <c r="AU11" s="145"/>
      <c r="AV11" s="131"/>
      <c r="AW11" s="109"/>
      <c r="AX11" s="109">
        <f t="shared" si="13"/>
        <v>220.98</v>
      </c>
      <c r="AY11" s="115">
        <f t="shared" si="24"/>
        <v>217.61799911631164</v>
      </c>
      <c r="AZ11" s="140">
        <f t="shared" si="14"/>
        <v>10.804753873239436</v>
      </c>
      <c r="BA11" s="141">
        <f t="shared" si="15"/>
        <v>8.8391999999999999</v>
      </c>
      <c r="BB11" s="128">
        <f t="shared" si="16"/>
        <v>0.88648705889852064</v>
      </c>
      <c r="BC11" s="141">
        <f t="shared" si="17"/>
        <v>19.643953873239436</v>
      </c>
      <c r="BD11" s="142">
        <v>0.93600000000000005</v>
      </c>
      <c r="BE11" s="16">
        <f t="shared" si="25"/>
        <v>1144.06</v>
      </c>
      <c r="BF11" s="16">
        <f t="shared" si="18"/>
        <v>221.10344827586206</v>
      </c>
      <c r="BG11" s="16">
        <f t="shared" si="26"/>
        <v>1105.5172413793102</v>
      </c>
      <c r="BH11" s="17">
        <f t="shared" si="19"/>
        <v>1</v>
      </c>
      <c r="BI11" s="16">
        <f t="shared" si="27"/>
        <v>1105.5172413793102</v>
      </c>
      <c r="BJ11" s="249">
        <v>334.286</v>
      </c>
      <c r="BK11" s="195"/>
      <c r="BL11" s="197">
        <v>154.845</v>
      </c>
      <c r="BM11" s="197"/>
      <c r="BN11" s="230"/>
      <c r="BO11" s="230"/>
      <c r="BP11" s="250"/>
      <c r="BQ11" s="199"/>
      <c r="BR11" s="200">
        <v>4.1900000000000004</v>
      </c>
      <c r="BS11" s="200"/>
      <c r="BT11" s="200"/>
      <c r="BU11" s="200"/>
      <c r="BV11" s="208"/>
      <c r="BW11" s="208"/>
      <c r="BX11" s="201"/>
      <c r="BY11" s="202">
        <v>37.659999999999997</v>
      </c>
      <c r="BZ11" s="200"/>
      <c r="CA11" s="200">
        <v>45.15</v>
      </c>
      <c r="CB11" s="200"/>
      <c r="CC11" s="200"/>
      <c r="CD11" s="200"/>
      <c r="CE11" s="200"/>
      <c r="CF11" s="203"/>
      <c r="CG11" s="204"/>
      <c r="CH11" s="197"/>
      <c r="CI11" s="230">
        <v>288.86</v>
      </c>
      <c r="CJ11" s="198"/>
      <c r="CK11" s="202"/>
      <c r="CL11" s="208"/>
      <c r="CM11" s="208"/>
      <c r="CN11" s="201"/>
      <c r="CO11" s="284"/>
      <c r="CP11" s="286">
        <f t="shared" si="20"/>
        <v>320.27941660000005</v>
      </c>
      <c r="CQ11" s="24">
        <f t="shared" si="20"/>
        <v>0</v>
      </c>
      <c r="CR11" s="25">
        <f t="shared" si="20"/>
        <v>154.845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0</v>
      </c>
      <c r="CX11" s="26">
        <f t="shared" si="21"/>
        <v>0</v>
      </c>
      <c r="CY11" s="277">
        <f t="shared" si="21"/>
        <v>288.86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8"/>
        <v>0</v>
      </c>
      <c r="DH11" s="402"/>
    </row>
    <row r="12" spans="1:112" ht="16.5" customHeight="1">
      <c r="A12" s="127">
        <v>6</v>
      </c>
      <c r="B12" s="103">
        <f>'[1]февраль 20'!K11</f>
        <v>522.59299999999996</v>
      </c>
      <c r="C12" s="104">
        <f t="shared" si="0"/>
        <v>1.8526826612679466</v>
      </c>
      <c r="D12" s="143">
        <f t="shared" si="1"/>
        <v>512.9110101</v>
      </c>
      <c r="E12" s="104">
        <f t="shared" si="2"/>
        <v>39.928064842047263</v>
      </c>
      <c r="F12" s="128">
        <f t="shared" si="3"/>
        <v>2.041274366617583</v>
      </c>
      <c r="G12" s="106"/>
      <c r="H12" s="107">
        <f t="shared" si="4"/>
        <v>1.3833207708839099</v>
      </c>
      <c r="I12" s="103">
        <f>'[1]сентябрь 20'!AE11</f>
        <v>0</v>
      </c>
      <c r="J12" s="103">
        <f>'[1]февраль 20'!AA11</f>
        <v>9.609</v>
      </c>
      <c r="K12" s="106"/>
      <c r="L12" s="328">
        <f>'[1]февраль 20'!AI11</f>
        <v>165.32400000000001</v>
      </c>
      <c r="M12" s="103">
        <f t="shared" si="5"/>
        <v>0.65795359573367307</v>
      </c>
      <c r="N12" s="103">
        <f>'[1]июль 20'!AM11</f>
        <v>0</v>
      </c>
      <c r="O12" s="103">
        <f>'[1]февраль 20'!W11</f>
        <v>0</v>
      </c>
      <c r="P12" s="103">
        <f>'[1]февраль 20'!S11</f>
        <v>315.80500000000001</v>
      </c>
      <c r="Q12" s="108">
        <f t="shared" si="6"/>
        <v>1.9268219312550405</v>
      </c>
      <c r="R12" s="109">
        <f t="shared" si="7"/>
        <v>309.72000000000008</v>
      </c>
      <c r="S12" s="106">
        <v>24.21</v>
      </c>
      <c r="T12" s="109">
        <f t="shared" si="8"/>
        <v>309.72000000000003</v>
      </c>
      <c r="U12" s="110">
        <f t="shared" si="9"/>
        <v>1.2326182990408727</v>
      </c>
      <c r="V12" s="136">
        <v>251.27</v>
      </c>
      <c r="W12" s="130">
        <v>251.27</v>
      </c>
      <c r="X12" s="131">
        <v>0.66</v>
      </c>
      <c r="Y12" s="112">
        <v>608</v>
      </c>
      <c r="Z12" s="133">
        <v>1244</v>
      </c>
      <c r="AA12" s="144" t="s">
        <v>174</v>
      </c>
      <c r="AB12" s="131">
        <v>76.75</v>
      </c>
      <c r="AC12" s="133">
        <v>174</v>
      </c>
      <c r="AD12" s="134">
        <v>5</v>
      </c>
      <c r="AE12" s="131">
        <v>4.0999999999999996</v>
      </c>
      <c r="AF12" s="115">
        <f t="shared" si="10"/>
        <v>16.31710908584391</v>
      </c>
      <c r="AG12" s="131">
        <v>141.75</v>
      </c>
      <c r="AH12" s="115">
        <f t="shared" si="11"/>
        <v>564.13419827277437</v>
      </c>
      <c r="AI12" s="131">
        <v>27.28</v>
      </c>
      <c r="AJ12" s="116"/>
      <c r="AK12" s="135">
        <v>10.18</v>
      </c>
      <c r="AL12" s="136">
        <v>57.92</v>
      </c>
      <c r="AM12" s="110">
        <f t="shared" si="12"/>
        <v>0.18311729370850457</v>
      </c>
      <c r="AN12" s="137" t="s">
        <v>175</v>
      </c>
      <c r="AO12" s="150">
        <v>10.73</v>
      </c>
      <c r="AP12" s="138">
        <v>6.94</v>
      </c>
      <c r="AQ12" s="131"/>
      <c r="AR12" s="131">
        <v>8.09</v>
      </c>
      <c r="AS12" s="315">
        <v>316.3</v>
      </c>
      <c r="AT12" s="131">
        <v>3.07</v>
      </c>
      <c r="AU12" s="116"/>
      <c r="AV12" s="131"/>
      <c r="AW12" s="109"/>
      <c r="AX12" s="109">
        <f t="shared" si="13"/>
        <v>251.26999999999998</v>
      </c>
      <c r="AY12" s="115">
        <f t="shared" si="24"/>
        <v>232.94647521367713</v>
      </c>
      <c r="AZ12" s="140">
        <f t="shared" si="14"/>
        <v>8.8833327464788727</v>
      </c>
      <c r="BA12" s="141">
        <f t="shared" si="15"/>
        <v>10.050799999999999</v>
      </c>
      <c r="BB12" s="128">
        <f t="shared" si="16"/>
        <v>0.94167001152855678</v>
      </c>
      <c r="BC12" s="141">
        <f t="shared" si="17"/>
        <v>18.934132746478873</v>
      </c>
      <c r="BD12" s="142">
        <v>0.93700000000000006</v>
      </c>
      <c r="BE12" s="16">
        <f t="shared" si="25"/>
        <v>1395.33</v>
      </c>
      <c r="BF12" s="16">
        <f t="shared" si="18"/>
        <v>221.10344827586206</v>
      </c>
      <c r="BG12" s="16">
        <f t="shared" si="26"/>
        <v>1326.6206896551723</v>
      </c>
      <c r="BH12" s="17">
        <f t="shared" si="19"/>
        <v>1</v>
      </c>
      <c r="BI12" s="16">
        <f t="shared" si="27"/>
        <v>1326.6206896551723</v>
      </c>
      <c r="BJ12" s="249">
        <v>357.26900000000001</v>
      </c>
      <c r="BK12" s="195"/>
      <c r="BL12" s="271">
        <v>165.32400000000001</v>
      </c>
      <c r="BM12" s="197"/>
      <c r="BN12" s="230"/>
      <c r="BO12" s="230"/>
      <c r="BP12" s="250"/>
      <c r="BQ12" s="199"/>
      <c r="BR12" s="200">
        <v>2.71</v>
      </c>
      <c r="BS12" s="200"/>
      <c r="BT12" s="200"/>
      <c r="BU12" s="200"/>
      <c r="BV12" s="208"/>
      <c r="BW12" s="208"/>
      <c r="BX12" s="201"/>
      <c r="BY12" s="202">
        <v>37.47</v>
      </c>
      <c r="BZ12" s="200"/>
      <c r="CA12" s="200">
        <v>45.24</v>
      </c>
      <c r="CB12" s="200"/>
      <c r="CC12" s="200"/>
      <c r="CD12" s="200"/>
      <c r="CE12" s="200"/>
      <c r="CF12" s="203"/>
      <c r="CG12" s="204"/>
      <c r="CH12" s="197"/>
      <c r="CI12" s="230">
        <v>309.72000000000003</v>
      </c>
      <c r="CJ12" s="198"/>
      <c r="CK12" s="202"/>
      <c r="CL12" s="202"/>
      <c r="CM12" s="270"/>
      <c r="CN12" s="201"/>
      <c r="CO12" s="284"/>
      <c r="CP12" s="286">
        <f t="shared" si="20"/>
        <v>347.58701010000004</v>
      </c>
      <c r="CQ12" s="24">
        <f t="shared" si="20"/>
        <v>0</v>
      </c>
      <c r="CR12" s="25">
        <f t="shared" si="20"/>
        <v>165.32400000000001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0</v>
      </c>
      <c r="CW12" s="237">
        <f t="shared" si="21"/>
        <v>0</v>
      </c>
      <c r="CX12" s="26">
        <f t="shared" si="21"/>
        <v>0</v>
      </c>
      <c r="CY12" s="277">
        <f t="shared" si="21"/>
        <v>309.72000000000003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8"/>
        <v>0</v>
      </c>
    </row>
    <row r="13" spans="1:112" ht="16.5" customHeight="1">
      <c r="A13" s="127">
        <v>7</v>
      </c>
      <c r="B13" s="103">
        <f>'[1]февраль 20'!K12</f>
        <v>516.18899999999996</v>
      </c>
      <c r="C13" s="104">
        <f t="shared" si="0"/>
        <v>2.008731453014303</v>
      </c>
      <c r="D13" s="143">
        <f t="shared" si="1"/>
        <v>505.8201492</v>
      </c>
      <c r="E13" s="104">
        <f t="shared" si="2"/>
        <v>39.770583255358027</v>
      </c>
      <c r="F13" s="128">
        <f t="shared" si="3"/>
        <v>2.0458669681281347</v>
      </c>
      <c r="G13" s="106"/>
      <c r="H13" s="107">
        <f t="shared" si="4"/>
        <v>1.3845378951625951</v>
      </c>
      <c r="I13" s="103">
        <f>'[1]сентябрь 20'!AE12</f>
        <v>0</v>
      </c>
      <c r="J13" s="103">
        <f>'[1]февраль 20'!AA12</f>
        <v>9.5359999999999996</v>
      </c>
      <c r="K13" s="106"/>
      <c r="L13" s="328">
        <f>'[1]февраль 20'!AI12</f>
        <v>163.50700000000001</v>
      </c>
      <c r="M13" s="103">
        <f t="shared" si="5"/>
        <v>0.66132907296553967</v>
      </c>
      <c r="N13" s="103">
        <f>'[1]июль 20'!AM12</f>
        <v>0</v>
      </c>
      <c r="O13" s="103">
        <f>'[1]февраль 20'!W12</f>
        <v>0</v>
      </c>
      <c r="P13" s="103">
        <f>'[1]февраль 20'!S12</f>
        <v>311.74799999999999</v>
      </c>
      <c r="Q13" s="108">
        <f t="shared" si="6"/>
        <v>1.792473408009021</v>
      </c>
      <c r="R13" s="109">
        <f t="shared" si="7"/>
        <v>306.16000000000003</v>
      </c>
      <c r="S13" s="106">
        <v>20.239999999999998</v>
      </c>
      <c r="T13" s="109">
        <f t="shared" si="8"/>
        <v>306.16000000000003</v>
      </c>
      <c r="U13" s="110">
        <f t="shared" si="9"/>
        <v>1.2383109529202396</v>
      </c>
      <c r="V13" s="136">
        <v>247.24</v>
      </c>
      <c r="W13" s="130">
        <v>247.24</v>
      </c>
      <c r="X13" s="131">
        <v>0.83</v>
      </c>
      <c r="Y13" s="146">
        <v>653</v>
      </c>
      <c r="Z13" s="147">
        <v>1241</v>
      </c>
      <c r="AA13" s="144" t="s">
        <v>176</v>
      </c>
      <c r="AB13" s="131">
        <v>76.790000000000006</v>
      </c>
      <c r="AC13" s="133">
        <v>172</v>
      </c>
      <c r="AD13" s="134">
        <v>5</v>
      </c>
      <c r="AE13" s="131">
        <v>4.3</v>
      </c>
      <c r="AF13" s="115">
        <f t="shared" si="10"/>
        <v>17.392007765733698</v>
      </c>
      <c r="AG13" s="131">
        <v>138.55000000000001</v>
      </c>
      <c r="AH13" s="115">
        <f t="shared" si="11"/>
        <v>560.38666882381506</v>
      </c>
      <c r="AI13" s="131">
        <v>27.92</v>
      </c>
      <c r="AJ13" s="116"/>
      <c r="AK13" s="135">
        <v>11.14</v>
      </c>
      <c r="AL13" s="136">
        <v>53.48</v>
      </c>
      <c r="AM13" s="110">
        <f t="shared" si="12"/>
        <v>0.17282275004039424</v>
      </c>
      <c r="AN13" s="137" t="s">
        <v>177</v>
      </c>
      <c r="AO13" s="150">
        <v>11.53</v>
      </c>
      <c r="AP13" s="138">
        <v>6.99</v>
      </c>
      <c r="AQ13" s="131"/>
      <c r="AR13" s="131">
        <v>7.63</v>
      </c>
      <c r="AS13" s="315">
        <v>309.45</v>
      </c>
      <c r="AT13" s="131">
        <v>2.41</v>
      </c>
      <c r="AU13" s="148"/>
      <c r="AV13" s="149"/>
      <c r="AW13" s="109"/>
      <c r="AX13" s="109">
        <f t="shared" si="13"/>
        <v>247.23999999999998</v>
      </c>
      <c r="AY13" s="115">
        <f t="shared" si="24"/>
        <v>228.70078834203278</v>
      </c>
      <c r="AZ13" s="140">
        <f t="shared" si="14"/>
        <v>8.1890855633802815</v>
      </c>
      <c r="BA13" s="141">
        <f t="shared" si="15"/>
        <v>9.8895999999999997</v>
      </c>
      <c r="BB13" s="128">
        <f t="shared" si="16"/>
        <v>0.94376815036247419</v>
      </c>
      <c r="BC13" s="141">
        <f t="shared" si="17"/>
        <v>18.078685563380283</v>
      </c>
      <c r="BD13" s="142">
        <v>0.93799999999999994</v>
      </c>
      <c r="BE13" s="16">
        <f t="shared" si="25"/>
        <v>1642.57</v>
      </c>
      <c r="BF13" s="16">
        <f t="shared" si="18"/>
        <v>221.10344827586206</v>
      </c>
      <c r="BG13" s="16">
        <f t="shared" si="26"/>
        <v>1547.7241379310344</v>
      </c>
      <c r="BH13" s="17">
        <f t="shared" si="19"/>
        <v>1</v>
      </c>
      <c r="BI13" s="16">
        <f t="shared" si="27"/>
        <v>1547.7241379310344</v>
      </c>
      <c r="BJ13" s="249">
        <v>352.68200000000002</v>
      </c>
      <c r="BK13" s="195"/>
      <c r="BL13" s="266">
        <v>163.50700000000001</v>
      </c>
      <c r="BM13" s="196"/>
      <c r="BN13" s="313"/>
      <c r="BO13" s="230"/>
      <c r="BP13" s="250"/>
      <c r="BQ13" s="199"/>
      <c r="BR13" s="200">
        <v>2.94</v>
      </c>
      <c r="BS13" s="200"/>
      <c r="BT13" s="200"/>
      <c r="BU13" s="200"/>
      <c r="BV13" s="208"/>
      <c r="BW13" s="208"/>
      <c r="BX13" s="201"/>
      <c r="BY13" s="202">
        <v>37.17</v>
      </c>
      <c r="BZ13" s="200"/>
      <c r="CA13" s="202">
        <v>45.38</v>
      </c>
      <c r="CB13" s="200"/>
      <c r="CC13" s="200"/>
      <c r="CD13" s="200"/>
      <c r="CE13" s="200"/>
      <c r="CF13" s="203"/>
      <c r="CG13" s="204"/>
      <c r="CH13" s="197"/>
      <c r="CI13" s="264">
        <v>306.16000000000003</v>
      </c>
      <c r="CJ13" s="265"/>
      <c r="CK13" s="202"/>
      <c r="CL13" s="202"/>
      <c r="CM13" s="270"/>
      <c r="CN13" s="201"/>
      <c r="CO13" s="284"/>
      <c r="CP13" s="286">
        <f t="shared" si="20"/>
        <v>342.3131492</v>
      </c>
      <c r="CQ13" s="24">
        <f t="shared" si="20"/>
        <v>0</v>
      </c>
      <c r="CR13" s="25">
        <f t="shared" si="20"/>
        <v>163.50700000000001</v>
      </c>
      <c r="CS13" s="24">
        <f t="shared" si="20"/>
        <v>0</v>
      </c>
      <c r="CT13" s="27">
        <f t="shared" si="20"/>
        <v>0</v>
      </c>
      <c r="CU13" s="24">
        <f t="shared" si="20"/>
        <v>0</v>
      </c>
      <c r="CV13" s="280">
        <f t="shared" si="20"/>
        <v>0</v>
      </c>
      <c r="CW13" s="237">
        <f t="shared" si="21"/>
        <v>0</v>
      </c>
      <c r="CX13" s="26">
        <f t="shared" si="21"/>
        <v>0</v>
      </c>
      <c r="CY13" s="277">
        <f t="shared" si="21"/>
        <v>306.16000000000003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8"/>
        <v>0</v>
      </c>
    </row>
    <row r="14" spans="1:112" ht="16.5" customHeight="1">
      <c r="A14" s="127">
        <v>8</v>
      </c>
      <c r="B14" s="103">
        <f>'[1]февраль 20'!K13</f>
        <v>513.053</v>
      </c>
      <c r="C14" s="104">
        <f>IF(B14=0,0,(BJ14*BR14+BK14*BS14+BM14*BU14+BP14*BX14+BL14*BT14+BO14*BW14+BN14*BV14)/B14)</f>
        <v>2.5488244879184019</v>
      </c>
      <c r="D14" s="143">
        <f>B14*((100-C14)/100)</f>
        <v>499.9761795</v>
      </c>
      <c r="E14" s="104">
        <f>IF(B14=0,0,(BJ14*BY14+BK14*BZ14+BM14*CB14+BP14*CE14+BL14*CA14+BO14*CD14+BN14*CC14)/B14)</f>
        <v>39.830852660446375</v>
      </c>
      <c r="F14" s="128">
        <f>IF(AX14=0,0,D14/AX14)</f>
        <v>2.1931665548098436</v>
      </c>
      <c r="G14" s="106"/>
      <c r="H14" s="107">
        <f>IF(AX14=0,0,(CV14+CS14+CU14+CP14+CT14)/AX14)</f>
        <v>1.480493834715094</v>
      </c>
      <c r="I14" s="103">
        <f>'[1]сентябрь 20'!AE13</f>
        <v>0</v>
      </c>
      <c r="J14" s="103">
        <f>'[1]февраль 20'!AA13</f>
        <v>8.7460000000000004</v>
      </c>
      <c r="K14" s="106"/>
      <c r="L14" s="328">
        <f>'[1]февраль 20'!AI13</f>
        <v>162.46799999999999</v>
      </c>
      <c r="M14" s="103">
        <f>IF(AX14=0,0,(CR14+CQ14)/AX14)</f>
        <v>0.71267272009474925</v>
      </c>
      <c r="N14" s="103">
        <f>'[1]июль 20'!AM13</f>
        <v>0</v>
      </c>
      <c r="O14" s="103">
        <f>'[1]февраль 20'!W13</f>
        <v>0</v>
      </c>
      <c r="P14" s="103">
        <f>'[1]февраль 20'!S13</f>
        <v>309.89800000000002</v>
      </c>
      <c r="Q14" s="108">
        <f>IF(P14=0,0,(1-(T14/P14))*100)</f>
        <v>1.7805858701895549</v>
      </c>
      <c r="R14" s="109">
        <f>P14*((100-Q14)/100)</f>
        <v>304.38</v>
      </c>
      <c r="S14" s="106">
        <v>14.08</v>
      </c>
      <c r="T14" s="109">
        <f>CG14+CH14+CJ14+CI14</f>
        <v>304.38</v>
      </c>
      <c r="U14" s="110">
        <f>IF(AX14=0,0,R14/AX14)</f>
        <v>1.3351756810106592</v>
      </c>
      <c r="V14" s="136">
        <v>227.97</v>
      </c>
      <c r="W14" s="130">
        <v>227.97</v>
      </c>
      <c r="X14" s="131">
        <v>0.47</v>
      </c>
      <c r="Y14" s="146">
        <v>635</v>
      </c>
      <c r="Z14" s="147">
        <v>1238</v>
      </c>
      <c r="AA14" s="144" t="s">
        <v>178</v>
      </c>
      <c r="AB14" s="131">
        <v>76.900000000000006</v>
      </c>
      <c r="AC14" s="133">
        <v>171</v>
      </c>
      <c r="AD14" s="134">
        <v>5</v>
      </c>
      <c r="AE14" s="131">
        <v>2.4500000000000002</v>
      </c>
      <c r="AF14" s="115">
        <f t="shared" si="10"/>
        <v>10.747028117734791</v>
      </c>
      <c r="AG14" s="131">
        <v>136.69999999999999</v>
      </c>
      <c r="AH14" s="115">
        <f>IF(AX14=0,0,AG14/AX14*1000)</f>
        <v>599.6403035487125</v>
      </c>
      <c r="AI14" s="131">
        <v>23.06</v>
      </c>
      <c r="AJ14" s="116"/>
      <c r="AK14" s="135">
        <v>10.32</v>
      </c>
      <c r="AL14" s="136">
        <v>60.26</v>
      </c>
      <c r="AM14" s="110">
        <f>IF(AL14=0,0,AL14/AS14)</f>
        <v>0.20468750000000002</v>
      </c>
      <c r="AN14" s="137" t="s">
        <v>179</v>
      </c>
      <c r="AO14" s="150">
        <v>10.92</v>
      </c>
      <c r="AP14" s="138">
        <v>6.75</v>
      </c>
      <c r="AQ14" s="131"/>
      <c r="AR14" s="131">
        <v>8.6</v>
      </c>
      <c r="AS14" s="315">
        <v>294.39999999999998</v>
      </c>
      <c r="AT14" s="131">
        <v>4.1500000000000004</v>
      </c>
      <c r="AU14" s="148"/>
      <c r="AV14" s="149"/>
      <c r="AW14" s="109"/>
      <c r="AX14" s="109">
        <f>AS14-AL14-AK14+AV14+AT14</f>
        <v>227.97</v>
      </c>
      <c r="AY14" s="115">
        <f>IF(AB14=0,0,((D14*0.97)*(E14/100)*0.9)/(AB14/100))</f>
        <v>226.07722876324993</v>
      </c>
      <c r="AZ14" s="140">
        <f>(AG14*AR14)/100*(55/71)</f>
        <v>9.1069154929577465</v>
      </c>
      <c r="BA14" s="141">
        <f>AX14*$BA$6</f>
        <v>9.1188000000000002</v>
      </c>
      <c r="BB14" s="128">
        <f>IF((D14*E14)=0,0,(AX14*AB14)/(D14*E14))</f>
        <v>0.88030895941498466</v>
      </c>
      <c r="BC14" s="141">
        <f>AZ14+BA14</f>
        <v>18.225715492957747</v>
      </c>
      <c r="BD14" s="142">
        <v>0.93100000000000005</v>
      </c>
      <c r="BE14" s="16">
        <f>BE13+AX14</f>
        <v>1870.54</v>
      </c>
      <c r="BF14" s="16">
        <f>IF(A14&lt;=$BD$43,$AS$43,0)</f>
        <v>221.10344827586206</v>
      </c>
      <c r="BG14" s="16">
        <f>BF14+BG13</f>
        <v>1768.8275862068965</v>
      </c>
      <c r="BH14" s="17">
        <f>IF(AX14&lt;&gt;0,1,0)</f>
        <v>1</v>
      </c>
      <c r="BI14" s="16">
        <f>BI13+BF14*BH14</f>
        <v>1768.8275862068965</v>
      </c>
      <c r="BJ14" s="249">
        <v>350.58499999999998</v>
      </c>
      <c r="BK14" s="195"/>
      <c r="BL14" s="266">
        <v>162.46799999999999</v>
      </c>
      <c r="BM14" s="196"/>
      <c r="BN14" s="313"/>
      <c r="BO14" s="230"/>
      <c r="BP14" s="250"/>
      <c r="BQ14" s="199"/>
      <c r="BR14" s="200">
        <v>3.73</v>
      </c>
      <c r="BS14" s="200"/>
      <c r="BT14" s="200"/>
      <c r="BU14" s="200"/>
      <c r="BV14" s="208"/>
      <c r="BW14" s="208"/>
      <c r="BX14" s="201"/>
      <c r="BY14" s="202">
        <v>37.25</v>
      </c>
      <c r="BZ14" s="200"/>
      <c r="CA14" s="202">
        <v>45.4</v>
      </c>
      <c r="CB14" s="200"/>
      <c r="CC14" s="200"/>
      <c r="CD14" s="200"/>
      <c r="CE14" s="200"/>
      <c r="CF14" s="203"/>
      <c r="CG14" s="204"/>
      <c r="CH14" s="197"/>
      <c r="CI14" s="264">
        <v>304.38</v>
      </c>
      <c r="CJ14" s="265"/>
      <c r="CK14" s="202"/>
      <c r="CL14" s="202"/>
      <c r="CM14" s="270"/>
      <c r="CN14" s="201"/>
      <c r="CO14" s="284"/>
      <c r="CP14" s="286">
        <f t="shared" si="20"/>
        <v>337.50817949999998</v>
      </c>
      <c r="CQ14" s="27">
        <f t="shared" si="20"/>
        <v>0</v>
      </c>
      <c r="CR14" s="28">
        <f t="shared" si="20"/>
        <v>162.46799999999999</v>
      </c>
      <c r="CS14" s="27">
        <f t="shared" si="20"/>
        <v>0</v>
      </c>
      <c r="CT14" s="27">
        <f t="shared" si="20"/>
        <v>0</v>
      </c>
      <c r="CU14" s="24">
        <f t="shared" si="20"/>
        <v>0</v>
      </c>
      <c r="CV14" s="282">
        <f t="shared" si="20"/>
        <v>0</v>
      </c>
      <c r="CW14" s="237">
        <f t="shared" si="21"/>
        <v>0</v>
      </c>
      <c r="CX14" s="26">
        <f t="shared" si="21"/>
        <v>0</v>
      </c>
      <c r="CY14" s="277">
        <f t="shared" si="21"/>
        <v>304.38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8"/>
        <v>0</v>
      </c>
    </row>
    <row r="15" spans="1:112" ht="16.5" customHeight="1">
      <c r="A15" s="253">
        <v>9</v>
      </c>
      <c r="B15" s="103">
        <f>'[1]февраль 20'!K14</f>
        <v>537.03599999999994</v>
      </c>
      <c r="C15" s="104">
        <f t="shared" si="0"/>
        <v>1.9810964255655117</v>
      </c>
      <c r="D15" s="143">
        <f t="shared" si="1"/>
        <v>526.39679899999999</v>
      </c>
      <c r="E15" s="104">
        <f t="shared" si="2"/>
        <v>39.615228420441092</v>
      </c>
      <c r="F15" s="128">
        <f t="shared" si="3"/>
        <v>2.1018039488919946</v>
      </c>
      <c r="G15" s="106"/>
      <c r="H15" s="107">
        <f t="shared" si="4"/>
        <v>1.4223589498901978</v>
      </c>
      <c r="I15" s="103">
        <f>'[1]сентябрь 20'!AE14</f>
        <v>0</v>
      </c>
      <c r="J15" s="103">
        <f>'[1]февраль 20'!AA14</f>
        <v>8.9339999999999993</v>
      </c>
      <c r="K15" s="106"/>
      <c r="L15" s="328">
        <f>'[1]февраль 20'!AI14</f>
        <v>170.167</v>
      </c>
      <c r="M15" s="103">
        <f t="shared" si="5"/>
        <v>0.67944499900179678</v>
      </c>
      <c r="N15" s="103">
        <f>'[1]июль 20'!AM14</f>
        <v>0</v>
      </c>
      <c r="O15" s="103">
        <f>'[1]февраль 20'!W14</f>
        <v>0</v>
      </c>
      <c r="P15" s="103">
        <f>'[1]февраль 20'!S14</f>
        <v>326.47199999999998</v>
      </c>
      <c r="Q15" s="108">
        <f t="shared" si="6"/>
        <v>1.8629468989683651</v>
      </c>
      <c r="R15" s="109">
        <f t="shared" si="7"/>
        <v>320.39</v>
      </c>
      <c r="S15" s="106">
        <v>17.989999999999998</v>
      </c>
      <c r="T15" s="109">
        <f t="shared" si="8"/>
        <v>320.39</v>
      </c>
      <c r="U15" s="110">
        <f t="shared" si="9"/>
        <v>1.2792573367937712</v>
      </c>
      <c r="V15" s="136">
        <v>250.45</v>
      </c>
      <c r="W15" s="130">
        <v>250.45</v>
      </c>
      <c r="X15" s="131">
        <v>0.45</v>
      </c>
      <c r="Y15" s="112">
        <v>690</v>
      </c>
      <c r="Z15" s="133">
        <v>1242</v>
      </c>
      <c r="AA15" s="144" t="s">
        <v>174</v>
      </c>
      <c r="AB15" s="131">
        <v>76.39</v>
      </c>
      <c r="AC15" s="133">
        <v>179</v>
      </c>
      <c r="AD15" s="134">
        <v>5</v>
      </c>
      <c r="AE15" s="131">
        <v>1.8</v>
      </c>
      <c r="AF15" s="115">
        <f t="shared" si="10"/>
        <v>7.1870632860850474</v>
      </c>
      <c r="AG15" s="131">
        <v>148.69999999999999</v>
      </c>
      <c r="AH15" s="115">
        <f t="shared" si="11"/>
        <v>593.73128368935909</v>
      </c>
      <c r="AI15" s="131">
        <v>27.13</v>
      </c>
      <c r="AJ15" s="116"/>
      <c r="AK15" s="135">
        <v>8.77</v>
      </c>
      <c r="AL15" s="136">
        <v>58.14</v>
      </c>
      <c r="AM15" s="110">
        <f t="shared" si="12"/>
        <v>0.18460073027464677</v>
      </c>
      <c r="AN15" s="137" t="s">
        <v>180</v>
      </c>
      <c r="AO15" s="150">
        <v>10.28</v>
      </c>
      <c r="AP15" s="138">
        <v>6.6</v>
      </c>
      <c r="AQ15" s="131"/>
      <c r="AR15" s="131">
        <v>9.9</v>
      </c>
      <c r="AS15" s="315">
        <v>314.95</v>
      </c>
      <c r="AT15" s="131">
        <v>2.41</v>
      </c>
      <c r="AU15" s="116"/>
      <c r="AV15" s="131"/>
      <c r="AW15" s="109"/>
      <c r="AX15" s="109">
        <f t="shared" si="13"/>
        <v>250.45</v>
      </c>
      <c r="AY15" s="115">
        <f t="shared" si="24"/>
        <v>238.31596536572738</v>
      </c>
      <c r="AZ15" s="140">
        <f t="shared" si="14"/>
        <v>11.403823943661971</v>
      </c>
      <c r="BA15" s="141">
        <f t="shared" si="15"/>
        <v>10.017999999999999</v>
      </c>
      <c r="BB15" s="128">
        <f t="shared" si="16"/>
        <v>0.91744944433103159</v>
      </c>
      <c r="BC15" s="141">
        <f t="shared" si="17"/>
        <v>21.42182394366197</v>
      </c>
      <c r="BD15" s="142">
        <v>0.92900000000000005</v>
      </c>
      <c r="BE15" s="16">
        <f t="shared" si="25"/>
        <v>2120.9899999999998</v>
      </c>
      <c r="BF15" s="16">
        <f t="shared" si="18"/>
        <v>221.10344827586206</v>
      </c>
      <c r="BG15" s="16">
        <f t="shared" si="26"/>
        <v>1989.9310344827586</v>
      </c>
      <c r="BH15" s="17">
        <f t="shared" si="19"/>
        <v>1</v>
      </c>
      <c r="BI15" s="16">
        <f t="shared" si="27"/>
        <v>1989.9310344827586</v>
      </c>
      <c r="BJ15" s="249">
        <v>366.86900000000003</v>
      </c>
      <c r="BK15" s="195"/>
      <c r="BL15" s="197">
        <v>170.167</v>
      </c>
      <c r="BM15" s="197"/>
      <c r="BN15" s="230"/>
      <c r="BO15" s="195"/>
      <c r="BP15" s="329"/>
      <c r="BQ15" s="199"/>
      <c r="BR15" s="200">
        <v>2.9</v>
      </c>
      <c r="BS15" s="200"/>
      <c r="BT15" s="200"/>
      <c r="BU15" s="200"/>
      <c r="BV15" s="208"/>
      <c r="BW15" s="208"/>
      <c r="BX15" s="330"/>
      <c r="BY15" s="202">
        <v>36.83</v>
      </c>
      <c r="BZ15" s="200"/>
      <c r="CA15" s="200">
        <v>45.62</v>
      </c>
      <c r="CB15" s="200"/>
      <c r="CC15" s="200"/>
      <c r="CD15" s="200"/>
      <c r="CE15" s="200"/>
      <c r="CF15" s="203"/>
      <c r="CG15" s="204"/>
      <c r="CH15" s="230"/>
      <c r="CI15" s="266">
        <v>320.39</v>
      </c>
      <c r="CJ15" s="265"/>
      <c r="CK15" s="202"/>
      <c r="CL15" s="208"/>
      <c r="CM15" s="208"/>
      <c r="CN15" s="201"/>
      <c r="CO15" s="284"/>
      <c r="CP15" s="286">
        <f t="shared" si="20"/>
        <v>356.22979900000001</v>
      </c>
      <c r="CQ15" s="29">
        <f t="shared" si="20"/>
        <v>0</v>
      </c>
      <c r="CR15" s="30">
        <f t="shared" si="20"/>
        <v>170.167</v>
      </c>
      <c r="CS15" s="29">
        <f t="shared" si="20"/>
        <v>0</v>
      </c>
      <c r="CT15" s="27">
        <f t="shared" si="20"/>
        <v>0</v>
      </c>
      <c r="CU15" s="24">
        <f t="shared" si="20"/>
        <v>0</v>
      </c>
      <c r="CV15" s="283">
        <f t="shared" si="20"/>
        <v>0</v>
      </c>
      <c r="CW15" s="237">
        <f t="shared" si="21"/>
        <v>0</v>
      </c>
      <c r="CX15" s="24">
        <f t="shared" si="21"/>
        <v>0</v>
      </c>
      <c r="CY15" s="277">
        <f t="shared" si="21"/>
        <v>320.39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8"/>
        <v>0</v>
      </c>
    </row>
    <row r="16" spans="1:112" ht="16.5" customHeight="1">
      <c r="A16" s="127">
        <v>10</v>
      </c>
      <c r="B16" s="103">
        <f>'[1]февраль 20'!K15</f>
        <v>519.09199999999998</v>
      </c>
      <c r="C16" s="104">
        <f t="shared" si="0"/>
        <v>1.4736203986961849</v>
      </c>
      <c r="D16" s="143">
        <f t="shared" si="1"/>
        <v>511.44255440000001</v>
      </c>
      <c r="E16" s="104">
        <f t="shared" si="2"/>
        <v>39.593953210606216</v>
      </c>
      <c r="F16" s="128">
        <f t="shared" si="3"/>
        <v>2.1477451576869777</v>
      </c>
      <c r="G16" s="106"/>
      <c r="H16" s="107">
        <f t="shared" si="4"/>
        <v>1.4414082828707007</v>
      </c>
      <c r="I16" s="103">
        <f>'[1]сентябрь 20'!AE15</f>
        <v>0</v>
      </c>
      <c r="J16" s="103">
        <f>'[1]февраль 20'!AA15</f>
        <v>7.8360000000000003</v>
      </c>
      <c r="K16" s="106"/>
      <c r="L16" s="328">
        <f>'[1]февраль 20'!AI15</f>
        <v>168.2</v>
      </c>
      <c r="M16" s="103">
        <f t="shared" si="5"/>
        <v>0.70633687481627672</v>
      </c>
      <c r="N16" s="103">
        <f>'[1]июль 20'!AM15</f>
        <v>0</v>
      </c>
      <c r="O16" s="103">
        <f>'[1]февраль 20'!W15</f>
        <v>0</v>
      </c>
      <c r="P16" s="103">
        <f>'[1]февраль 20'!S15</f>
        <v>317.14299999999997</v>
      </c>
      <c r="Q16" s="108">
        <f t="shared" si="6"/>
        <v>1.7667109158959637</v>
      </c>
      <c r="R16" s="109">
        <f t="shared" si="7"/>
        <v>311.54000000000002</v>
      </c>
      <c r="S16" s="106">
        <v>42.89</v>
      </c>
      <c r="T16" s="109">
        <f t="shared" si="8"/>
        <v>311.54000000000002</v>
      </c>
      <c r="U16" s="110">
        <f t="shared" si="9"/>
        <v>1.3082769915592323</v>
      </c>
      <c r="V16" s="136">
        <v>238.13</v>
      </c>
      <c r="W16" s="130">
        <v>238.13</v>
      </c>
      <c r="X16" s="131">
        <v>0.44</v>
      </c>
      <c r="Y16" s="112">
        <v>653</v>
      </c>
      <c r="Z16" s="133">
        <v>1237</v>
      </c>
      <c r="AA16" s="144" t="s">
        <v>181</v>
      </c>
      <c r="AB16" s="131">
        <v>76.959999999999994</v>
      </c>
      <c r="AC16" s="133">
        <v>173</v>
      </c>
      <c r="AD16" s="134">
        <v>5</v>
      </c>
      <c r="AE16" s="131">
        <v>3.85</v>
      </c>
      <c r="AF16" s="115">
        <f t="shared" si="10"/>
        <v>16.167639524629404</v>
      </c>
      <c r="AG16" s="131">
        <v>138.80000000000001</v>
      </c>
      <c r="AH16" s="115">
        <f t="shared" si="11"/>
        <v>582.87490026456135</v>
      </c>
      <c r="AI16" s="139">
        <v>23</v>
      </c>
      <c r="AJ16" s="131"/>
      <c r="AK16" s="136">
        <v>9.65</v>
      </c>
      <c r="AL16" s="136">
        <v>60.57</v>
      </c>
      <c r="AM16" s="110">
        <f t="shared" si="12"/>
        <v>0.19787651094413589</v>
      </c>
      <c r="AN16" s="137" t="s">
        <v>182</v>
      </c>
      <c r="AO16" s="150">
        <v>10.75</v>
      </c>
      <c r="AP16" s="138">
        <v>6.66</v>
      </c>
      <c r="AQ16" s="131"/>
      <c r="AR16" s="131">
        <v>8.61</v>
      </c>
      <c r="AS16" s="315">
        <v>306.10000000000002</v>
      </c>
      <c r="AT16" s="131">
        <v>2.25</v>
      </c>
      <c r="AU16" s="116"/>
      <c r="AV16" s="131"/>
      <c r="AW16" s="109"/>
      <c r="AX16" s="109">
        <f t="shared" si="13"/>
        <v>238.13000000000002</v>
      </c>
      <c r="AY16" s="115">
        <f t="shared" si="24"/>
        <v>229.70736009076865</v>
      </c>
      <c r="AZ16" s="140">
        <f t="shared" si="14"/>
        <v>9.2575690140845062</v>
      </c>
      <c r="BA16" s="141">
        <f t="shared" si="15"/>
        <v>9.5252000000000017</v>
      </c>
      <c r="BB16" s="128">
        <f t="shared" si="16"/>
        <v>0.90501013950033404</v>
      </c>
      <c r="BC16" s="141">
        <f t="shared" si="17"/>
        <v>18.782769014084508</v>
      </c>
      <c r="BD16" s="142">
        <v>0.92700000000000005</v>
      </c>
      <c r="BE16" s="16">
        <f t="shared" si="25"/>
        <v>2359.12</v>
      </c>
      <c r="BF16" s="16">
        <f t="shared" si="18"/>
        <v>221.10344827586206</v>
      </c>
      <c r="BG16" s="16">
        <f t="shared" si="26"/>
        <v>2211.0344827586205</v>
      </c>
      <c r="BH16" s="17">
        <f t="shared" si="19"/>
        <v>1</v>
      </c>
      <c r="BI16" s="16">
        <f t="shared" si="27"/>
        <v>2211.0344827586205</v>
      </c>
      <c r="BJ16" s="249">
        <v>350.892</v>
      </c>
      <c r="BK16" s="195"/>
      <c r="BL16" s="195">
        <v>168.2</v>
      </c>
      <c r="BM16" s="197"/>
      <c r="BN16" s="230"/>
      <c r="BO16" s="230"/>
      <c r="BP16" s="250"/>
      <c r="BQ16" s="199"/>
      <c r="BR16" s="200">
        <v>2.1800000000000002</v>
      </c>
      <c r="BS16" s="200"/>
      <c r="BT16" s="200"/>
      <c r="BU16" s="200"/>
      <c r="BV16" s="208"/>
      <c r="BW16" s="208"/>
      <c r="BX16" s="201"/>
      <c r="BY16" s="202">
        <v>36.83</v>
      </c>
      <c r="BZ16" s="200"/>
      <c r="CA16" s="200">
        <v>45.36</v>
      </c>
      <c r="CB16" s="200"/>
      <c r="CC16" s="200"/>
      <c r="CD16" s="200"/>
      <c r="CE16" s="200"/>
      <c r="CF16" s="203"/>
      <c r="CG16" s="204"/>
      <c r="CH16" s="230"/>
      <c r="CI16" s="266">
        <v>311.54000000000002</v>
      </c>
      <c r="CJ16" s="265"/>
      <c r="CK16" s="202"/>
      <c r="CL16" s="208"/>
      <c r="CM16" s="208"/>
      <c r="CN16" s="201"/>
      <c r="CO16" s="284"/>
      <c r="CP16" s="286">
        <f t="shared" si="20"/>
        <v>343.24255439999996</v>
      </c>
      <c r="CQ16" s="24">
        <f t="shared" si="20"/>
        <v>0</v>
      </c>
      <c r="CR16" s="25">
        <f t="shared" si="20"/>
        <v>168.2</v>
      </c>
      <c r="CS16" s="24">
        <f t="shared" si="20"/>
        <v>0</v>
      </c>
      <c r="CT16" s="27">
        <f t="shared" si="20"/>
        <v>0</v>
      </c>
      <c r="CU16" s="24">
        <f t="shared" si="20"/>
        <v>0</v>
      </c>
      <c r="CV16" s="280">
        <f t="shared" si="20"/>
        <v>0</v>
      </c>
      <c r="CW16" s="237">
        <f t="shared" si="21"/>
        <v>0</v>
      </c>
      <c r="CX16" s="29">
        <f t="shared" si="21"/>
        <v>0</v>
      </c>
      <c r="CY16" s="277">
        <f t="shared" si="21"/>
        <v>311.54000000000002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8"/>
        <v>0</v>
      </c>
    </row>
    <row r="17" spans="1:110" ht="16.5" customHeight="1">
      <c r="A17" s="127">
        <v>11</v>
      </c>
      <c r="B17" s="103">
        <f>'[1]февраль 20'!K16</f>
        <v>492.16899999999998</v>
      </c>
      <c r="C17" s="104">
        <f t="shared" si="0"/>
        <v>2.6470888048617449</v>
      </c>
      <c r="D17" s="143">
        <f t="shared" si="1"/>
        <v>479.1408495</v>
      </c>
      <c r="E17" s="104">
        <f t="shared" si="2"/>
        <v>40.119141900444767</v>
      </c>
      <c r="F17" s="128">
        <f t="shared" si="3"/>
        <v>2.1164399907239715</v>
      </c>
      <c r="G17" s="106"/>
      <c r="H17" s="107">
        <f t="shared" si="4"/>
        <v>1.3920086995892045</v>
      </c>
      <c r="I17" s="103">
        <f>'[1]сентябрь 20'!AE16</f>
        <v>0</v>
      </c>
      <c r="J17" s="103">
        <f>'[1]февраль 20'!AA16</f>
        <v>6.6639999999999997</v>
      </c>
      <c r="K17" s="106"/>
      <c r="L17" s="328">
        <f>'[1]февраль 20'!AI16</f>
        <v>164.00399999999999</v>
      </c>
      <c r="M17" s="103">
        <f t="shared" si="5"/>
        <v>0.72443129113476723</v>
      </c>
      <c r="N17" s="103">
        <f>'[1]июль 20'!AM16</f>
        <v>0</v>
      </c>
      <c r="O17" s="103">
        <f>'[1]февраль 20'!W16</f>
        <v>0</v>
      </c>
      <c r="P17" s="103">
        <f>'[1]февраль 20'!S16</f>
        <v>301.89800000000002</v>
      </c>
      <c r="Q17" s="108">
        <f t="shared" si="6"/>
        <v>1.8410191521639918</v>
      </c>
      <c r="R17" s="109">
        <f t="shared" si="7"/>
        <v>296.33999999999997</v>
      </c>
      <c r="S17" s="106">
        <v>6.43</v>
      </c>
      <c r="T17" s="109">
        <f t="shared" si="8"/>
        <v>296.33999999999997</v>
      </c>
      <c r="U17" s="110">
        <f t="shared" si="9"/>
        <v>1.3089800786253807</v>
      </c>
      <c r="V17" s="136">
        <v>226.39</v>
      </c>
      <c r="W17" s="130">
        <v>182.59</v>
      </c>
      <c r="X17" s="131">
        <v>0.78</v>
      </c>
      <c r="Y17" s="112">
        <v>617</v>
      </c>
      <c r="Z17" s="133">
        <v>1232</v>
      </c>
      <c r="AA17" s="144" t="s">
        <v>183</v>
      </c>
      <c r="AB17" s="131">
        <v>76.8</v>
      </c>
      <c r="AC17" s="133">
        <v>164</v>
      </c>
      <c r="AD17" s="134">
        <v>5</v>
      </c>
      <c r="AE17" s="131">
        <v>1.95</v>
      </c>
      <c r="AF17" s="115">
        <f t="shared" si="10"/>
        <v>8.6134546578912481</v>
      </c>
      <c r="AG17" s="131">
        <v>118.8</v>
      </c>
      <c r="AH17" s="115">
        <f t="shared" si="11"/>
        <v>524.7581606961437</v>
      </c>
      <c r="AI17" s="139">
        <v>25.9</v>
      </c>
      <c r="AJ17" s="131"/>
      <c r="AK17" s="136">
        <v>10.47</v>
      </c>
      <c r="AL17" s="136">
        <v>60.64</v>
      </c>
      <c r="AM17" s="110">
        <f t="shared" si="12"/>
        <v>0.20548966452050152</v>
      </c>
      <c r="AN17" s="137" t="s">
        <v>153</v>
      </c>
      <c r="AO17" s="150">
        <v>12.17</v>
      </c>
      <c r="AP17" s="138">
        <v>6.32</v>
      </c>
      <c r="AQ17" s="131"/>
      <c r="AR17" s="131">
        <v>7.33</v>
      </c>
      <c r="AS17" s="315">
        <v>295.10000000000002</v>
      </c>
      <c r="AT17" s="131">
        <v>2.4</v>
      </c>
      <c r="AU17" s="116"/>
      <c r="AV17" s="131"/>
      <c r="AW17" s="109"/>
      <c r="AX17" s="109">
        <f t="shared" si="13"/>
        <v>226.39000000000004</v>
      </c>
      <c r="AY17" s="115">
        <f t="shared" si="24"/>
        <v>218.50825944666144</v>
      </c>
      <c r="AZ17" s="140">
        <f t="shared" si="14"/>
        <v>6.7456647887323946</v>
      </c>
      <c r="BA17" s="141">
        <f t="shared" si="15"/>
        <v>9.0556000000000019</v>
      </c>
      <c r="BB17" s="128">
        <f t="shared" si="16"/>
        <v>0.90448969984241812</v>
      </c>
      <c r="BC17" s="141">
        <f t="shared" si="17"/>
        <v>15.801264788732396</v>
      </c>
      <c r="BD17" s="142">
        <v>0.92500000000000004</v>
      </c>
      <c r="BE17" s="16">
        <f t="shared" si="25"/>
        <v>2585.5099999999998</v>
      </c>
      <c r="BF17" s="16">
        <f t="shared" si="18"/>
        <v>221.10344827586206</v>
      </c>
      <c r="BG17" s="16">
        <f t="shared" si="26"/>
        <v>2432.1379310344823</v>
      </c>
      <c r="BH17" s="17">
        <f t="shared" si="19"/>
        <v>1</v>
      </c>
      <c r="BI17" s="16">
        <f t="shared" si="27"/>
        <v>2432.1379310344823</v>
      </c>
      <c r="BJ17" s="249">
        <v>328.16500000000002</v>
      </c>
      <c r="BK17" s="195"/>
      <c r="BL17" s="195">
        <v>164.00399999999999</v>
      </c>
      <c r="BM17" s="197"/>
      <c r="BN17" s="230"/>
      <c r="BO17" s="230"/>
      <c r="BP17" s="250"/>
      <c r="BQ17" s="199"/>
      <c r="BR17" s="200">
        <v>3.97</v>
      </c>
      <c r="BS17" s="200"/>
      <c r="BT17" s="200"/>
      <c r="BU17" s="200"/>
      <c r="BV17" s="208"/>
      <c r="BW17" s="208"/>
      <c r="BX17" s="201"/>
      <c r="BY17" s="202">
        <v>37.43</v>
      </c>
      <c r="BZ17" s="200"/>
      <c r="CA17" s="200">
        <v>45.5</v>
      </c>
      <c r="CB17" s="200"/>
      <c r="CC17" s="208"/>
      <c r="CD17" s="208"/>
      <c r="CE17" s="201"/>
      <c r="CF17" s="199"/>
      <c r="CG17" s="197"/>
      <c r="CH17" s="244"/>
      <c r="CI17" s="266">
        <v>296.33999999999997</v>
      </c>
      <c r="CJ17" s="265"/>
      <c r="CK17" s="231"/>
      <c r="CL17" s="208"/>
      <c r="CM17" s="208"/>
      <c r="CN17" s="201"/>
      <c r="CO17" s="284"/>
      <c r="CP17" s="286">
        <f t="shared" si="20"/>
        <v>315.13684950000004</v>
      </c>
      <c r="CQ17" s="24">
        <f t="shared" si="20"/>
        <v>0</v>
      </c>
      <c r="CR17" s="25">
        <f t="shared" si="20"/>
        <v>164.00399999999999</v>
      </c>
      <c r="CS17" s="24">
        <f t="shared" si="20"/>
        <v>0</v>
      </c>
      <c r="CT17" s="27">
        <f t="shared" si="20"/>
        <v>0</v>
      </c>
      <c r="CU17" s="27">
        <f t="shared" si="20"/>
        <v>0</v>
      </c>
      <c r="CV17" s="280">
        <f t="shared" si="20"/>
        <v>0</v>
      </c>
      <c r="CW17" s="25">
        <f t="shared" si="21"/>
        <v>0</v>
      </c>
      <c r="CX17" s="26">
        <f t="shared" si="21"/>
        <v>0</v>
      </c>
      <c r="CY17" s="277">
        <f t="shared" si="21"/>
        <v>296.33999999999997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8"/>
        <v>0</v>
      </c>
    </row>
    <row r="18" spans="1:110" ht="16.5" customHeight="1">
      <c r="A18" s="127">
        <v>12</v>
      </c>
      <c r="B18" s="103">
        <f>'[1]февраль 20'!K17</f>
        <v>501.97199999999998</v>
      </c>
      <c r="C18" s="104">
        <f t="shared" si="0"/>
        <v>2.4954865610034029</v>
      </c>
      <c r="D18" s="143">
        <f t="shared" si="1"/>
        <v>489.44535619999999</v>
      </c>
      <c r="E18" s="104">
        <f t="shared" si="2"/>
        <v>40.368387818444063</v>
      </c>
      <c r="F18" s="128">
        <f t="shared" si="3"/>
        <v>1.973729156383579</v>
      </c>
      <c r="G18" s="106"/>
      <c r="H18" s="107">
        <f t="shared" si="4"/>
        <v>1.3001466094039842</v>
      </c>
      <c r="I18" s="103">
        <f>'[1]сентябрь 20'!AE17</f>
        <v>0</v>
      </c>
      <c r="J18" s="103">
        <f>'[1]февраль 20'!AA17</f>
        <v>9.0519999999999996</v>
      </c>
      <c r="K18" s="106"/>
      <c r="L18" s="328">
        <f>'[1]февраль 20'!AI17</f>
        <v>167.035</v>
      </c>
      <c r="M18" s="103">
        <f t="shared" si="5"/>
        <v>0.67358254697959508</v>
      </c>
      <c r="N18" s="103">
        <f>'[1]июль 20'!AM17</f>
        <v>0</v>
      </c>
      <c r="O18" s="103">
        <f>'[1]февраль 20'!W17</f>
        <v>0</v>
      </c>
      <c r="P18" s="103">
        <f>'[1]февраль 20'!S17</f>
        <v>307.15199999999999</v>
      </c>
      <c r="Q18" s="108">
        <f t="shared" si="6"/>
        <v>1.7880397978850771</v>
      </c>
      <c r="R18" s="109">
        <f t="shared" si="7"/>
        <v>301.66000000000003</v>
      </c>
      <c r="S18" s="106">
        <v>28.59</v>
      </c>
      <c r="T18" s="109">
        <f t="shared" si="8"/>
        <v>301.66000000000003</v>
      </c>
      <c r="U18" s="110">
        <f t="shared" si="9"/>
        <v>1.2164690700862972</v>
      </c>
      <c r="V18" s="136">
        <v>247.98</v>
      </c>
      <c r="W18" s="130">
        <v>247.98</v>
      </c>
      <c r="X18" s="131">
        <v>0.57999999999999996</v>
      </c>
      <c r="Y18" s="112">
        <v>565</v>
      </c>
      <c r="Z18" s="133">
        <v>1241</v>
      </c>
      <c r="AA18" s="144" t="s">
        <v>184</v>
      </c>
      <c r="AB18" s="131">
        <v>76.510000000000005</v>
      </c>
      <c r="AC18" s="133">
        <v>167</v>
      </c>
      <c r="AD18" s="134">
        <v>5</v>
      </c>
      <c r="AE18" s="131">
        <v>1.6</v>
      </c>
      <c r="AF18" s="115">
        <f t="shared" si="10"/>
        <v>6.4521332365513349</v>
      </c>
      <c r="AG18" s="131">
        <v>137.55000000000001</v>
      </c>
      <c r="AH18" s="115">
        <f t="shared" si="11"/>
        <v>554.68182917977265</v>
      </c>
      <c r="AI18" s="139">
        <v>26.2</v>
      </c>
      <c r="AJ18" s="131"/>
      <c r="AK18" s="136">
        <v>9.75</v>
      </c>
      <c r="AL18" s="136">
        <v>63.56</v>
      </c>
      <c r="AM18" s="110">
        <f t="shared" si="12"/>
        <v>0.19949780288763339</v>
      </c>
      <c r="AN18" s="137" t="s">
        <v>185</v>
      </c>
      <c r="AO18" s="150">
        <v>12.66</v>
      </c>
      <c r="AP18" s="138">
        <v>6.55</v>
      </c>
      <c r="AQ18" s="131"/>
      <c r="AR18" s="131">
        <v>7.86</v>
      </c>
      <c r="AS18" s="315">
        <v>318.60000000000002</v>
      </c>
      <c r="AT18" s="131">
        <v>2.69</v>
      </c>
      <c r="AU18" s="116"/>
      <c r="AV18" s="131"/>
      <c r="AW18" s="109">
        <f t="shared" ref="AW18:AW37" si="29">IF(AX18=0,0,AV18/AX18*100)</f>
        <v>0</v>
      </c>
      <c r="AX18" s="109">
        <f t="shared" si="13"/>
        <v>247.98000000000002</v>
      </c>
      <c r="AY18" s="115">
        <f>IF(AB18=0,0,((D18*0.97)*(E18/100)*0.9)/(AB18/100))</f>
        <v>225.44554595125862</v>
      </c>
      <c r="AZ18" s="140">
        <f t="shared" si="14"/>
        <v>8.3750514084507035</v>
      </c>
      <c r="BA18" s="141">
        <f t="shared" si="15"/>
        <v>9.9192000000000018</v>
      </c>
      <c r="BB18" s="128">
        <f t="shared" si="16"/>
        <v>0.96026088733110071</v>
      </c>
      <c r="BC18" s="141">
        <f t="shared" si="17"/>
        <v>18.294251408450705</v>
      </c>
      <c r="BD18" s="142">
        <v>0.92800000000000005</v>
      </c>
      <c r="BE18" s="16">
        <f t="shared" si="25"/>
        <v>2833.49</v>
      </c>
      <c r="BF18" s="16">
        <f t="shared" si="18"/>
        <v>221.10344827586206</v>
      </c>
      <c r="BG18" s="16">
        <f t="shared" si="26"/>
        <v>2653.2413793103442</v>
      </c>
      <c r="BH18" s="17">
        <f t="shared" si="19"/>
        <v>1</v>
      </c>
      <c r="BI18" s="16">
        <f t="shared" si="27"/>
        <v>2653.2413793103442</v>
      </c>
      <c r="BJ18" s="249">
        <v>334.93700000000001</v>
      </c>
      <c r="BK18" s="195"/>
      <c r="BL18" s="195">
        <v>167.035</v>
      </c>
      <c r="BM18" s="197"/>
      <c r="BN18" s="230"/>
      <c r="BO18" s="230"/>
      <c r="BP18" s="250"/>
      <c r="BQ18" s="199"/>
      <c r="BR18" s="200">
        <v>3.74</v>
      </c>
      <c r="BS18" s="200"/>
      <c r="BT18" s="200"/>
      <c r="BU18" s="200"/>
      <c r="BV18" s="208"/>
      <c r="BW18" s="208"/>
      <c r="BX18" s="201"/>
      <c r="BY18" s="202">
        <v>37.51</v>
      </c>
      <c r="BZ18" s="200"/>
      <c r="CA18" s="200">
        <v>46.1</v>
      </c>
      <c r="CB18" s="200"/>
      <c r="CC18" s="208"/>
      <c r="CD18" s="208"/>
      <c r="CE18" s="209"/>
      <c r="CF18" s="199"/>
      <c r="CG18" s="197"/>
      <c r="CH18" s="268"/>
      <c r="CI18" s="289">
        <v>301.66000000000003</v>
      </c>
      <c r="CJ18" s="267"/>
      <c r="CK18" s="202"/>
      <c r="CL18" s="208"/>
      <c r="CM18" s="208"/>
      <c r="CN18" s="201"/>
      <c r="CO18" s="284"/>
      <c r="CP18" s="286">
        <f t="shared" si="20"/>
        <v>322.41035620000002</v>
      </c>
      <c r="CQ18" s="24">
        <f t="shared" si="20"/>
        <v>0</v>
      </c>
      <c r="CR18" s="25">
        <f t="shared" si="20"/>
        <v>167.035</v>
      </c>
      <c r="CS18" s="24">
        <f t="shared" si="20"/>
        <v>0</v>
      </c>
      <c r="CT18" s="27">
        <f t="shared" si="20"/>
        <v>0</v>
      </c>
      <c r="CU18" s="30">
        <f t="shared" si="20"/>
        <v>0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301.66000000000003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8"/>
        <v>0</v>
      </c>
    </row>
    <row r="19" spans="1:110" ht="16.5" customHeight="1">
      <c r="A19" s="127">
        <v>13</v>
      </c>
      <c r="B19" s="103">
        <f>'[1]февраль 20'!K18</f>
        <v>495.20600000000002</v>
      </c>
      <c r="C19" s="104">
        <f t="shared" si="0"/>
        <v>1.42083730811016</v>
      </c>
      <c r="D19" s="143">
        <f t="shared" si="1"/>
        <v>488.1699284</v>
      </c>
      <c r="E19" s="104">
        <f>IF(B19=0,0,(BJ19*BY19+BK19*BZ19+BM19*CB19+BP19*CE19+BL19*CA19+BO19*CD19+BN19*CC19)/B19)</f>
        <v>40.19988582529291</v>
      </c>
      <c r="F19" s="128">
        <f t="shared" si="3"/>
        <v>2.1197131063829784</v>
      </c>
      <c r="G19" s="106"/>
      <c r="H19" s="107">
        <f t="shared" si="4"/>
        <v>1.4038034233608334</v>
      </c>
      <c r="I19" s="103">
        <f>'[1]сентябрь 20'!AE18</f>
        <v>0</v>
      </c>
      <c r="J19" s="103">
        <f>'[1]февраль 20'!AA18</f>
        <v>10.933</v>
      </c>
      <c r="K19" s="106"/>
      <c r="L19" s="328">
        <f>'[1]февраль 20'!AI18</f>
        <v>164.874</v>
      </c>
      <c r="M19" s="103">
        <f t="shared" si="5"/>
        <v>0.71590968302214486</v>
      </c>
      <c r="N19" s="103">
        <f>'[1]июль 20'!AM18</f>
        <v>0</v>
      </c>
      <c r="O19" s="103">
        <f>'[1]февраль 20'!W18</f>
        <v>0</v>
      </c>
      <c r="P19" s="103">
        <f>'[1]февраль 20'!S18</f>
        <v>304.28899999999999</v>
      </c>
      <c r="Q19" s="108">
        <f t="shared" si="6"/>
        <v>1.7578683422667218</v>
      </c>
      <c r="R19" s="109">
        <f t="shared" si="7"/>
        <v>298.94</v>
      </c>
      <c r="S19" s="106">
        <v>84.85</v>
      </c>
      <c r="T19" s="109">
        <f t="shared" si="8"/>
        <v>298.94</v>
      </c>
      <c r="U19" s="110">
        <f t="shared" si="9"/>
        <v>1.2980460269214067</v>
      </c>
      <c r="V19" s="136">
        <v>230.3</v>
      </c>
      <c r="W19" s="130">
        <v>89.64</v>
      </c>
      <c r="X19" s="131">
        <v>1.04</v>
      </c>
      <c r="Y19" s="112">
        <v>579</v>
      </c>
      <c r="Z19" s="133">
        <v>1238</v>
      </c>
      <c r="AA19" s="144" t="s">
        <v>181</v>
      </c>
      <c r="AB19" s="131">
        <v>76.37</v>
      </c>
      <c r="AC19" s="133">
        <v>165</v>
      </c>
      <c r="AD19" s="134">
        <v>5</v>
      </c>
      <c r="AE19" s="131">
        <v>1.6</v>
      </c>
      <c r="AF19" s="115">
        <f t="shared" si="10"/>
        <v>6.9474598349978285</v>
      </c>
      <c r="AG19" s="131">
        <v>118.3</v>
      </c>
      <c r="AH19" s="115">
        <f t="shared" si="11"/>
        <v>513.67781155015189</v>
      </c>
      <c r="AI19" s="139">
        <v>30.19</v>
      </c>
      <c r="AJ19" s="131"/>
      <c r="AK19" s="136">
        <v>7.42</v>
      </c>
      <c r="AL19" s="136">
        <v>62.96</v>
      </c>
      <c r="AM19" s="110">
        <f t="shared" si="12"/>
        <v>0.21085063630274614</v>
      </c>
      <c r="AN19" s="137" t="s">
        <v>186</v>
      </c>
      <c r="AO19" s="150">
        <v>12.81</v>
      </c>
      <c r="AP19" s="138">
        <v>6.77</v>
      </c>
      <c r="AQ19" s="134"/>
      <c r="AR19" s="131">
        <v>7.12</v>
      </c>
      <c r="AS19" s="315">
        <v>298.60000000000002</v>
      </c>
      <c r="AT19" s="131">
        <v>2.08</v>
      </c>
      <c r="AU19" s="116"/>
      <c r="AV19" s="131"/>
      <c r="AW19" s="109">
        <f t="shared" si="29"/>
        <v>0</v>
      </c>
      <c r="AX19" s="109">
        <f t="shared" si="13"/>
        <v>230.30000000000004</v>
      </c>
      <c r="AY19" s="115">
        <f t="shared" si="24"/>
        <v>224.32996871970266</v>
      </c>
      <c r="AZ19" s="140">
        <f t="shared" si="14"/>
        <v>6.5248281690140839</v>
      </c>
      <c r="BA19" s="141">
        <f t="shared" si="15"/>
        <v>9.2120000000000015</v>
      </c>
      <c r="BB19" s="128">
        <f t="shared" si="16"/>
        <v>0.89623290703174718</v>
      </c>
      <c r="BC19" s="141">
        <f t="shared" si="17"/>
        <v>15.736828169014085</v>
      </c>
      <c r="BD19" s="142">
        <v>0.92500000000000004</v>
      </c>
      <c r="BE19" s="16">
        <f t="shared" si="25"/>
        <v>3063.79</v>
      </c>
      <c r="BF19" s="16">
        <f t="shared" si="18"/>
        <v>221.10344827586206</v>
      </c>
      <c r="BG19" s="16">
        <f t="shared" si="26"/>
        <v>2874.3448275862061</v>
      </c>
      <c r="BH19" s="17">
        <f t="shared" si="19"/>
        <v>1</v>
      </c>
      <c r="BI19" s="16">
        <f t="shared" si="27"/>
        <v>2874.3448275862061</v>
      </c>
      <c r="BJ19" s="254">
        <v>330.33199999999999</v>
      </c>
      <c r="BK19" s="197"/>
      <c r="BL19" s="197">
        <v>164.874</v>
      </c>
      <c r="BM19" s="197"/>
      <c r="BN19" s="230"/>
      <c r="BO19" s="230"/>
      <c r="BP19" s="258"/>
      <c r="BQ19" s="199"/>
      <c r="BR19" s="200">
        <v>2.13</v>
      </c>
      <c r="BS19" s="200"/>
      <c r="BT19" s="200"/>
      <c r="BU19" s="200"/>
      <c r="BV19" s="208"/>
      <c r="BW19" s="208"/>
      <c r="BX19" s="201"/>
      <c r="BY19" s="202">
        <v>37.28</v>
      </c>
      <c r="BZ19" s="200"/>
      <c r="CA19" s="200">
        <v>46.05</v>
      </c>
      <c r="CB19" s="200"/>
      <c r="CC19" s="208"/>
      <c r="CD19" s="208"/>
      <c r="CE19" s="209"/>
      <c r="CF19" s="199"/>
      <c r="CG19" s="197"/>
      <c r="CH19" s="197"/>
      <c r="CI19" s="197">
        <v>298.94</v>
      </c>
      <c r="CJ19" s="198"/>
      <c r="CK19" s="202"/>
      <c r="CL19" s="208"/>
      <c r="CM19" s="208"/>
      <c r="CN19" s="201"/>
      <c r="CO19" s="284"/>
      <c r="CP19" s="286">
        <f t="shared" si="20"/>
        <v>323.29592839999998</v>
      </c>
      <c r="CQ19" s="24">
        <f t="shared" si="20"/>
        <v>0</v>
      </c>
      <c r="CR19" s="25">
        <f t="shared" si="20"/>
        <v>164.874</v>
      </c>
      <c r="CS19" s="24">
        <f t="shared" si="20"/>
        <v>0</v>
      </c>
      <c r="CT19" s="27">
        <f t="shared" si="20"/>
        <v>0</v>
      </c>
      <c r="CU19" s="24">
        <f t="shared" si="20"/>
        <v>0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298.94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8"/>
        <v>0</v>
      </c>
    </row>
    <row r="20" spans="1:110" ht="16.5" customHeight="1">
      <c r="A20" s="127">
        <v>14</v>
      </c>
      <c r="B20" s="103">
        <f>'[1]февраль 20'!K19</f>
        <v>468.786</v>
      </c>
      <c r="C20" s="104">
        <f t="shared" si="0"/>
        <v>1.4609810446557703</v>
      </c>
      <c r="D20" s="143">
        <f t="shared" si="1"/>
        <v>461.93712540000001</v>
      </c>
      <c r="E20" s="104">
        <f t="shared" si="2"/>
        <v>40.489418114022172</v>
      </c>
      <c r="F20" s="128">
        <f t="shared" si="3"/>
        <v>1.9751876059349212</v>
      </c>
      <c r="G20" s="106"/>
      <c r="H20" s="107">
        <f t="shared" si="4"/>
        <v>1.3079280172745542</v>
      </c>
      <c r="I20" s="103">
        <f>'[1]сентябрь 20'!AE19</f>
        <v>0</v>
      </c>
      <c r="J20" s="103">
        <f>'[1]февраль 20'!AA19</f>
        <v>11.759</v>
      </c>
      <c r="K20" s="106"/>
      <c r="L20" s="328">
        <f>'[1]февраль 20'!AI19</f>
        <v>156.05199999999999</v>
      </c>
      <c r="M20" s="103">
        <f t="shared" si="5"/>
        <v>0.66725958866036683</v>
      </c>
      <c r="N20" s="103">
        <f>'[1]июль 20'!AM19</f>
        <v>0</v>
      </c>
      <c r="O20" s="103">
        <f>'[1]февраль 20'!W19</f>
        <v>0</v>
      </c>
      <c r="P20" s="103">
        <f>'[1]февраль 20'!S19</f>
        <v>287.15300000000002</v>
      </c>
      <c r="Q20" s="108">
        <f t="shared" si="6"/>
        <v>2.0591809941041928</v>
      </c>
      <c r="R20" s="109">
        <f t="shared" si="7"/>
        <v>281.24</v>
      </c>
      <c r="S20" s="106">
        <v>59.23</v>
      </c>
      <c r="T20" s="109">
        <f t="shared" si="8"/>
        <v>281.24</v>
      </c>
      <c r="U20" s="110">
        <f t="shared" si="9"/>
        <v>1.2025484243383076</v>
      </c>
      <c r="V20" s="136">
        <v>233.87</v>
      </c>
      <c r="W20" s="130">
        <v>233.87</v>
      </c>
      <c r="X20" s="131">
        <v>0.66</v>
      </c>
      <c r="Y20" s="112">
        <v>554</v>
      </c>
      <c r="Z20" s="133">
        <v>1221</v>
      </c>
      <c r="AA20" s="151" t="s">
        <v>187</v>
      </c>
      <c r="AB20" s="131">
        <v>76.790000000000006</v>
      </c>
      <c r="AC20" s="133">
        <v>156</v>
      </c>
      <c r="AD20" s="134">
        <v>5</v>
      </c>
      <c r="AE20" s="131">
        <v>4.2</v>
      </c>
      <c r="AF20" s="115">
        <f t="shared" si="10"/>
        <v>17.958695001496562</v>
      </c>
      <c r="AG20" s="131">
        <v>140.1</v>
      </c>
      <c r="AH20" s="115">
        <f t="shared" si="11"/>
        <v>599.05075469277801</v>
      </c>
      <c r="AI20" s="139">
        <v>26.4</v>
      </c>
      <c r="AJ20" s="131"/>
      <c r="AK20" s="136">
        <v>10.39</v>
      </c>
      <c r="AL20" s="136">
        <v>57.09</v>
      </c>
      <c r="AM20" s="110">
        <f t="shared" si="12"/>
        <v>0.19042695130086726</v>
      </c>
      <c r="AN20" s="137" t="s">
        <v>188</v>
      </c>
      <c r="AO20" s="150">
        <v>11.24</v>
      </c>
      <c r="AP20" s="138">
        <v>7.04</v>
      </c>
      <c r="AQ20" s="131"/>
      <c r="AR20" s="131">
        <v>8.1999999999999993</v>
      </c>
      <c r="AS20" s="315">
        <v>299.8</v>
      </c>
      <c r="AT20" s="131">
        <v>1.55</v>
      </c>
      <c r="AU20" s="148"/>
      <c r="AV20" s="131"/>
      <c r="AW20" s="109">
        <f t="shared" si="29"/>
        <v>0</v>
      </c>
      <c r="AX20" s="109">
        <f t="shared" si="13"/>
        <v>233.87</v>
      </c>
      <c r="AY20" s="115">
        <f t="shared" si="24"/>
        <v>212.63462176449943</v>
      </c>
      <c r="AZ20" s="140">
        <f t="shared" si="14"/>
        <v>8.8993098591549291</v>
      </c>
      <c r="BA20" s="141">
        <f t="shared" si="15"/>
        <v>9.3548000000000009</v>
      </c>
      <c r="BB20" s="128">
        <f t="shared" si="16"/>
        <v>0.96018469760829472</v>
      </c>
      <c r="BC20" s="141">
        <f t="shared" si="17"/>
        <v>18.25410985915493</v>
      </c>
      <c r="BD20" s="142">
        <v>0.92800000000000005</v>
      </c>
      <c r="BE20" s="16">
        <f t="shared" si="25"/>
        <v>3297.66</v>
      </c>
      <c r="BF20" s="16">
        <f t="shared" si="18"/>
        <v>221.10344827586206</v>
      </c>
      <c r="BG20" s="16">
        <f t="shared" si="26"/>
        <v>3095.4482758620679</v>
      </c>
      <c r="BH20" s="17">
        <f t="shared" si="19"/>
        <v>1</v>
      </c>
      <c r="BI20" s="16">
        <f t="shared" si="27"/>
        <v>3095.4482758620679</v>
      </c>
      <c r="BJ20" s="254">
        <v>312.73399999999998</v>
      </c>
      <c r="BK20" s="197"/>
      <c r="BL20" s="197">
        <v>156.05199999999999</v>
      </c>
      <c r="BM20" s="197"/>
      <c r="BN20" s="230"/>
      <c r="BO20" s="230"/>
      <c r="BP20" s="259"/>
      <c r="BQ20" s="199"/>
      <c r="BR20" s="200">
        <v>2.19</v>
      </c>
      <c r="BS20" s="200"/>
      <c r="BT20" s="200"/>
      <c r="BU20" s="200"/>
      <c r="BV20" s="208"/>
      <c r="BW20" s="208"/>
      <c r="BX20" s="201"/>
      <c r="BY20" s="202">
        <v>37.58</v>
      </c>
      <c r="BZ20" s="200"/>
      <c r="CA20" s="200">
        <v>46.32</v>
      </c>
      <c r="CB20" s="200"/>
      <c r="CC20" s="208"/>
      <c r="CD20" s="208"/>
      <c r="CE20" s="209"/>
      <c r="CF20" s="199"/>
      <c r="CG20" s="197">
        <v>21.72</v>
      </c>
      <c r="CH20" s="197"/>
      <c r="CI20" s="197">
        <v>259.52</v>
      </c>
      <c r="CJ20" s="198"/>
      <c r="CK20" s="202"/>
      <c r="CL20" s="208"/>
      <c r="CM20" s="208"/>
      <c r="CN20" s="201"/>
      <c r="CO20" s="284"/>
      <c r="CP20" s="286">
        <f t="shared" si="20"/>
        <v>305.88512539999999</v>
      </c>
      <c r="CQ20" s="24">
        <f t="shared" si="20"/>
        <v>0</v>
      </c>
      <c r="CR20" s="25">
        <f t="shared" si="20"/>
        <v>156.05199999999999</v>
      </c>
      <c r="CS20" s="24">
        <f t="shared" si="20"/>
        <v>0</v>
      </c>
      <c r="CT20" s="27">
        <f t="shared" si="20"/>
        <v>0</v>
      </c>
      <c r="CU20" s="30">
        <f t="shared" si="20"/>
        <v>0</v>
      </c>
      <c r="CV20" s="280">
        <f t="shared" si="20"/>
        <v>0</v>
      </c>
      <c r="CW20" s="237">
        <f t="shared" si="21"/>
        <v>21.72</v>
      </c>
      <c r="CX20" s="29">
        <f t="shared" si="21"/>
        <v>0</v>
      </c>
      <c r="CY20" s="277">
        <f t="shared" si="21"/>
        <v>259.52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8"/>
        <v>0</v>
      </c>
    </row>
    <row r="21" spans="1:110" ht="16.5" customHeight="1">
      <c r="A21" s="127">
        <v>15</v>
      </c>
      <c r="B21" s="103">
        <f>'[1]февраль 20'!K20</f>
        <v>547.06200000000001</v>
      </c>
      <c r="C21" s="104">
        <f t="shared" si="0"/>
        <v>1.7832427768698977</v>
      </c>
      <c r="D21" s="143">
        <f t="shared" si="1"/>
        <v>537.30655639999998</v>
      </c>
      <c r="E21" s="104">
        <f t="shared" si="2"/>
        <v>40.415634461907423</v>
      </c>
      <c r="F21" s="128">
        <f t="shared" si="3"/>
        <v>2.2633917031045954</v>
      </c>
      <c r="G21" s="106"/>
      <c r="H21" s="107">
        <f t="shared" si="4"/>
        <v>1.5038146358313322</v>
      </c>
      <c r="I21" s="103">
        <f>'[1]сентябрь 20'!AE20</f>
        <v>0</v>
      </c>
      <c r="J21" s="103">
        <f>'[1]февраль 20'!AA20</f>
        <v>14.595000000000001</v>
      </c>
      <c r="K21" s="106"/>
      <c r="L21" s="328">
        <f>'[1]февраль 20'!AI20</f>
        <v>180.316</v>
      </c>
      <c r="M21" s="103">
        <f t="shared" si="5"/>
        <v>0.75957706727326324</v>
      </c>
      <c r="N21" s="103">
        <f>'[1]июль 20'!AM20</f>
        <v>0</v>
      </c>
      <c r="O21" s="103">
        <f>'[1]февраль 20'!W20</f>
        <v>0</v>
      </c>
      <c r="P21" s="103">
        <f>'[1]февраль 20'!S20</f>
        <v>343.46100000000001</v>
      </c>
      <c r="Q21" s="108">
        <f t="shared" si="6"/>
        <v>3.1069029671491055</v>
      </c>
      <c r="R21" s="109">
        <f t="shared" si="7"/>
        <v>332.79</v>
      </c>
      <c r="S21" s="106">
        <v>36.21</v>
      </c>
      <c r="T21" s="109">
        <f t="shared" si="8"/>
        <v>332.79</v>
      </c>
      <c r="U21" s="110">
        <f t="shared" si="9"/>
        <v>1.4018703399469226</v>
      </c>
      <c r="V21" s="136">
        <v>143.22</v>
      </c>
      <c r="W21" s="130">
        <v>237.39</v>
      </c>
      <c r="X21" s="131">
        <v>0.28999999999999998</v>
      </c>
      <c r="Y21" s="112">
        <v>601</v>
      </c>
      <c r="Z21" s="133">
        <v>1228</v>
      </c>
      <c r="AA21" s="151" t="s">
        <v>184</v>
      </c>
      <c r="AB21" s="131">
        <v>75.239999999999995</v>
      </c>
      <c r="AC21" s="133">
        <v>182</v>
      </c>
      <c r="AD21" s="134">
        <v>5</v>
      </c>
      <c r="AE21" s="131">
        <v>1.05</v>
      </c>
      <c r="AF21" s="115">
        <f t="shared" si="10"/>
        <v>4.4231012258309113</v>
      </c>
      <c r="AG21" s="131">
        <v>158.15</v>
      </c>
      <c r="AH21" s="115">
        <f t="shared" si="11"/>
        <v>666.20329415729384</v>
      </c>
      <c r="AI21" s="139">
        <v>24.94</v>
      </c>
      <c r="AJ21" s="131"/>
      <c r="AK21" s="136">
        <v>9.1</v>
      </c>
      <c r="AL21" s="136">
        <v>53.48</v>
      </c>
      <c r="AM21" s="110">
        <f t="shared" si="12"/>
        <v>0.17955346650998821</v>
      </c>
      <c r="AN21" s="137" t="s">
        <v>189</v>
      </c>
      <c r="AO21" s="150">
        <v>9.5299999999999994</v>
      </c>
      <c r="AP21" s="138">
        <v>6.15</v>
      </c>
      <c r="AQ21" s="131"/>
      <c r="AR21" s="131">
        <v>13.32</v>
      </c>
      <c r="AS21" s="315">
        <v>297.85000000000002</v>
      </c>
      <c r="AT21" s="131">
        <v>2.12</v>
      </c>
      <c r="AU21" s="116"/>
      <c r="AV21" s="131"/>
      <c r="AW21" s="109">
        <f t="shared" si="29"/>
        <v>0</v>
      </c>
      <c r="AX21" s="109">
        <f t="shared" si="13"/>
        <v>237.39000000000004</v>
      </c>
      <c r="AY21" s="115">
        <f t="shared" si="24"/>
        <v>251.96313177183231</v>
      </c>
      <c r="AZ21" s="140">
        <f t="shared" si="14"/>
        <v>16.318407042253522</v>
      </c>
      <c r="BA21" s="141">
        <f t="shared" si="15"/>
        <v>9.4956000000000014</v>
      </c>
      <c r="BB21" s="128">
        <f t="shared" si="16"/>
        <v>0.82250712055631037</v>
      </c>
      <c r="BC21" s="141">
        <f t="shared" si="17"/>
        <v>25.814007042253522</v>
      </c>
      <c r="BD21" s="142">
        <v>0.92</v>
      </c>
      <c r="BE21" s="16">
        <f t="shared" si="25"/>
        <v>3535.0499999999997</v>
      </c>
      <c r="BF21" s="16">
        <f t="shared" si="18"/>
        <v>221.10344827586206</v>
      </c>
      <c r="BG21" s="16">
        <f t="shared" si="26"/>
        <v>3316.5517241379298</v>
      </c>
      <c r="BH21" s="17">
        <f t="shared" si="19"/>
        <v>1</v>
      </c>
      <c r="BI21" s="16">
        <f t="shared" si="27"/>
        <v>3316.5517241379298</v>
      </c>
      <c r="BJ21" s="254">
        <v>366.74599999999998</v>
      </c>
      <c r="BK21" s="197"/>
      <c r="BL21" s="197">
        <v>180.316</v>
      </c>
      <c r="BM21" s="197"/>
      <c r="BN21" s="230"/>
      <c r="BO21" s="230"/>
      <c r="BP21" s="259"/>
      <c r="BQ21" s="199"/>
      <c r="BR21" s="200">
        <v>2.66</v>
      </c>
      <c r="BS21" s="200"/>
      <c r="BT21" s="200"/>
      <c r="BU21" s="200"/>
      <c r="BV21" s="208"/>
      <c r="BW21" s="208"/>
      <c r="BX21" s="201"/>
      <c r="BY21" s="202">
        <v>37.67</v>
      </c>
      <c r="BZ21" s="200"/>
      <c r="CA21" s="200">
        <v>46</v>
      </c>
      <c r="CB21" s="200"/>
      <c r="CC21" s="208"/>
      <c r="CD21" s="208"/>
      <c r="CE21" s="209"/>
      <c r="CF21" s="199"/>
      <c r="CG21" s="197">
        <v>332.79</v>
      </c>
      <c r="CH21" s="197"/>
      <c r="CI21" s="197"/>
      <c r="CJ21" s="198"/>
      <c r="CK21" s="202"/>
      <c r="CL21" s="208"/>
      <c r="CM21" s="208"/>
      <c r="CN21" s="201"/>
      <c r="CO21" s="284"/>
      <c r="CP21" s="286">
        <f t="shared" si="20"/>
        <v>356.9905564</v>
      </c>
      <c r="CQ21" s="27">
        <f t="shared" si="20"/>
        <v>0</v>
      </c>
      <c r="CR21" s="28">
        <f t="shared" si="20"/>
        <v>180.316</v>
      </c>
      <c r="CS21" s="27">
        <f t="shared" si="20"/>
        <v>0</v>
      </c>
      <c r="CT21" s="27">
        <f t="shared" si="20"/>
        <v>0</v>
      </c>
      <c r="CU21" s="24">
        <f t="shared" si="20"/>
        <v>0</v>
      </c>
      <c r="CV21" s="281">
        <f t="shared" si="20"/>
        <v>0</v>
      </c>
      <c r="CW21" s="237">
        <f t="shared" si="21"/>
        <v>332.79</v>
      </c>
      <c r="CX21" s="24">
        <f t="shared" si="21"/>
        <v>0</v>
      </c>
      <c r="CY21" s="277">
        <f t="shared" si="21"/>
        <v>0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8"/>
        <v>0</v>
      </c>
    </row>
    <row r="22" spans="1:110" ht="16.5" customHeight="1">
      <c r="A22" s="127">
        <v>16</v>
      </c>
      <c r="B22" s="103">
        <f>'[1]февраль 20'!K21</f>
        <v>555.18799999999999</v>
      </c>
      <c r="C22" s="104">
        <f t="shared" si="0"/>
        <v>1.6879914191228917</v>
      </c>
      <c r="D22" s="143">
        <f t="shared" si="1"/>
        <v>545.81647420000002</v>
      </c>
      <c r="E22" s="104">
        <f t="shared" si="2"/>
        <v>39.944559284422574</v>
      </c>
      <c r="F22" s="128">
        <f t="shared" si="3"/>
        <v>2.6300605897942466</v>
      </c>
      <c r="G22" s="106"/>
      <c r="H22" s="107">
        <f t="shared" si="4"/>
        <v>1.7830794304437914</v>
      </c>
      <c r="I22" s="103">
        <f>'[1]сентябрь 20'!AE21</f>
        <v>0</v>
      </c>
      <c r="J22" s="103">
        <f>'[1]февраль 20'!AA21</f>
        <v>14.647</v>
      </c>
      <c r="K22" s="106"/>
      <c r="L22" s="328">
        <f>'[1]февраль 20'!AI21</f>
        <v>175.774</v>
      </c>
      <c r="M22" s="103">
        <f t="shared" si="5"/>
        <v>0.84698115935045537</v>
      </c>
      <c r="N22" s="103">
        <f>'[1]июль 20'!AM21</f>
        <v>0</v>
      </c>
      <c r="O22" s="103">
        <f>'[1]февраль 20'!W21</f>
        <v>0</v>
      </c>
      <c r="P22" s="103">
        <f>'[1]февраль 20'!S21</f>
        <v>357.09199999999998</v>
      </c>
      <c r="Q22" s="108">
        <f t="shared" si="6"/>
        <v>3.1790126914072458</v>
      </c>
      <c r="R22" s="109">
        <f t="shared" si="7"/>
        <v>345.74</v>
      </c>
      <c r="S22" s="106">
        <v>23.93</v>
      </c>
      <c r="T22" s="109">
        <f t="shared" si="8"/>
        <v>345.74</v>
      </c>
      <c r="U22" s="110">
        <f t="shared" si="9"/>
        <v>1.665976003469378</v>
      </c>
      <c r="V22" s="136">
        <v>159.63</v>
      </c>
      <c r="W22" s="129">
        <v>207.53</v>
      </c>
      <c r="X22" s="131">
        <v>0.17</v>
      </c>
      <c r="Y22" s="112">
        <v>524</v>
      </c>
      <c r="Z22" s="152">
        <v>1240</v>
      </c>
      <c r="AA22" s="144" t="s">
        <v>176</v>
      </c>
      <c r="AB22" s="131">
        <v>75.2</v>
      </c>
      <c r="AC22" s="133">
        <v>186</v>
      </c>
      <c r="AD22" s="134">
        <v>5</v>
      </c>
      <c r="AE22" s="131">
        <v>2.5</v>
      </c>
      <c r="AF22" s="115">
        <f t="shared" si="10"/>
        <v>12.046451115501373</v>
      </c>
      <c r="AG22" s="131">
        <v>163.69999999999999</v>
      </c>
      <c r="AH22" s="115">
        <f t="shared" si="11"/>
        <v>788.80161904302986</v>
      </c>
      <c r="AI22" s="139">
        <v>21.44</v>
      </c>
      <c r="AJ22" s="131"/>
      <c r="AK22" s="136">
        <v>10.19</v>
      </c>
      <c r="AL22" s="136">
        <v>58.55</v>
      </c>
      <c r="AM22" s="110">
        <f t="shared" si="12"/>
        <v>0.21349134001823153</v>
      </c>
      <c r="AN22" s="137" t="s">
        <v>190</v>
      </c>
      <c r="AO22" s="150">
        <v>8.6199999999999992</v>
      </c>
      <c r="AP22" s="138">
        <v>5.7</v>
      </c>
      <c r="AQ22" s="134"/>
      <c r="AR22" s="131">
        <v>17.71</v>
      </c>
      <c r="AS22" s="315">
        <v>274.25</v>
      </c>
      <c r="AT22" s="131">
        <v>2.02</v>
      </c>
      <c r="AU22" s="116"/>
      <c r="AV22" s="131"/>
      <c r="AW22" s="109">
        <f t="shared" si="29"/>
        <v>0</v>
      </c>
      <c r="AX22" s="109">
        <f t="shared" si="13"/>
        <v>207.53</v>
      </c>
      <c r="AY22" s="115">
        <f t="shared" si="24"/>
        <v>253.104972088566</v>
      </c>
      <c r="AZ22" s="140">
        <f t="shared" si="14"/>
        <v>22.458026056338028</v>
      </c>
      <c r="BA22" s="141">
        <f t="shared" si="15"/>
        <v>8.3011999999999997</v>
      </c>
      <c r="BB22" s="128">
        <f t="shared" si="16"/>
        <v>0.71580454743735367</v>
      </c>
      <c r="BC22" s="141">
        <f t="shared" si="17"/>
        <v>30.759226056338029</v>
      </c>
      <c r="BD22" s="142">
        <v>0.90600000000000003</v>
      </c>
      <c r="BE22" s="16">
        <f t="shared" si="25"/>
        <v>3742.58</v>
      </c>
      <c r="BF22" s="16">
        <f t="shared" si="18"/>
        <v>221.10344827586206</v>
      </c>
      <c r="BG22" s="16">
        <f t="shared" si="26"/>
        <v>3537.6551724137917</v>
      </c>
      <c r="BH22" s="17">
        <f t="shared" si="19"/>
        <v>1</v>
      </c>
      <c r="BI22" s="16">
        <f t="shared" si="27"/>
        <v>3537.6551724137917</v>
      </c>
      <c r="BJ22" s="254">
        <v>379.41399999999999</v>
      </c>
      <c r="BK22" s="197"/>
      <c r="BL22" s="197">
        <v>175.774</v>
      </c>
      <c r="BM22" s="197"/>
      <c r="BN22" s="230"/>
      <c r="BO22" s="230"/>
      <c r="BP22" s="258"/>
      <c r="BQ22" s="199"/>
      <c r="BR22" s="200">
        <v>2.4700000000000002</v>
      </c>
      <c r="BS22" s="200"/>
      <c r="BT22" s="200"/>
      <c r="BU22" s="200"/>
      <c r="BV22" s="208"/>
      <c r="BW22" s="208"/>
      <c r="BX22" s="201"/>
      <c r="BY22" s="202">
        <v>36.94</v>
      </c>
      <c r="BZ22" s="200"/>
      <c r="CA22" s="200">
        <v>46.43</v>
      </c>
      <c r="CB22" s="200"/>
      <c r="CC22" s="208"/>
      <c r="CD22" s="208"/>
      <c r="CE22" s="201"/>
      <c r="CF22" s="199"/>
      <c r="CG22" s="197">
        <v>345.74</v>
      </c>
      <c r="CH22" s="197"/>
      <c r="CI22" s="197"/>
      <c r="CJ22" s="198"/>
      <c r="CK22" s="202"/>
      <c r="CL22" s="200"/>
      <c r="CM22" s="208"/>
      <c r="CN22" s="201"/>
      <c r="CO22" s="284"/>
      <c r="CP22" s="286">
        <f t="shared" si="20"/>
        <v>370.04247420000002</v>
      </c>
      <c r="CQ22" s="29">
        <f t="shared" si="20"/>
        <v>0</v>
      </c>
      <c r="CR22" s="30">
        <f t="shared" si="20"/>
        <v>175.774</v>
      </c>
      <c r="CS22" s="29">
        <f t="shared" si="20"/>
        <v>0</v>
      </c>
      <c r="CT22" s="27">
        <f t="shared" si="20"/>
        <v>0</v>
      </c>
      <c r="CU22" s="24">
        <f t="shared" si="20"/>
        <v>0</v>
      </c>
      <c r="CV22" s="282">
        <f t="shared" si="20"/>
        <v>0</v>
      </c>
      <c r="CW22" s="237">
        <f t="shared" si="21"/>
        <v>345.74</v>
      </c>
      <c r="CX22" s="24">
        <f t="shared" si="21"/>
        <v>0</v>
      </c>
      <c r="CY22" s="277">
        <f t="shared" si="21"/>
        <v>0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8"/>
        <v>0</v>
      </c>
    </row>
    <row r="23" spans="1:110" ht="16.5" customHeight="1">
      <c r="A23" s="127">
        <v>17</v>
      </c>
      <c r="B23" s="103">
        <f>'[1]февраль 20'!K22</f>
        <v>564.17999999999995</v>
      </c>
      <c r="C23" s="104">
        <f t="shared" si="0"/>
        <v>1.394133787089227</v>
      </c>
      <c r="D23" s="143">
        <f t="shared" si="1"/>
        <v>556.31457599999987</v>
      </c>
      <c r="E23" s="104">
        <f t="shared" si="2"/>
        <v>39.800722109964909</v>
      </c>
      <c r="F23" s="128">
        <f t="shared" si="3"/>
        <v>2.2058468517049952</v>
      </c>
      <c r="G23" s="106"/>
      <c r="H23" s="107">
        <f t="shared" si="4"/>
        <v>1.4975994290245835</v>
      </c>
      <c r="I23" s="103">
        <f>'[1]сентябрь 20'!AE22</f>
        <v>0</v>
      </c>
      <c r="J23" s="103">
        <f>'[1]февраль 20'!AA22</f>
        <v>15.53</v>
      </c>
      <c r="K23" s="106"/>
      <c r="L23" s="328">
        <f>'[1]февраль 20'!AI22</f>
        <v>178.62</v>
      </c>
      <c r="M23" s="103">
        <f t="shared" si="5"/>
        <v>0.7082474226804123</v>
      </c>
      <c r="N23" s="103">
        <f>'[1]июль 20'!AM22</f>
        <v>0</v>
      </c>
      <c r="O23" s="103">
        <f>'[1]февраль 20'!W22</f>
        <v>0</v>
      </c>
      <c r="P23" s="103">
        <f>'[1]февраль 20'!S22</f>
        <v>371.505</v>
      </c>
      <c r="Q23" s="108">
        <f t="shared" si="6"/>
        <v>3.5867619547516161</v>
      </c>
      <c r="R23" s="109">
        <f t="shared" si="7"/>
        <v>358.17999999999995</v>
      </c>
      <c r="S23" s="106">
        <v>57.74</v>
      </c>
      <c r="T23" s="109">
        <f t="shared" si="8"/>
        <v>358.18</v>
      </c>
      <c r="U23" s="110">
        <f t="shared" si="9"/>
        <v>1.4202220459952415</v>
      </c>
      <c r="V23" s="136">
        <v>252.2</v>
      </c>
      <c r="W23" s="129">
        <v>196.69</v>
      </c>
      <c r="X23" s="131">
        <v>0.61</v>
      </c>
      <c r="Y23" s="112">
        <v>501</v>
      </c>
      <c r="Z23" s="133">
        <v>1252</v>
      </c>
      <c r="AA23" s="144" t="s">
        <v>165</v>
      </c>
      <c r="AB23" s="131">
        <v>76.13</v>
      </c>
      <c r="AC23" s="133">
        <v>189</v>
      </c>
      <c r="AD23" s="134">
        <v>5</v>
      </c>
      <c r="AE23" s="131">
        <v>1.75</v>
      </c>
      <c r="AF23" s="115">
        <f t="shared" si="10"/>
        <v>6.9389373513084847</v>
      </c>
      <c r="AG23" s="131">
        <v>141.44999999999999</v>
      </c>
      <c r="AH23" s="115">
        <f t="shared" si="11"/>
        <v>560.86439333862006</v>
      </c>
      <c r="AI23" s="139">
        <v>26.11</v>
      </c>
      <c r="AJ23" s="131"/>
      <c r="AK23" s="136">
        <v>12.16</v>
      </c>
      <c r="AL23" s="136">
        <v>49.27</v>
      </c>
      <c r="AM23" s="110">
        <f t="shared" si="12"/>
        <v>0.15855189058728883</v>
      </c>
      <c r="AN23" s="137" t="s">
        <v>191</v>
      </c>
      <c r="AO23" s="150">
        <v>10.23</v>
      </c>
      <c r="AP23" s="138">
        <v>6.28</v>
      </c>
      <c r="AQ23" s="134"/>
      <c r="AR23" s="131">
        <v>11.05</v>
      </c>
      <c r="AS23" s="315">
        <v>310.75</v>
      </c>
      <c r="AT23" s="131">
        <v>2.88</v>
      </c>
      <c r="AU23" s="116"/>
      <c r="AV23" s="131"/>
      <c r="AW23" s="109">
        <f t="shared" si="29"/>
        <v>0</v>
      </c>
      <c r="AX23" s="109">
        <f t="shared" si="13"/>
        <v>252.20000000000002</v>
      </c>
      <c r="AY23" s="115">
        <f t="shared" si="24"/>
        <v>253.90415303784818</v>
      </c>
      <c r="AZ23" s="140">
        <f t="shared" si="14"/>
        <v>12.107920774647887</v>
      </c>
      <c r="BA23" s="141">
        <f t="shared" si="15"/>
        <v>10.088000000000001</v>
      </c>
      <c r="BB23" s="128">
        <f t="shared" si="16"/>
        <v>0.86714060154494721</v>
      </c>
      <c r="BC23" s="141">
        <f t="shared" si="17"/>
        <v>22.195920774647888</v>
      </c>
      <c r="BD23" s="142">
        <v>0.90300000000000002</v>
      </c>
      <c r="BE23" s="16">
        <f t="shared" si="25"/>
        <v>3994.7799999999997</v>
      </c>
      <c r="BF23" s="16">
        <f t="shared" si="18"/>
        <v>221.10344827586206</v>
      </c>
      <c r="BG23" s="16">
        <f t="shared" si="26"/>
        <v>3758.7586206896535</v>
      </c>
      <c r="BH23" s="17">
        <f t="shared" si="19"/>
        <v>1</v>
      </c>
      <c r="BI23" s="16">
        <f t="shared" si="27"/>
        <v>3758.7586206896535</v>
      </c>
      <c r="BJ23" s="254">
        <v>385.56</v>
      </c>
      <c r="BK23" s="197"/>
      <c r="BL23" s="197">
        <v>178.62</v>
      </c>
      <c r="BM23" s="197"/>
      <c r="BN23" s="230"/>
      <c r="BO23" s="230"/>
      <c r="BP23" s="258"/>
      <c r="BQ23" s="199"/>
      <c r="BR23" s="200">
        <v>2.04</v>
      </c>
      <c r="BS23" s="200"/>
      <c r="BT23" s="200"/>
      <c r="BU23" s="200"/>
      <c r="BV23" s="208"/>
      <c r="BW23" s="208"/>
      <c r="BX23" s="201"/>
      <c r="BY23" s="202">
        <v>36.85</v>
      </c>
      <c r="BZ23" s="200"/>
      <c r="CA23" s="200">
        <v>46.17</v>
      </c>
      <c r="CB23" s="200"/>
      <c r="CC23" s="208"/>
      <c r="CD23" s="208"/>
      <c r="CE23" s="209"/>
      <c r="CF23" s="199"/>
      <c r="CG23" s="197">
        <v>358.18</v>
      </c>
      <c r="CH23" s="197"/>
      <c r="CI23" s="197"/>
      <c r="CJ23" s="198"/>
      <c r="CK23" s="202"/>
      <c r="CL23" s="208"/>
      <c r="CM23" s="208"/>
      <c r="CN23" s="201"/>
      <c r="CO23" s="284"/>
      <c r="CP23" s="286">
        <f t="shared" si="20"/>
        <v>377.69457599999998</v>
      </c>
      <c r="CQ23" s="24">
        <f t="shared" si="20"/>
        <v>0</v>
      </c>
      <c r="CR23" s="25">
        <f t="shared" si="20"/>
        <v>178.62</v>
      </c>
      <c r="CS23" s="24">
        <f t="shared" si="20"/>
        <v>0</v>
      </c>
      <c r="CT23" s="27">
        <f t="shared" si="20"/>
        <v>0</v>
      </c>
      <c r="CU23" s="24">
        <f t="shared" si="20"/>
        <v>0</v>
      </c>
      <c r="CV23" s="280">
        <f t="shared" si="20"/>
        <v>0</v>
      </c>
      <c r="CW23" s="237">
        <f t="shared" si="21"/>
        <v>358.18</v>
      </c>
      <c r="CX23" s="29">
        <f t="shared" si="21"/>
        <v>0</v>
      </c>
      <c r="CY23" s="277">
        <f t="shared" si="21"/>
        <v>0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8"/>
        <v>0</v>
      </c>
    </row>
    <row r="24" spans="1:110" ht="16.5" customHeight="1">
      <c r="A24" s="127">
        <v>18</v>
      </c>
      <c r="B24" s="103">
        <f>'[1]февраль 20'!K23</f>
        <v>242.739</v>
      </c>
      <c r="C24" s="104">
        <f t="shared" si="0"/>
        <v>1.4916545754905475</v>
      </c>
      <c r="D24" s="143">
        <f t="shared" si="1"/>
        <v>239.11817260000001</v>
      </c>
      <c r="E24" s="104">
        <f t="shared" si="2"/>
        <v>40.364429819682869</v>
      </c>
      <c r="F24" s="128">
        <f t="shared" si="3"/>
        <v>2.5362555430632159</v>
      </c>
      <c r="G24" s="106"/>
      <c r="H24" s="107">
        <f t="shared" si="4"/>
        <v>1.723294151463725</v>
      </c>
      <c r="I24" s="103">
        <f>'[1]сентябрь 20'!AE23</f>
        <v>0</v>
      </c>
      <c r="J24" s="103">
        <f>'[1]февраль 20'!AA23</f>
        <v>6.5309999999999997</v>
      </c>
      <c r="K24" s="106"/>
      <c r="L24" s="328">
        <f>'[1]февраль 20'!AI23</f>
        <v>76.646000000000001</v>
      </c>
      <c r="M24" s="103">
        <f t="shared" si="5"/>
        <v>0.81296139159949088</v>
      </c>
      <c r="N24" s="103">
        <f>'[1]июль 20'!AM23</f>
        <v>0</v>
      </c>
      <c r="O24" s="103">
        <f>'[1]февраль 20'!W23</f>
        <v>0</v>
      </c>
      <c r="P24" s="103">
        <f>'[1]февраль 20'!S23</f>
        <v>170.63900000000001</v>
      </c>
      <c r="Q24" s="108">
        <f t="shared" si="6"/>
        <v>2.8944145242295272</v>
      </c>
      <c r="R24" s="109">
        <f t="shared" si="7"/>
        <v>165.7</v>
      </c>
      <c r="S24" s="106">
        <v>21.08</v>
      </c>
      <c r="T24" s="109">
        <f t="shared" si="8"/>
        <v>165.7</v>
      </c>
      <c r="U24" s="110">
        <f t="shared" si="9"/>
        <v>1.7575307594399658</v>
      </c>
      <c r="V24" s="136">
        <v>94.28</v>
      </c>
      <c r="W24" s="129">
        <v>94.28</v>
      </c>
      <c r="X24" s="131">
        <v>0.15</v>
      </c>
      <c r="Y24" s="133">
        <v>476</v>
      </c>
      <c r="Z24" s="133">
        <v>1168</v>
      </c>
      <c r="AA24" s="144" t="s">
        <v>192</v>
      </c>
      <c r="AB24" s="131">
        <v>75.760000000000005</v>
      </c>
      <c r="AC24" s="133">
        <v>84</v>
      </c>
      <c r="AD24" s="134">
        <v>2</v>
      </c>
      <c r="AE24" s="131">
        <v>1.8</v>
      </c>
      <c r="AF24" s="115">
        <f t="shared" si="10"/>
        <v>19.092066185829445</v>
      </c>
      <c r="AG24" s="131">
        <v>62.9</v>
      </c>
      <c r="AH24" s="115">
        <f t="shared" si="11"/>
        <v>667.16164616037327</v>
      </c>
      <c r="AI24" s="139">
        <v>9.6199999999999992</v>
      </c>
      <c r="AJ24" s="131"/>
      <c r="AK24" s="136">
        <v>5.9</v>
      </c>
      <c r="AL24" s="136">
        <v>18.149999999999999</v>
      </c>
      <c r="AM24" s="110">
        <f t="shared" si="12"/>
        <v>0.15653298835705043</v>
      </c>
      <c r="AN24" s="137" t="s">
        <v>193</v>
      </c>
      <c r="AO24" s="150">
        <v>8.8699999999999992</v>
      </c>
      <c r="AP24" s="138">
        <v>6.57</v>
      </c>
      <c r="AQ24" s="134"/>
      <c r="AR24" s="131">
        <v>13.1</v>
      </c>
      <c r="AS24" s="315">
        <v>115.95</v>
      </c>
      <c r="AT24" s="131">
        <v>2.38</v>
      </c>
      <c r="AU24" s="116"/>
      <c r="AV24" s="131"/>
      <c r="AW24" s="109">
        <f t="shared" si="29"/>
        <v>0</v>
      </c>
      <c r="AX24" s="109">
        <f t="shared" si="13"/>
        <v>94.28</v>
      </c>
      <c r="AY24" s="115">
        <f t="shared" si="24"/>
        <v>111.22071504837683</v>
      </c>
      <c r="AZ24" s="140">
        <f t="shared" si="14"/>
        <v>6.3830211267605632</v>
      </c>
      <c r="BA24" s="141"/>
      <c r="BB24" s="128">
        <f t="shared" si="16"/>
        <v>0.74002797018702671</v>
      </c>
      <c r="BC24" s="141">
        <f t="shared" si="17"/>
        <v>6.3830211267605632</v>
      </c>
      <c r="BD24" s="142">
        <v>0.89900000000000002</v>
      </c>
      <c r="BE24" s="16">
        <f t="shared" si="25"/>
        <v>4089.06</v>
      </c>
      <c r="BF24" s="16">
        <f t="shared" si="18"/>
        <v>221.10344827586206</v>
      </c>
      <c r="BG24" s="16">
        <f t="shared" si="26"/>
        <v>3979.8620689655154</v>
      </c>
      <c r="BH24" s="17">
        <f t="shared" si="19"/>
        <v>1</v>
      </c>
      <c r="BI24" s="16">
        <f t="shared" si="27"/>
        <v>3979.8620689655154</v>
      </c>
      <c r="BJ24" s="254">
        <v>166.09299999999999</v>
      </c>
      <c r="BK24" s="197"/>
      <c r="BL24" s="197">
        <v>76.646000000000001</v>
      </c>
      <c r="BM24" s="197"/>
      <c r="BN24" s="230"/>
      <c r="BO24" s="230"/>
      <c r="BP24" s="258"/>
      <c r="BQ24" s="199"/>
      <c r="BR24" s="200">
        <v>2.1800000000000002</v>
      </c>
      <c r="BS24" s="200"/>
      <c r="BT24" s="200"/>
      <c r="BU24" s="200"/>
      <c r="BV24" s="208"/>
      <c r="BW24" s="208"/>
      <c r="BX24" s="201"/>
      <c r="BY24" s="202">
        <v>37.57</v>
      </c>
      <c r="BZ24" s="200"/>
      <c r="CA24" s="200">
        <v>46.42</v>
      </c>
      <c r="CB24" s="200"/>
      <c r="CC24" s="208"/>
      <c r="CD24" s="208"/>
      <c r="CE24" s="209"/>
      <c r="CF24" s="199"/>
      <c r="CG24" s="197">
        <v>165.7</v>
      </c>
      <c r="CH24" s="197"/>
      <c r="CI24" s="197"/>
      <c r="CJ24" s="198"/>
      <c r="CK24" s="202"/>
      <c r="CL24" s="208"/>
      <c r="CM24" s="208"/>
      <c r="CN24" s="201"/>
      <c r="CO24" s="284"/>
      <c r="CP24" s="286">
        <f t="shared" si="20"/>
        <v>162.47217259999999</v>
      </c>
      <c r="CQ24" s="29">
        <f t="shared" si="20"/>
        <v>0</v>
      </c>
      <c r="CR24" s="30">
        <f t="shared" si="20"/>
        <v>76.646000000000001</v>
      </c>
      <c r="CS24" s="29">
        <f t="shared" si="20"/>
        <v>0</v>
      </c>
      <c r="CT24" s="27">
        <f t="shared" si="20"/>
        <v>0</v>
      </c>
      <c r="CU24" s="27">
        <f t="shared" si="20"/>
        <v>0</v>
      </c>
      <c r="CV24" s="282">
        <f t="shared" si="20"/>
        <v>0</v>
      </c>
      <c r="CW24" s="25">
        <f t="shared" si="21"/>
        <v>165.7</v>
      </c>
      <c r="CX24" s="26">
        <f t="shared" si="21"/>
        <v>0</v>
      </c>
      <c r="CY24" s="277">
        <f t="shared" si="21"/>
        <v>0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8"/>
        <v>0</v>
      </c>
    </row>
    <row r="25" spans="1:110" ht="16.5" customHeight="1">
      <c r="A25" s="127">
        <v>19</v>
      </c>
      <c r="B25" s="103">
        <f>'[1]февраль 20'!K24</f>
        <v>483.012</v>
      </c>
      <c r="C25" s="104">
        <f t="shared" si="0"/>
        <v>1.603470597003801</v>
      </c>
      <c r="D25" s="143">
        <f t="shared" si="1"/>
        <v>475.26704459999996</v>
      </c>
      <c r="E25" s="104">
        <f t="shared" si="2"/>
        <v>39.882412735087328</v>
      </c>
      <c r="F25" s="128">
        <f t="shared" si="3"/>
        <v>2.0584132903114036</v>
      </c>
      <c r="G25" s="106"/>
      <c r="H25" s="107">
        <f t="shared" si="4"/>
        <v>1.3999568824981592</v>
      </c>
      <c r="I25" s="103">
        <f>'[1]сентябрь 20'!AE24</f>
        <v>0</v>
      </c>
      <c r="J25" s="103">
        <f>'[1]февраль 20'!AA24</f>
        <v>11.987</v>
      </c>
      <c r="K25" s="106"/>
      <c r="L25" s="328">
        <f>'[1]февраль 20'!AI24</f>
        <v>152.03100000000001</v>
      </c>
      <c r="M25" s="103">
        <f t="shared" si="5"/>
        <v>0.65845640781324444</v>
      </c>
      <c r="N25" s="103">
        <f>'[1]июль 20'!AM24</f>
        <v>2.8069999999999999</v>
      </c>
      <c r="O25" s="103">
        <f>'[1]февраль 20'!W24</f>
        <v>0</v>
      </c>
      <c r="P25" s="103">
        <f>'[1]февраль 20'!S24</f>
        <v>320.45400000000001</v>
      </c>
      <c r="Q25" s="108">
        <f t="shared" si="6"/>
        <v>2.8128842205121463</v>
      </c>
      <c r="R25" s="109">
        <f t="shared" si="7"/>
        <v>311.44</v>
      </c>
      <c r="S25" s="106">
        <v>14.93</v>
      </c>
      <c r="T25" s="109">
        <f t="shared" si="8"/>
        <v>311.44</v>
      </c>
      <c r="U25" s="110">
        <f t="shared" si="9"/>
        <v>1.3488674260470355</v>
      </c>
      <c r="V25" s="136">
        <v>230.89</v>
      </c>
      <c r="W25" s="129">
        <v>230.89</v>
      </c>
      <c r="X25" s="131">
        <v>0.44</v>
      </c>
      <c r="Y25" s="133">
        <v>566</v>
      </c>
      <c r="Z25" s="133">
        <v>1226</v>
      </c>
      <c r="AA25" s="144" t="s">
        <v>176</v>
      </c>
      <c r="AB25" s="131">
        <v>76.150000000000006</v>
      </c>
      <c r="AC25" s="133">
        <v>160</v>
      </c>
      <c r="AD25" s="134">
        <v>5</v>
      </c>
      <c r="AE25" s="131">
        <v>0.2</v>
      </c>
      <c r="AF25" s="115">
        <f t="shared" si="10"/>
        <v>0.86621334834769814</v>
      </c>
      <c r="AG25" s="131">
        <v>154.4</v>
      </c>
      <c r="AH25" s="115">
        <f t="shared" si="11"/>
        <v>668.71670492442297</v>
      </c>
      <c r="AI25" s="139">
        <v>26.44</v>
      </c>
      <c r="AJ25" s="131"/>
      <c r="AK25" s="136">
        <v>8.65</v>
      </c>
      <c r="AL25" s="136">
        <v>48.59</v>
      </c>
      <c r="AM25" s="110">
        <f t="shared" si="12"/>
        <v>0.17004374453193352</v>
      </c>
      <c r="AN25" s="137" t="s">
        <v>194</v>
      </c>
      <c r="AO25" s="150">
        <v>9.4</v>
      </c>
      <c r="AP25" s="138">
        <v>6.38</v>
      </c>
      <c r="AQ25" s="153"/>
      <c r="AR25" s="131">
        <v>12</v>
      </c>
      <c r="AS25" s="315">
        <v>285.75</v>
      </c>
      <c r="AT25" s="131">
        <v>2.38</v>
      </c>
      <c r="AU25" s="148"/>
      <c r="AV25" s="131"/>
      <c r="AW25" s="109">
        <f t="shared" si="29"/>
        <v>0</v>
      </c>
      <c r="AX25" s="109">
        <f t="shared" si="13"/>
        <v>230.89</v>
      </c>
      <c r="AY25" s="115">
        <f t="shared" si="24"/>
        <v>217.30186848644541</v>
      </c>
      <c r="AZ25" s="140">
        <f t="shared" si="14"/>
        <v>14.35267605633803</v>
      </c>
      <c r="BA25" s="141">
        <f t="shared" ref="BA25:BA37" si="30">AX25*$BA$6</f>
        <v>9.2355999999999998</v>
      </c>
      <c r="BB25" s="128">
        <f t="shared" si="16"/>
        <v>0.92758967699614192</v>
      </c>
      <c r="BC25" s="141">
        <f t="shared" si="17"/>
        <v>23.588276056338032</v>
      </c>
      <c r="BD25" s="142">
        <v>0.9</v>
      </c>
      <c r="BE25" s="16">
        <f t="shared" si="25"/>
        <v>4319.95</v>
      </c>
      <c r="BF25" s="16">
        <f t="shared" si="18"/>
        <v>221.10344827586206</v>
      </c>
      <c r="BG25" s="16">
        <f t="shared" si="26"/>
        <v>4200.9655172413777</v>
      </c>
      <c r="BH25" s="17">
        <f t="shared" si="19"/>
        <v>1</v>
      </c>
      <c r="BI25" s="16">
        <f t="shared" si="27"/>
        <v>4200.9655172413777</v>
      </c>
      <c r="BJ25" s="254">
        <v>330.98099999999999</v>
      </c>
      <c r="BK25" s="197"/>
      <c r="BL25" s="197">
        <v>152.03100000000001</v>
      </c>
      <c r="BM25" s="197"/>
      <c r="BN25" s="230"/>
      <c r="BO25" s="230"/>
      <c r="BP25" s="258"/>
      <c r="BQ25" s="199"/>
      <c r="BR25" s="200">
        <v>2.34</v>
      </c>
      <c r="BS25" s="200"/>
      <c r="BT25" s="200"/>
      <c r="BU25" s="200"/>
      <c r="BV25" s="208"/>
      <c r="BW25" s="208"/>
      <c r="BX25" s="201"/>
      <c r="BY25" s="202">
        <v>36.93</v>
      </c>
      <c r="BZ25" s="200"/>
      <c r="CA25" s="200">
        <v>46.31</v>
      </c>
      <c r="CB25" s="200"/>
      <c r="CC25" s="208"/>
      <c r="CD25" s="208"/>
      <c r="CE25" s="201"/>
      <c r="CF25" s="199"/>
      <c r="CG25" s="197">
        <v>311.44</v>
      </c>
      <c r="CH25" s="197"/>
      <c r="CI25" s="197"/>
      <c r="CJ25" s="198"/>
      <c r="CK25" s="202"/>
      <c r="CL25" s="208"/>
      <c r="CM25" s="208"/>
      <c r="CN25" s="201"/>
      <c r="CO25" s="284"/>
      <c r="CP25" s="286">
        <f t="shared" si="20"/>
        <v>323.23604459999996</v>
      </c>
      <c r="CQ25" s="24">
        <f t="shared" si="20"/>
        <v>0</v>
      </c>
      <c r="CR25" s="25">
        <f t="shared" si="20"/>
        <v>152.03100000000001</v>
      </c>
      <c r="CS25" s="24">
        <f t="shared" si="20"/>
        <v>0</v>
      </c>
      <c r="CT25" s="27">
        <f t="shared" si="20"/>
        <v>0</v>
      </c>
      <c r="CU25" s="30">
        <f t="shared" si="20"/>
        <v>0</v>
      </c>
      <c r="CV25" s="280">
        <f t="shared" si="20"/>
        <v>0</v>
      </c>
      <c r="CW25" s="25">
        <f t="shared" si="21"/>
        <v>311.44</v>
      </c>
      <c r="CX25" s="26">
        <f t="shared" si="21"/>
        <v>0</v>
      </c>
      <c r="CY25" s="277">
        <f t="shared" si="21"/>
        <v>0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8"/>
        <v>0</v>
      </c>
    </row>
    <row r="26" spans="1:110" ht="16.5" customHeight="1">
      <c r="A26" s="127">
        <v>20</v>
      </c>
      <c r="B26" s="103">
        <f>'[1]февраль 20'!K25</f>
        <v>510.017</v>
      </c>
      <c r="C26" s="104">
        <f t="shared" si="0"/>
        <v>1.5381810802385019</v>
      </c>
      <c r="D26" s="143">
        <f t="shared" si="1"/>
        <v>502.17201499999999</v>
      </c>
      <c r="E26" s="104">
        <f t="shared" si="2"/>
        <v>40.260839246534921</v>
      </c>
      <c r="F26" s="128">
        <f t="shared" si="3"/>
        <v>2.4731446195518338</v>
      </c>
      <c r="G26" s="106"/>
      <c r="H26" s="107">
        <f t="shared" si="4"/>
        <v>1.6785078305835996</v>
      </c>
      <c r="I26" s="103">
        <f>'[1]сентябрь 20'!AE25</f>
        <v>0</v>
      </c>
      <c r="J26" s="103">
        <f>'[1]февраль 20'!AA25</f>
        <v>10.637</v>
      </c>
      <c r="K26" s="106"/>
      <c r="L26" s="328">
        <f>'[1]февраль 20'!AI25</f>
        <v>161.351</v>
      </c>
      <c r="M26" s="103">
        <f t="shared" si="5"/>
        <v>0.79463678896823431</v>
      </c>
      <c r="N26" s="103">
        <f>'[1]июль 20'!AM25</f>
        <v>7.1479999999999997</v>
      </c>
      <c r="O26" s="103">
        <f>'[1]февраль 20'!W25</f>
        <v>0</v>
      </c>
      <c r="P26" s="103">
        <f>'[1]февраль 20'!S25</f>
        <v>340.5</v>
      </c>
      <c r="Q26" s="108">
        <f t="shared" si="6"/>
        <v>3.9207048458149818</v>
      </c>
      <c r="R26" s="109">
        <f t="shared" si="7"/>
        <v>327.14999999999998</v>
      </c>
      <c r="S26" s="106">
        <v>27.79</v>
      </c>
      <c r="T26" s="109">
        <f t="shared" si="8"/>
        <v>327.14999999999998</v>
      </c>
      <c r="U26" s="110">
        <f t="shared" si="9"/>
        <v>1.6111795124353603</v>
      </c>
      <c r="V26" s="136">
        <v>203.05</v>
      </c>
      <c r="W26" s="154">
        <v>116.22</v>
      </c>
      <c r="X26" s="149">
        <v>0.82</v>
      </c>
      <c r="Y26" s="147">
        <v>552</v>
      </c>
      <c r="Z26" s="147">
        <v>1237</v>
      </c>
      <c r="AA26" s="144" t="s">
        <v>196</v>
      </c>
      <c r="AB26" s="149">
        <v>75.81</v>
      </c>
      <c r="AC26" s="147">
        <v>169</v>
      </c>
      <c r="AD26" s="155">
        <v>5</v>
      </c>
      <c r="AE26" s="149">
        <v>0.95</v>
      </c>
      <c r="AF26" s="115">
        <f t="shared" si="10"/>
        <v>4.6786505786752022</v>
      </c>
      <c r="AG26" s="149">
        <v>117.45</v>
      </c>
      <c r="AH26" s="115">
        <f t="shared" si="11"/>
        <v>578.42895838463426</v>
      </c>
      <c r="AI26" s="156">
        <v>22.87</v>
      </c>
      <c r="AJ26" s="149"/>
      <c r="AK26" s="157">
        <v>9.56</v>
      </c>
      <c r="AL26" s="157">
        <v>48.2</v>
      </c>
      <c r="AM26" s="110">
        <f t="shared" si="12"/>
        <v>0.18638824439288476</v>
      </c>
      <c r="AN26" s="158" t="s">
        <v>197</v>
      </c>
      <c r="AO26" s="404">
        <v>9.77</v>
      </c>
      <c r="AP26" s="159">
        <v>6.21</v>
      </c>
      <c r="AQ26" s="155"/>
      <c r="AR26" s="149">
        <v>11.96</v>
      </c>
      <c r="AS26" s="315">
        <v>258.60000000000002</v>
      </c>
      <c r="AT26" s="131">
        <v>2.21</v>
      </c>
      <c r="AU26" s="148"/>
      <c r="AV26" s="149"/>
      <c r="AW26" s="160">
        <f t="shared" si="29"/>
        <v>0</v>
      </c>
      <c r="AX26" s="109">
        <f t="shared" si="13"/>
        <v>203.05000000000004</v>
      </c>
      <c r="AY26" s="115">
        <f t="shared" si="24"/>
        <v>232.82149703509478</v>
      </c>
      <c r="AZ26" s="140">
        <f t="shared" si="14"/>
        <v>10.881494366197185</v>
      </c>
      <c r="BA26" s="140">
        <f t="shared" si="30"/>
        <v>8.1220000000000017</v>
      </c>
      <c r="BB26" s="161">
        <f t="shared" si="16"/>
        <v>0.76136719442741152</v>
      </c>
      <c r="BC26" s="140">
        <f t="shared" si="17"/>
        <v>19.003494366197188</v>
      </c>
      <c r="BD26" s="162">
        <v>0.89300000000000002</v>
      </c>
      <c r="BE26" s="16">
        <f t="shared" si="25"/>
        <v>4523</v>
      </c>
      <c r="BF26" s="16">
        <f t="shared" si="18"/>
        <v>221.10344827586206</v>
      </c>
      <c r="BG26" s="16">
        <f t="shared" si="26"/>
        <v>4422.06896551724</v>
      </c>
      <c r="BH26" s="17">
        <f t="shared" si="19"/>
        <v>1</v>
      </c>
      <c r="BI26" s="16">
        <f t="shared" si="27"/>
        <v>4422.06896551724</v>
      </c>
      <c r="BJ26" s="254">
        <v>348.666</v>
      </c>
      <c r="BK26" s="197"/>
      <c r="BL26" s="197">
        <v>161.351</v>
      </c>
      <c r="BM26" s="197"/>
      <c r="BN26" s="230"/>
      <c r="BO26" s="230"/>
      <c r="BP26" s="258"/>
      <c r="BQ26" s="199"/>
      <c r="BR26" s="200">
        <v>2.25</v>
      </c>
      <c r="BS26" s="200"/>
      <c r="BT26" s="200"/>
      <c r="BU26" s="200"/>
      <c r="BV26" s="208"/>
      <c r="BW26" s="208"/>
      <c r="BX26" s="201"/>
      <c r="BY26" s="202">
        <v>37.479999999999997</v>
      </c>
      <c r="BZ26" s="200"/>
      <c r="CA26" s="200">
        <v>46.27</v>
      </c>
      <c r="CB26" s="200"/>
      <c r="CC26" s="208"/>
      <c r="CD26" s="208"/>
      <c r="CE26" s="209"/>
      <c r="CF26" s="199"/>
      <c r="CG26" s="197">
        <v>253.05</v>
      </c>
      <c r="CH26" s="197"/>
      <c r="CI26" s="197">
        <v>74.099999999999994</v>
      </c>
      <c r="CJ26" s="198"/>
      <c r="CK26" s="202"/>
      <c r="CL26" s="208"/>
      <c r="CM26" s="208"/>
      <c r="CN26" s="201"/>
      <c r="CO26" s="284"/>
      <c r="CP26" s="286">
        <f t="shared" si="20"/>
        <v>340.82101499999999</v>
      </c>
      <c r="CQ26" s="24">
        <f t="shared" si="20"/>
        <v>0</v>
      </c>
      <c r="CR26" s="25">
        <f t="shared" si="20"/>
        <v>161.351</v>
      </c>
      <c r="CS26" s="24">
        <f t="shared" si="20"/>
        <v>0</v>
      </c>
      <c r="CT26" s="27">
        <f t="shared" si="20"/>
        <v>0</v>
      </c>
      <c r="CU26" s="24">
        <f t="shared" si="20"/>
        <v>0</v>
      </c>
      <c r="CV26" s="280">
        <f t="shared" si="20"/>
        <v>0</v>
      </c>
      <c r="CW26" s="30">
        <f t="shared" si="21"/>
        <v>253.05</v>
      </c>
      <c r="CX26" s="26">
        <f t="shared" si="21"/>
        <v>0</v>
      </c>
      <c r="CY26" s="277">
        <f t="shared" si="21"/>
        <v>74.099999999999994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8"/>
        <v>0</v>
      </c>
    </row>
    <row r="27" spans="1:110" ht="16.5" customHeight="1">
      <c r="A27" s="127">
        <v>21</v>
      </c>
      <c r="B27" s="103">
        <f>'[1]февраль 20'!K26</f>
        <v>435.41899999999998</v>
      </c>
      <c r="C27" s="104">
        <f t="shared" si="0"/>
        <v>1.579315326157104</v>
      </c>
      <c r="D27" s="143">
        <f t="shared" si="1"/>
        <v>428.54236099999997</v>
      </c>
      <c r="E27" s="104">
        <f t="shared" si="2"/>
        <v>40.099064969603987</v>
      </c>
      <c r="F27" s="128">
        <f t="shared" si="3"/>
        <v>1.8214143191091463</v>
      </c>
      <c r="G27" s="106"/>
      <c r="H27" s="107">
        <f t="shared" si="4"/>
        <v>1.2360309461067664</v>
      </c>
      <c r="I27" s="103">
        <f>'[1]сентябрь 20'!AE26</f>
        <v>0</v>
      </c>
      <c r="J27" s="103">
        <f>'[1]февраль 20'!AA26</f>
        <v>8.6210000000000004</v>
      </c>
      <c r="K27" s="106"/>
      <c r="L27" s="328">
        <f>'[1]февраль 20'!AI26</f>
        <v>137.72900000000001</v>
      </c>
      <c r="M27" s="103">
        <f t="shared" si="5"/>
        <v>0.58538337300238019</v>
      </c>
      <c r="N27" s="103">
        <f>'[1]июль 20'!AM26</f>
        <v>7.0339999999999998</v>
      </c>
      <c r="O27" s="103">
        <f>'[1]февраль 20'!W26</f>
        <v>0</v>
      </c>
      <c r="P27" s="103">
        <f>'[1]февраль 20'!S26</f>
        <v>286.68799999999999</v>
      </c>
      <c r="Q27" s="108">
        <f t="shared" si="6"/>
        <v>4.600122781560434</v>
      </c>
      <c r="R27" s="109">
        <f t="shared" si="7"/>
        <v>273.5</v>
      </c>
      <c r="S27" s="106">
        <v>2.96</v>
      </c>
      <c r="T27" s="109">
        <f t="shared" si="8"/>
        <v>273.5</v>
      </c>
      <c r="U27" s="110">
        <f t="shared" si="9"/>
        <v>1.1624447466848011</v>
      </c>
      <c r="V27" s="129">
        <v>235.28</v>
      </c>
      <c r="W27" s="129">
        <v>89.66</v>
      </c>
      <c r="X27" s="131">
        <v>1.02</v>
      </c>
      <c r="Y27" s="133">
        <v>638</v>
      </c>
      <c r="Z27" s="133">
        <v>1245</v>
      </c>
      <c r="AA27" s="144" t="s">
        <v>198</v>
      </c>
      <c r="AB27" s="131">
        <v>76.44</v>
      </c>
      <c r="AC27" s="133">
        <v>145</v>
      </c>
      <c r="AD27" s="134">
        <v>5</v>
      </c>
      <c r="AE27" s="131">
        <v>4.8499999999999996</v>
      </c>
      <c r="AF27" s="115">
        <f t="shared" si="10"/>
        <v>20.61373682420945</v>
      </c>
      <c r="AG27" s="131">
        <v>116.75</v>
      </c>
      <c r="AH27" s="115">
        <f t="shared" si="11"/>
        <v>496.21727303638221</v>
      </c>
      <c r="AI27" s="139">
        <v>24.87</v>
      </c>
      <c r="AJ27" s="131"/>
      <c r="AK27" s="136">
        <v>10.08</v>
      </c>
      <c r="AL27" s="136">
        <v>52.91</v>
      </c>
      <c r="AM27" s="110">
        <f t="shared" si="12"/>
        <v>0.17874999999999999</v>
      </c>
      <c r="AN27" s="137" t="s">
        <v>199</v>
      </c>
      <c r="AO27" s="150">
        <v>11.43</v>
      </c>
      <c r="AP27" s="138">
        <v>6.5</v>
      </c>
      <c r="AQ27" s="134"/>
      <c r="AR27" s="131">
        <v>7.46</v>
      </c>
      <c r="AS27" s="139">
        <v>296</v>
      </c>
      <c r="AT27" s="131">
        <v>2.27</v>
      </c>
      <c r="AU27" s="148"/>
      <c r="AV27" s="131"/>
      <c r="AW27" s="109">
        <f t="shared" si="29"/>
        <v>0</v>
      </c>
      <c r="AX27" s="109">
        <f t="shared" si="13"/>
        <v>235.28</v>
      </c>
      <c r="AY27" s="115">
        <f t="shared" si="24"/>
        <v>196.25537916037075</v>
      </c>
      <c r="AZ27" s="140">
        <f t="shared" si="14"/>
        <v>6.7468345070422533</v>
      </c>
      <c r="BA27" s="141">
        <f t="shared" si="30"/>
        <v>9.4112000000000009</v>
      </c>
      <c r="BB27" s="128">
        <f t="shared" si="16"/>
        <v>1.0465926634915679</v>
      </c>
      <c r="BC27" s="141">
        <f t="shared" si="17"/>
        <v>16.158034507042252</v>
      </c>
      <c r="BD27" s="142">
        <v>0.89900000000000002</v>
      </c>
      <c r="BE27" s="16">
        <f t="shared" si="25"/>
        <v>4758.28</v>
      </c>
      <c r="BF27" s="16">
        <f t="shared" si="18"/>
        <v>221.10344827586206</v>
      </c>
      <c r="BG27" s="16">
        <f t="shared" si="26"/>
        <v>4643.1724137931024</v>
      </c>
      <c r="BH27" s="17">
        <f t="shared" si="19"/>
        <v>1</v>
      </c>
      <c r="BI27" s="16">
        <f t="shared" si="27"/>
        <v>4643.1724137931024</v>
      </c>
      <c r="BJ27" s="254">
        <v>297.69</v>
      </c>
      <c r="BK27" s="197"/>
      <c r="BL27" s="197">
        <v>137.72900000000001</v>
      </c>
      <c r="BM27" s="197"/>
      <c r="BN27" s="230"/>
      <c r="BO27" s="230"/>
      <c r="BP27" s="258"/>
      <c r="BQ27" s="199"/>
      <c r="BR27" s="200">
        <v>2.31</v>
      </c>
      <c r="BS27" s="200"/>
      <c r="BT27" s="200"/>
      <c r="BU27" s="200"/>
      <c r="BV27" s="208"/>
      <c r="BW27" s="208"/>
      <c r="BX27" s="201"/>
      <c r="BY27" s="202">
        <v>37.17</v>
      </c>
      <c r="BZ27" s="200"/>
      <c r="CA27" s="200">
        <v>46.43</v>
      </c>
      <c r="CB27" s="200"/>
      <c r="CC27" s="208"/>
      <c r="CD27" s="208"/>
      <c r="CE27" s="209"/>
      <c r="CF27" s="199"/>
      <c r="CG27" s="197">
        <v>137.75</v>
      </c>
      <c r="CH27" s="197"/>
      <c r="CI27" s="197">
        <v>135.75</v>
      </c>
      <c r="CJ27" s="198"/>
      <c r="CK27" s="202"/>
      <c r="CL27" s="208"/>
      <c r="CM27" s="208"/>
      <c r="CN27" s="201"/>
      <c r="CO27" s="284"/>
      <c r="CP27" s="286">
        <f t="shared" si="20"/>
        <v>290.81336099999999</v>
      </c>
      <c r="CQ27" s="24">
        <f t="shared" si="20"/>
        <v>0</v>
      </c>
      <c r="CR27" s="25">
        <f t="shared" si="20"/>
        <v>137.72900000000001</v>
      </c>
      <c r="CS27" s="24">
        <f t="shared" si="20"/>
        <v>0</v>
      </c>
      <c r="CT27" s="27">
        <f t="shared" si="20"/>
        <v>0</v>
      </c>
      <c r="CU27" s="29">
        <f t="shared" si="20"/>
        <v>0</v>
      </c>
      <c r="CV27" s="280">
        <f t="shared" si="20"/>
        <v>0</v>
      </c>
      <c r="CW27" s="237">
        <f t="shared" si="21"/>
        <v>137.75</v>
      </c>
      <c r="CX27" s="26">
        <f t="shared" si="21"/>
        <v>0</v>
      </c>
      <c r="CY27" s="277">
        <f t="shared" si="21"/>
        <v>135.75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8"/>
        <v>0</v>
      </c>
    </row>
    <row r="28" spans="1:110" ht="16.5" customHeight="1">
      <c r="A28" s="127">
        <v>22</v>
      </c>
      <c r="B28" s="103">
        <f>'[1]февраль 20'!K27</f>
        <v>481.38400000000001</v>
      </c>
      <c r="C28" s="104">
        <f t="shared" si="0"/>
        <v>1.614491715553487</v>
      </c>
      <c r="D28" s="143">
        <f t="shared" si="1"/>
        <v>473.61209520000006</v>
      </c>
      <c r="E28" s="104">
        <f t="shared" si="2"/>
        <v>40.302457663736227</v>
      </c>
      <c r="F28" s="128">
        <f t="shared" si="3"/>
        <v>2.0844685321948861</v>
      </c>
      <c r="G28" s="106"/>
      <c r="H28" s="107">
        <f t="shared" si="4"/>
        <v>1.4151934122617844</v>
      </c>
      <c r="I28" s="103">
        <f>'[1]сентябрь 20'!AE27</f>
        <v>0</v>
      </c>
      <c r="J28" s="103">
        <f>'[1]февраль 20'!AA27</f>
        <v>10.975</v>
      </c>
      <c r="K28" s="106"/>
      <c r="L28" s="328">
        <f>'[1]февраль 20'!AI27</f>
        <v>152.066</v>
      </c>
      <c r="M28" s="103">
        <f t="shared" si="5"/>
        <v>0.66927511993310151</v>
      </c>
      <c r="N28" s="103">
        <f>'[1]июль 20'!AM27</f>
        <v>6.6520000000000001</v>
      </c>
      <c r="O28" s="103">
        <f>'[1]февраль 20'!W27</f>
        <v>0</v>
      </c>
      <c r="P28" s="103">
        <f>'[1]февраль 20'!S27</f>
        <v>314.47500000000002</v>
      </c>
      <c r="Q28" s="108">
        <f t="shared" si="6"/>
        <v>4.3485173702202058</v>
      </c>
      <c r="R28" s="109">
        <f t="shared" si="7"/>
        <v>300.8</v>
      </c>
      <c r="S28" s="106"/>
      <c r="T28" s="109">
        <f t="shared" si="8"/>
        <v>300.8</v>
      </c>
      <c r="U28" s="110">
        <f t="shared" si="9"/>
        <v>1.3238853923682936</v>
      </c>
      <c r="V28" s="129">
        <v>227.21</v>
      </c>
      <c r="W28" s="136">
        <v>227.21</v>
      </c>
      <c r="X28" s="131">
        <v>0.8</v>
      </c>
      <c r="Y28" s="133">
        <v>606</v>
      </c>
      <c r="Z28" s="133">
        <v>1232</v>
      </c>
      <c r="AA28" s="144" t="s">
        <v>200</v>
      </c>
      <c r="AB28" s="131">
        <v>76.459999999999994</v>
      </c>
      <c r="AC28" s="133">
        <v>160</v>
      </c>
      <c r="AD28" s="134">
        <v>5</v>
      </c>
      <c r="AE28" s="131">
        <v>5.75</v>
      </c>
      <c r="AF28" s="115">
        <f t="shared" si="10"/>
        <v>25.306984727784869</v>
      </c>
      <c r="AG28" s="131">
        <v>124.1</v>
      </c>
      <c r="AH28" s="115">
        <f t="shared" si="11"/>
        <v>546.19074864662639</v>
      </c>
      <c r="AI28" s="139">
        <v>25.93</v>
      </c>
      <c r="AJ28" s="131"/>
      <c r="AK28" s="136">
        <v>9.7799999999999994</v>
      </c>
      <c r="AL28" s="136">
        <v>54.96</v>
      </c>
      <c r="AM28" s="110">
        <f t="shared" si="12"/>
        <v>0.18997580366401659</v>
      </c>
      <c r="AN28" s="137" t="s">
        <v>201</v>
      </c>
      <c r="AO28" s="150">
        <v>11.03</v>
      </c>
      <c r="AP28" s="138">
        <v>7.02</v>
      </c>
      <c r="AQ28" s="134"/>
      <c r="AR28" s="131">
        <v>7.32</v>
      </c>
      <c r="AS28" s="139">
        <v>289.3</v>
      </c>
      <c r="AT28" s="131">
        <v>2.65</v>
      </c>
      <c r="AU28" s="148"/>
      <c r="AV28" s="131"/>
      <c r="AW28" s="109">
        <f t="shared" si="29"/>
        <v>0</v>
      </c>
      <c r="AX28" s="109">
        <f t="shared" si="13"/>
        <v>227.21</v>
      </c>
      <c r="AY28" s="115">
        <f t="shared" si="24"/>
        <v>217.93865453859308</v>
      </c>
      <c r="AZ28" s="140">
        <f t="shared" si="14"/>
        <v>7.0369943661971828</v>
      </c>
      <c r="BA28" s="141">
        <f t="shared" si="30"/>
        <v>9.0884</v>
      </c>
      <c r="BB28" s="128">
        <f t="shared" si="16"/>
        <v>0.91013836173277352</v>
      </c>
      <c r="BC28" s="141">
        <f t="shared" si="17"/>
        <v>16.125394366197185</v>
      </c>
      <c r="BD28" s="142">
        <v>0.9</v>
      </c>
      <c r="BE28" s="16">
        <f t="shared" si="25"/>
        <v>4985.49</v>
      </c>
      <c r="BF28" s="16">
        <f t="shared" si="18"/>
        <v>221.10344827586206</v>
      </c>
      <c r="BG28" s="16">
        <f t="shared" si="26"/>
        <v>4864.2758620689647</v>
      </c>
      <c r="BH28" s="17">
        <f t="shared" si="19"/>
        <v>1</v>
      </c>
      <c r="BI28" s="16">
        <f t="shared" si="27"/>
        <v>4864.2758620689647</v>
      </c>
      <c r="BJ28" s="254">
        <v>329.31799999999998</v>
      </c>
      <c r="BK28" s="197"/>
      <c r="BL28" s="197">
        <v>152.066</v>
      </c>
      <c r="BM28" s="197"/>
      <c r="BN28" s="230"/>
      <c r="BO28" s="230"/>
      <c r="BP28" s="258"/>
      <c r="BQ28" s="199"/>
      <c r="BR28" s="200">
        <v>2.36</v>
      </c>
      <c r="BS28" s="200"/>
      <c r="BT28" s="200"/>
      <c r="BU28" s="200"/>
      <c r="BV28" s="208"/>
      <c r="BW28" s="208"/>
      <c r="BX28" s="201"/>
      <c r="BY28" s="202">
        <v>37.630000000000003</v>
      </c>
      <c r="BZ28" s="200"/>
      <c r="CA28" s="200">
        <v>46.09</v>
      </c>
      <c r="CB28" s="200"/>
      <c r="CC28" s="208"/>
      <c r="CD28" s="208"/>
      <c r="CE28" s="209"/>
      <c r="CF28" s="199"/>
      <c r="CG28" s="197">
        <v>152</v>
      </c>
      <c r="CH28" s="197"/>
      <c r="CI28" s="197">
        <v>148.80000000000001</v>
      </c>
      <c r="CJ28" s="198"/>
      <c r="CK28" s="202"/>
      <c r="CL28" s="208"/>
      <c r="CM28" s="208"/>
      <c r="CN28" s="201"/>
      <c r="CO28" s="284"/>
      <c r="CP28" s="286">
        <f t="shared" si="20"/>
        <v>321.54609520000002</v>
      </c>
      <c r="CQ28" s="29">
        <f t="shared" si="20"/>
        <v>0</v>
      </c>
      <c r="CR28" s="30">
        <f t="shared" si="20"/>
        <v>152.066</v>
      </c>
      <c r="CS28" s="29">
        <f t="shared" si="20"/>
        <v>0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152</v>
      </c>
      <c r="CX28" s="24">
        <f t="shared" si="21"/>
        <v>0</v>
      </c>
      <c r="CY28" s="277">
        <f t="shared" si="21"/>
        <v>148.80000000000001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8"/>
        <v>0</v>
      </c>
    </row>
    <row r="29" spans="1:110" ht="16.5" customHeight="1">
      <c r="A29" s="127">
        <v>23</v>
      </c>
      <c r="B29" s="103">
        <f>'[1]февраль 20'!K28</f>
        <v>476.64400000000001</v>
      </c>
      <c r="C29" s="104">
        <f t="shared" si="0"/>
        <v>0.94955706984667798</v>
      </c>
      <c r="D29" s="143">
        <f t="shared" si="1"/>
        <v>472.1179932</v>
      </c>
      <c r="E29" s="104">
        <f t="shared" si="2"/>
        <v>39.943151618398637</v>
      </c>
      <c r="F29" s="128">
        <f t="shared" si="3"/>
        <v>2.0152729466000769</v>
      </c>
      <c r="G29" s="106"/>
      <c r="H29" s="107">
        <f t="shared" si="4"/>
        <v>1.3705809245742093</v>
      </c>
      <c r="I29" s="103">
        <f>'[1]сентябрь 20'!AE28</f>
        <v>0</v>
      </c>
      <c r="J29" s="103">
        <f>'[1]февраль 20'!AA28</f>
        <v>10.882999999999999</v>
      </c>
      <c r="K29" s="106"/>
      <c r="L29" s="328">
        <f>'[1]февраль 20'!AI28</f>
        <v>151.03200000000001</v>
      </c>
      <c r="M29" s="103">
        <f t="shared" si="5"/>
        <v>0.64469202202586773</v>
      </c>
      <c r="N29" s="103">
        <f>'[1]июль 20'!AM28</f>
        <v>7.056</v>
      </c>
      <c r="O29" s="103">
        <f>'[1]февраль 20'!W28</f>
        <v>0</v>
      </c>
      <c r="P29" s="103">
        <f>'[1]февраль 20'!S28</f>
        <v>315.35599999999999</v>
      </c>
      <c r="Q29" s="108">
        <f t="shared" si="6"/>
        <v>5.1643222263092925</v>
      </c>
      <c r="R29" s="109">
        <f t="shared" si="7"/>
        <v>299.07000000000005</v>
      </c>
      <c r="S29" s="106">
        <v>20.34</v>
      </c>
      <c r="T29" s="109">
        <f t="shared" si="8"/>
        <v>299.07000000000005</v>
      </c>
      <c r="U29" s="110">
        <f t="shared" si="9"/>
        <v>1.2766039185555131</v>
      </c>
      <c r="V29" s="129">
        <v>234.27</v>
      </c>
      <c r="W29" s="136">
        <v>188.45</v>
      </c>
      <c r="X29" s="131">
        <v>0.77</v>
      </c>
      <c r="Y29" s="133">
        <v>567</v>
      </c>
      <c r="Z29" s="133">
        <v>1237</v>
      </c>
      <c r="AA29" s="144" t="s">
        <v>192</v>
      </c>
      <c r="AB29" s="131">
        <v>76.61</v>
      </c>
      <c r="AC29" s="133">
        <v>159</v>
      </c>
      <c r="AD29" s="134">
        <v>5</v>
      </c>
      <c r="AE29" s="131">
        <v>4.5</v>
      </c>
      <c r="AF29" s="115">
        <f t="shared" si="10"/>
        <v>19.208605455243951</v>
      </c>
      <c r="AG29" s="131">
        <v>125.95</v>
      </c>
      <c r="AH29" s="115">
        <f t="shared" si="11"/>
        <v>537.62752379732797</v>
      </c>
      <c r="AI29" s="139">
        <v>23.81</v>
      </c>
      <c r="AJ29" s="131"/>
      <c r="AK29" s="136">
        <v>8.74</v>
      </c>
      <c r="AL29" s="136">
        <v>49.2</v>
      </c>
      <c r="AM29" s="110">
        <f t="shared" si="12"/>
        <v>0.16983085950983778</v>
      </c>
      <c r="AN29" s="137" t="s">
        <v>202</v>
      </c>
      <c r="AO29" s="150">
        <v>11.14</v>
      </c>
      <c r="AP29" s="138">
        <v>7.01</v>
      </c>
      <c r="AQ29" s="134"/>
      <c r="AR29" s="131">
        <v>7.47</v>
      </c>
      <c r="AS29" s="139">
        <v>289.7</v>
      </c>
      <c r="AT29" s="131">
        <v>2.5099999999999998</v>
      </c>
      <c r="AU29" s="148"/>
      <c r="AV29" s="131"/>
      <c r="AW29" s="109">
        <f t="shared" si="29"/>
        <v>0</v>
      </c>
      <c r="AX29" s="109">
        <f t="shared" si="13"/>
        <v>234.26999999999998</v>
      </c>
      <c r="AY29" s="115">
        <f t="shared" si="24"/>
        <v>214.89270003880907</v>
      </c>
      <c r="AZ29" s="140">
        <f t="shared" si="14"/>
        <v>7.2882475352112674</v>
      </c>
      <c r="BA29" s="141">
        <f t="shared" si="30"/>
        <v>9.3707999999999991</v>
      </c>
      <c r="BB29" s="128">
        <f t="shared" si="16"/>
        <v>0.95172013736653061</v>
      </c>
      <c r="BC29" s="141">
        <f t="shared" si="17"/>
        <v>16.659047535211265</v>
      </c>
      <c r="BD29" s="142">
        <v>0.90200000000000002</v>
      </c>
      <c r="BE29" s="16">
        <f t="shared" si="25"/>
        <v>5219.76</v>
      </c>
      <c r="BF29" s="16">
        <f t="shared" si="18"/>
        <v>221.10344827586206</v>
      </c>
      <c r="BG29" s="16">
        <f t="shared" si="26"/>
        <v>5085.379310344827</v>
      </c>
      <c r="BH29" s="17">
        <f t="shared" si="19"/>
        <v>1</v>
      </c>
      <c r="BI29" s="16">
        <f t="shared" si="27"/>
        <v>5085.379310344827</v>
      </c>
      <c r="BJ29" s="254">
        <v>325.61200000000002</v>
      </c>
      <c r="BK29" s="197"/>
      <c r="BL29" s="197">
        <v>151.03200000000001</v>
      </c>
      <c r="BM29" s="197"/>
      <c r="BN29" s="230"/>
      <c r="BO29" s="230"/>
      <c r="BP29" s="258"/>
      <c r="BQ29" s="199"/>
      <c r="BR29" s="200">
        <v>1.39</v>
      </c>
      <c r="BS29" s="200"/>
      <c r="BT29" s="200"/>
      <c r="BU29" s="200"/>
      <c r="BV29" s="208"/>
      <c r="BW29" s="208"/>
      <c r="BX29" s="201"/>
      <c r="BY29" s="202">
        <v>37.31</v>
      </c>
      <c r="BZ29" s="200"/>
      <c r="CA29" s="200">
        <v>45.62</v>
      </c>
      <c r="CB29" s="200"/>
      <c r="CC29" s="208"/>
      <c r="CD29" s="208"/>
      <c r="CE29" s="201"/>
      <c r="CF29" s="199"/>
      <c r="CG29" s="197">
        <v>151.05000000000001</v>
      </c>
      <c r="CH29" s="197"/>
      <c r="CI29" s="230">
        <v>148.02000000000001</v>
      </c>
      <c r="CJ29" s="198"/>
      <c r="CK29" s="202"/>
      <c r="CL29" s="208"/>
      <c r="CM29" s="208"/>
      <c r="CN29" s="201"/>
      <c r="CO29" s="284"/>
      <c r="CP29" s="286">
        <f t="shared" si="20"/>
        <v>321.08599320000002</v>
      </c>
      <c r="CQ29" s="24">
        <f t="shared" si="20"/>
        <v>0</v>
      </c>
      <c r="CR29" s="25">
        <f t="shared" si="20"/>
        <v>151.03200000000001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151.05000000000001</v>
      </c>
      <c r="CX29" s="29">
        <f t="shared" si="21"/>
        <v>0</v>
      </c>
      <c r="CY29" s="277">
        <f t="shared" si="21"/>
        <v>148.02000000000001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8"/>
        <v>0</v>
      </c>
    </row>
    <row r="30" spans="1:110" ht="16.5" customHeight="1">
      <c r="A30" s="127">
        <v>24</v>
      </c>
      <c r="B30" s="103">
        <f>'[1]февраль 20'!K29</f>
        <v>475.87900000000002</v>
      </c>
      <c r="C30" s="104">
        <f t="shared" si="0"/>
        <v>1.5818385555992174</v>
      </c>
      <c r="D30" s="143">
        <f t="shared" si="1"/>
        <v>468.35136249999999</v>
      </c>
      <c r="E30" s="104">
        <f t="shared" si="2"/>
        <v>40.406930669350821</v>
      </c>
      <c r="F30" s="128">
        <f t="shared" si="3"/>
        <v>1.9108582721338232</v>
      </c>
      <c r="G30" s="106"/>
      <c r="H30" s="107">
        <f t="shared" si="4"/>
        <v>1.2762030293757654</v>
      </c>
      <c r="I30" s="103">
        <f>'[1]сентябрь 20'!AE29</f>
        <v>0</v>
      </c>
      <c r="J30" s="103">
        <f>'[1]февраль 20'!AA29</f>
        <v>11.236000000000001</v>
      </c>
      <c r="K30" s="106"/>
      <c r="L30" s="328">
        <f>'[1]февраль 20'!AI29</f>
        <v>155.554</v>
      </c>
      <c r="M30" s="103">
        <f t="shared" si="5"/>
        <v>0.63465524275805807</v>
      </c>
      <c r="N30" s="103">
        <f>'[1]июль 20'!AM29</f>
        <v>6.6029999999999998</v>
      </c>
      <c r="O30" s="103">
        <f>'[1]февраль 20'!W29</f>
        <v>0</v>
      </c>
      <c r="P30" s="103">
        <f>'[1]февраль 20'!S29</f>
        <v>317.11500000000001</v>
      </c>
      <c r="Q30" s="108">
        <f t="shared" si="6"/>
        <v>5.5673809185941892</v>
      </c>
      <c r="R30" s="109">
        <f t="shared" si="7"/>
        <v>299.46000000000009</v>
      </c>
      <c r="S30" s="163">
        <v>25.85</v>
      </c>
      <c r="T30" s="109">
        <f t="shared" si="8"/>
        <v>299.46000000000004</v>
      </c>
      <c r="U30" s="110">
        <f t="shared" si="9"/>
        <v>1.2217870257037948</v>
      </c>
      <c r="V30" s="154">
        <v>245.1</v>
      </c>
      <c r="W30" s="157">
        <v>201.22</v>
      </c>
      <c r="X30" s="149">
        <v>0.78</v>
      </c>
      <c r="Y30" s="147">
        <v>573</v>
      </c>
      <c r="Z30" s="147">
        <v>1249</v>
      </c>
      <c r="AA30" s="144" t="s">
        <v>203</v>
      </c>
      <c r="AB30" s="149">
        <v>76.89</v>
      </c>
      <c r="AC30" s="147">
        <v>159</v>
      </c>
      <c r="AD30" s="155">
        <v>5</v>
      </c>
      <c r="AE30" s="149">
        <v>3.85</v>
      </c>
      <c r="AF30" s="115">
        <f t="shared" si="10"/>
        <v>15.707874337005306</v>
      </c>
      <c r="AG30" s="131">
        <v>123.9</v>
      </c>
      <c r="AH30" s="115">
        <f t="shared" si="11"/>
        <v>505.50795593635257</v>
      </c>
      <c r="AI30" s="139">
        <v>20.54</v>
      </c>
      <c r="AJ30" s="131"/>
      <c r="AK30" s="157">
        <v>10.119999999999999</v>
      </c>
      <c r="AL30" s="157">
        <v>53.74</v>
      </c>
      <c r="AM30" s="110">
        <f t="shared" si="12"/>
        <v>0.17507737416517349</v>
      </c>
      <c r="AN30" s="158" t="s">
        <v>204</v>
      </c>
      <c r="AO30" s="404">
        <v>11.68</v>
      </c>
      <c r="AP30" s="159">
        <v>7.09</v>
      </c>
      <c r="AQ30" s="155"/>
      <c r="AR30" s="149">
        <v>6.9</v>
      </c>
      <c r="AS30" s="156">
        <v>306.95</v>
      </c>
      <c r="AT30" s="131">
        <v>2.0099999999999998</v>
      </c>
      <c r="AU30" s="164"/>
      <c r="AV30" s="149"/>
      <c r="AW30" s="109">
        <f t="shared" si="29"/>
        <v>0</v>
      </c>
      <c r="AX30" s="109">
        <f t="shared" si="13"/>
        <v>245.09999999999997</v>
      </c>
      <c r="AY30" s="115">
        <f t="shared" si="24"/>
        <v>214.86814439052463</v>
      </c>
      <c r="AZ30" s="140">
        <f t="shared" si="14"/>
        <v>6.6225422535211269</v>
      </c>
      <c r="BA30" s="141">
        <f t="shared" si="30"/>
        <v>9.8039999999999985</v>
      </c>
      <c r="BB30" s="128">
        <f t="shared" si="16"/>
        <v>0.99583072496360148</v>
      </c>
      <c r="BC30" s="141">
        <f t="shared" si="17"/>
        <v>16.426542253521127</v>
      </c>
      <c r="BD30" s="162">
        <v>0.90600000000000003</v>
      </c>
      <c r="BE30" s="16">
        <f t="shared" si="25"/>
        <v>5464.8600000000006</v>
      </c>
      <c r="BF30" s="16">
        <f t="shared" si="18"/>
        <v>221.10344827586206</v>
      </c>
      <c r="BG30" s="16">
        <f t="shared" si="26"/>
        <v>5306.4827586206893</v>
      </c>
      <c r="BH30" s="17">
        <f t="shared" si="19"/>
        <v>1</v>
      </c>
      <c r="BI30" s="16">
        <f t="shared" si="27"/>
        <v>5306.4827586206893</v>
      </c>
      <c r="BJ30" s="255">
        <v>320.32499999999999</v>
      </c>
      <c r="BK30" s="210"/>
      <c r="BL30" s="210">
        <v>155.554</v>
      </c>
      <c r="BM30" s="210"/>
      <c r="BN30" s="233"/>
      <c r="BO30" s="233"/>
      <c r="BP30" s="260"/>
      <c r="BQ30" s="212"/>
      <c r="BR30" s="213">
        <v>2.35</v>
      </c>
      <c r="BS30" s="213"/>
      <c r="BT30" s="213"/>
      <c r="BU30" s="213"/>
      <c r="BV30" s="235"/>
      <c r="BW30" s="235"/>
      <c r="BX30" s="214"/>
      <c r="BY30" s="215">
        <v>37.72</v>
      </c>
      <c r="BZ30" s="213"/>
      <c r="CA30" s="216">
        <v>45.94</v>
      </c>
      <c r="CB30" s="213"/>
      <c r="CC30" s="235"/>
      <c r="CD30" s="235"/>
      <c r="CE30" s="214"/>
      <c r="CF30" s="212"/>
      <c r="CG30" s="210">
        <v>151.05000000000001</v>
      </c>
      <c r="CH30" s="210"/>
      <c r="CI30" s="233">
        <v>148.41</v>
      </c>
      <c r="CJ30" s="198"/>
      <c r="CK30" s="202"/>
      <c r="CL30" s="208"/>
      <c r="CM30" s="208"/>
      <c r="CN30" s="201"/>
      <c r="CO30" s="284"/>
      <c r="CP30" s="286">
        <f t="shared" si="20"/>
        <v>312.79736250000002</v>
      </c>
      <c r="CQ30" s="24">
        <f t="shared" si="20"/>
        <v>0</v>
      </c>
      <c r="CR30" s="25">
        <f t="shared" si="20"/>
        <v>155.554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151.05000000000001</v>
      </c>
      <c r="CX30" s="26">
        <f t="shared" si="21"/>
        <v>0</v>
      </c>
      <c r="CY30" s="277">
        <f t="shared" si="21"/>
        <v>148.41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8"/>
        <v>0</v>
      </c>
    </row>
    <row r="31" spans="1:110" ht="16.5" customHeight="1">
      <c r="A31" s="127">
        <v>25</v>
      </c>
      <c r="B31" s="103">
        <f>'[1]февраль 20'!K30</f>
        <v>465.23700000000002</v>
      </c>
      <c r="C31" s="104">
        <f t="shared" si="0"/>
        <v>2.1807239535978438</v>
      </c>
      <c r="D31" s="143">
        <f t="shared" si="1"/>
        <v>455.09146529999998</v>
      </c>
      <c r="E31" s="104">
        <f t="shared" si="2"/>
        <v>40.001325303017595</v>
      </c>
      <c r="F31" s="128">
        <f t="shared" si="3"/>
        <v>2.0362034241610738</v>
      </c>
      <c r="G31" s="106"/>
      <c r="H31" s="107">
        <f t="shared" si="4"/>
        <v>1.3427985024608504</v>
      </c>
      <c r="I31" s="103">
        <f>'[1]сентябрь 20'!AE30</f>
        <v>0</v>
      </c>
      <c r="J31" s="103">
        <f>'[1]февраль 20'!AA30</f>
        <v>11.634</v>
      </c>
      <c r="K31" s="106"/>
      <c r="L31" s="328">
        <f>'[1]февраль 20'!AI30</f>
        <v>154.976</v>
      </c>
      <c r="M31" s="103">
        <f t="shared" si="5"/>
        <v>0.69340492170022383</v>
      </c>
      <c r="N31" s="103">
        <f>'[1]июль 20'!AM30</f>
        <v>7.069</v>
      </c>
      <c r="O31" s="103">
        <f>'[1]февраль 20'!W30</f>
        <v>0</v>
      </c>
      <c r="P31" s="103">
        <f>'[1]февраль 20'!S30</f>
        <v>307.11</v>
      </c>
      <c r="Q31" s="108">
        <f t="shared" si="6"/>
        <v>5.2066034971183006</v>
      </c>
      <c r="R31" s="109">
        <f t="shared" si="7"/>
        <v>291.12000000000006</v>
      </c>
      <c r="S31" s="106">
        <v>25.92</v>
      </c>
      <c r="T31" s="109">
        <f t="shared" si="8"/>
        <v>291.12</v>
      </c>
      <c r="U31" s="110">
        <f t="shared" si="9"/>
        <v>1.3025503355704702</v>
      </c>
      <c r="V31" s="136">
        <v>223.5</v>
      </c>
      <c r="W31" s="136">
        <v>182.74</v>
      </c>
      <c r="X31" s="131">
        <v>1.02</v>
      </c>
      <c r="Y31" s="133">
        <v>575</v>
      </c>
      <c r="Z31" s="133">
        <v>1240</v>
      </c>
      <c r="AA31" s="144" t="s">
        <v>205</v>
      </c>
      <c r="AB31" s="131">
        <v>76.34</v>
      </c>
      <c r="AC31" s="133">
        <v>155</v>
      </c>
      <c r="AD31" s="134">
        <v>5</v>
      </c>
      <c r="AE31" s="131">
        <v>5.25</v>
      </c>
      <c r="AF31" s="115">
        <f t="shared" si="10"/>
        <v>23.489932885906043</v>
      </c>
      <c r="AG31" s="131">
        <v>123.75</v>
      </c>
      <c r="AH31" s="115">
        <f t="shared" si="11"/>
        <v>553.69127516778531</v>
      </c>
      <c r="AI31" s="139">
        <v>25.16</v>
      </c>
      <c r="AJ31" s="131"/>
      <c r="AK31" s="136">
        <v>10.8</v>
      </c>
      <c r="AL31" s="136">
        <v>52.17</v>
      </c>
      <c r="AM31" s="110">
        <f t="shared" si="12"/>
        <v>0.18366484773807429</v>
      </c>
      <c r="AN31" s="137" t="s">
        <v>206</v>
      </c>
      <c r="AO31" s="150">
        <v>10.81</v>
      </c>
      <c r="AP31" s="138">
        <v>7.02</v>
      </c>
      <c r="AQ31" s="134"/>
      <c r="AR31" s="131">
        <v>8.42</v>
      </c>
      <c r="AS31" s="139">
        <v>284.05</v>
      </c>
      <c r="AT31" s="131">
        <v>2.42</v>
      </c>
      <c r="AU31" s="148"/>
      <c r="AV31" s="131"/>
      <c r="AW31" s="109">
        <f t="shared" si="29"/>
        <v>0</v>
      </c>
      <c r="AX31" s="109">
        <f t="shared" si="13"/>
        <v>223.49999999999997</v>
      </c>
      <c r="AY31" s="115">
        <f t="shared" si="24"/>
        <v>208.17815698635741</v>
      </c>
      <c r="AZ31" s="140">
        <f t="shared" si="14"/>
        <v>8.0716373239436603</v>
      </c>
      <c r="BA31" s="141">
        <f t="shared" si="30"/>
        <v>8.94</v>
      </c>
      <c r="BB31" s="128">
        <f t="shared" si="16"/>
        <v>0.9372525092187578</v>
      </c>
      <c r="BC31" s="141">
        <f t="shared" si="17"/>
        <v>17.01163732394366</v>
      </c>
      <c r="BD31" s="142">
        <v>0.90700000000000003</v>
      </c>
      <c r="BE31" s="16">
        <f t="shared" si="25"/>
        <v>5688.3600000000006</v>
      </c>
      <c r="BF31" s="16">
        <f t="shared" si="18"/>
        <v>221.10344827586206</v>
      </c>
      <c r="BG31" s="16">
        <f t="shared" si="26"/>
        <v>5527.5862068965516</v>
      </c>
      <c r="BH31" s="17">
        <f t="shared" si="19"/>
        <v>1</v>
      </c>
      <c r="BI31" s="16">
        <f t="shared" si="27"/>
        <v>5527.5862068965516</v>
      </c>
      <c r="BJ31" s="254">
        <v>310.26100000000002</v>
      </c>
      <c r="BK31" s="197"/>
      <c r="BL31" s="197">
        <v>154.976</v>
      </c>
      <c r="BM31" s="197"/>
      <c r="BN31" s="230"/>
      <c r="BO31" s="230"/>
      <c r="BP31" s="259"/>
      <c r="BQ31" s="199"/>
      <c r="BR31" s="200">
        <v>3.27</v>
      </c>
      <c r="BS31" s="200"/>
      <c r="BT31" s="200"/>
      <c r="BU31" s="200"/>
      <c r="BV31" s="208"/>
      <c r="BW31" s="208"/>
      <c r="BX31" s="201"/>
      <c r="BY31" s="202">
        <v>36.979999999999997</v>
      </c>
      <c r="BZ31" s="200"/>
      <c r="CA31" s="200">
        <v>46.05</v>
      </c>
      <c r="CB31" s="200"/>
      <c r="CC31" s="208"/>
      <c r="CD31" s="208"/>
      <c r="CE31" s="209"/>
      <c r="CF31" s="199"/>
      <c r="CG31" s="197">
        <v>147.25</v>
      </c>
      <c r="CH31" s="197"/>
      <c r="CI31" s="230">
        <v>143.87</v>
      </c>
      <c r="CJ31" s="198"/>
      <c r="CK31" s="202"/>
      <c r="CL31" s="208"/>
      <c r="CM31" s="208"/>
      <c r="CN31" s="201"/>
      <c r="CO31" s="284"/>
      <c r="CP31" s="286">
        <f t="shared" si="20"/>
        <v>300.11546530000004</v>
      </c>
      <c r="CQ31" s="24">
        <f t="shared" si="20"/>
        <v>0</v>
      </c>
      <c r="CR31" s="25">
        <f t="shared" si="20"/>
        <v>154.976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147.25</v>
      </c>
      <c r="CX31" s="24">
        <f t="shared" si="21"/>
        <v>0</v>
      </c>
      <c r="CY31" s="277">
        <f t="shared" si="21"/>
        <v>143.87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8"/>
        <v>0</v>
      </c>
    </row>
    <row r="32" spans="1:110" ht="16.5" customHeight="1">
      <c r="A32" s="127">
        <v>26</v>
      </c>
      <c r="B32" s="103">
        <f>'[1]февраль 20'!K31</f>
        <v>447.02499999999998</v>
      </c>
      <c r="C32" s="104">
        <f t="shared" si="0"/>
        <v>0.97331155975616568</v>
      </c>
      <c r="D32" s="143">
        <f t="shared" si="1"/>
        <v>442.67405399999996</v>
      </c>
      <c r="E32" s="104">
        <f t="shared" si="2"/>
        <v>40.353461886919071</v>
      </c>
      <c r="F32" s="128">
        <f t="shared" si="3"/>
        <v>1.8182619485747142</v>
      </c>
      <c r="G32" s="106"/>
      <c r="H32" s="107">
        <f t="shared" si="4"/>
        <v>1.2061901503327035</v>
      </c>
      <c r="I32" s="103">
        <f>'[1]сентябрь 20'!AE31</f>
        <v>0</v>
      </c>
      <c r="J32" s="103">
        <f>'[1]февраль 20'!AA31</f>
        <v>10.510999999999999</v>
      </c>
      <c r="K32" s="106"/>
      <c r="L32" s="328">
        <f>'[1]февраль 20'!AI31</f>
        <v>149.01499999999999</v>
      </c>
      <c r="M32" s="103">
        <f t="shared" si="5"/>
        <v>0.61207179824201097</v>
      </c>
      <c r="N32" s="103">
        <f>'[1]июль 20'!AM31</f>
        <v>7.0679999999999996</v>
      </c>
      <c r="O32" s="103">
        <f>'[1]февраль 20'!W31</f>
        <v>0</v>
      </c>
      <c r="P32" s="103">
        <f>'[1]февраль 20'!S31</f>
        <v>286.73500000000001</v>
      </c>
      <c r="Q32" s="108">
        <f t="shared" si="6"/>
        <v>4.036828430432271</v>
      </c>
      <c r="R32" s="109">
        <f t="shared" si="7"/>
        <v>275.16000000000003</v>
      </c>
      <c r="S32" s="106">
        <v>15.77</v>
      </c>
      <c r="T32" s="109">
        <f t="shared" si="8"/>
        <v>275.16000000000003</v>
      </c>
      <c r="U32" s="110">
        <f t="shared" si="9"/>
        <v>1.1302061940359813</v>
      </c>
      <c r="V32" s="136">
        <v>243.46</v>
      </c>
      <c r="W32" s="136">
        <v>97.24</v>
      </c>
      <c r="X32" s="131">
        <v>1.25</v>
      </c>
      <c r="Y32" s="133">
        <v>605</v>
      </c>
      <c r="Z32" s="133">
        <v>1238</v>
      </c>
      <c r="AA32" s="144" t="s">
        <v>181</v>
      </c>
      <c r="AB32" s="131">
        <v>75.989999999999995</v>
      </c>
      <c r="AC32" s="133">
        <v>149</v>
      </c>
      <c r="AD32" s="134">
        <v>5</v>
      </c>
      <c r="AE32" s="131">
        <v>7.7</v>
      </c>
      <c r="AF32" s="115">
        <f t="shared" si="10"/>
        <v>31.627372052903965</v>
      </c>
      <c r="AG32" s="131">
        <v>130.44999999999999</v>
      </c>
      <c r="AH32" s="115">
        <f t="shared" si="11"/>
        <v>535.81697198718473</v>
      </c>
      <c r="AI32" s="139">
        <v>29.09</v>
      </c>
      <c r="AJ32" s="131"/>
      <c r="AK32" s="136">
        <v>9.11</v>
      </c>
      <c r="AL32" s="136">
        <v>58.16</v>
      </c>
      <c r="AM32" s="110">
        <f t="shared" si="12"/>
        <v>0.18904599382415083</v>
      </c>
      <c r="AN32" s="137" t="s">
        <v>206</v>
      </c>
      <c r="AO32" s="150">
        <v>11.19</v>
      </c>
      <c r="AP32" s="138">
        <v>6.85</v>
      </c>
      <c r="AQ32" s="134"/>
      <c r="AR32" s="131">
        <v>7.46</v>
      </c>
      <c r="AS32" s="139">
        <v>307.64999999999998</v>
      </c>
      <c r="AT32" s="131">
        <v>3.08</v>
      </c>
      <c r="AU32" s="148"/>
      <c r="AV32" s="131"/>
      <c r="AW32" s="109">
        <f t="shared" si="29"/>
        <v>0</v>
      </c>
      <c r="AX32" s="109">
        <f t="shared" si="13"/>
        <v>243.46</v>
      </c>
      <c r="AY32" s="115">
        <f t="shared" si="24"/>
        <v>205.22140919176212</v>
      </c>
      <c r="AZ32" s="140">
        <f t="shared" si="14"/>
        <v>7.5385401408450701</v>
      </c>
      <c r="BA32" s="141">
        <f t="shared" si="30"/>
        <v>9.7384000000000004</v>
      </c>
      <c r="BB32" s="128">
        <f t="shared" si="16"/>
        <v>1.0356647527032561</v>
      </c>
      <c r="BC32" s="141">
        <f t="shared" si="17"/>
        <v>17.27694014084507</v>
      </c>
      <c r="BD32" s="142">
        <v>0.91200000000000003</v>
      </c>
      <c r="BE32" s="16">
        <f t="shared" si="25"/>
        <v>5931.8200000000006</v>
      </c>
      <c r="BF32" s="16">
        <f t="shared" si="18"/>
        <v>221.10344827586206</v>
      </c>
      <c r="BG32" s="16">
        <f t="shared" si="26"/>
        <v>5748.6896551724139</v>
      </c>
      <c r="BH32" s="17">
        <f t="shared" si="19"/>
        <v>1</v>
      </c>
      <c r="BI32" s="16">
        <f t="shared" si="27"/>
        <v>5748.6896551724139</v>
      </c>
      <c r="BJ32" s="254">
        <v>298.01</v>
      </c>
      <c r="BK32" s="197"/>
      <c r="BL32" s="197">
        <v>149.01499999999999</v>
      </c>
      <c r="BM32" s="197"/>
      <c r="BN32" s="230"/>
      <c r="BO32" s="230"/>
      <c r="BP32" s="258"/>
      <c r="BQ32" s="199"/>
      <c r="BR32" s="200">
        <v>1.46</v>
      </c>
      <c r="BS32" s="200"/>
      <c r="BT32" s="200"/>
      <c r="BU32" s="200"/>
      <c r="BV32" s="208"/>
      <c r="BW32" s="208"/>
      <c r="BX32" s="201"/>
      <c r="BY32" s="202">
        <v>37.479999999999997</v>
      </c>
      <c r="BZ32" s="200"/>
      <c r="CA32" s="200">
        <v>46.1</v>
      </c>
      <c r="CB32" s="200"/>
      <c r="CC32" s="208"/>
      <c r="CD32" s="208"/>
      <c r="CE32" s="209"/>
      <c r="CF32" s="199"/>
      <c r="CG32" s="197">
        <v>141.55000000000001</v>
      </c>
      <c r="CH32" s="197"/>
      <c r="CI32" s="230">
        <v>133.61000000000001</v>
      </c>
      <c r="CJ32" s="198"/>
      <c r="CK32" s="202"/>
      <c r="CL32" s="208"/>
      <c r="CM32" s="208"/>
      <c r="CN32" s="201"/>
      <c r="CO32" s="284"/>
      <c r="CP32" s="286">
        <f t="shared" si="20"/>
        <v>293.65905400000003</v>
      </c>
      <c r="CQ32" s="24">
        <f t="shared" si="20"/>
        <v>0</v>
      </c>
      <c r="CR32" s="25">
        <f t="shared" si="20"/>
        <v>149.01499999999999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141.55000000000001</v>
      </c>
      <c r="CX32" s="24">
        <f t="shared" si="21"/>
        <v>0</v>
      </c>
      <c r="CY32" s="277">
        <f t="shared" si="21"/>
        <v>133.61000000000001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8"/>
        <v>0</v>
      </c>
    </row>
    <row r="33" spans="1:110" ht="16.5" customHeight="1">
      <c r="A33" s="127">
        <v>27</v>
      </c>
      <c r="B33" s="103">
        <f>'[1]февраль 20'!K32</f>
        <v>480.26100000000002</v>
      </c>
      <c r="C33" s="104">
        <f t="shared" si="0"/>
        <v>2.120622411563712</v>
      </c>
      <c r="D33" s="143">
        <f t="shared" si="1"/>
        <v>470.07647760000003</v>
      </c>
      <c r="E33" s="104">
        <f t="shared" si="2"/>
        <v>40.581734244504545</v>
      </c>
      <c r="F33" s="128">
        <f t="shared" si="3"/>
        <v>1.9622494473200869</v>
      </c>
      <c r="G33" s="106"/>
      <c r="H33" s="107">
        <f t="shared" si="4"/>
        <v>1.2943875338119886</v>
      </c>
      <c r="I33" s="103">
        <f>'[1]сентябрь 20'!AE32</f>
        <v>0</v>
      </c>
      <c r="J33" s="103">
        <f>'[1]февраль 20'!AA32</f>
        <v>11.21</v>
      </c>
      <c r="K33" s="106"/>
      <c r="L33" s="328">
        <f>'[1]февраль 20'!AI32</f>
        <v>159.99299999999999</v>
      </c>
      <c r="M33" s="103">
        <f t="shared" si="5"/>
        <v>0.6678619135080982</v>
      </c>
      <c r="N33" s="103">
        <f>'[1]июль 20'!AM32</f>
        <v>6.9580000000000002</v>
      </c>
      <c r="O33" s="103">
        <f>'[1]февраль 20'!W32</f>
        <v>0</v>
      </c>
      <c r="P33" s="103">
        <f>'[1]февраль 20'!S32</f>
        <v>313.99200000000002</v>
      </c>
      <c r="Q33" s="108">
        <f t="shared" si="6"/>
        <v>3.4943565441157842</v>
      </c>
      <c r="R33" s="109">
        <f t="shared" si="7"/>
        <v>303.02</v>
      </c>
      <c r="S33" s="131">
        <v>24.91</v>
      </c>
      <c r="T33" s="109">
        <f t="shared" si="8"/>
        <v>303.02</v>
      </c>
      <c r="U33" s="110">
        <f t="shared" si="9"/>
        <v>1.2649023209216896</v>
      </c>
      <c r="V33" s="136">
        <v>239.56</v>
      </c>
      <c r="W33" s="136">
        <v>239.56</v>
      </c>
      <c r="X33" s="131">
        <v>0.27</v>
      </c>
      <c r="Y33" s="133">
        <v>585</v>
      </c>
      <c r="Z33" s="133">
        <v>1248</v>
      </c>
      <c r="AA33" s="144" t="s">
        <v>207</v>
      </c>
      <c r="AB33" s="131">
        <v>76.040000000000006</v>
      </c>
      <c r="AC33" s="133">
        <v>162</v>
      </c>
      <c r="AD33" s="134">
        <v>5</v>
      </c>
      <c r="AE33" s="131">
        <v>5.8</v>
      </c>
      <c r="AF33" s="115">
        <f t="shared" si="10"/>
        <v>24.211053598263483</v>
      </c>
      <c r="AG33" s="131">
        <v>165.45</v>
      </c>
      <c r="AH33" s="115">
        <f t="shared" si="11"/>
        <v>690.64117548839533</v>
      </c>
      <c r="AI33" s="139">
        <v>27.21</v>
      </c>
      <c r="AJ33" s="131"/>
      <c r="AK33" s="136">
        <v>9.8699999999999992</v>
      </c>
      <c r="AL33" s="136">
        <v>53.35</v>
      </c>
      <c r="AM33" s="110">
        <f t="shared" si="12"/>
        <v>0.17756698285904476</v>
      </c>
      <c r="AN33" s="137" t="s">
        <v>208</v>
      </c>
      <c r="AO33" s="150">
        <v>9.56</v>
      </c>
      <c r="AP33" s="138">
        <v>6.4</v>
      </c>
      <c r="AQ33" s="134"/>
      <c r="AR33" s="131">
        <v>13.69</v>
      </c>
      <c r="AS33" s="139">
        <v>300.45</v>
      </c>
      <c r="AT33" s="131">
        <v>2.33</v>
      </c>
      <c r="AU33" s="116"/>
      <c r="AV33" s="131"/>
      <c r="AW33" s="109">
        <f t="shared" si="29"/>
        <v>0</v>
      </c>
      <c r="AX33" s="109">
        <f t="shared" si="13"/>
        <v>239.56</v>
      </c>
      <c r="AY33" s="115">
        <f t="shared" si="24"/>
        <v>219.01368773158052</v>
      </c>
      <c r="AZ33" s="140">
        <f t="shared" si="14"/>
        <v>17.545855985915491</v>
      </c>
      <c r="BA33" s="141">
        <f t="shared" si="30"/>
        <v>9.5823999999999998</v>
      </c>
      <c r="BB33" s="128">
        <f t="shared" si="16"/>
        <v>0.95489867398750616</v>
      </c>
      <c r="BC33" s="141">
        <f t="shared" si="17"/>
        <v>27.128255985915491</v>
      </c>
      <c r="BD33" s="142">
        <v>0.91300000000000003</v>
      </c>
      <c r="BE33" s="16">
        <f t="shared" si="25"/>
        <v>6171.380000000001</v>
      </c>
      <c r="BF33" s="16">
        <f t="shared" si="18"/>
        <v>221.10344827586206</v>
      </c>
      <c r="BG33" s="16">
        <f t="shared" si="26"/>
        <v>5969.7931034482763</v>
      </c>
      <c r="BH33" s="17">
        <f t="shared" si="19"/>
        <v>1</v>
      </c>
      <c r="BI33" s="16">
        <f t="shared" si="27"/>
        <v>5969.7931034482763</v>
      </c>
      <c r="BJ33" s="254">
        <v>320.26799999999997</v>
      </c>
      <c r="BK33" s="197"/>
      <c r="BL33" s="197">
        <v>159.99299999999999</v>
      </c>
      <c r="BM33" s="197"/>
      <c r="BN33" s="230"/>
      <c r="BO33" s="230"/>
      <c r="BP33" s="258"/>
      <c r="BQ33" s="199"/>
      <c r="BR33" s="200">
        <v>3.18</v>
      </c>
      <c r="BS33" s="200"/>
      <c r="BT33" s="200"/>
      <c r="BU33" s="200"/>
      <c r="BV33" s="208"/>
      <c r="BW33" s="208"/>
      <c r="BX33" s="201"/>
      <c r="BY33" s="202">
        <v>37.86</v>
      </c>
      <c r="BZ33" s="200"/>
      <c r="CA33" s="200">
        <v>46.03</v>
      </c>
      <c r="CB33" s="200"/>
      <c r="CC33" s="208"/>
      <c r="CD33" s="208"/>
      <c r="CE33" s="209"/>
      <c r="CF33" s="199"/>
      <c r="CG33" s="197">
        <v>152.53</v>
      </c>
      <c r="CH33" s="197"/>
      <c r="CI33" s="230">
        <v>150.49</v>
      </c>
      <c r="CJ33" s="198"/>
      <c r="CK33" s="202"/>
      <c r="CL33" s="208"/>
      <c r="CM33" s="208"/>
      <c r="CN33" s="209"/>
      <c r="CO33" s="284"/>
      <c r="CP33" s="286">
        <f t="shared" si="20"/>
        <v>310.08347759999998</v>
      </c>
      <c r="CQ33" s="24">
        <f t="shared" si="20"/>
        <v>0</v>
      </c>
      <c r="CR33" s="25">
        <f t="shared" si="20"/>
        <v>159.99299999999999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152.53</v>
      </c>
      <c r="CX33" s="24">
        <f t="shared" si="21"/>
        <v>0</v>
      </c>
      <c r="CY33" s="277">
        <f t="shared" si="21"/>
        <v>150.49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8"/>
        <v>0</v>
      </c>
    </row>
    <row r="34" spans="1:110" ht="16.5" customHeight="1">
      <c r="A34" s="127">
        <v>28</v>
      </c>
      <c r="B34" s="103">
        <f>'[1]февраль 20'!K33</f>
        <v>518.91300000000001</v>
      </c>
      <c r="C34" s="104">
        <f t="shared" si="0"/>
        <v>1.6934100321248455</v>
      </c>
      <c r="D34" s="143">
        <f t="shared" si="1"/>
        <v>510.12567520000005</v>
      </c>
      <c r="E34" s="104">
        <f t="shared" si="2"/>
        <v>40.436126402691777</v>
      </c>
      <c r="F34" s="128">
        <f t="shared" si="3"/>
        <v>2.5943430565020602</v>
      </c>
      <c r="G34" s="106"/>
      <c r="H34" s="107">
        <f t="shared" si="4"/>
        <v>1.8815881360931701</v>
      </c>
      <c r="I34" s="103">
        <f>'[1]сентябрь 20'!AE33</f>
        <v>0</v>
      </c>
      <c r="J34" s="103">
        <f>'[1]февраль 20'!AA33</f>
        <v>14.651999999999999</v>
      </c>
      <c r="K34" s="106"/>
      <c r="L34" s="328">
        <f>'[1]февраль 20'!AI33</f>
        <v>140.149</v>
      </c>
      <c r="M34" s="103">
        <f t="shared" si="5"/>
        <v>0.71275492040888977</v>
      </c>
      <c r="N34" s="103">
        <f>'[1]июль 20'!AM33</f>
        <v>7.2119999999999997</v>
      </c>
      <c r="O34" s="103">
        <f>'[1]февраль 20'!W33</f>
        <v>0</v>
      </c>
      <c r="P34" s="103">
        <f>'[1]февраль 20'!S33</f>
        <v>341.59399999999999</v>
      </c>
      <c r="Q34" s="108">
        <f t="shared" si="6"/>
        <v>3.663413291802553</v>
      </c>
      <c r="R34" s="109">
        <f t="shared" si="7"/>
        <v>329.08</v>
      </c>
      <c r="S34" s="149">
        <v>24.36</v>
      </c>
      <c r="T34" s="109">
        <f t="shared" si="8"/>
        <v>329.08</v>
      </c>
      <c r="U34" s="110">
        <f t="shared" si="9"/>
        <v>1.6736001627422061</v>
      </c>
      <c r="V34" s="157">
        <v>196.63</v>
      </c>
      <c r="W34" s="157">
        <v>151.19999999999999</v>
      </c>
      <c r="X34" s="149">
        <v>0.52</v>
      </c>
      <c r="Y34" s="147">
        <v>485</v>
      </c>
      <c r="Z34" s="147">
        <v>1253</v>
      </c>
      <c r="AA34" s="144" t="s">
        <v>203</v>
      </c>
      <c r="AB34" s="149">
        <v>76.739999999999995</v>
      </c>
      <c r="AC34" s="147">
        <v>173</v>
      </c>
      <c r="AD34" s="155">
        <v>5</v>
      </c>
      <c r="AE34" s="149">
        <v>3.6</v>
      </c>
      <c r="AF34" s="115">
        <f t="shared" si="10"/>
        <v>18.30849819457865</v>
      </c>
      <c r="AG34" s="149">
        <v>146.4</v>
      </c>
      <c r="AH34" s="115">
        <f t="shared" si="11"/>
        <v>744.54559324619856</v>
      </c>
      <c r="AI34" s="156">
        <v>21.96</v>
      </c>
      <c r="AJ34" s="149"/>
      <c r="AK34" s="157">
        <v>9.25</v>
      </c>
      <c r="AL34" s="157">
        <v>58.31</v>
      </c>
      <c r="AM34" s="110">
        <f t="shared" si="12"/>
        <v>0.22281238058846009</v>
      </c>
      <c r="AN34" s="158" t="s">
        <v>209</v>
      </c>
      <c r="AO34" s="404">
        <v>8.66</v>
      </c>
      <c r="AP34" s="159">
        <v>6.16</v>
      </c>
      <c r="AQ34" s="155"/>
      <c r="AR34" s="149">
        <v>13.23</v>
      </c>
      <c r="AS34" s="156">
        <v>261.7</v>
      </c>
      <c r="AT34" s="131">
        <v>2.4900000000000002</v>
      </c>
      <c r="AU34" s="148"/>
      <c r="AV34" s="149"/>
      <c r="AW34" s="109">
        <f t="shared" si="29"/>
        <v>0</v>
      </c>
      <c r="AX34" s="109">
        <f t="shared" si="13"/>
        <v>196.63</v>
      </c>
      <c r="AY34" s="115">
        <f t="shared" si="24"/>
        <v>234.66005975531257</v>
      </c>
      <c r="AZ34" s="140">
        <f t="shared" si="14"/>
        <v>15.003938028169014</v>
      </c>
      <c r="BA34" s="141">
        <f t="shared" si="30"/>
        <v>7.8651999999999997</v>
      </c>
      <c r="BB34" s="128">
        <f t="shared" si="16"/>
        <v>0.73151771195742965</v>
      </c>
      <c r="BC34" s="141">
        <f t="shared" si="17"/>
        <v>22.869138028169012</v>
      </c>
      <c r="BD34" s="165">
        <v>0.90600000000000003</v>
      </c>
      <c r="BE34" s="16">
        <f t="shared" si="25"/>
        <v>6368.0100000000011</v>
      </c>
      <c r="BF34" s="16">
        <f t="shared" si="18"/>
        <v>221.10344827586206</v>
      </c>
      <c r="BG34" s="16">
        <f t="shared" si="26"/>
        <v>6190.8965517241386</v>
      </c>
      <c r="BH34" s="17">
        <f t="shared" si="19"/>
        <v>1</v>
      </c>
      <c r="BI34" s="16">
        <f t="shared" si="27"/>
        <v>6190.8965517241386</v>
      </c>
      <c r="BJ34" s="255">
        <v>378.76400000000001</v>
      </c>
      <c r="BK34" s="210"/>
      <c r="BL34" s="210">
        <v>140.149</v>
      </c>
      <c r="BM34" s="210"/>
      <c r="BN34" s="233"/>
      <c r="BO34" s="233"/>
      <c r="BP34" s="260"/>
      <c r="BQ34" s="212"/>
      <c r="BR34" s="213">
        <v>2.3199999999999998</v>
      </c>
      <c r="BS34" s="213"/>
      <c r="BT34" s="213"/>
      <c r="BU34" s="213"/>
      <c r="BV34" s="235"/>
      <c r="BW34" s="235"/>
      <c r="BX34" s="214"/>
      <c r="BY34" s="215">
        <v>38.369999999999997</v>
      </c>
      <c r="BZ34" s="213"/>
      <c r="CA34" s="213">
        <v>46.02</v>
      </c>
      <c r="CB34" s="213"/>
      <c r="CC34" s="235"/>
      <c r="CD34" s="235"/>
      <c r="CE34" s="211"/>
      <c r="CF34" s="212"/>
      <c r="CG34" s="210">
        <v>164.35</v>
      </c>
      <c r="CH34" s="210"/>
      <c r="CI34" s="233">
        <v>164.73</v>
      </c>
      <c r="CJ34" s="198"/>
      <c r="CK34" s="202"/>
      <c r="CL34" s="208"/>
      <c r="CM34" s="208"/>
      <c r="CN34" s="209"/>
      <c r="CO34" s="284"/>
      <c r="CP34" s="286">
        <f t="shared" si="20"/>
        <v>369.97667520000005</v>
      </c>
      <c r="CQ34" s="24">
        <f t="shared" si="20"/>
        <v>0</v>
      </c>
      <c r="CR34" s="25">
        <f t="shared" si="20"/>
        <v>140.149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164.35</v>
      </c>
      <c r="CX34" s="29">
        <f t="shared" si="21"/>
        <v>0</v>
      </c>
      <c r="CY34" s="277">
        <f t="shared" si="21"/>
        <v>164.73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8"/>
        <v>0</v>
      </c>
    </row>
    <row r="35" spans="1:110" ht="16.5" customHeight="1">
      <c r="A35" s="127">
        <v>29</v>
      </c>
      <c r="B35" s="103">
        <f>'[1]февраль 20'!K34</f>
        <v>466.74299999999999</v>
      </c>
      <c r="C35" s="104">
        <f t="shared" si="0"/>
        <v>2.2585947084369766</v>
      </c>
      <c r="D35" s="143">
        <f t="shared" si="1"/>
        <v>456.20116730000001</v>
      </c>
      <c r="E35" s="104">
        <f t="shared" si="2"/>
        <v>39.634841422367337</v>
      </c>
      <c r="F35" s="128">
        <f t="shared" si="3"/>
        <v>2.0049273415663182</v>
      </c>
      <c r="G35" s="106"/>
      <c r="H35" s="107">
        <f t="shared" si="4"/>
        <v>1.4928591337786763</v>
      </c>
      <c r="I35" s="103">
        <f>'[1]сентябрь 20'!AE34</f>
        <v>0</v>
      </c>
      <c r="J35" s="103">
        <f>'[1]февраль 20'!AA34</f>
        <v>13.840999999999999</v>
      </c>
      <c r="K35" s="106"/>
      <c r="L35" s="328">
        <f>'[1]февраль 20'!AI34</f>
        <v>116.51600000000001</v>
      </c>
      <c r="M35" s="103">
        <f t="shared" si="5"/>
        <v>0.51206820778764173</v>
      </c>
      <c r="N35" s="103">
        <f>'[1]июль 20'!AM34</f>
        <v>6.298</v>
      </c>
      <c r="O35" s="103">
        <f>'[1]февраль 20'!W34</f>
        <v>0</v>
      </c>
      <c r="P35" s="103">
        <f>'[1]февраль 20'!S34</f>
        <v>309.20699999999999</v>
      </c>
      <c r="Q35" s="108">
        <f>IF(P35=0,0,(1-(T35/P35))*100)</f>
        <v>3.391579103965936</v>
      </c>
      <c r="R35" s="109">
        <f>P35*((100-Q35)/100)</f>
        <v>298.72000000000003</v>
      </c>
      <c r="S35" s="131">
        <v>27.5</v>
      </c>
      <c r="T35" s="109">
        <f t="shared" si="8"/>
        <v>298.72000000000003</v>
      </c>
      <c r="U35" s="110">
        <f t="shared" si="9"/>
        <v>1.3128241188362488</v>
      </c>
      <c r="V35" s="136">
        <v>227.54</v>
      </c>
      <c r="W35" s="136">
        <v>227.54</v>
      </c>
      <c r="X35" s="131">
        <v>0.41</v>
      </c>
      <c r="Y35" s="133">
        <v>578</v>
      </c>
      <c r="Z35" s="133">
        <v>1246</v>
      </c>
      <c r="AA35" s="144" t="s">
        <v>142</v>
      </c>
      <c r="AB35" s="131">
        <v>76.19</v>
      </c>
      <c r="AC35" s="133">
        <v>156</v>
      </c>
      <c r="AD35" s="134">
        <v>5</v>
      </c>
      <c r="AE35" s="166">
        <v>5.5</v>
      </c>
      <c r="AF35" s="115">
        <f t="shared" si="10"/>
        <v>24.171574228707041</v>
      </c>
      <c r="AG35" s="166">
        <v>150</v>
      </c>
      <c r="AH35" s="115">
        <f t="shared" si="11"/>
        <v>659.22475169201027</v>
      </c>
      <c r="AI35" s="139">
        <v>25.27</v>
      </c>
      <c r="AJ35" s="131"/>
      <c r="AK35" s="167">
        <v>11.91</v>
      </c>
      <c r="AL35" s="167">
        <v>51.7</v>
      </c>
      <c r="AM35" s="110">
        <f t="shared" si="12"/>
        <v>0.1775716984372317</v>
      </c>
      <c r="AN35" s="168" t="s">
        <v>189</v>
      </c>
      <c r="AO35" s="405">
        <v>8.42</v>
      </c>
      <c r="AP35" s="169">
        <v>6.32</v>
      </c>
      <c r="AQ35" s="170"/>
      <c r="AR35" s="166">
        <v>8.59</v>
      </c>
      <c r="AS35" s="171">
        <v>291.14999999999998</v>
      </c>
      <c r="AT35" s="131"/>
      <c r="AU35" s="116"/>
      <c r="AV35" s="131"/>
      <c r="AW35" s="109">
        <f t="shared" si="29"/>
        <v>0</v>
      </c>
      <c r="AX35" s="109">
        <f t="shared" si="13"/>
        <v>227.54</v>
      </c>
      <c r="AY35" s="115">
        <f t="shared" si="24"/>
        <v>207.18093431499943</v>
      </c>
      <c r="AZ35" s="140">
        <f t="shared" si="14"/>
        <v>9.9813380281690129</v>
      </c>
      <c r="BA35" s="141">
        <f t="shared" si="30"/>
        <v>9.1015999999999995</v>
      </c>
      <c r="BB35" s="128">
        <f t="shared" si="16"/>
        <v>0.95878716184367907</v>
      </c>
      <c r="BC35" s="141">
        <f t="shared" si="17"/>
        <v>19.082938028169011</v>
      </c>
      <c r="BD35" s="165">
        <v>0.90800000000000003</v>
      </c>
      <c r="BE35" s="16">
        <f t="shared" si="25"/>
        <v>6595.5500000000011</v>
      </c>
      <c r="BF35" s="16">
        <f t="shared" si="18"/>
        <v>221.10344827586206</v>
      </c>
      <c r="BG35" s="16">
        <f t="shared" si="26"/>
        <v>6412.0000000000009</v>
      </c>
      <c r="BH35" s="17">
        <f t="shared" si="19"/>
        <v>1</v>
      </c>
      <c r="BI35" s="16">
        <f t="shared" si="27"/>
        <v>6412.0000000000009</v>
      </c>
      <c r="BJ35" s="254">
        <v>350.22699999999998</v>
      </c>
      <c r="BK35" s="197"/>
      <c r="BL35" s="197">
        <v>116.51600000000001</v>
      </c>
      <c r="BM35" s="197"/>
      <c r="BN35" s="230"/>
      <c r="BO35" s="230"/>
      <c r="BP35" s="259"/>
      <c r="BQ35" s="199"/>
      <c r="BR35" s="200">
        <v>3.01</v>
      </c>
      <c r="BS35" s="200"/>
      <c r="BT35" s="200"/>
      <c r="BU35" s="200"/>
      <c r="BV35" s="208"/>
      <c r="BW35" s="208"/>
      <c r="BX35" s="201"/>
      <c r="BY35" s="202">
        <v>37.81</v>
      </c>
      <c r="BZ35" s="200"/>
      <c r="CA35" s="200">
        <v>45.12</v>
      </c>
      <c r="CB35" s="200"/>
      <c r="CC35" s="208"/>
      <c r="CD35" s="208"/>
      <c r="CE35" s="209"/>
      <c r="CF35" s="199"/>
      <c r="CG35" s="197">
        <v>148.19999999999999</v>
      </c>
      <c r="CH35" s="197"/>
      <c r="CI35" s="230">
        <v>150.52000000000001</v>
      </c>
      <c r="CJ35" s="198"/>
      <c r="CK35" s="202"/>
      <c r="CL35" s="208"/>
      <c r="CM35" s="208"/>
      <c r="CN35" s="209"/>
      <c r="CO35" s="284"/>
      <c r="CP35" s="286">
        <f t="shared" si="20"/>
        <v>339.68516729999999</v>
      </c>
      <c r="CQ35" s="24">
        <f t="shared" si="20"/>
        <v>0</v>
      </c>
      <c r="CR35" s="24">
        <f t="shared" si="20"/>
        <v>116.51600000000001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148.19999999999999</v>
      </c>
      <c r="CX35" s="26">
        <f t="shared" si="21"/>
        <v>0</v>
      </c>
      <c r="CY35" s="277">
        <f t="shared" si="21"/>
        <v>150.52000000000001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8"/>
        <v>0</v>
      </c>
    </row>
    <row r="36" spans="1:110" ht="16.5" customHeight="1">
      <c r="A36" s="127">
        <v>30</v>
      </c>
      <c r="B36" s="103">
        <f>'[1]февраль 20'!K35</f>
        <v>0</v>
      </c>
      <c r="C36" s="104">
        <f t="shared" si="0"/>
        <v>0</v>
      </c>
      <c r="D36" s="143">
        <f t="shared" si="1"/>
        <v>0</v>
      </c>
      <c r="E36" s="104">
        <f t="shared" si="2"/>
        <v>0</v>
      </c>
      <c r="F36" s="128">
        <f t="shared" si="3"/>
        <v>0</v>
      </c>
      <c r="G36" s="106"/>
      <c r="H36" s="107">
        <f t="shared" si="4"/>
        <v>0</v>
      </c>
      <c r="I36" s="103">
        <f>'[1]сентябрь 20'!AE35</f>
        <v>0</v>
      </c>
      <c r="J36" s="103">
        <f>'[1]февраль 20'!AA35</f>
        <v>0</v>
      </c>
      <c r="K36" s="106"/>
      <c r="L36" s="328">
        <f>'[1]февраль 20'!AI35</f>
        <v>0</v>
      </c>
      <c r="M36" s="103">
        <f t="shared" si="5"/>
        <v>0</v>
      </c>
      <c r="N36" s="103">
        <f>'[1]июль 20'!AM35</f>
        <v>7.1239999999999997</v>
      </c>
      <c r="O36" s="103">
        <f>'[1]февраль 20'!W35</f>
        <v>0</v>
      </c>
      <c r="P36" s="103">
        <f>'[1]февраль 20'!S35</f>
        <v>0</v>
      </c>
      <c r="Q36" s="108">
        <f t="shared" si="6"/>
        <v>0</v>
      </c>
      <c r="R36" s="109">
        <f t="shared" si="7"/>
        <v>0</v>
      </c>
      <c r="S36" s="131"/>
      <c r="T36" s="109">
        <f t="shared" si="8"/>
        <v>0</v>
      </c>
      <c r="U36" s="110">
        <f t="shared" si="9"/>
        <v>0</v>
      </c>
      <c r="V36" s="136"/>
      <c r="W36" s="136"/>
      <c r="X36" s="131"/>
      <c r="Y36" s="133"/>
      <c r="Z36" s="133"/>
      <c r="AA36" s="144"/>
      <c r="AB36" s="131"/>
      <c r="AC36" s="133"/>
      <c r="AD36" s="134"/>
      <c r="AE36" s="131"/>
      <c r="AF36" s="115">
        <f t="shared" si="10"/>
        <v>0</v>
      </c>
      <c r="AG36" s="131"/>
      <c r="AH36" s="115">
        <f t="shared" si="11"/>
        <v>0</v>
      </c>
      <c r="AI36" s="139"/>
      <c r="AJ36" s="131"/>
      <c r="AK36" s="136"/>
      <c r="AL36" s="136"/>
      <c r="AM36" s="110">
        <f t="shared" si="12"/>
        <v>0</v>
      </c>
      <c r="AN36" s="137"/>
      <c r="AO36" s="150"/>
      <c r="AP36" s="138"/>
      <c r="AQ36" s="134"/>
      <c r="AR36" s="131"/>
      <c r="AS36" s="139"/>
      <c r="AT36" s="131"/>
      <c r="AU36" s="116"/>
      <c r="AV36" s="131"/>
      <c r="AW36" s="109">
        <f t="shared" si="29"/>
        <v>0</v>
      </c>
      <c r="AX36" s="109">
        <f t="shared" si="13"/>
        <v>0</v>
      </c>
      <c r="AY36" s="115">
        <f t="shared" si="24"/>
        <v>0</v>
      </c>
      <c r="AZ36" s="140">
        <f t="shared" si="14"/>
        <v>0</v>
      </c>
      <c r="BA36" s="141">
        <f t="shared" si="30"/>
        <v>0</v>
      </c>
      <c r="BB36" s="128">
        <f t="shared" si="16"/>
        <v>0</v>
      </c>
      <c r="BC36" s="141">
        <f t="shared" si="17"/>
        <v>0</v>
      </c>
      <c r="BD36" s="165"/>
      <c r="BE36" s="16">
        <f t="shared" si="25"/>
        <v>6595.5500000000011</v>
      </c>
      <c r="BF36" s="16">
        <f t="shared" si="18"/>
        <v>0</v>
      </c>
      <c r="BG36" s="16">
        <f t="shared" si="26"/>
        <v>6412.0000000000009</v>
      </c>
      <c r="BH36" s="17">
        <f t="shared" si="19"/>
        <v>0</v>
      </c>
      <c r="BI36" s="16">
        <f t="shared" si="27"/>
        <v>6412.0000000000009</v>
      </c>
      <c r="BJ36" s="254"/>
      <c r="BK36" s="197"/>
      <c r="BL36" s="197"/>
      <c r="BM36" s="197"/>
      <c r="BN36" s="230"/>
      <c r="BO36" s="230"/>
      <c r="BP36" s="258"/>
      <c r="BQ36" s="199"/>
      <c r="BR36" s="200"/>
      <c r="BS36" s="200"/>
      <c r="BT36" s="200"/>
      <c r="BU36" s="200"/>
      <c r="BV36" s="208"/>
      <c r="BW36" s="208"/>
      <c r="BX36" s="201"/>
      <c r="BY36" s="202"/>
      <c r="BZ36" s="200"/>
      <c r="CA36" s="200"/>
      <c r="CB36" s="200"/>
      <c r="CC36" s="208"/>
      <c r="CD36" s="208"/>
      <c r="CE36" s="209"/>
      <c r="CF36" s="199"/>
      <c r="CG36" s="197"/>
      <c r="CH36" s="197"/>
      <c r="CI36" s="230"/>
      <c r="CJ36" s="198"/>
      <c r="CK36" s="202"/>
      <c r="CL36" s="208"/>
      <c r="CM36" s="208"/>
      <c r="CN36" s="209"/>
      <c r="CO36" s="284"/>
      <c r="CP36" s="286">
        <f t="shared" si="20"/>
        <v>0</v>
      </c>
      <c r="CQ36" s="27">
        <f t="shared" si="20"/>
        <v>0</v>
      </c>
      <c r="CR36" s="28">
        <f t="shared" si="20"/>
        <v>0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0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8"/>
        <v>0</v>
      </c>
    </row>
    <row r="37" spans="1:110" ht="16.5" customHeight="1" thickBot="1">
      <c r="A37" s="172">
        <v>31</v>
      </c>
      <c r="B37" s="103">
        <f>'[1]февраль 20'!K36</f>
        <v>0</v>
      </c>
      <c r="C37" s="104">
        <f t="shared" si="0"/>
        <v>0</v>
      </c>
      <c r="D37" s="173">
        <f t="shared" si="1"/>
        <v>0</v>
      </c>
      <c r="E37" s="104">
        <f t="shared" si="2"/>
        <v>0</v>
      </c>
      <c r="F37" s="174">
        <f t="shared" si="3"/>
        <v>0</v>
      </c>
      <c r="G37" s="106"/>
      <c r="H37" s="107">
        <f t="shared" si="4"/>
        <v>0</v>
      </c>
      <c r="I37" s="103">
        <f>'[1]сентябрь 20'!AE36</f>
        <v>0</v>
      </c>
      <c r="J37" s="103">
        <f>'[1]февраль 20'!AA36</f>
        <v>0</v>
      </c>
      <c r="K37" s="106"/>
      <c r="L37" s="328">
        <f>'[1]февраль 20'!AI36</f>
        <v>0</v>
      </c>
      <c r="M37" s="103">
        <f t="shared" si="5"/>
        <v>0</v>
      </c>
      <c r="N37" s="103">
        <f>'[1]июль 20'!AM36</f>
        <v>6.7409999999999997</v>
      </c>
      <c r="O37" s="103">
        <f>'[1]февраль 20'!W36</f>
        <v>0</v>
      </c>
      <c r="P37" s="103">
        <f>'[1]февраль 20'!S36</f>
        <v>0</v>
      </c>
      <c r="Q37" s="108">
        <f t="shared" si="6"/>
        <v>0</v>
      </c>
      <c r="R37" s="175">
        <f t="shared" si="7"/>
        <v>0</v>
      </c>
      <c r="S37" s="176"/>
      <c r="T37" s="109">
        <f t="shared" si="8"/>
        <v>0</v>
      </c>
      <c r="U37" s="227">
        <f t="shared" si="9"/>
        <v>0</v>
      </c>
      <c r="V37" s="177"/>
      <c r="W37" s="177"/>
      <c r="X37" s="176"/>
      <c r="Y37" s="178"/>
      <c r="Z37" s="178"/>
      <c r="AA37" s="179"/>
      <c r="AB37" s="176"/>
      <c r="AC37" s="178"/>
      <c r="AD37" s="180"/>
      <c r="AE37" s="176"/>
      <c r="AF37" s="115">
        <f t="shared" si="10"/>
        <v>0</v>
      </c>
      <c r="AG37" s="176"/>
      <c r="AH37" s="181">
        <f t="shared" si="11"/>
        <v>0</v>
      </c>
      <c r="AI37" s="182"/>
      <c r="AJ37" s="176"/>
      <c r="AK37" s="177"/>
      <c r="AL37" s="177"/>
      <c r="AM37" s="227">
        <f t="shared" si="12"/>
        <v>0</v>
      </c>
      <c r="AN37" s="183"/>
      <c r="AO37" s="406"/>
      <c r="AP37" s="184"/>
      <c r="AQ37" s="180"/>
      <c r="AR37" s="176"/>
      <c r="AS37" s="176"/>
      <c r="AT37" s="131"/>
      <c r="AU37" s="176"/>
      <c r="AV37" s="176"/>
      <c r="AW37" s="185">
        <f t="shared" si="29"/>
        <v>0</v>
      </c>
      <c r="AX37" s="109">
        <f t="shared" si="13"/>
        <v>0</v>
      </c>
      <c r="AY37" s="115">
        <f t="shared" si="24"/>
        <v>0</v>
      </c>
      <c r="AZ37" s="186">
        <f t="shared" si="14"/>
        <v>0</v>
      </c>
      <c r="BA37" s="181">
        <f t="shared" si="30"/>
        <v>0</v>
      </c>
      <c r="BB37" s="174">
        <f t="shared" si="16"/>
        <v>0</v>
      </c>
      <c r="BC37" s="181">
        <f t="shared" si="17"/>
        <v>0</v>
      </c>
      <c r="BD37" s="187"/>
      <c r="BE37" s="16">
        <f t="shared" si="25"/>
        <v>6595.5500000000011</v>
      </c>
      <c r="BF37" s="16">
        <f t="shared" si="18"/>
        <v>0</v>
      </c>
      <c r="BG37" s="16">
        <f t="shared" si="26"/>
        <v>6412.0000000000009</v>
      </c>
      <c r="BH37" s="17">
        <f t="shared" si="19"/>
        <v>0</v>
      </c>
      <c r="BI37" s="16">
        <f t="shared" si="27"/>
        <v>6412.0000000000009</v>
      </c>
      <c r="BJ37" s="256"/>
      <c r="BK37" s="257"/>
      <c r="BL37" s="257"/>
      <c r="BM37" s="257"/>
      <c r="BN37" s="261"/>
      <c r="BO37" s="261"/>
      <c r="BP37" s="262"/>
      <c r="BQ37" s="219"/>
      <c r="BR37" s="220"/>
      <c r="BS37" s="220"/>
      <c r="BT37" s="220"/>
      <c r="BU37" s="220"/>
      <c r="BV37" s="224"/>
      <c r="BW37" s="224"/>
      <c r="BX37" s="221"/>
      <c r="BY37" s="222"/>
      <c r="BZ37" s="220"/>
      <c r="CA37" s="220"/>
      <c r="CB37" s="220"/>
      <c r="CC37" s="224"/>
      <c r="CD37" s="224"/>
      <c r="CE37" s="221"/>
      <c r="CF37" s="219"/>
      <c r="CG37" s="217"/>
      <c r="CH37" s="217"/>
      <c r="CI37" s="234"/>
      <c r="CJ37" s="223"/>
      <c r="CK37" s="222"/>
      <c r="CL37" s="224"/>
      <c r="CM37" s="224"/>
      <c r="CN37" s="218"/>
      <c r="CO37" s="284">
        <f t="shared" ref="CO37" si="31">CG37+CI37</f>
        <v>0</v>
      </c>
      <c r="CP37" s="287">
        <f t="shared" si="20"/>
        <v>0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0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8"/>
        <v>0</v>
      </c>
    </row>
    <row r="38" spans="1:110" ht="16.5" customHeight="1" thickBot="1">
      <c r="A38" s="55" t="s">
        <v>58</v>
      </c>
      <c r="B38" s="188">
        <f>SUM(B7:B37)</f>
        <v>14106.909</v>
      </c>
      <c r="C38" s="326"/>
      <c r="D38" s="327">
        <f>SUM(D7:D37)</f>
        <v>13851.084456755605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313.26900000000001</v>
      </c>
      <c r="K38" s="188">
        <f>SUM(K7:K37)</f>
        <v>0</v>
      </c>
      <c r="L38" s="331">
        <f>SUM(L7:L37)</f>
        <v>4480.4359999999997</v>
      </c>
      <c r="M38" s="342"/>
      <c r="N38" s="342">
        <f>SUM(N7:N37)</f>
        <v>85.77</v>
      </c>
      <c r="O38" s="188">
        <f>SUM(O7:O37)</f>
        <v>0</v>
      </c>
      <c r="P38" s="188">
        <f>SUM(P7:P37)</f>
        <v>8936.7029999999995</v>
      </c>
      <c r="Q38" s="342"/>
      <c r="R38" s="341">
        <f>SUM(R7:R37)</f>
        <v>8672.1600002999985</v>
      </c>
      <c r="S38" s="343">
        <f>SUM(S7:S37)</f>
        <v>775.62</v>
      </c>
      <c r="T38" s="341">
        <f>SUM(T7:T37)</f>
        <v>8672.1600002999985</v>
      </c>
      <c r="U38" s="344"/>
      <c r="V38" s="194">
        <f>SUM(V7:V37)</f>
        <v>6453.4800000000014</v>
      </c>
      <c r="W38" s="194">
        <f>SUM(W7:W37)</f>
        <v>5485.4599999999991</v>
      </c>
      <c r="X38" s="345"/>
      <c r="Y38" s="346"/>
      <c r="Z38" s="347"/>
      <c r="AA38" s="348"/>
      <c r="AB38" s="345"/>
      <c r="AC38" s="345"/>
      <c r="AD38" s="347">
        <f>SUM(AD7:AD37)</f>
        <v>142</v>
      </c>
      <c r="AE38" s="194">
        <f>SUM(AE7:AE37)</f>
        <v>106.14999999999999</v>
      </c>
      <c r="AF38" s="349"/>
      <c r="AG38" s="194">
        <f>SUM(AG7:AG37)</f>
        <v>3861.5999999999995</v>
      </c>
      <c r="AH38" s="343"/>
      <c r="AI38" s="338">
        <f>SUM(AI7:AI37)</f>
        <v>714.84999999999991</v>
      </c>
      <c r="AJ38" s="343">
        <f>SUM(AJ7:AJ37)</f>
        <v>0</v>
      </c>
      <c r="AK38" s="337">
        <f>SUM(AK7:AK37)</f>
        <v>279.23000000000008</v>
      </c>
      <c r="AL38" s="395">
        <f>SUM(AL7:AL37)</f>
        <v>1564.6200000000001</v>
      </c>
      <c r="AM38" s="350"/>
      <c r="AN38" s="351"/>
      <c r="AO38" s="343"/>
      <c r="AP38" s="351"/>
      <c r="AQ38" s="351"/>
      <c r="AR38" s="352"/>
      <c r="AS38" s="337">
        <f>SUM(AS7:AS37)</f>
        <v>8369.5999999999985</v>
      </c>
      <c r="AT38" s="341">
        <f>SUM(AT7:AT37)</f>
        <v>69.8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6595.5500000000011</v>
      </c>
      <c r="AY38" s="252">
        <f>SUM(AY7:AY37)</f>
        <v>6342.3041338281591</v>
      </c>
      <c r="AZ38" s="351">
        <f>SUM(AZ7:AZ36)</f>
        <v>283.59799119718309</v>
      </c>
      <c r="BA38" s="351">
        <f>SUM(BA7:BA36)</f>
        <v>260.05080000000004</v>
      </c>
      <c r="BB38" s="340"/>
      <c r="BC38" s="351">
        <f>SUM(BC7:BC37)</f>
        <v>543.64879119718307</v>
      </c>
      <c r="BD38" s="353"/>
      <c r="BE38" s="16"/>
      <c r="BF38" s="16">
        <f t="shared" si="18"/>
        <v>0</v>
      </c>
      <c r="BG38" s="16"/>
      <c r="BH38" s="17">
        <f>SUM(BH7:BH37)</f>
        <v>29</v>
      </c>
      <c r="BI38" s="33"/>
      <c r="BJ38" s="228">
        <f t="shared" ref="BJ38:BP38" si="32">SUM(BJ7:BJ37)</f>
        <v>9626.473</v>
      </c>
      <c r="BK38" s="38">
        <f t="shared" si="32"/>
        <v>9.9999999999999995E-8</v>
      </c>
      <c r="BL38" s="38">
        <f t="shared" si="32"/>
        <v>4480.4359999999997</v>
      </c>
      <c r="BM38" s="38">
        <f t="shared" si="32"/>
        <v>9.9999999999999995E-8</v>
      </c>
      <c r="BN38" s="38">
        <f t="shared" si="32"/>
        <v>9.9999999999999995E-8</v>
      </c>
      <c r="BO38" s="38">
        <f t="shared" si="32"/>
        <v>9.9999999999999995E-8</v>
      </c>
      <c r="BP38" s="38">
        <f t="shared" si="32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3134.3500001000007</v>
      </c>
      <c r="CH38" s="39">
        <f>SUM(CH7:CH37)</f>
        <v>9.9999999999999995E-8</v>
      </c>
      <c r="CI38" s="39">
        <f>SUM(CI7:CI37)</f>
        <v>5537.81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3">SUM(CP7:CP37)</f>
        <v>9370.6484569000022</v>
      </c>
      <c r="CQ38" s="190">
        <f t="shared" si="33"/>
        <v>9.99999999E-8</v>
      </c>
      <c r="CR38" s="191">
        <f t="shared" si="33"/>
        <v>4480.4359998556101</v>
      </c>
      <c r="CS38" s="192">
        <f t="shared" si="33"/>
        <v>9.99999999E-8</v>
      </c>
      <c r="CT38" s="192">
        <f t="shared" si="33"/>
        <v>9.99999999E-8</v>
      </c>
      <c r="CU38" s="192">
        <f t="shared" si="33"/>
        <v>9.99999999E-8</v>
      </c>
      <c r="CV38" s="278">
        <f t="shared" si="33"/>
        <v>9.99999999E-8</v>
      </c>
      <c r="CW38" s="278">
        <f t="shared" si="33"/>
        <v>3134.3500001000007</v>
      </c>
      <c r="CX38" s="192">
        <f t="shared" si="33"/>
        <v>9.99999999E-8</v>
      </c>
      <c r="CY38" s="192">
        <f t="shared" si="33"/>
        <v>5537.8099997233603</v>
      </c>
      <c r="CZ38" s="192">
        <f t="shared" si="33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486.44513793103448</v>
      </c>
      <c r="C39" s="84">
        <f>(BJ38*BR39+BK38*BS39+BM38*BU39+BP38*BX39+BL38*BT39+BO38*BW39+BN38*BV39)/B38</f>
        <v>1.8134698624935481</v>
      </c>
      <c r="D39" s="82"/>
      <c r="E39" s="354">
        <f>(BJ38*BY39+BK38*BZ39+BM38*CB39+BP38*CE39+BL38*CA39+BO38*CD39+BN38*CC39)/B38</f>
        <v>40.064343729728456</v>
      </c>
      <c r="F39" s="355">
        <f>IF(AX38=0,0,D38/AX38)</f>
        <v>2.1000651131074139</v>
      </c>
      <c r="G39" s="354">
        <f>G38/AS2</f>
        <v>0</v>
      </c>
      <c r="H39" s="355">
        <f>IF(AX38=0,0,(CV38+CS38+CU38+CP38+CT38)/AX38)</f>
        <v>1.4207531528530604</v>
      </c>
      <c r="I39" s="354">
        <f>I38/AS2</f>
        <v>0</v>
      </c>
      <c r="J39" s="354">
        <f>J38/AS2</f>
        <v>10.802379310344827</v>
      </c>
      <c r="K39" s="354">
        <f>K38/AS2</f>
        <v>0</v>
      </c>
      <c r="L39" s="354">
        <f>L38/AS2</f>
        <v>154.49779310344826</v>
      </c>
      <c r="M39" s="355">
        <f>IF($AX$38=0,0,(CR38+CQ38)/$AX$38)</f>
        <v>0.67931196033016339</v>
      </c>
      <c r="N39" s="354">
        <f>N38/AS2</f>
        <v>2.9575862068965515</v>
      </c>
      <c r="O39" s="354">
        <f>O38/AS2</f>
        <v>0</v>
      </c>
      <c r="P39" s="356">
        <f>P38/AS2</f>
        <v>308.16217241379309</v>
      </c>
      <c r="Q39" s="354">
        <f>(SUMPRODUCT(P7:P37,Q7:Q37))/P38</f>
        <v>2.9601856490027667</v>
      </c>
      <c r="R39" s="357"/>
      <c r="S39" s="354">
        <f>S38/AS2</f>
        <v>26.745517241379311</v>
      </c>
      <c r="T39" s="354">
        <f>T38/AS2:AS2</f>
        <v>299.04000001034478</v>
      </c>
      <c r="U39" s="358">
        <f>IF($AX$38=0,0,R38/$AX$38)</f>
        <v>1.3148501641712969</v>
      </c>
      <c r="V39" s="354">
        <f>V38/AS2</f>
        <v>222.53379310344832</v>
      </c>
      <c r="W39" s="354">
        <f>W38/AS2</f>
        <v>189.15379310344824</v>
      </c>
      <c r="X39" s="354">
        <f>(SUMPRODUCT(X7:X37,AX7:AX37))/AX38</f>
        <v>0.66707387556761744</v>
      </c>
      <c r="Y39" s="359">
        <f>AVERAGE(Y7:Y37)</f>
        <v>590.68965517241384</v>
      </c>
      <c r="Z39" s="359">
        <f>AVERAGE(Z7:Z37)</f>
        <v>1238.5862068965516</v>
      </c>
      <c r="AA39" s="359"/>
      <c r="AB39" s="354">
        <f>(SUMPRODUCT(AB7:AB37,AX7:AX37))/AX38</f>
        <v>76.405663545875612</v>
      </c>
      <c r="AC39" s="360">
        <f>AVERAGE(AC7:AC37)</f>
        <v>162.27586206896552</v>
      </c>
      <c r="AD39" s="360">
        <f>AVERAGE(AD7:AD37)</f>
        <v>4.8965517241379306</v>
      </c>
      <c r="AE39" s="354">
        <f>AE38/AS2</f>
        <v>3.6603448275862065</v>
      </c>
      <c r="AF39" s="361">
        <f>IF(AX38=0,0,AE38/AX38*1000)</f>
        <v>16.09418471545208</v>
      </c>
      <c r="AG39" s="361">
        <f>AG38/AS2</f>
        <v>133.15862068965515</v>
      </c>
      <c r="AH39" s="361">
        <f>IF(AX38=0,0,AG38/AX38*1000)</f>
        <v>585.48566836730811</v>
      </c>
      <c r="AI39" s="354">
        <f>AI38/AS2</f>
        <v>24.65</v>
      </c>
      <c r="AJ39" s="359"/>
      <c r="AK39" s="354">
        <f>AK38/AS2</f>
        <v>9.6286206896551754</v>
      </c>
      <c r="AL39" s="354">
        <f>AL38/AS2</f>
        <v>53.952413793103453</v>
      </c>
      <c r="AM39" s="346">
        <f>IF(AL39=0,0,AL39/AS39)</f>
        <v>0.18694083349264007</v>
      </c>
      <c r="AN39" s="361">
        <f>SUM(AN8:AN38)</f>
        <v>0</v>
      </c>
      <c r="AO39" s="354">
        <f>AVERAGE(AO7:AO37)</f>
        <v>10.670000000000003</v>
      </c>
      <c r="AP39" s="354">
        <f>AVERAGE(AP7:AP37)</f>
        <v>6.63448275862069</v>
      </c>
      <c r="AQ39" s="362"/>
      <c r="AR39" s="354">
        <f>AVERAGE(AR7:AR37)</f>
        <v>9.3413793103448288</v>
      </c>
      <c r="AS39" s="363">
        <f>AS38/AS2</f>
        <v>288.60689655172411</v>
      </c>
      <c r="AT39" s="363">
        <f>AT38/AS2</f>
        <v>2.4068965517241376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227.4327586206897</v>
      </c>
      <c r="AY39" s="354">
        <f>AY38/AS2</f>
        <v>218.7001425457986</v>
      </c>
      <c r="AZ39" s="362" t="e">
        <f>AZ38/$AV$2</f>
        <v>#DIV/0!</v>
      </c>
      <c r="BA39" s="362" t="e">
        <f>BA38/$AV$2</f>
        <v>#DIV/0!</v>
      </c>
      <c r="BB39" s="355">
        <f>(AX38*AB39)/(D38*E39)</f>
        <v>0.90810226339285749</v>
      </c>
      <c r="BC39" s="354">
        <f>BC38/AS2</f>
        <v>18.746510041282175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2.6575106282435943</v>
      </c>
      <c r="BS39" s="42">
        <f t="shared" ref="BS39:BX39" si="34">(SUMPRODUCT(BK7:BK37,BS7:BS37))/BK38</f>
        <v>9.9999999999999982E-8</v>
      </c>
      <c r="BT39" s="42">
        <f t="shared" si="34"/>
        <v>3.2226774358566888E-9</v>
      </c>
      <c r="BU39" s="42">
        <f t="shared" si="34"/>
        <v>9.9999999999999982E-8</v>
      </c>
      <c r="BV39" s="42">
        <f t="shared" si="34"/>
        <v>9.9999999999999982E-8</v>
      </c>
      <c r="BW39" s="46">
        <f t="shared" si="34"/>
        <v>9.9999999999999982E-8</v>
      </c>
      <c r="BX39" s="240">
        <f t="shared" si="34"/>
        <v>9.9999999999999982E-8</v>
      </c>
      <c r="BY39" s="41">
        <f t="shared" ref="BY39:CE39" si="35">(SUMPRODUCT(BJ7:BJ37,BY7:BY37))/BJ38</f>
        <v>37.385954478862601</v>
      </c>
      <c r="BZ39" s="42">
        <f t="shared" si="35"/>
        <v>9.9999999999999982E-8</v>
      </c>
      <c r="CA39" s="42">
        <f t="shared" si="35"/>
        <v>45.819016222974732</v>
      </c>
      <c r="CB39" s="42">
        <f t="shared" si="35"/>
        <v>9.9999999999999982E-8</v>
      </c>
      <c r="CC39" s="42">
        <f t="shared" si="35"/>
        <v>9.9999999999999982E-8</v>
      </c>
      <c r="CD39" s="46">
        <f t="shared" si="35"/>
        <v>9.9999999999999982E-8</v>
      </c>
      <c r="CE39" s="240">
        <f t="shared" si="35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3.1904541610480486E-18</v>
      </c>
      <c r="CL39" s="46">
        <f>(SUMPRODUCT(CH7:CH37,CL7:CL37))/CH38</f>
        <v>9.9999999999999982E-8</v>
      </c>
      <c r="CM39" s="46">
        <f>(SUMPRODUCT(CI7:CI37,CM7:CM37))/CI38</f>
        <v>4.995476551199842E-9</v>
      </c>
      <c r="CN39" s="44">
        <f>(SUMPRODUCT(CJ7:CJ37,CN7:CN37))/CJ38</f>
        <v>9.9999999999999982E-8</v>
      </c>
      <c r="CP39" s="667">
        <f>CP38+CQ38</f>
        <v>9370.648457000003</v>
      </c>
      <c r="CQ39" s="667"/>
      <c r="CR39" s="668">
        <f>CR38+CS38+CV38+CU38+CT38</f>
        <v>4480.4360002556095</v>
      </c>
      <c r="CS39" s="668"/>
      <c r="CT39" s="668"/>
      <c r="CU39" s="668"/>
      <c r="CV39" s="668"/>
      <c r="CW39" s="669">
        <f>CW38+CX38+CZ38+CY38</f>
        <v>8672.1600000233611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39</v>
      </c>
      <c r="F40" s="366">
        <v>2.08</v>
      </c>
      <c r="G40" s="366"/>
      <c r="H40" s="366">
        <v>1.456</v>
      </c>
      <c r="I40" s="366"/>
      <c r="J40" s="408">
        <v>17.909343</v>
      </c>
      <c r="K40" s="366"/>
      <c r="L40" s="366"/>
      <c r="M40" s="366">
        <v>0.624</v>
      </c>
      <c r="N40" s="365"/>
      <c r="O40" s="366"/>
      <c r="P40" s="367"/>
      <c r="Q40" s="368"/>
      <c r="R40" s="367"/>
      <c r="S40" s="369">
        <v>25.581617099999999</v>
      </c>
      <c r="T40" s="367"/>
      <c r="U40" s="369">
        <v>1.2849999999999999</v>
      </c>
      <c r="V40" s="370">
        <v>6412</v>
      </c>
      <c r="W40" s="370">
        <v>6412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570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6412</v>
      </c>
      <c r="AT40" s="379">
        <v>44.88</v>
      </c>
      <c r="AU40" s="380"/>
      <c r="AV40" s="381"/>
      <c r="AW40" s="382"/>
      <c r="AX40" s="365">
        <v>221.1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13851.084457255613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2.0065113107413879E-2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2.9601856490027667</v>
      </c>
      <c r="R41" s="386"/>
      <c r="S41" s="388"/>
      <c r="T41" s="388"/>
      <c r="U41" s="385">
        <f>U39-U40</f>
        <v>2.9850164171296933E-2</v>
      </c>
      <c r="V41" s="385"/>
      <c r="W41" s="385"/>
      <c r="X41" s="385"/>
      <c r="Y41" s="385"/>
      <c r="Z41" s="389">
        <f>Z39-Z40</f>
        <v>-11.41379310344837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1957.5999999999985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221.10344827586206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29</v>
      </c>
      <c r="CS43">
        <v>13851.084000000001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58.940845070422526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28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229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183.55000000000018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2.8626013724267025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L3:AL6"/>
    <mergeCell ref="AM3:AM6"/>
    <mergeCell ref="AN3:AN6"/>
    <mergeCell ref="AO3:AO6"/>
    <mergeCell ref="AP3:AP6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V3:V6"/>
    <mergeCell ref="S4:S6"/>
    <mergeCell ref="T4:T6"/>
    <mergeCell ref="U4:U6"/>
    <mergeCell ref="AE5:AE6"/>
    <mergeCell ref="DB5:DF5"/>
    <mergeCell ref="CP39:CQ39"/>
    <mergeCell ref="CR39:CV39"/>
    <mergeCell ref="CW39:CZ39"/>
    <mergeCell ref="CG3:CJ5"/>
    <mergeCell ref="CK3:CN5"/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B18" activePane="bottomRight" state="frozen"/>
      <selection pane="topRight" activeCell="B1" sqref="B1"/>
      <selection pane="bottomLeft" activeCell="A7" sqref="A7"/>
      <selection pane="bottomRight" activeCell="BF40" sqref="BF40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6" customWidth="1"/>
    <col min="12" max="12" width="8" customWidth="1"/>
    <col min="13" max="13" width="7.28515625" customWidth="1"/>
    <col min="14" max="14" width="7" hidden="1" customWidth="1"/>
    <col min="15" max="15" width="6.28515625" customWidth="1"/>
    <col min="16" max="16" width="9" customWidth="1"/>
    <col min="17" max="17" width="5.140625" customWidth="1"/>
    <col min="18" max="18" width="8.85546875" customWidth="1"/>
    <col min="19" max="19" width="9" customWidth="1"/>
    <col min="20" max="20" width="9" hidden="1" customWidth="1"/>
    <col min="21" max="21" width="9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29</v>
      </c>
      <c r="AT2" s="321"/>
      <c r="AU2" s="321"/>
      <c r="AV2" s="322"/>
      <c r="AW2" s="321"/>
      <c r="AX2" s="323" t="s">
        <v>151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13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BJ7+BL7</f>
        <v>455.59</v>
      </c>
      <c r="C7" s="104">
        <f t="shared" ref="C7:C37" si="0">IF(B7=0,0,(BJ7*BR7+BK7*BS7+BM7*BU7+BP7*BX7+BL7*BT7+BO7*BW7+BN7*BV7)/B7)</f>
        <v>0.58336667187383384</v>
      </c>
      <c r="D7" s="105">
        <f t="shared" ref="D7:D37" si="1">B7*((100-C7)/100)</f>
        <v>452.93223977960997</v>
      </c>
      <c r="E7" s="104">
        <f t="shared" ref="E7:E37" si="2">IF(B7=0,0,(BJ7*BY7+BK7*BZ7+BM7*CB7+BP7*CE7+BL7*CA7+BO7*CD7+BN7*CC7)/B7)</f>
        <v>41.434235387080491</v>
      </c>
      <c r="F7" s="103">
        <f t="shared" ref="F7:F37" si="3">IF(AX7=0,0,D7/AX7)</f>
        <v>2.0051896572499115</v>
      </c>
      <c r="G7" s="106"/>
      <c r="H7" s="107">
        <f t="shared" ref="H7:H37" si="4">IF(AX7=0,0,(CV7+CS7+CU7+CP7+CT7)/AX7)</f>
        <v>1.0294946006729238</v>
      </c>
      <c r="I7" s="103">
        <f>'[1]сентябрь 20'!AE6</f>
        <v>0</v>
      </c>
      <c r="J7" s="328">
        <f>'[1]февраль 20'!AA6</f>
        <v>10.067</v>
      </c>
      <c r="K7" s="106"/>
      <c r="L7" s="328">
        <f>'[1]февраль 20'!AI6</f>
        <v>144.38999999999999</v>
      </c>
      <c r="M7" s="103">
        <f t="shared" ref="M7:M37" si="5">IF(AX7=0,0,(CR7+CQ7)/AX7)</f>
        <v>0.97569505879055252</v>
      </c>
      <c r="N7" s="103">
        <f>'[1]июль 20'!AM6</f>
        <v>0</v>
      </c>
      <c r="O7" s="103">
        <f>'[1]февраль 20'!W6</f>
        <v>0</v>
      </c>
      <c r="P7" s="103">
        <f>'[1]февраль 20'!S6</f>
        <v>281.84199999999998</v>
      </c>
      <c r="Q7" s="108">
        <f t="shared" ref="Q7:Q37" si="6">IF(P7=0,0,(1-(T7/P7))*100)</f>
        <v>1.8457148686143232</v>
      </c>
      <c r="R7" s="109">
        <f t="shared" ref="R7:R37" si="7">P7*((100-Q7)/100)</f>
        <v>276.6400003</v>
      </c>
      <c r="S7" s="106">
        <v>29.94</v>
      </c>
      <c r="T7" s="109">
        <f t="shared" ref="T7:T37" si="8">CG7+CH7+CJ7+CI7</f>
        <v>276.6400003</v>
      </c>
      <c r="U7" s="110">
        <f t="shared" ref="U7:U37" si="9">IF(AX7=0,0,R7/AX7)</f>
        <v>1.2247210921728353</v>
      </c>
      <c r="V7" s="136">
        <v>225.88</v>
      </c>
      <c r="W7" s="111">
        <v>225.88</v>
      </c>
      <c r="X7" s="106">
        <v>0.57999999999999996</v>
      </c>
      <c r="Y7" s="112">
        <v>680</v>
      </c>
      <c r="Z7" s="238">
        <v>1249</v>
      </c>
      <c r="AA7" s="113" t="s">
        <v>165</v>
      </c>
      <c r="AB7" s="106">
        <v>76.77</v>
      </c>
      <c r="AC7" s="112">
        <v>152</v>
      </c>
      <c r="AD7" s="114">
        <v>5</v>
      </c>
      <c r="AE7" s="106">
        <v>5.35</v>
      </c>
      <c r="AF7" s="115">
        <f t="shared" ref="AF7:AF37" si="10">IF(AX7=0,0,AE7/AX7*1000)</f>
        <v>23.685142553568266</v>
      </c>
      <c r="AG7" s="106">
        <v>124.55</v>
      </c>
      <c r="AH7" s="115">
        <f t="shared" ref="AH7:AH37" si="11">IF(AX7=0,0,AG7/AX7*1000)</f>
        <v>551.39897290596787</v>
      </c>
      <c r="AI7" s="106">
        <v>25.1</v>
      </c>
      <c r="AJ7" s="116"/>
      <c r="AK7" s="117">
        <v>9.51</v>
      </c>
      <c r="AL7" s="118">
        <v>53.05</v>
      </c>
      <c r="AM7" s="110">
        <f t="shared" ref="AM7:AM37" si="12">IF(AL7=0,0,AL7/AS7)</f>
        <v>0.18604243380676838</v>
      </c>
      <c r="AN7" s="119" t="s">
        <v>166</v>
      </c>
      <c r="AO7" s="403">
        <v>11.25</v>
      </c>
      <c r="AP7" s="120">
        <v>6.87</v>
      </c>
      <c r="AQ7" s="106"/>
      <c r="AR7" s="106">
        <v>8.41</v>
      </c>
      <c r="AS7" s="314">
        <v>285.14999999999998</v>
      </c>
      <c r="AT7" s="121">
        <v>3.29</v>
      </c>
      <c r="AU7" s="122"/>
      <c r="AV7" s="123"/>
      <c r="AW7" s="124"/>
      <c r="AX7" s="109">
        <f t="shared" ref="AX7:AX37" si="13">AS7-AL7-AK7+AV7+AT7</f>
        <v>225.87999999999997</v>
      </c>
      <c r="AY7" s="115">
        <f>IF(AB7=0,0,((D7*0.97)*(E7/100)*0.9)/(AB7/100))</f>
        <v>213.41024626381204</v>
      </c>
      <c r="AZ7" s="125">
        <f t="shared" ref="AZ7:AZ37" si="14">(AG7*AR7)/100*(55/71)</f>
        <v>8.1141693661971832</v>
      </c>
      <c r="BA7" s="115">
        <f t="shared" ref="BA7:BA23" si="15">AX7*$BA$6</f>
        <v>9.0351999999999997</v>
      </c>
      <c r="BB7" s="103">
        <f t="shared" ref="BB7:BB37" si="16">IF((D7*E7)=0,0,(AX7*AB7)/(D7*E7))</f>
        <v>0.9240101796997835</v>
      </c>
      <c r="BC7" s="115">
        <f t="shared" ref="BC7:BC37" si="17">AZ7+BA7</f>
        <v>17.149369366197185</v>
      </c>
      <c r="BD7" s="126">
        <v>0.92400000000000004</v>
      </c>
      <c r="BE7" s="16">
        <f>AX7</f>
        <v>225.87999999999997</v>
      </c>
      <c r="BF7" s="16">
        <f t="shared" ref="BF7:BF38" si="18">IF(A7&lt;=$BD$43,$AS$43,0)</f>
        <v>221.10344827586206</v>
      </c>
      <c r="BG7" s="16">
        <f>BF7</f>
        <v>221.10344827586206</v>
      </c>
      <c r="BH7" s="17">
        <f t="shared" ref="BH7:BH37" si="19">IF(AX7&lt;&gt;0,1,0)</f>
        <v>1</v>
      </c>
      <c r="BI7" s="16">
        <f>BF7*BH7</f>
        <v>221.10344827586206</v>
      </c>
      <c r="BJ7" s="336">
        <v>235.2</v>
      </c>
      <c r="BK7" s="336">
        <v>9.9999999999999995E-8</v>
      </c>
      <c r="BL7" s="336">
        <v>220.39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1.1299999999999999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37.840000000000003</v>
      </c>
      <c r="BZ7" s="336">
        <v>9.9999999999999995E-8</v>
      </c>
      <c r="CA7" s="336">
        <v>45.27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276.64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232.54223999999999</v>
      </c>
      <c r="CQ7" s="22">
        <f t="shared" si="20"/>
        <v>9.99999999E-8</v>
      </c>
      <c r="CR7" s="22">
        <f t="shared" si="20"/>
        <v>220.38999977960998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276.63999972336001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247"/>
    </row>
    <row r="8" spans="1:112" ht="16.5" customHeight="1">
      <c r="A8" s="127">
        <v>2</v>
      </c>
      <c r="B8" s="103">
        <f t="shared" ref="B8:B37" si="24">BJ8+BL8</f>
        <v>479.089</v>
      </c>
      <c r="C8" s="104">
        <f t="shared" si="0"/>
        <v>0.67087326154430604</v>
      </c>
      <c r="D8" s="105">
        <f t="shared" si="1"/>
        <v>475.87492000000003</v>
      </c>
      <c r="E8" s="104">
        <f t="shared" si="2"/>
        <v>41.023952313661972</v>
      </c>
      <c r="F8" s="128">
        <f t="shared" si="3"/>
        <v>2.049330003014513</v>
      </c>
      <c r="G8" s="106"/>
      <c r="H8" s="107">
        <f t="shared" si="4"/>
        <v>1.0675075147495803</v>
      </c>
      <c r="I8" s="103">
        <f>'[1]сентябрь 20'!AE7</f>
        <v>0</v>
      </c>
      <c r="J8" s="103">
        <f>'[1]февраль 20'!AA7</f>
        <v>9.6859999999999999</v>
      </c>
      <c r="K8" s="106"/>
      <c r="L8" s="328">
        <f>'[1]февраль 20'!AI7</f>
        <v>151.989</v>
      </c>
      <c r="M8" s="103">
        <f t="shared" si="5"/>
        <v>0.98182248826493268</v>
      </c>
      <c r="N8" s="103">
        <f>'[1]июль 20'!AM7</f>
        <v>0</v>
      </c>
      <c r="O8" s="103">
        <f>'[1]февраль 20'!W7</f>
        <v>0</v>
      </c>
      <c r="P8" s="103">
        <f>'[1]февраль 20'!S7</f>
        <v>295.90499999999997</v>
      </c>
      <c r="Q8" s="108">
        <f t="shared" si="6"/>
        <v>2.0023318294722814</v>
      </c>
      <c r="R8" s="109">
        <f t="shared" si="7"/>
        <v>289.98</v>
      </c>
      <c r="S8" s="106">
        <v>14.5</v>
      </c>
      <c r="T8" s="109">
        <f t="shared" si="8"/>
        <v>289.98</v>
      </c>
      <c r="U8" s="110">
        <f t="shared" si="9"/>
        <v>1.2487834287929032</v>
      </c>
      <c r="V8" s="136">
        <v>232.21</v>
      </c>
      <c r="W8" s="130">
        <v>141.97999999999999</v>
      </c>
      <c r="X8" s="131">
        <v>0.93</v>
      </c>
      <c r="Y8" s="112">
        <v>630</v>
      </c>
      <c r="Z8" s="112">
        <v>1249</v>
      </c>
      <c r="AA8" s="132" t="s">
        <v>167</v>
      </c>
      <c r="AB8" s="131">
        <v>76.42</v>
      </c>
      <c r="AC8" s="133">
        <v>160</v>
      </c>
      <c r="AD8" s="134">
        <v>5</v>
      </c>
      <c r="AE8" s="131">
        <v>6.25</v>
      </c>
      <c r="AF8" s="115">
        <f t="shared" si="10"/>
        <v>26.915292192412043</v>
      </c>
      <c r="AG8" s="131">
        <v>117.55</v>
      </c>
      <c r="AH8" s="115">
        <f t="shared" si="11"/>
        <v>506.2228155548857</v>
      </c>
      <c r="AI8" s="131">
        <v>22.66</v>
      </c>
      <c r="AJ8" s="116"/>
      <c r="AK8" s="135">
        <v>8.1300000000000008</v>
      </c>
      <c r="AL8" s="136">
        <v>52.77</v>
      </c>
      <c r="AM8" s="110">
        <f t="shared" si="12"/>
        <v>0.18187144580389455</v>
      </c>
      <c r="AN8" s="137" t="s">
        <v>168</v>
      </c>
      <c r="AO8" s="150">
        <v>11.81</v>
      </c>
      <c r="AP8" s="138">
        <v>6.64</v>
      </c>
      <c r="AQ8" s="131"/>
      <c r="AR8" s="131">
        <v>6.51</v>
      </c>
      <c r="AS8" s="315">
        <v>290.14999999999998</v>
      </c>
      <c r="AT8" s="131">
        <v>2.96</v>
      </c>
      <c r="AU8" s="116"/>
      <c r="AV8" s="131"/>
      <c r="AW8" s="109"/>
      <c r="AX8" s="109">
        <f t="shared" si="13"/>
        <v>232.20999999999998</v>
      </c>
      <c r="AY8" s="115">
        <f t="shared" ref="AY8:AY37" si="25">IF(AB8=0,0,((D8*0.97)*(E8/100)*0.9)/(AB8/100))</f>
        <v>223.01677220791083</v>
      </c>
      <c r="AZ8" s="140">
        <f t="shared" si="14"/>
        <v>5.927996830985915</v>
      </c>
      <c r="BA8" s="141">
        <f t="shared" si="15"/>
        <v>9.2883999999999993</v>
      </c>
      <c r="BB8" s="128">
        <f t="shared" si="16"/>
        <v>0.90898692503275813</v>
      </c>
      <c r="BC8" s="141">
        <f t="shared" si="17"/>
        <v>15.216396830985914</v>
      </c>
      <c r="BD8" s="142">
        <v>0.91600000000000004</v>
      </c>
      <c r="BE8" s="16">
        <f t="shared" ref="BE8:BE37" si="26">BE7+AX8</f>
        <v>458.08999999999992</v>
      </c>
      <c r="BF8" s="16">
        <f t="shared" si="18"/>
        <v>221.10344827586206</v>
      </c>
      <c r="BG8" s="16">
        <f t="shared" ref="BG8:BG37" si="27">BF8+BG7</f>
        <v>442.20689655172413</v>
      </c>
      <c r="BH8" s="17">
        <f t="shared" si="19"/>
        <v>1</v>
      </c>
      <c r="BI8" s="16">
        <f t="shared" ref="BI8:BI37" si="28">BI7+BF8*BH8</f>
        <v>442.20689655172413</v>
      </c>
      <c r="BJ8" s="249">
        <v>251.1</v>
      </c>
      <c r="BK8" s="195"/>
      <c r="BL8" s="197">
        <v>227.989</v>
      </c>
      <c r="BM8" s="197"/>
      <c r="BN8" s="230"/>
      <c r="BO8" s="230"/>
      <c r="BP8" s="250"/>
      <c r="BQ8" s="199"/>
      <c r="BR8" s="200">
        <v>1.28</v>
      </c>
      <c r="BS8" s="200"/>
      <c r="BT8" s="200"/>
      <c r="BU8" s="200"/>
      <c r="BV8" s="208"/>
      <c r="BW8" s="208"/>
      <c r="BX8" s="198"/>
      <c r="BY8" s="202">
        <v>36.86</v>
      </c>
      <c r="BZ8" s="200"/>
      <c r="CA8" s="200">
        <v>45.61</v>
      </c>
      <c r="CB8" s="200"/>
      <c r="CC8" s="197"/>
      <c r="CD8" s="197"/>
      <c r="CE8" s="197"/>
      <c r="CF8" s="203"/>
      <c r="CG8" s="204"/>
      <c r="CH8" s="197"/>
      <c r="CI8" s="197">
        <v>289.98</v>
      </c>
      <c r="CJ8" s="198"/>
      <c r="CK8" s="205"/>
      <c r="CL8" s="206"/>
      <c r="CM8" s="269"/>
      <c r="CN8" s="207"/>
      <c r="CO8" s="284"/>
      <c r="CP8" s="286">
        <f t="shared" si="20"/>
        <v>247.88592</v>
      </c>
      <c r="CQ8" s="24">
        <f t="shared" si="20"/>
        <v>0</v>
      </c>
      <c r="CR8" s="25">
        <f t="shared" si="20"/>
        <v>227.989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289.98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9">IF(I8=0,0,(DE8*DD8%)/(AB8/100))</f>
        <v>0</v>
      </c>
      <c r="DH8" s="247"/>
    </row>
    <row r="9" spans="1:112" ht="16.5" customHeight="1">
      <c r="A9" s="127">
        <v>3</v>
      </c>
      <c r="B9" s="103">
        <f t="shared" si="24"/>
        <v>461.75700000000001</v>
      </c>
      <c r="C9" s="104">
        <f t="shared" si="0"/>
        <v>2.0668879952009389</v>
      </c>
      <c r="D9" s="143">
        <f t="shared" si="1"/>
        <v>452.21300000000002</v>
      </c>
      <c r="E9" s="104">
        <f t="shared" si="2"/>
        <v>41.324735629346172</v>
      </c>
      <c r="F9" s="128">
        <f t="shared" si="3"/>
        <v>2.0342465137201984</v>
      </c>
      <c r="G9" s="106"/>
      <c r="H9" s="107">
        <f t="shared" si="4"/>
        <v>1.030391363022942</v>
      </c>
      <c r="I9" s="103">
        <f>'[1]сентябрь 20'!AE8</f>
        <v>0</v>
      </c>
      <c r="J9" s="103">
        <f>'[1]февраль 20'!AA8</f>
        <v>10.789</v>
      </c>
      <c r="K9" s="106"/>
      <c r="L9" s="328">
        <f>'[1]февраль 20'!AI8</f>
        <v>147.15700000000001</v>
      </c>
      <c r="M9" s="103">
        <f t="shared" si="5"/>
        <v>1.0038551506972562</v>
      </c>
      <c r="N9" s="103">
        <f>'[1]июль 20'!AM8</f>
        <v>0</v>
      </c>
      <c r="O9" s="103">
        <f>'[1]февраль 20'!W8</f>
        <v>0</v>
      </c>
      <c r="P9" s="103">
        <f>'[1]февраль 20'!S8</f>
        <v>284.66500000000002</v>
      </c>
      <c r="Q9" s="108">
        <f t="shared" si="6"/>
        <v>2.2991937891908121</v>
      </c>
      <c r="R9" s="109">
        <f t="shared" si="7"/>
        <v>278.12</v>
      </c>
      <c r="S9" s="106">
        <v>34.159999999999997</v>
      </c>
      <c r="T9" s="109">
        <f t="shared" si="8"/>
        <v>278.12</v>
      </c>
      <c r="U9" s="110">
        <f t="shared" si="9"/>
        <v>1.2511021142600092</v>
      </c>
      <c r="V9" s="136">
        <v>222.3</v>
      </c>
      <c r="W9" s="130">
        <v>44.56</v>
      </c>
      <c r="X9" s="131">
        <v>1.1100000000000001</v>
      </c>
      <c r="Y9" s="112">
        <v>615</v>
      </c>
      <c r="Z9" s="112">
        <v>1247</v>
      </c>
      <c r="AA9" s="144" t="s">
        <v>169</v>
      </c>
      <c r="AB9" s="131">
        <v>76.61</v>
      </c>
      <c r="AC9" s="133">
        <v>155</v>
      </c>
      <c r="AD9" s="134">
        <v>5</v>
      </c>
      <c r="AE9" s="131">
        <v>3.55</v>
      </c>
      <c r="AF9" s="115">
        <f t="shared" si="10"/>
        <v>15.969410706252813</v>
      </c>
      <c r="AG9" s="131">
        <v>113.95</v>
      </c>
      <c r="AH9" s="115">
        <f t="shared" si="11"/>
        <v>512.59559154295994</v>
      </c>
      <c r="AI9" s="131">
        <v>26.11</v>
      </c>
      <c r="AJ9" s="116"/>
      <c r="AK9" s="135">
        <v>9.73</v>
      </c>
      <c r="AL9" s="136">
        <v>55.34</v>
      </c>
      <c r="AM9" s="110">
        <f t="shared" si="12"/>
        <v>0.19407329475714538</v>
      </c>
      <c r="AN9" s="137" t="s">
        <v>170</v>
      </c>
      <c r="AO9" s="150">
        <v>11.77</v>
      </c>
      <c r="AP9" s="131">
        <v>6.83</v>
      </c>
      <c r="AQ9" s="131"/>
      <c r="AR9" s="131">
        <v>6.03</v>
      </c>
      <c r="AS9" s="315">
        <v>285.14999999999998</v>
      </c>
      <c r="AT9" s="131">
        <v>2.2200000000000002</v>
      </c>
      <c r="AU9" s="116"/>
      <c r="AV9" s="131"/>
      <c r="AW9" s="109"/>
      <c r="AX9" s="109">
        <f t="shared" si="13"/>
        <v>222.29999999999998</v>
      </c>
      <c r="AY9" s="115">
        <f t="shared" si="25"/>
        <v>212.95209076704114</v>
      </c>
      <c r="AZ9" s="140">
        <f t="shared" si="14"/>
        <v>5.3227489436619724</v>
      </c>
      <c r="BA9" s="141">
        <f t="shared" si="15"/>
        <v>8.8919999999999995</v>
      </c>
      <c r="BB9" s="128">
        <f t="shared" si="16"/>
        <v>0.91132188137237158</v>
      </c>
      <c r="BC9" s="141">
        <f t="shared" si="17"/>
        <v>14.214748943661972</v>
      </c>
      <c r="BD9" s="142">
        <v>0.91500000000000004</v>
      </c>
      <c r="BE9" s="16">
        <f t="shared" si="26"/>
        <v>680.38999999999987</v>
      </c>
      <c r="BF9" s="16">
        <f t="shared" si="18"/>
        <v>221.10344827586206</v>
      </c>
      <c r="BG9" s="16">
        <f t="shared" si="27"/>
        <v>663.31034482758616</v>
      </c>
      <c r="BH9" s="17">
        <f t="shared" si="19"/>
        <v>1</v>
      </c>
      <c r="BI9" s="16">
        <f t="shared" si="28"/>
        <v>663.31034482758616</v>
      </c>
      <c r="BJ9" s="249">
        <v>238.6</v>
      </c>
      <c r="BK9" s="195"/>
      <c r="BL9" s="197">
        <v>223.15700000000001</v>
      </c>
      <c r="BM9" s="197"/>
      <c r="BN9" s="230"/>
      <c r="BO9" s="230"/>
      <c r="BP9" s="250"/>
      <c r="BQ9" s="199"/>
      <c r="BR9" s="200">
        <v>4</v>
      </c>
      <c r="BS9" s="200"/>
      <c r="BT9" s="200"/>
      <c r="BU9" s="200"/>
      <c r="BV9" s="208"/>
      <c r="BW9" s="208"/>
      <c r="BX9" s="201"/>
      <c r="BY9" s="202">
        <v>37.56</v>
      </c>
      <c r="BZ9" s="200"/>
      <c r="CA9" s="200">
        <v>45.35</v>
      </c>
      <c r="CB9" s="200"/>
      <c r="CC9" s="200"/>
      <c r="CD9" s="200"/>
      <c r="CE9" s="200"/>
      <c r="CF9" s="203"/>
      <c r="CG9" s="204"/>
      <c r="CH9" s="197"/>
      <c r="CI9" s="197">
        <v>278.12</v>
      </c>
      <c r="CJ9" s="198"/>
      <c r="CK9" s="202"/>
      <c r="CL9" s="208"/>
      <c r="CM9" s="208"/>
      <c r="CN9" s="201"/>
      <c r="CO9" s="284"/>
      <c r="CP9" s="286">
        <f t="shared" si="20"/>
        <v>229.05599999999998</v>
      </c>
      <c r="CQ9" s="27">
        <f t="shared" si="20"/>
        <v>0</v>
      </c>
      <c r="CR9" s="28">
        <f t="shared" si="20"/>
        <v>223.15700000000001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278.12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9"/>
        <v>0</v>
      </c>
      <c r="DH9" s="247"/>
    </row>
    <row r="10" spans="1:112" ht="16.5" customHeight="1">
      <c r="A10" s="127">
        <v>4</v>
      </c>
      <c r="B10" s="103">
        <f t="shared" si="24"/>
        <v>497.65600000000001</v>
      </c>
      <c r="C10" s="104">
        <f t="shared" si="0"/>
        <v>2.1033404600768404</v>
      </c>
      <c r="D10" s="143">
        <f t="shared" si="1"/>
        <v>487.18860000000001</v>
      </c>
      <c r="E10" s="104">
        <f t="shared" si="2"/>
        <v>41.1870540292893</v>
      </c>
      <c r="F10" s="128">
        <f t="shared" si="3"/>
        <v>2.0074523054101943</v>
      </c>
      <c r="G10" s="106"/>
      <c r="H10" s="107">
        <f t="shared" si="4"/>
        <v>1.0405562651942806</v>
      </c>
      <c r="I10" s="103">
        <f>'[1]сентябрь 20'!AE9</f>
        <v>0</v>
      </c>
      <c r="J10" s="103">
        <f>'[1]февраль 20'!AA9</f>
        <v>11.993</v>
      </c>
      <c r="K10" s="106"/>
      <c r="L10" s="328">
        <f>'[1]февраль 20'!AI9</f>
        <v>158.65600000000001</v>
      </c>
      <c r="M10" s="103">
        <f t="shared" si="5"/>
        <v>0.96689604021591335</v>
      </c>
      <c r="N10" s="103">
        <f>'[1]июль 20'!AM9</f>
        <v>0</v>
      </c>
      <c r="O10" s="103">
        <f>'[1]февраль 20'!W9</f>
        <v>0</v>
      </c>
      <c r="P10" s="103">
        <f>'[1]февраль 20'!S9</f>
        <v>302.46100000000001</v>
      </c>
      <c r="Q10" s="108">
        <f t="shared" si="6"/>
        <v>1.7195605383834689</v>
      </c>
      <c r="R10" s="109">
        <f t="shared" si="7"/>
        <v>297.26000000000005</v>
      </c>
      <c r="S10" s="106">
        <v>6.04</v>
      </c>
      <c r="T10" s="109">
        <f t="shared" si="8"/>
        <v>297.26</v>
      </c>
      <c r="U10" s="110">
        <f t="shared" si="9"/>
        <v>1.224854752977049</v>
      </c>
      <c r="V10" s="136">
        <v>242.69</v>
      </c>
      <c r="W10" s="130">
        <v>195.1</v>
      </c>
      <c r="X10" s="131">
        <v>0.63</v>
      </c>
      <c r="Y10" s="112">
        <v>563</v>
      </c>
      <c r="Z10" s="112">
        <v>1255</v>
      </c>
      <c r="AA10" s="144" t="s">
        <v>171</v>
      </c>
      <c r="AB10" s="131">
        <v>76.86</v>
      </c>
      <c r="AC10" s="133">
        <v>167</v>
      </c>
      <c r="AD10" s="134">
        <v>5</v>
      </c>
      <c r="AE10" s="131">
        <v>5.4</v>
      </c>
      <c r="AF10" s="115">
        <f t="shared" si="10"/>
        <v>22.25060777123079</v>
      </c>
      <c r="AG10" s="131">
        <v>138.15</v>
      </c>
      <c r="AH10" s="115">
        <f t="shared" si="11"/>
        <v>569.24471548065435</v>
      </c>
      <c r="AI10" s="131">
        <v>21.81</v>
      </c>
      <c r="AJ10" s="116"/>
      <c r="AK10" s="135">
        <v>9.4700000000000006</v>
      </c>
      <c r="AL10" s="136">
        <v>53.86</v>
      </c>
      <c r="AM10" s="110">
        <f t="shared" si="12"/>
        <v>0.17746293245469522</v>
      </c>
      <c r="AN10" s="137" t="s">
        <v>172</v>
      </c>
      <c r="AO10" s="150">
        <v>10.98</v>
      </c>
      <c r="AP10" s="138">
        <v>7.12</v>
      </c>
      <c r="AQ10" s="131"/>
      <c r="AR10" s="131">
        <v>7.2</v>
      </c>
      <c r="AS10" s="315">
        <v>303.5</v>
      </c>
      <c r="AT10" s="131">
        <v>2.52</v>
      </c>
      <c r="AU10" s="116"/>
      <c r="AV10" s="131"/>
      <c r="AW10" s="109"/>
      <c r="AX10" s="109">
        <f t="shared" si="13"/>
        <v>242.69</v>
      </c>
      <c r="AY10" s="115">
        <f>IF(AB10=0,0,((D10*0.97)*(E10/100)*0.9)/(AB10/100))</f>
        <v>227.91437113506092</v>
      </c>
      <c r="AZ10" s="140">
        <f t="shared" si="14"/>
        <v>7.7052676056338036</v>
      </c>
      <c r="BA10" s="141">
        <f t="shared" si="15"/>
        <v>9.7075999999999993</v>
      </c>
      <c r="BB10" s="128">
        <f t="shared" si="16"/>
        <v>0.92959636088260478</v>
      </c>
      <c r="BC10" s="141">
        <f t="shared" si="17"/>
        <v>17.412867605633803</v>
      </c>
      <c r="BD10" s="142">
        <v>0.91900000000000004</v>
      </c>
      <c r="BE10" s="16">
        <f t="shared" si="26"/>
        <v>923.07999999999993</v>
      </c>
      <c r="BF10" s="16">
        <f t="shared" si="18"/>
        <v>221.10344827586206</v>
      </c>
      <c r="BG10" s="16">
        <f t="shared" si="27"/>
        <v>884.41379310344826</v>
      </c>
      <c r="BH10" s="17">
        <f t="shared" si="19"/>
        <v>1</v>
      </c>
      <c r="BI10" s="16">
        <f t="shared" si="28"/>
        <v>884.41379310344826</v>
      </c>
      <c r="BJ10" s="249">
        <v>263</v>
      </c>
      <c r="BK10" s="195"/>
      <c r="BL10" s="197">
        <v>234.65600000000001</v>
      </c>
      <c r="BM10" s="195"/>
      <c r="BN10" s="195"/>
      <c r="BO10" s="230"/>
      <c r="BP10" s="250"/>
      <c r="BQ10" s="199"/>
      <c r="BR10" s="200">
        <v>3.98</v>
      </c>
      <c r="BS10" s="200"/>
      <c r="BT10" s="200"/>
      <c r="BU10" s="200"/>
      <c r="BV10" s="208"/>
      <c r="BW10" s="208"/>
      <c r="BX10" s="201"/>
      <c r="BY10" s="202">
        <v>37.33</v>
      </c>
      <c r="BZ10" s="200"/>
      <c r="CA10" s="200">
        <v>45.51</v>
      </c>
      <c r="CB10" s="200"/>
      <c r="CC10" s="200"/>
      <c r="CD10" s="200"/>
      <c r="CE10" s="200"/>
      <c r="CF10" s="203"/>
      <c r="CG10" s="204"/>
      <c r="CH10" s="197"/>
      <c r="CI10" s="197">
        <v>297.26</v>
      </c>
      <c r="CJ10" s="198"/>
      <c r="CK10" s="202"/>
      <c r="CL10" s="208"/>
      <c r="CM10" s="208"/>
      <c r="CN10" s="201"/>
      <c r="CO10" s="284"/>
      <c r="CP10" s="286">
        <f t="shared" si="20"/>
        <v>252.53259999999997</v>
      </c>
      <c r="CQ10" s="29">
        <f t="shared" si="20"/>
        <v>0</v>
      </c>
      <c r="CR10" s="30">
        <f t="shared" si="20"/>
        <v>234.65600000000001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0</v>
      </c>
      <c r="CX10" s="26">
        <f t="shared" si="21"/>
        <v>0</v>
      </c>
      <c r="CY10" s="277">
        <f t="shared" si="21"/>
        <v>297.26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9"/>
        <v>0</v>
      </c>
      <c r="DH10" s="247"/>
    </row>
    <row r="11" spans="1:112" ht="16.5" customHeight="1">
      <c r="A11" s="127">
        <v>5</v>
      </c>
      <c r="B11" s="103">
        <f t="shared" si="24"/>
        <v>485.84500000000003</v>
      </c>
      <c r="C11" s="104">
        <f t="shared" si="0"/>
        <v>2.1991581677283909</v>
      </c>
      <c r="D11" s="143">
        <f t="shared" si="1"/>
        <v>475.16050000000001</v>
      </c>
      <c r="E11" s="104">
        <f t="shared" si="2"/>
        <v>41.218807953153785</v>
      </c>
      <c r="F11" s="128">
        <f t="shared" si="3"/>
        <v>2.1502421033577699</v>
      </c>
      <c r="G11" s="106"/>
      <c r="H11" s="107">
        <f>IF(AX11=0,0,(CV11+CS11+CU11+CP11+CT11)/AX11)</f>
        <v>1.1056000543035569</v>
      </c>
      <c r="I11" s="103">
        <f>'[1]сентябрь 20'!AE10</f>
        <v>0</v>
      </c>
      <c r="J11" s="103">
        <f>'[1]февраль 20'!AA10</f>
        <v>10.175000000000001</v>
      </c>
      <c r="K11" s="106"/>
      <c r="L11" s="328">
        <f>'[1]февраль 20'!AI10</f>
        <v>154.845</v>
      </c>
      <c r="M11" s="103">
        <f t="shared" si="5"/>
        <v>1.044642049054213</v>
      </c>
      <c r="N11" s="103">
        <f>'[1]июль 20'!AM10</f>
        <v>0</v>
      </c>
      <c r="O11" s="103">
        <f>'[1]февраль 20'!W10</f>
        <v>0</v>
      </c>
      <c r="P11" s="103">
        <f>'[1]февраль 20'!S10</f>
        <v>294.34899999999999</v>
      </c>
      <c r="Q11" s="108">
        <f t="shared" si="6"/>
        <v>1.8647931537052909</v>
      </c>
      <c r="R11" s="109">
        <f t="shared" si="7"/>
        <v>288.86</v>
      </c>
      <c r="S11" s="106">
        <v>43.18</v>
      </c>
      <c r="T11" s="109">
        <f t="shared" si="8"/>
        <v>288.86</v>
      </c>
      <c r="U11" s="110">
        <f t="shared" si="9"/>
        <v>1.3071771201013667</v>
      </c>
      <c r="V11" s="136">
        <v>220.98</v>
      </c>
      <c r="W11" s="130">
        <v>220.98</v>
      </c>
      <c r="X11" s="131">
        <v>0.53</v>
      </c>
      <c r="Y11" s="112">
        <v>656</v>
      </c>
      <c r="Z11" s="112">
        <v>1246</v>
      </c>
      <c r="AA11" s="144" t="s">
        <v>167</v>
      </c>
      <c r="AB11" s="131">
        <v>76.3</v>
      </c>
      <c r="AC11" s="133">
        <v>163</v>
      </c>
      <c r="AD11" s="134">
        <v>5</v>
      </c>
      <c r="AE11" s="131">
        <v>4.7</v>
      </c>
      <c r="AF11" s="115">
        <f t="shared" si="10"/>
        <v>21.268893112498873</v>
      </c>
      <c r="AG11" s="131">
        <v>143.35</v>
      </c>
      <c r="AH11" s="115">
        <f t="shared" si="11"/>
        <v>648.70123993121558</v>
      </c>
      <c r="AI11" s="131">
        <v>26.83</v>
      </c>
      <c r="AJ11" s="116"/>
      <c r="AK11" s="135">
        <v>9.08</v>
      </c>
      <c r="AL11" s="136">
        <v>54.24</v>
      </c>
      <c r="AM11" s="110">
        <f t="shared" si="12"/>
        <v>0.19217006200177147</v>
      </c>
      <c r="AN11" s="137" t="s">
        <v>173</v>
      </c>
      <c r="AO11" s="150">
        <v>10.19</v>
      </c>
      <c r="AP11" s="138">
        <v>6.66</v>
      </c>
      <c r="AQ11" s="131"/>
      <c r="AR11" s="131">
        <v>9.73</v>
      </c>
      <c r="AS11" s="315">
        <v>282.25</v>
      </c>
      <c r="AT11" s="131">
        <v>2.0499999999999998</v>
      </c>
      <c r="AU11" s="145"/>
      <c r="AV11" s="131"/>
      <c r="AW11" s="109"/>
      <c r="AX11" s="109">
        <f t="shared" si="13"/>
        <v>220.98</v>
      </c>
      <c r="AY11" s="115">
        <f t="shared" si="25"/>
        <v>224.09154158687568</v>
      </c>
      <c r="AZ11" s="140">
        <f t="shared" si="14"/>
        <v>10.804753873239436</v>
      </c>
      <c r="BA11" s="141">
        <f t="shared" si="15"/>
        <v>8.8391999999999999</v>
      </c>
      <c r="BB11" s="128">
        <f t="shared" si="16"/>
        <v>0.86087827605581713</v>
      </c>
      <c r="BC11" s="141">
        <f t="shared" si="17"/>
        <v>19.643953873239436</v>
      </c>
      <c r="BD11" s="142">
        <v>0.90700000000000003</v>
      </c>
      <c r="BE11" s="16">
        <f t="shared" si="26"/>
        <v>1144.06</v>
      </c>
      <c r="BF11" s="16">
        <f t="shared" si="18"/>
        <v>221.10344827586206</v>
      </c>
      <c r="BG11" s="16">
        <f t="shared" si="27"/>
        <v>1105.5172413793102</v>
      </c>
      <c r="BH11" s="17">
        <f t="shared" si="19"/>
        <v>1</v>
      </c>
      <c r="BI11" s="16">
        <f t="shared" si="28"/>
        <v>1105.5172413793102</v>
      </c>
      <c r="BJ11" s="249">
        <v>255</v>
      </c>
      <c r="BK11" s="195"/>
      <c r="BL11" s="197">
        <v>230.845</v>
      </c>
      <c r="BM11" s="197"/>
      <c r="BN11" s="230"/>
      <c r="BO11" s="230"/>
      <c r="BP11" s="250"/>
      <c r="BQ11" s="199"/>
      <c r="BR11" s="200">
        <v>4.1900000000000004</v>
      </c>
      <c r="BS11" s="200"/>
      <c r="BT11" s="200"/>
      <c r="BU11" s="200"/>
      <c r="BV11" s="208"/>
      <c r="BW11" s="208"/>
      <c r="BX11" s="201"/>
      <c r="BY11" s="202">
        <v>37.659999999999997</v>
      </c>
      <c r="BZ11" s="200"/>
      <c r="CA11" s="200">
        <v>45.15</v>
      </c>
      <c r="CB11" s="200"/>
      <c r="CC11" s="200"/>
      <c r="CD11" s="200"/>
      <c r="CE11" s="200"/>
      <c r="CF11" s="203"/>
      <c r="CG11" s="204"/>
      <c r="CH11" s="197"/>
      <c r="CI11" s="230">
        <v>288.86</v>
      </c>
      <c r="CJ11" s="198"/>
      <c r="CK11" s="202"/>
      <c r="CL11" s="208"/>
      <c r="CM11" s="208"/>
      <c r="CN11" s="201"/>
      <c r="CO11" s="284"/>
      <c r="CP11" s="286">
        <f t="shared" si="20"/>
        <v>244.31550000000001</v>
      </c>
      <c r="CQ11" s="24">
        <f t="shared" si="20"/>
        <v>0</v>
      </c>
      <c r="CR11" s="25">
        <f t="shared" si="20"/>
        <v>230.845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0</v>
      </c>
      <c r="CX11" s="26">
        <f t="shared" si="21"/>
        <v>0</v>
      </c>
      <c r="CY11" s="277">
        <f t="shared" si="21"/>
        <v>288.86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9"/>
        <v>0</v>
      </c>
      <c r="DH11" s="247"/>
    </row>
    <row r="12" spans="1:112" ht="16.5" customHeight="1">
      <c r="A12" s="127">
        <v>6</v>
      </c>
      <c r="B12" s="103">
        <f t="shared" si="24"/>
        <v>520.32400000000007</v>
      </c>
      <c r="C12" s="104">
        <f t="shared" si="0"/>
        <v>1.4531138290757295</v>
      </c>
      <c r="D12" s="143">
        <f t="shared" si="1"/>
        <v>512.76310000000001</v>
      </c>
      <c r="E12" s="104">
        <f t="shared" si="2"/>
        <v>41.073692084162936</v>
      </c>
      <c r="F12" s="128">
        <f t="shared" si="3"/>
        <v>2.0406857165598762</v>
      </c>
      <c r="G12" s="106"/>
      <c r="H12" s="107">
        <f t="shared" si="4"/>
        <v>1.0802686353325111</v>
      </c>
      <c r="I12" s="103">
        <f>'[1]сентябрь 20'!AE11</f>
        <v>0</v>
      </c>
      <c r="J12" s="103">
        <f>'[1]февраль 20'!AA11</f>
        <v>9.609</v>
      </c>
      <c r="K12" s="106"/>
      <c r="L12" s="328">
        <f>'[1]февраль 20'!AI11</f>
        <v>165.32400000000001</v>
      </c>
      <c r="M12" s="103">
        <f t="shared" si="5"/>
        <v>0.96041708122736513</v>
      </c>
      <c r="N12" s="103">
        <f>'[1]июль 20'!AM11</f>
        <v>0</v>
      </c>
      <c r="O12" s="103">
        <f>'[1]февраль 20'!W11</f>
        <v>0</v>
      </c>
      <c r="P12" s="103">
        <f>'[1]февраль 20'!S11</f>
        <v>315.80500000000001</v>
      </c>
      <c r="Q12" s="108">
        <f t="shared" si="6"/>
        <v>1.9268219312550405</v>
      </c>
      <c r="R12" s="109">
        <f t="shared" si="7"/>
        <v>309.72000000000008</v>
      </c>
      <c r="S12" s="106">
        <v>24.21</v>
      </c>
      <c r="T12" s="109">
        <f t="shared" si="8"/>
        <v>309.72000000000003</v>
      </c>
      <c r="U12" s="110">
        <f t="shared" si="9"/>
        <v>1.2326182990408727</v>
      </c>
      <c r="V12" s="136">
        <v>251.27</v>
      </c>
      <c r="W12" s="130">
        <v>251.27</v>
      </c>
      <c r="X12" s="131">
        <v>0.66</v>
      </c>
      <c r="Y12" s="112">
        <v>608</v>
      </c>
      <c r="Z12" s="133">
        <v>1244</v>
      </c>
      <c r="AA12" s="144" t="s">
        <v>174</v>
      </c>
      <c r="AB12" s="131">
        <v>76.75</v>
      </c>
      <c r="AC12" s="133">
        <v>174</v>
      </c>
      <c r="AD12" s="134">
        <v>5</v>
      </c>
      <c r="AE12" s="131">
        <v>4.0999999999999996</v>
      </c>
      <c r="AF12" s="115">
        <f t="shared" si="10"/>
        <v>16.31710908584391</v>
      </c>
      <c r="AG12" s="131">
        <v>141.75</v>
      </c>
      <c r="AH12" s="115">
        <f t="shared" si="11"/>
        <v>564.13419827277437</v>
      </c>
      <c r="AI12" s="131">
        <v>27.28</v>
      </c>
      <c r="AJ12" s="116"/>
      <c r="AK12" s="135">
        <v>10.18</v>
      </c>
      <c r="AL12" s="136">
        <v>57.92</v>
      </c>
      <c r="AM12" s="110">
        <f t="shared" si="12"/>
        <v>0.18311729370850457</v>
      </c>
      <c r="AN12" s="137" t="s">
        <v>175</v>
      </c>
      <c r="AO12" s="150">
        <v>10.73</v>
      </c>
      <c r="AP12" s="138">
        <v>6.94</v>
      </c>
      <c r="AQ12" s="131"/>
      <c r="AR12" s="131">
        <v>8.09</v>
      </c>
      <c r="AS12" s="315">
        <v>316.3</v>
      </c>
      <c r="AT12" s="131">
        <v>3.07</v>
      </c>
      <c r="AU12" s="116"/>
      <c r="AV12" s="131"/>
      <c r="AW12" s="109"/>
      <c r="AX12" s="109">
        <f t="shared" si="13"/>
        <v>251.26999999999998</v>
      </c>
      <c r="AY12" s="115">
        <f t="shared" si="25"/>
        <v>239.56113777156617</v>
      </c>
      <c r="AZ12" s="140">
        <f t="shared" si="14"/>
        <v>8.8833327464788727</v>
      </c>
      <c r="BA12" s="141">
        <f t="shared" si="15"/>
        <v>10.050799999999999</v>
      </c>
      <c r="BB12" s="128">
        <f t="shared" si="16"/>
        <v>0.91566901059373751</v>
      </c>
      <c r="BC12" s="141">
        <f t="shared" si="17"/>
        <v>18.934132746478873</v>
      </c>
      <c r="BD12" s="142">
        <v>0.90800000000000003</v>
      </c>
      <c r="BE12" s="16">
        <f t="shared" si="26"/>
        <v>1395.33</v>
      </c>
      <c r="BF12" s="16">
        <f t="shared" si="18"/>
        <v>221.10344827586206</v>
      </c>
      <c r="BG12" s="16">
        <f t="shared" si="27"/>
        <v>1326.6206896551723</v>
      </c>
      <c r="BH12" s="17">
        <f t="shared" si="19"/>
        <v>1</v>
      </c>
      <c r="BI12" s="16">
        <f t="shared" si="28"/>
        <v>1326.6206896551723</v>
      </c>
      <c r="BJ12" s="249">
        <v>279</v>
      </c>
      <c r="BK12" s="195"/>
      <c r="BL12" s="271">
        <v>241.32400000000001</v>
      </c>
      <c r="BM12" s="197"/>
      <c r="BN12" s="230"/>
      <c r="BO12" s="230"/>
      <c r="BP12" s="250"/>
      <c r="BQ12" s="199"/>
      <c r="BR12" s="200">
        <v>2.71</v>
      </c>
      <c r="BS12" s="200"/>
      <c r="BT12" s="200"/>
      <c r="BU12" s="200"/>
      <c r="BV12" s="208"/>
      <c r="BW12" s="208"/>
      <c r="BX12" s="201"/>
      <c r="BY12" s="202">
        <v>37.47</v>
      </c>
      <c r="BZ12" s="200"/>
      <c r="CA12" s="200">
        <v>45.24</v>
      </c>
      <c r="CB12" s="200"/>
      <c r="CC12" s="200"/>
      <c r="CD12" s="200"/>
      <c r="CE12" s="200"/>
      <c r="CF12" s="203"/>
      <c r="CG12" s="204"/>
      <c r="CH12" s="197"/>
      <c r="CI12" s="230">
        <v>309.72000000000003</v>
      </c>
      <c r="CJ12" s="198"/>
      <c r="CK12" s="202"/>
      <c r="CL12" s="202"/>
      <c r="CM12" s="270"/>
      <c r="CN12" s="201"/>
      <c r="CO12" s="284"/>
      <c r="CP12" s="286">
        <f t="shared" si="20"/>
        <v>271.43910000000005</v>
      </c>
      <c r="CQ12" s="24">
        <f t="shared" si="20"/>
        <v>0</v>
      </c>
      <c r="CR12" s="25">
        <f t="shared" si="20"/>
        <v>241.32400000000001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0</v>
      </c>
      <c r="CW12" s="237">
        <f t="shared" si="21"/>
        <v>0</v>
      </c>
      <c r="CX12" s="26">
        <f t="shared" si="21"/>
        <v>0</v>
      </c>
      <c r="CY12" s="277">
        <f t="shared" si="21"/>
        <v>309.72000000000003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9"/>
        <v>0</v>
      </c>
      <c r="DH12" s="247"/>
    </row>
    <row r="13" spans="1:112" ht="16.5" customHeight="1">
      <c r="A13" s="127">
        <v>7</v>
      </c>
      <c r="B13" s="103">
        <f t="shared" si="24"/>
        <v>514.00700000000006</v>
      </c>
      <c r="C13" s="104">
        <f t="shared" si="0"/>
        <v>1.5700758939080595</v>
      </c>
      <c r="D13" s="143">
        <f t="shared" si="1"/>
        <v>505.93670000000009</v>
      </c>
      <c r="E13" s="104">
        <f t="shared" si="2"/>
        <v>40.995536364290757</v>
      </c>
      <c r="F13" s="128">
        <f t="shared" si="3"/>
        <v>2.0463383756673683</v>
      </c>
      <c r="G13" s="106"/>
      <c r="H13" s="107">
        <f t="shared" si="4"/>
        <v>1.0776156770749072</v>
      </c>
      <c r="I13" s="103">
        <f>'[1]сентябрь 20'!AE12</f>
        <v>0</v>
      </c>
      <c r="J13" s="103">
        <f>'[1]февраль 20'!AA12</f>
        <v>9.5359999999999996</v>
      </c>
      <c r="K13" s="106"/>
      <c r="L13" s="328">
        <f>'[1]февраль 20'!AI12</f>
        <v>163.50700000000001</v>
      </c>
      <c r="M13" s="103">
        <f t="shared" si="5"/>
        <v>0.96872269859246085</v>
      </c>
      <c r="N13" s="103">
        <f>'[1]июль 20'!AM12</f>
        <v>0</v>
      </c>
      <c r="O13" s="103">
        <f>'[1]февраль 20'!W12</f>
        <v>0</v>
      </c>
      <c r="P13" s="103">
        <f>'[1]февраль 20'!S12</f>
        <v>311.74799999999999</v>
      </c>
      <c r="Q13" s="108">
        <f t="shared" si="6"/>
        <v>1.792473408009021</v>
      </c>
      <c r="R13" s="109">
        <f t="shared" si="7"/>
        <v>306.16000000000003</v>
      </c>
      <c r="S13" s="106">
        <v>20.239999999999998</v>
      </c>
      <c r="T13" s="109">
        <f t="shared" si="8"/>
        <v>306.16000000000003</v>
      </c>
      <c r="U13" s="110">
        <f t="shared" si="9"/>
        <v>1.2383109529202396</v>
      </c>
      <c r="V13" s="136">
        <v>247.24</v>
      </c>
      <c r="W13" s="130">
        <v>247.24</v>
      </c>
      <c r="X13" s="131">
        <v>0.83</v>
      </c>
      <c r="Y13" s="146">
        <v>653</v>
      </c>
      <c r="Z13" s="147">
        <v>1241</v>
      </c>
      <c r="AA13" s="144" t="s">
        <v>176</v>
      </c>
      <c r="AB13" s="131">
        <v>76.790000000000006</v>
      </c>
      <c r="AC13" s="133">
        <v>172</v>
      </c>
      <c r="AD13" s="134">
        <v>5</v>
      </c>
      <c r="AE13" s="131">
        <v>4.3</v>
      </c>
      <c r="AF13" s="115">
        <f t="shared" si="10"/>
        <v>17.392007765733698</v>
      </c>
      <c r="AG13" s="131">
        <v>138.55000000000001</v>
      </c>
      <c r="AH13" s="115">
        <f t="shared" si="11"/>
        <v>560.38666882381506</v>
      </c>
      <c r="AI13" s="131">
        <v>27.92</v>
      </c>
      <c r="AJ13" s="116"/>
      <c r="AK13" s="135">
        <v>11.14</v>
      </c>
      <c r="AL13" s="136">
        <v>53.48</v>
      </c>
      <c r="AM13" s="110">
        <f t="shared" si="12"/>
        <v>0.17282275004039424</v>
      </c>
      <c r="AN13" s="137" t="s">
        <v>177</v>
      </c>
      <c r="AO13" s="150">
        <v>11.53</v>
      </c>
      <c r="AP13" s="138">
        <v>6.99</v>
      </c>
      <c r="AQ13" s="131"/>
      <c r="AR13" s="131">
        <v>7.63</v>
      </c>
      <c r="AS13" s="315">
        <v>309.45</v>
      </c>
      <c r="AT13" s="131">
        <v>2.41</v>
      </c>
      <c r="AU13" s="148"/>
      <c r="AV13" s="149"/>
      <c r="AW13" s="109"/>
      <c r="AX13" s="109">
        <f t="shared" si="13"/>
        <v>247.23999999999998</v>
      </c>
      <c r="AY13" s="115">
        <f t="shared" si="25"/>
        <v>235.79920292034902</v>
      </c>
      <c r="AZ13" s="140">
        <f t="shared" si="14"/>
        <v>8.1890855633802815</v>
      </c>
      <c r="BA13" s="141">
        <f t="shared" si="15"/>
        <v>9.8895999999999997</v>
      </c>
      <c r="BB13" s="128">
        <f t="shared" si="16"/>
        <v>0.91535729267460308</v>
      </c>
      <c r="BC13" s="141">
        <f t="shared" si="17"/>
        <v>18.078685563380283</v>
      </c>
      <c r="BD13" s="142">
        <v>0.90900000000000003</v>
      </c>
      <c r="BE13" s="16">
        <f t="shared" si="26"/>
        <v>1642.57</v>
      </c>
      <c r="BF13" s="16">
        <f t="shared" si="18"/>
        <v>221.10344827586206</v>
      </c>
      <c r="BG13" s="16">
        <f t="shared" si="27"/>
        <v>1547.7241379310344</v>
      </c>
      <c r="BH13" s="17">
        <f t="shared" si="19"/>
        <v>1</v>
      </c>
      <c r="BI13" s="16">
        <f t="shared" si="28"/>
        <v>1547.7241379310344</v>
      </c>
      <c r="BJ13" s="249">
        <v>274.5</v>
      </c>
      <c r="BK13" s="195"/>
      <c r="BL13" s="266">
        <v>239.50700000000001</v>
      </c>
      <c r="BM13" s="196"/>
      <c r="BN13" s="313"/>
      <c r="BO13" s="230"/>
      <c r="BP13" s="250"/>
      <c r="BQ13" s="199"/>
      <c r="BR13" s="200">
        <v>2.94</v>
      </c>
      <c r="BS13" s="200"/>
      <c r="BT13" s="200"/>
      <c r="BU13" s="200"/>
      <c r="BV13" s="208"/>
      <c r="BW13" s="208"/>
      <c r="BX13" s="201"/>
      <c r="BY13" s="202">
        <v>37.17</v>
      </c>
      <c r="BZ13" s="200"/>
      <c r="CA13" s="202">
        <v>45.38</v>
      </c>
      <c r="CB13" s="200"/>
      <c r="CC13" s="200"/>
      <c r="CD13" s="200"/>
      <c r="CE13" s="200"/>
      <c r="CF13" s="203"/>
      <c r="CG13" s="204"/>
      <c r="CH13" s="197"/>
      <c r="CI13" s="264">
        <v>306.16000000000003</v>
      </c>
      <c r="CJ13" s="265"/>
      <c r="CK13" s="202"/>
      <c r="CL13" s="202"/>
      <c r="CM13" s="270"/>
      <c r="CN13" s="201"/>
      <c r="CO13" s="284"/>
      <c r="CP13" s="286">
        <f t="shared" si="20"/>
        <v>266.42970000000003</v>
      </c>
      <c r="CQ13" s="24">
        <f t="shared" si="20"/>
        <v>0</v>
      </c>
      <c r="CR13" s="25">
        <f t="shared" si="20"/>
        <v>239.50700000000001</v>
      </c>
      <c r="CS13" s="24">
        <f t="shared" si="20"/>
        <v>0</v>
      </c>
      <c r="CT13" s="27">
        <f t="shared" si="20"/>
        <v>0</v>
      </c>
      <c r="CU13" s="24">
        <f t="shared" si="20"/>
        <v>0</v>
      </c>
      <c r="CV13" s="280">
        <f t="shared" si="20"/>
        <v>0</v>
      </c>
      <c r="CW13" s="237">
        <f t="shared" si="21"/>
        <v>0</v>
      </c>
      <c r="CX13" s="26">
        <f t="shared" si="21"/>
        <v>0</v>
      </c>
      <c r="CY13" s="277">
        <f t="shared" si="21"/>
        <v>306.16000000000003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9"/>
        <v>0</v>
      </c>
      <c r="DH13" s="247"/>
    </row>
    <row r="14" spans="1:112" ht="16.5" customHeight="1">
      <c r="A14" s="127">
        <v>8</v>
      </c>
      <c r="B14" s="103">
        <f t="shared" si="24"/>
        <v>510.16800000000001</v>
      </c>
      <c r="C14" s="104">
        <f>IF(B14=0,0,(BJ14*BR14+BK14*BS14+BM14*BU14+BP14*BX14+BL14*BT14+BO14*BW14+BN14*BV14)/B14)</f>
        <v>1.9864848442081822</v>
      </c>
      <c r="D14" s="143">
        <f>B14*((100-C14)/100)</f>
        <v>500.03359</v>
      </c>
      <c r="E14" s="104">
        <f>IF(B14=0,0,(BJ14*BY14+BK14*BZ14+BM14*CB14+BP14*CE14+BL14*CA14+BO14*CD14+BN14*CC14)/B14)</f>
        <v>41.059557243888285</v>
      </c>
      <c r="F14" s="128">
        <f>IF(AX14=0,0,D14/AX14)</f>
        <v>2.1934183883844365</v>
      </c>
      <c r="G14" s="106"/>
      <c r="H14" s="107">
        <f>IF(AX14=0,0,(CV14+CS14+CU14+CP14+CT14)/AX14)</f>
        <v>1.1473684695354651</v>
      </c>
      <c r="I14" s="103">
        <f>'[1]сентябрь 20'!AE13</f>
        <v>0</v>
      </c>
      <c r="J14" s="103">
        <f>'[1]февраль 20'!AA13</f>
        <v>8.7460000000000004</v>
      </c>
      <c r="K14" s="106"/>
      <c r="L14" s="328">
        <f>'[1]февраль 20'!AI13</f>
        <v>162.46799999999999</v>
      </c>
      <c r="M14" s="103">
        <f>IF(AX14=0,0,(CR14+CQ14)/AX14)</f>
        <v>1.0460499188489714</v>
      </c>
      <c r="N14" s="103">
        <f>'[1]июль 20'!AM13</f>
        <v>0</v>
      </c>
      <c r="O14" s="103">
        <f>'[1]февраль 20'!W13</f>
        <v>0</v>
      </c>
      <c r="P14" s="103">
        <f>'[1]февраль 20'!S13</f>
        <v>309.89800000000002</v>
      </c>
      <c r="Q14" s="108">
        <f>IF(P14=0,0,(1-(T14/P14))*100)</f>
        <v>1.7805858701895549</v>
      </c>
      <c r="R14" s="109">
        <f>P14*((100-Q14)/100)</f>
        <v>304.38</v>
      </c>
      <c r="S14" s="106">
        <v>14.08</v>
      </c>
      <c r="T14" s="109">
        <f>CG14+CH14+CJ14+CI14</f>
        <v>304.38</v>
      </c>
      <c r="U14" s="110">
        <f>IF(AX14=0,0,R14/AX14)</f>
        <v>1.3351756810106592</v>
      </c>
      <c r="V14" s="136">
        <v>227.97</v>
      </c>
      <c r="W14" s="130">
        <v>227.97</v>
      </c>
      <c r="X14" s="131">
        <v>0.47</v>
      </c>
      <c r="Y14" s="146">
        <v>635</v>
      </c>
      <c r="Z14" s="147">
        <v>1238</v>
      </c>
      <c r="AA14" s="144" t="s">
        <v>178</v>
      </c>
      <c r="AB14" s="131">
        <v>76.900000000000006</v>
      </c>
      <c r="AC14" s="133">
        <v>171</v>
      </c>
      <c r="AD14" s="134">
        <v>5</v>
      </c>
      <c r="AE14" s="131">
        <v>2.4500000000000002</v>
      </c>
      <c r="AF14" s="115">
        <f t="shared" si="10"/>
        <v>10.747028117734791</v>
      </c>
      <c r="AG14" s="131">
        <v>136.69999999999999</v>
      </c>
      <c r="AH14" s="115">
        <f>IF(AX14=0,0,AG14/AX14*1000)</f>
        <v>599.6403035487125</v>
      </c>
      <c r="AI14" s="131">
        <v>23.06</v>
      </c>
      <c r="AJ14" s="116"/>
      <c r="AK14" s="135">
        <v>10.32</v>
      </c>
      <c r="AL14" s="136">
        <v>60.26</v>
      </c>
      <c r="AM14" s="110">
        <f>IF(AL14=0,0,AL14/AS14)</f>
        <v>0.20468750000000002</v>
      </c>
      <c r="AN14" s="137" t="s">
        <v>179</v>
      </c>
      <c r="AO14" s="150">
        <v>10.92</v>
      </c>
      <c r="AP14" s="138">
        <v>6.75</v>
      </c>
      <c r="AQ14" s="131"/>
      <c r="AR14" s="131">
        <v>8.6</v>
      </c>
      <c r="AS14" s="315">
        <v>294.39999999999998</v>
      </c>
      <c r="AT14" s="131">
        <v>4.1500000000000004</v>
      </c>
      <c r="AU14" s="148"/>
      <c r="AV14" s="149"/>
      <c r="AW14" s="109"/>
      <c r="AX14" s="109">
        <f>AS14-AL14-AK14+AV14+AT14</f>
        <v>227.97</v>
      </c>
      <c r="AY14" s="115">
        <f>IF(AB14=0,0,((D14*0.97)*(E14/100)*0.9)/(AB14/100))</f>
        <v>233.07803342377144</v>
      </c>
      <c r="AZ14" s="140">
        <f>(AG14*AR14)/100*(55/71)</f>
        <v>9.1069154929577465</v>
      </c>
      <c r="BA14" s="141">
        <f>AX14*$BA$6</f>
        <v>9.1188000000000002</v>
      </c>
      <c r="BB14" s="128">
        <f>IF((D14*E14)=0,0,(AX14*AB14)/(D14*E14))</f>
        <v>0.85386772436918257</v>
      </c>
      <c r="BC14" s="141">
        <f>AZ14+BA14</f>
        <v>18.225715492957747</v>
      </c>
      <c r="BD14" s="142">
        <v>0.90200000000000002</v>
      </c>
      <c r="BE14" s="16">
        <f>BE13+AX14</f>
        <v>1870.54</v>
      </c>
      <c r="BF14" s="16">
        <f>IF(A14&lt;=$BD$43,$AS$43,0)</f>
        <v>221.10344827586206</v>
      </c>
      <c r="BG14" s="16">
        <f>BF14+BG13</f>
        <v>1768.8275862068965</v>
      </c>
      <c r="BH14" s="17">
        <f>IF(AX14&lt;&gt;0,1,0)</f>
        <v>1</v>
      </c>
      <c r="BI14" s="16">
        <f>BI13+BF14*BH14</f>
        <v>1768.8275862068965</v>
      </c>
      <c r="BJ14" s="249">
        <v>271.7</v>
      </c>
      <c r="BK14" s="195"/>
      <c r="BL14" s="266">
        <v>238.46799999999999</v>
      </c>
      <c r="BM14" s="196"/>
      <c r="BN14" s="313"/>
      <c r="BO14" s="230"/>
      <c r="BP14" s="250"/>
      <c r="BQ14" s="199"/>
      <c r="BR14" s="200">
        <v>3.73</v>
      </c>
      <c r="BS14" s="200"/>
      <c r="BT14" s="200"/>
      <c r="BU14" s="200"/>
      <c r="BV14" s="208"/>
      <c r="BW14" s="208"/>
      <c r="BX14" s="201"/>
      <c r="BY14" s="202">
        <v>37.25</v>
      </c>
      <c r="BZ14" s="200"/>
      <c r="CA14" s="202">
        <v>45.4</v>
      </c>
      <c r="CB14" s="200"/>
      <c r="CC14" s="200"/>
      <c r="CD14" s="200"/>
      <c r="CE14" s="200"/>
      <c r="CF14" s="203"/>
      <c r="CG14" s="204"/>
      <c r="CH14" s="197"/>
      <c r="CI14" s="264">
        <v>304.38</v>
      </c>
      <c r="CJ14" s="265"/>
      <c r="CK14" s="202"/>
      <c r="CL14" s="202"/>
      <c r="CM14" s="270"/>
      <c r="CN14" s="201"/>
      <c r="CO14" s="284"/>
      <c r="CP14" s="286">
        <f t="shared" si="20"/>
        <v>261.56558999999999</v>
      </c>
      <c r="CQ14" s="27">
        <f t="shared" si="20"/>
        <v>0</v>
      </c>
      <c r="CR14" s="28">
        <f t="shared" si="20"/>
        <v>238.46799999999999</v>
      </c>
      <c r="CS14" s="27">
        <f t="shared" si="20"/>
        <v>0</v>
      </c>
      <c r="CT14" s="27">
        <f t="shared" si="20"/>
        <v>0</v>
      </c>
      <c r="CU14" s="24">
        <f t="shared" si="20"/>
        <v>0</v>
      </c>
      <c r="CV14" s="282">
        <f t="shared" si="20"/>
        <v>0</v>
      </c>
      <c r="CW14" s="237">
        <f t="shared" si="21"/>
        <v>0</v>
      </c>
      <c r="CX14" s="26">
        <f t="shared" si="21"/>
        <v>0</v>
      </c>
      <c r="CY14" s="277">
        <f t="shared" si="21"/>
        <v>304.38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9"/>
        <v>0</v>
      </c>
      <c r="DH14" s="247"/>
    </row>
    <row r="15" spans="1:112" ht="16.5" customHeight="1">
      <c r="A15" s="253">
        <v>9</v>
      </c>
      <c r="B15" s="103">
        <f t="shared" si="24"/>
        <v>534.76700000000005</v>
      </c>
      <c r="C15" s="104">
        <f t="shared" si="0"/>
        <v>1.5650554353578288</v>
      </c>
      <c r="D15" s="143">
        <f t="shared" si="1"/>
        <v>526.39760000000001</v>
      </c>
      <c r="E15" s="104">
        <f t="shared" si="2"/>
        <v>40.876263008001608</v>
      </c>
      <c r="F15" s="128">
        <f t="shared" si="3"/>
        <v>2.1018071471351569</v>
      </c>
      <c r="G15" s="106"/>
      <c r="H15" s="107">
        <f t="shared" si="4"/>
        <v>1.1189083649431026</v>
      </c>
      <c r="I15" s="103">
        <f>'[1]сентябрь 20'!AE14</f>
        <v>0</v>
      </c>
      <c r="J15" s="103">
        <f>'[1]февраль 20'!AA14</f>
        <v>8.9339999999999993</v>
      </c>
      <c r="K15" s="106"/>
      <c r="L15" s="328">
        <f>'[1]февраль 20'!AI14</f>
        <v>170.167</v>
      </c>
      <c r="M15" s="103">
        <f t="shared" si="5"/>
        <v>0.9828987821920544</v>
      </c>
      <c r="N15" s="103">
        <f>'[1]июль 20'!AM14</f>
        <v>0</v>
      </c>
      <c r="O15" s="103">
        <f>'[1]февраль 20'!W14</f>
        <v>0</v>
      </c>
      <c r="P15" s="103">
        <f>'[1]февраль 20'!S14</f>
        <v>326.47199999999998</v>
      </c>
      <c r="Q15" s="108">
        <f t="shared" si="6"/>
        <v>1.8629468989683651</v>
      </c>
      <c r="R15" s="109">
        <f t="shared" si="7"/>
        <v>320.39</v>
      </c>
      <c r="S15" s="106">
        <v>17.989999999999998</v>
      </c>
      <c r="T15" s="109">
        <f t="shared" si="8"/>
        <v>320.39</v>
      </c>
      <c r="U15" s="110">
        <f t="shared" si="9"/>
        <v>1.2792573367937712</v>
      </c>
      <c r="V15" s="136">
        <v>250.45</v>
      </c>
      <c r="W15" s="130">
        <v>250.45</v>
      </c>
      <c r="X15" s="131">
        <v>0.45</v>
      </c>
      <c r="Y15" s="112">
        <v>690</v>
      </c>
      <c r="Z15" s="133">
        <v>1242</v>
      </c>
      <c r="AA15" s="144" t="s">
        <v>174</v>
      </c>
      <c r="AB15" s="131">
        <v>76.39</v>
      </c>
      <c r="AC15" s="133">
        <v>179</v>
      </c>
      <c r="AD15" s="134">
        <v>5</v>
      </c>
      <c r="AE15" s="131">
        <v>1.8</v>
      </c>
      <c r="AF15" s="115">
        <f t="shared" si="10"/>
        <v>7.1870632860850474</v>
      </c>
      <c r="AG15" s="131">
        <v>148.69999999999999</v>
      </c>
      <c r="AH15" s="115">
        <f t="shared" si="11"/>
        <v>593.73128368935909</v>
      </c>
      <c r="AI15" s="131">
        <v>27.13</v>
      </c>
      <c r="AJ15" s="116"/>
      <c r="AK15" s="135">
        <v>8.77</v>
      </c>
      <c r="AL15" s="136">
        <v>58.14</v>
      </c>
      <c r="AM15" s="110">
        <f t="shared" si="12"/>
        <v>0.18460073027464677</v>
      </c>
      <c r="AN15" s="137" t="s">
        <v>180</v>
      </c>
      <c r="AO15" s="150">
        <v>10.28</v>
      </c>
      <c r="AP15" s="138">
        <v>6.6</v>
      </c>
      <c r="AQ15" s="131"/>
      <c r="AR15" s="131">
        <v>9.9</v>
      </c>
      <c r="AS15" s="315">
        <v>314.95</v>
      </c>
      <c r="AT15" s="131">
        <v>2.41</v>
      </c>
      <c r="AU15" s="116"/>
      <c r="AV15" s="131"/>
      <c r="AW15" s="109"/>
      <c r="AX15" s="109">
        <f t="shared" si="13"/>
        <v>250.45</v>
      </c>
      <c r="AY15" s="115">
        <f t="shared" si="25"/>
        <v>245.90242921644796</v>
      </c>
      <c r="AZ15" s="140">
        <f t="shared" si="14"/>
        <v>11.403823943661971</v>
      </c>
      <c r="BA15" s="141">
        <f t="shared" si="15"/>
        <v>10.017999999999999</v>
      </c>
      <c r="BB15" s="128">
        <f t="shared" si="16"/>
        <v>0.88914473393650928</v>
      </c>
      <c r="BC15" s="141">
        <f t="shared" si="17"/>
        <v>21.42182394366197</v>
      </c>
      <c r="BD15" s="142">
        <v>0.90100000000000002</v>
      </c>
      <c r="BE15" s="16">
        <f t="shared" si="26"/>
        <v>2120.9899999999998</v>
      </c>
      <c r="BF15" s="16">
        <f t="shared" si="18"/>
        <v>221.10344827586206</v>
      </c>
      <c r="BG15" s="16">
        <f t="shared" si="27"/>
        <v>1989.9310344827586</v>
      </c>
      <c r="BH15" s="17">
        <f t="shared" si="19"/>
        <v>1</v>
      </c>
      <c r="BI15" s="16">
        <f t="shared" si="28"/>
        <v>1989.9310344827586</v>
      </c>
      <c r="BJ15" s="249">
        <v>288.60000000000002</v>
      </c>
      <c r="BK15" s="195"/>
      <c r="BL15" s="197">
        <v>246.167</v>
      </c>
      <c r="BM15" s="197"/>
      <c r="BN15" s="230"/>
      <c r="BO15" s="195"/>
      <c r="BP15" s="329"/>
      <c r="BQ15" s="199"/>
      <c r="BR15" s="200">
        <v>2.9</v>
      </c>
      <c r="BS15" s="200"/>
      <c r="BT15" s="200"/>
      <c r="BU15" s="200"/>
      <c r="BV15" s="208"/>
      <c r="BW15" s="208"/>
      <c r="BX15" s="330"/>
      <c r="BY15" s="202">
        <v>36.83</v>
      </c>
      <c r="BZ15" s="200"/>
      <c r="CA15" s="200">
        <v>45.62</v>
      </c>
      <c r="CB15" s="200"/>
      <c r="CC15" s="200"/>
      <c r="CD15" s="200"/>
      <c r="CE15" s="200"/>
      <c r="CF15" s="203"/>
      <c r="CG15" s="204"/>
      <c r="CH15" s="230"/>
      <c r="CI15" s="266">
        <v>320.39</v>
      </c>
      <c r="CJ15" s="265"/>
      <c r="CK15" s="202"/>
      <c r="CL15" s="208"/>
      <c r="CM15" s="208"/>
      <c r="CN15" s="201"/>
      <c r="CO15" s="284"/>
      <c r="CP15" s="286">
        <f t="shared" si="20"/>
        <v>280.23060000000004</v>
      </c>
      <c r="CQ15" s="29">
        <f t="shared" si="20"/>
        <v>0</v>
      </c>
      <c r="CR15" s="30">
        <f t="shared" si="20"/>
        <v>246.167</v>
      </c>
      <c r="CS15" s="29">
        <f t="shared" si="20"/>
        <v>0</v>
      </c>
      <c r="CT15" s="27">
        <f t="shared" si="20"/>
        <v>0</v>
      </c>
      <c r="CU15" s="24">
        <f t="shared" si="20"/>
        <v>0</v>
      </c>
      <c r="CV15" s="283">
        <f t="shared" si="20"/>
        <v>0</v>
      </c>
      <c r="CW15" s="237">
        <f t="shared" si="21"/>
        <v>0</v>
      </c>
      <c r="CX15" s="24">
        <f t="shared" si="21"/>
        <v>0</v>
      </c>
      <c r="CY15" s="277">
        <f t="shared" si="21"/>
        <v>320.39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9"/>
        <v>0</v>
      </c>
      <c r="DH15" s="247"/>
    </row>
    <row r="16" spans="1:112" ht="16.5" customHeight="1">
      <c r="A16" s="127">
        <v>10</v>
      </c>
      <c r="B16" s="103">
        <f t="shared" si="24"/>
        <v>517.4</v>
      </c>
      <c r="C16" s="104">
        <f t="shared" si="0"/>
        <v>1.1510939311944337</v>
      </c>
      <c r="D16" s="143">
        <f t="shared" si="1"/>
        <v>511.44423999999998</v>
      </c>
      <c r="E16" s="104">
        <f t="shared" si="2"/>
        <v>40.855948975647458</v>
      </c>
      <c r="F16" s="128">
        <f t="shared" si="3"/>
        <v>2.1477522361735182</v>
      </c>
      <c r="G16" s="106"/>
      <c r="H16" s="107">
        <f t="shared" si="4"/>
        <v>1.1222619577541677</v>
      </c>
      <c r="I16" s="103">
        <f>'[1]сентябрь 20'!AE15</f>
        <v>0</v>
      </c>
      <c r="J16" s="103">
        <f>'[1]февраль 20'!AA15</f>
        <v>7.8360000000000003</v>
      </c>
      <c r="K16" s="106"/>
      <c r="L16" s="328">
        <f>'[1]февраль 20'!AI15</f>
        <v>168.2</v>
      </c>
      <c r="M16" s="103">
        <f t="shared" si="5"/>
        <v>1.0254902784193507</v>
      </c>
      <c r="N16" s="103">
        <f>'[1]июль 20'!AM15</f>
        <v>0</v>
      </c>
      <c r="O16" s="103">
        <f>'[1]февраль 20'!W15</f>
        <v>0</v>
      </c>
      <c r="P16" s="103">
        <f>'[1]февраль 20'!S15</f>
        <v>317.14299999999997</v>
      </c>
      <c r="Q16" s="108">
        <f t="shared" si="6"/>
        <v>1.7667109158959637</v>
      </c>
      <c r="R16" s="109">
        <f t="shared" si="7"/>
        <v>311.54000000000002</v>
      </c>
      <c r="S16" s="106">
        <v>42.89</v>
      </c>
      <c r="T16" s="109">
        <f t="shared" si="8"/>
        <v>311.54000000000002</v>
      </c>
      <c r="U16" s="110">
        <f t="shared" si="9"/>
        <v>1.3082769915592323</v>
      </c>
      <c r="V16" s="136">
        <v>238.13</v>
      </c>
      <c r="W16" s="130">
        <v>238.13</v>
      </c>
      <c r="X16" s="131">
        <v>0.44</v>
      </c>
      <c r="Y16" s="112">
        <v>653</v>
      </c>
      <c r="Z16" s="133">
        <v>1237</v>
      </c>
      <c r="AA16" s="144" t="s">
        <v>181</v>
      </c>
      <c r="AB16" s="131">
        <v>76.959999999999994</v>
      </c>
      <c r="AC16" s="133">
        <v>173</v>
      </c>
      <c r="AD16" s="134">
        <v>5</v>
      </c>
      <c r="AE16" s="131">
        <v>3.85</v>
      </c>
      <c r="AF16" s="115">
        <f t="shared" si="10"/>
        <v>16.167639524629404</v>
      </c>
      <c r="AG16" s="131">
        <v>138.80000000000001</v>
      </c>
      <c r="AH16" s="115">
        <f t="shared" si="11"/>
        <v>582.87490026456135</v>
      </c>
      <c r="AI16" s="139">
        <v>23</v>
      </c>
      <c r="AJ16" s="131"/>
      <c r="AK16" s="136">
        <v>9.65</v>
      </c>
      <c r="AL16" s="136">
        <v>60.57</v>
      </c>
      <c r="AM16" s="110">
        <f t="shared" si="12"/>
        <v>0.19787651094413589</v>
      </c>
      <c r="AN16" s="137" t="s">
        <v>182</v>
      </c>
      <c r="AO16" s="150">
        <v>10.75</v>
      </c>
      <c r="AP16" s="138">
        <v>6.66</v>
      </c>
      <c r="AQ16" s="131"/>
      <c r="AR16" s="131">
        <v>8.61</v>
      </c>
      <c r="AS16" s="315">
        <v>306.10000000000002</v>
      </c>
      <c r="AT16" s="131">
        <v>2.25</v>
      </c>
      <c r="AU16" s="116"/>
      <c r="AV16" s="131"/>
      <c r="AW16" s="109"/>
      <c r="AX16" s="109">
        <f t="shared" si="13"/>
        <v>238.13000000000002</v>
      </c>
      <c r="AY16" s="115">
        <f t="shared" si="25"/>
        <v>237.02970662832686</v>
      </c>
      <c r="AZ16" s="140">
        <f t="shared" si="14"/>
        <v>9.2575690140845062</v>
      </c>
      <c r="BA16" s="141">
        <f t="shared" si="15"/>
        <v>9.5252000000000017</v>
      </c>
      <c r="BB16" s="128">
        <f t="shared" si="16"/>
        <v>0.87705247142703879</v>
      </c>
      <c r="BC16" s="141">
        <f t="shared" si="17"/>
        <v>18.782769014084508</v>
      </c>
      <c r="BD16" s="142">
        <v>0.89800000000000002</v>
      </c>
      <c r="BE16" s="16">
        <f t="shared" si="26"/>
        <v>2359.12</v>
      </c>
      <c r="BF16" s="16">
        <f t="shared" si="18"/>
        <v>221.10344827586206</v>
      </c>
      <c r="BG16" s="16">
        <f t="shared" si="27"/>
        <v>2211.0344827586205</v>
      </c>
      <c r="BH16" s="17">
        <f t="shared" si="19"/>
        <v>1</v>
      </c>
      <c r="BI16" s="16">
        <f t="shared" si="28"/>
        <v>2211.0344827586205</v>
      </c>
      <c r="BJ16" s="249">
        <v>273.2</v>
      </c>
      <c r="BK16" s="195"/>
      <c r="BL16" s="195">
        <v>244.2</v>
      </c>
      <c r="BM16" s="197"/>
      <c r="BN16" s="230"/>
      <c r="BO16" s="230"/>
      <c r="BP16" s="250"/>
      <c r="BQ16" s="199"/>
      <c r="BR16" s="200">
        <v>2.1800000000000002</v>
      </c>
      <c r="BS16" s="200"/>
      <c r="BT16" s="200"/>
      <c r="BU16" s="200"/>
      <c r="BV16" s="208"/>
      <c r="BW16" s="208"/>
      <c r="BX16" s="201"/>
      <c r="BY16" s="202">
        <v>36.83</v>
      </c>
      <c r="BZ16" s="200"/>
      <c r="CA16" s="200">
        <v>45.36</v>
      </c>
      <c r="CB16" s="200"/>
      <c r="CC16" s="200"/>
      <c r="CD16" s="200"/>
      <c r="CE16" s="200"/>
      <c r="CF16" s="203"/>
      <c r="CG16" s="204"/>
      <c r="CH16" s="230"/>
      <c r="CI16" s="266">
        <v>311.54000000000002</v>
      </c>
      <c r="CJ16" s="265"/>
      <c r="CK16" s="202"/>
      <c r="CL16" s="208"/>
      <c r="CM16" s="208"/>
      <c r="CN16" s="201"/>
      <c r="CO16" s="284"/>
      <c r="CP16" s="286">
        <f t="shared" si="20"/>
        <v>267.24423999999999</v>
      </c>
      <c r="CQ16" s="24">
        <f t="shared" si="20"/>
        <v>0</v>
      </c>
      <c r="CR16" s="25">
        <f t="shared" si="20"/>
        <v>244.2</v>
      </c>
      <c r="CS16" s="24">
        <f t="shared" si="20"/>
        <v>0</v>
      </c>
      <c r="CT16" s="27">
        <f t="shared" si="20"/>
        <v>0</v>
      </c>
      <c r="CU16" s="24">
        <f t="shared" si="20"/>
        <v>0</v>
      </c>
      <c r="CV16" s="280">
        <f t="shared" si="20"/>
        <v>0</v>
      </c>
      <c r="CW16" s="237">
        <f t="shared" si="21"/>
        <v>0</v>
      </c>
      <c r="CX16" s="29">
        <f t="shared" si="21"/>
        <v>0</v>
      </c>
      <c r="CY16" s="277">
        <f t="shared" si="21"/>
        <v>311.54000000000002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9"/>
        <v>0</v>
      </c>
      <c r="DH16" s="247"/>
    </row>
    <row r="17" spans="1:112" ht="16.5" customHeight="1">
      <c r="A17" s="127">
        <v>11</v>
      </c>
      <c r="B17" s="103">
        <f t="shared" si="24"/>
        <v>488.904</v>
      </c>
      <c r="C17" s="104">
        <f t="shared" si="0"/>
        <v>2.0211186654230686</v>
      </c>
      <c r="D17" s="143">
        <f t="shared" si="1"/>
        <v>479.02267000000001</v>
      </c>
      <c r="E17" s="104">
        <f t="shared" si="2"/>
        <v>41.391579942074515</v>
      </c>
      <c r="F17" s="128">
        <f t="shared" si="3"/>
        <v>2.115917973408719</v>
      </c>
      <c r="G17" s="106"/>
      <c r="H17" s="107">
        <f t="shared" si="4"/>
        <v>1.0557828084279339</v>
      </c>
      <c r="I17" s="103">
        <f>'[1]сентябрь 20'!AE16</f>
        <v>0</v>
      </c>
      <c r="J17" s="103">
        <f>'[1]февраль 20'!AA16</f>
        <v>6.6639999999999997</v>
      </c>
      <c r="K17" s="106"/>
      <c r="L17" s="328">
        <f>'[1]февраль 20'!AI16</f>
        <v>164.00399999999999</v>
      </c>
      <c r="M17" s="103">
        <f t="shared" si="5"/>
        <v>1.0601351649807851</v>
      </c>
      <c r="N17" s="103">
        <f>'[1]июль 20'!AM16</f>
        <v>0</v>
      </c>
      <c r="O17" s="103">
        <f>'[1]февраль 20'!W16</f>
        <v>0</v>
      </c>
      <c r="P17" s="103">
        <f>'[1]февраль 20'!S16</f>
        <v>301.89800000000002</v>
      </c>
      <c r="Q17" s="108">
        <f t="shared" si="6"/>
        <v>1.8410191521639918</v>
      </c>
      <c r="R17" s="109">
        <f t="shared" si="7"/>
        <v>296.33999999999997</v>
      </c>
      <c r="S17" s="106">
        <v>6.43</v>
      </c>
      <c r="T17" s="109">
        <f t="shared" si="8"/>
        <v>296.33999999999997</v>
      </c>
      <c r="U17" s="110">
        <f t="shared" si="9"/>
        <v>1.3089800786253807</v>
      </c>
      <c r="V17" s="136">
        <v>226.39</v>
      </c>
      <c r="W17" s="130">
        <v>182.59</v>
      </c>
      <c r="X17" s="131">
        <v>0.78</v>
      </c>
      <c r="Y17" s="112">
        <v>617</v>
      </c>
      <c r="Z17" s="133">
        <v>1232</v>
      </c>
      <c r="AA17" s="144" t="s">
        <v>183</v>
      </c>
      <c r="AB17" s="131">
        <v>76.8</v>
      </c>
      <c r="AC17" s="133">
        <v>164</v>
      </c>
      <c r="AD17" s="134">
        <v>5</v>
      </c>
      <c r="AE17" s="131">
        <v>1.95</v>
      </c>
      <c r="AF17" s="115">
        <f t="shared" si="10"/>
        <v>8.6134546578912481</v>
      </c>
      <c r="AG17" s="131">
        <v>118.8</v>
      </c>
      <c r="AH17" s="115">
        <f t="shared" si="11"/>
        <v>524.7581606961437</v>
      </c>
      <c r="AI17" s="139">
        <v>25.9</v>
      </c>
      <c r="AJ17" s="131"/>
      <c r="AK17" s="136">
        <v>10.47</v>
      </c>
      <c r="AL17" s="136">
        <v>60.64</v>
      </c>
      <c r="AM17" s="110">
        <f t="shared" si="12"/>
        <v>0.20548966452050152</v>
      </c>
      <c r="AN17" s="137" t="s">
        <v>153</v>
      </c>
      <c r="AO17" s="150">
        <v>12.17</v>
      </c>
      <c r="AP17" s="138">
        <v>6.32</v>
      </c>
      <c r="AQ17" s="131"/>
      <c r="AR17" s="131">
        <v>7.33</v>
      </c>
      <c r="AS17" s="315">
        <v>295.10000000000002</v>
      </c>
      <c r="AT17" s="131">
        <v>2.4</v>
      </c>
      <c r="AU17" s="116"/>
      <c r="AV17" s="131"/>
      <c r="AW17" s="109"/>
      <c r="AX17" s="109">
        <f t="shared" si="13"/>
        <v>226.39000000000004</v>
      </c>
      <c r="AY17" s="115">
        <f t="shared" si="25"/>
        <v>225.38296857644357</v>
      </c>
      <c r="AZ17" s="140">
        <f t="shared" si="14"/>
        <v>6.7456647887323946</v>
      </c>
      <c r="BA17" s="141">
        <f t="shared" si="15"/>
        <v>9.0556000000000019</v>
      </c>
      <c r="BB17" s="128">
        <f t="shared" si="16"/>
        <v>0.87690064270746637</v>
      </c>
      <c r="BC17" s="141">
        <f t="shared" si="17"/>
        <v>15.801264788732396</v>
      </c>
      <c r="BD17" s="142">
        <v>0.89600000000000002</v>
      </c>
      <c r="BE17" s="16">
        <f t="shared" si="26"/>
        <v>2585.5099999999998</v>
      </c>
      <c r="BF17" s="16">
        <f t="shared" si="18"/>
        <v>221.10344827586206</v>
      </c>
      <c r="BG17" s="16">
        <f t="shared" si="27"/>
        <v>2432.1379310344823</v>
      </c>
      <c r="BH17" s="17">
        <f t="shared" si="19"/>
        <v>1</v>
      </c>
      <c r="BI17" s="16">
        <f t="shared" si="28"/>
        <v>2432.1379310344823</v>
      </c>
      <c r="BJ17" s="249">
        <v>248.9</v>
      </c>
      <c r="BK17" s="195"/>
      <c r="BL17" s="195">
        <v>240.00399999999999</v>
      </c>
      <c r="BM17" s="197"/>
      <c r="BN17" s="230"/>
      <c r="BO17" s="230"/>
      <c r="BP17" s="250"/>
      <c r="BQ17" s="199"/>
      <c r="BR17" s="200">
        <v>3.97</v>
      </c>
      <c r="BS17" s="200"/>
      <c r="BT17" s="200"/>
      <c r="BU17" s="200"/>
      <c r="BV17" s="208"/>
      <c r="BW17" s="208"/>
      <c r="BX17" s="201"/>
      <c r="BY17" s="202">
        <v>37.43</v>
      </c>
      <c r="BZ17" s="200"/>
      <c r="CA17" s="200">
        <v>45.5</v>
      </c>
      <c r="CB17" s="200"/>
      <c r="CC17" s="208"/>
      <c r="CD17" s="208"/>
      <c r="CE17" s="201"/>
      <c r="CF17" s="199"/>
      <c r="CG17" s="197"/>
      <c r="CH17" s="244"/>
      <c r="CI17" s="266">
        <v>296.33999999999997</v>
      </c>
      <c r="CJ17" s="265"/>
      <c r="CK17" s="231"/>
      <c r="CL17" s="208"/>
      <c r="CM17" s="208"/>
      <c r="CN17" s="201"/>
      <c r="CO17" s="284"/>
      <c r="CP17" s="286">
        <f t="shared" si="20"/>
        <v>239.01867000000001</v>
      </c>
      <c r="CQ17" s="24">
        <f t="shared" si="20"/>
        <v>0</v>
      </c>
      <c r="CR17" s="25">
        <f t="shared" si="20"/>
        <v>240.00399999999999</v>
      </c>
      <c r="CS17" s="24">
        <f t="shared" si="20"/>
        <v>0</v>
      </c>
      <c r="CT17" s="27">
        <f t="shared" si="20"/>
        <v>0</v>
      </c>
      <c r="CU17" s="27">
        <f t="shared" si="20"/>
        <v>0</v>
      </c>
      <c r="CV17" s="280">
        <f t="shared" si="20"/>
        <v>0</v>
      </c>
      <c r="CW17" s="25">
        <f t="shared" si="21"/>
        <v>0</v>
      </c>
      <c r="CX17" s="26">
        <f t="shared" si="21"/>
        <v>0</v>
      </c>
      <c r="CY17" s="277">
        <f t="shared" si="21"/>
        <v>296.33999999999997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9"/>
        <v>0</v>
      </c>
      <c r="DH17" s="247"/>
    </row>
    <row r="18" spans="1:112" ht="16.5" customHeight="1">
      <c r="A18" s="127">
        <v>12</v>
      </c>
      <c r="B18" s="103">
        <f t="shared" si="24"/>
        <v>499.13499999999999</v>
      </c>
      <c r="C18" s="104">
        <f t="shared" si="0"/>
        <v>1.9189477796588101</v>
      </c>
      <c r="D18" s="143">
        <f t="shared" si="1"/>
        <v>489.55685999999997</v>
      </c>
      <c r="E18" s="104">
        <f t="shared" si="2"/>
        <v>41.692577158484177</v>
      </c>
      <c r="F18" s="128">
        <f t="shared" si="3"/>
        <v>1.9741788047423177</v>
      </c>
      <c r="G18" s="106"/>
      <c r="H18" s="107">
        <f t="shared" si="4"/>
        <v>0.99411992902653445</v>
      </c>
      <c r="I18" s="103">
        <f>'[1]сентябрь 20'!AE17</f>
        <v>0</v>
      </c>
      <c r="J18" s="103">
        <f>'[1]февраль 20'!AA17</f>
        <v>9.0519999999999996</v>
      </c>
      <c r="K18" s="106"/>
      <c r="L18" s="328">
        <f>'[1]февраль 20'!AI17</f>
        <v>167.035</v>
      </c>
      <c r="M18" s="103">
        <f t="shared" si="5"/>
        <v>0.98005887571578343</v>
      </c>
      <c r="N18" s="103">
        <f>'[1]июль 20'!AM17</f>
        <v>0</v>
      </c>
      <c r="O18" s="103">
        <f>'[1]февраль 20'!W17</f>
        <v>0</v>
      </c>
      <c r="P18" s="103">
        <f>'[1]февраль 20'!S17</f>
        <v>307.15199999999999</v>
      </c>
      <c r="Q18" s="108">
        <f t="shared" si="6"/>
        <v>1.7880397978850771</v>
      </c>
      <c r="R18" s="109">
        <f t="shared" si="7"/>
        <v>301.66000000000003</v>
      </c>
      <c r="S18" s="106">
        <v>28.59</v>
      </c>
      <c r="T18" s="109">
        <f t="shared" si="8"/>
        <v>301.66000000000003</v>
      </c>
      <c r="U18" s="110">
        <f t="shared" si="9"/>
        <v>1.2164690700862972</v>
      </c>
      <c r="V18" s="136">
        <v>247.98</v>
      </c>
      <c r="W18" s="130">
        <v>247.98</v>
      </c>
      <c r="X18" s="131">
        <v>0.57999999999999996</v>
      </c>
      <c r="Y18" s="112">
        <v>565</v>
      </c>
      <c r="Z18" s="133">
        <v>1241</v>
      </c>
      <c r="AA18" s="144" t="s">
        <v>184</v>
      </c>
      <c r="AB18" s="131">
        <v>76.510000000000005</v>
      </c>
      <c r="AC18" s="133">
        <v>167</v>
      </c>
      <c r="AD18" s="134">
        <v>5</v>
      </c>
      <c r="AE18" s="131">
        <v>1.6</v>
      </c>
      <c r="AF18" s="115">
        <f t="shared" si="10"/>
        <v>6.4521332365513349</v>
      </c>
      <c r="AG18" s="131">
        <v>137.55000000000001</v>
      </c>
      <c r="AH18" s="115">
        <f t="shared" si="11"/>
        <v>554.68182917977265</v>
      </c>
      <c r="AI18" s="139">
        <v>26.2</v>
      </c>
      <c r="AJ18" s="131"/>
      <c r="AK18" s="136">
        <v>9.75</v>
      </c>
      <c r="AL18" s="136">
        <v>63.56</v>
      </c>
      <c r="AM18" s="110">
        <f t="shared" si="12"/>
        <v>0.19949780288763339</v>
      </c>
      <c r="AN18" s="137" t="s">
        <v>185</v>
      </c>
      <c r="AO18" s="150">
        <v>12.66</v>
      </c>
      <c r="AP18" s="138">
        <v>6.55</v>
      </c>
      <c r="AQ18" s="131"/>
      <c r="AR18" s="131">
        <v>7.86</v>
      </c>
      <c r="AS18" s="315">
        <v>318.60000000000002</v>
      </c>
      <c r="AT18" s="131">
        <v>2.69</v>
      </c>
      <c r="AU18" s="116"/>
      <c r="AV18" s="131"/>
      <c r="AW18" s="109">
        <f t="shared" ref="AW18:AW37" si="30">IF(AX18=0,0,AV18/AX18*100)</f>
        <v>0</v>
      </c>
      <c r="AX18" s="109">
        <f t="shared" si="13"/>
        <v>247.98000000000002</v>
      </c>
      <c r="AY18" s="115">
        <f>IF(AB18=0,0,((D18*0.97)*(E18/100)*0.9)/(AB18/100))</f>
        <v>232.89379806326363</v>
      </c>
      <c r="AZ18" s="140">
        <f t="shared" si="14"/>
        <v>8.3750514084507035</v>
      </c>
      <c r="BA18" s="141">
        <f t="shared" si="15"/>
        <v>9.9192000000000018</v>
      </c>
      <c r="BB18" s="128">
        <f t="shared" si="16"/>
        <v>0.92955047236248556</v>
      </c>
      <c r="BC18" s="141">
        <f t="shared" si="17"/>
        <v>18.294251408450705</v>
      </c>
      <c r="BD18" s="142">
        <v>0.89900000000000002</v>
      </c>
      <c r="BE18" s="16">
        <f t="shared" si="26"/>
        <v>2833.49</v>
      </c>
      <c r="BF18" s="16">
        <f t="shared" si="18"/>
        <v>221.10344827586206</v>
      </c>
      <c r="BG18" s="16">
        <f t="shared" si="27"/>
        <v>2653.2413793103442</v>
      </c>
      <c r="BH18" s="17">
        <f t="shared" si="19"/>
        <v>1</v>
      </c>
      <c r="BI18" s="16">
        <f t="shared" si="28"/>
        <v>2653.2413793103442</v>
      </c>
      <c r="BJ18" s="249">
        <v>256.10000000000002</v>
      </c>
      <c r="BK18" s="195"/>
      <c r="BL18" s="195">
        <v>243.035</v>
      </c>
      <c r="BM18" s="197"/>
      <c r="BN18" s="230"/>
      <c r="BO18" s="230"/>
      <c r="BP18" s="250"/>
      <c r="BQ18" s="199"/>
      <c r="BR18" s="200">
        <v>3.74</v>
      </c>
      <c r="BS18" s="200"/>
      <c r="BT18" s="200"/>
      <c r="BU18" s="200"/>
      <c r="BV18" s="208"/>
      <c r="BW18" s="208"/>
      <c r="BX18" s="201"/>
      <c r="BY18" s="202">
        <v>37.51</v>
      </c>
      <c r="BZ18" s="200"/>
      <c r="CA18" s="200">
        <v>46.1</v>
      </c>
      <c r="CB18" s="200"/>
      <c r="CC18" s="208"/>
      <c r="CD18" s="208"/>
      <c r="CE18" s="209"/>
      <c r="CF18" s="199"/>
      <c r="CG18" s="197"/>
      <c r="CH18" s="268"/>
      <c r="CI18" s="289">
        <v>301.66000000000003</v>
      </c>
      <c r="CJ18" s="267"/>
      <c r="CK18" s="202"/>
      <c r="CL18" s="208"/>
      <c r="CM18" s="208"/>
      <c r="CN18" s="201"/>
      <c r="CO18" s="284"/>
      <c r="CP18" s="286">
        <f t="shared" si="20"/>
        <v>246.52186000000003</v>
      </c>
      <c r="CQ18" s="24">
        <f t="shared" si="20"/>
        <v>0</v>
      </c>
      <c r="CR18" s="25">
        <f t="shared" si="20"/>
        <v>243.035</v>
      </c>
      <c r="CS18" s="24">
        <f t="shared" si="20"/>
        <v>0</v>
      </c>
      <c r="CT18" s="27">
        <f t="shared" si="20"/>
        <v>0</v>
      </c>
      <c r="CU18" s="30">
        <f t="shared" si="20"/>
        <v>0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301.66000000000003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9"/>
        <v>0</v>
      </c>
      <c r="DH18" s="247"/>
    </row>
    <row r="19" spans="1:112" ht="16.5" customHeight="1">
      <c r="A19" s="127">
        <v>13</v>
      </c>
      <c r="B19" s="103">
        <f t="shared" si="24"/>
        <v>493.57399999999996</v>
      </c>
      <c r="C19" s="104">
        <f t="shared" si="0"/>
        <v>1.0905173287085625</v>
      </c>
      <c r="D19" s="143">
        <f t="shared" si="1"/>
        <v>488.19148999999993</v>
      </c>
      <c r="E19" s="104">
        <f>IF(B19=0,0,(BJ19*BY19+BK19*BZ19+BM19*CB19+BP19*CE19+BL19*CA19+BO19*CD19+BN19*CC19)/B19)</f>
        <v>41.559935693533291</v>
      </c>
      <c r="F19" s="128">
        <f t="shared" si="3"/>
        <v>2.1198067303517143</v>
      </c>
      <c r="G19" s="106"/>
      <c r="H19" s="107">
        <f t="shared" si="4"/>
        <v>1.0738927051671729</v>
      </c>
      <c r="I19" s="103">
        <f>'[1]сентябрь 20'!AE18</f>
        <v>0</v>
      </c>
      <c r="J19" s="103">
        <f>'[1]февраль 20'!AA18</f>
        <v>10.933</v>
      </c>
      <c r="K19" s="106"/>
      <c r="L19" s="328">
        <f>'[1]февраль 20'!AI18</f>
        <v>164.874</v>
      </c>
      <c r="M19" s="103">
        <f t="shared" si="5"/>
        <v>1.0459140251845418</v>
      </c>
      <c r="N19" s="103">
        <f>'[1]июль 20'!AM18</f>
        <v>0</v>
      </c>
      <c r="O19" s="103">
        <f>'[1]февраль 20'!W18</f>
        <v>0</v>
      </c>
      <c r="P19" s="103">
        <f>'[1]февраль 20'!S18</f>
        <v>304.28899999999999</v>
      </c>
      <c r="Q19" s="108">
        <f t="shared" si="6"/>
        <v>1.7578683422667218</v>
      </c>
      <c r="R19" s="109">
        <f t="shared" si="7"/>
        <v>298.94</v>
      </c>
      <c r="S19" s="106">
        <v>84.85</v>
      </c>
      <c r="T19" s="109">
        <f t="shared" si="8"/>
        <v>298.94</v>
      </c>
      <c r="U19" s="110">
        <f t="shared" si="9"/>
        <v>1.2980460269214067</v>
      </c>
      <c r="V19" s="136">
        <v>230.3</v>
      </c>
      <c r="W19" s="130">
        <v>89.64</v>
      </c>
      <c r="X19" s="131">
        <v>1.04</v>
      </c>
      <c r="Y19" s="112">
        <v>579</v>
      </c>
      <c r="Z19" s="133">
        <v>1238</v>
      </c>
      <c r="AA19" s="144" t="s">
        <v>181</v>
      </c>
      <c r="AB19" s="131">
        <v>76.37</v>
      </c>
      <c r="AC19" s="133">
        <v>165</v>
      </c>
      <c r="AD19" s="134">
        <v>5</v>
      </c>
      <c r="AE19" s="131">
        <v>1.6</v>
      </c>
      <c r="AF19" s="115">
        <f t="shared" si="10"/>
        <v>6.9474598349978285</v>
      </c>
      <c r="AG19" s="131">
        <v>118.3</v>
      </c>
      <c r="AH19" s="115">
        <f t="shared" si="11"/>
        <v>513.67781155015189</v>
      </c>
      <c r="AI19" s="139">
        <v>30.19</v>
      </c>
      <c r="AJ19" s="131"/>
      <c r="AK19" s="136">
        <v>7.42</v>
      </c>
      <c r="AL19" s="136">
        <v>62.96</v>
      </c>
      <c r="AM19" s="110">
        <f t="shared" si="12"/>
        <v>0.21085063630274614</v>
      </c>
      <c r="AN19" s="137" t="s">
        <v>186</v>
      </c>
      <c r="AO19" s="150">
        <v>12.81</v>
      </c>
      <c r="AP19" s="138">
        <v>6.77</v>
      </c>
      <c r="AQ19" s="134"/>
      <c r="AR19" s="131">
        <v>7.12</v>
      </c>
      <c r="AS19" s="315">
        <v>298.60000000000002</v>
      </c>
      <c r="AT19" s="131">
        <v>2.08</v>
      </c>
      <c r="AU19" s="116"/>
      <c r="AV19" s="131"/>
      <c r="AW19" s="109">
        <f t="shared" si="30"/>
        <v>0</v>
      </c>
      <c r="AX19" s="109">
        <f t="shared" si="13"/>
        <v>230.30000000000004</v>
      </c>
      <c r="AY19" s="115">
        <f t="shared" si="25"/>
        <v>231.92978460590362</v>
      </c>
      <c r="AZ19" s="140">
        <f t="shared" si="14"/>
        <v>6.5248281690140839</v>
      </c>
      <c r="BA19" s="141">
        <f t="shared" si="15"/>
        <v>9.2120000000000015</v>
      </c>
      <c r="BB19" s="128">
        <f t="shared" si="16"/>
        <v>0.86686537626734106</v>
      </c>
      <c r="BC19" s="141">
        <f t="shared" si="17"/>
        <v>15.736828169014085</v>
      </c>
      <c r="BD19" s="142">
        <v>0.89700000000000002</v>
      </c>
      <c r="BE19" s="16">
        <f t="shared" si="26"/>
        <v>3063.79</v>
      </c>
      <c r="BF19" s="16">
        <f t="shared" si="18"/>
        <v>221.10344827586206</v>
      </c>
      <c r="BG19" s="16">
        <f t="shared" si="27"/>
        <v>2874.3448275862061</v>
      </c>
      <c r="BH19" s="17">
        <f t="shared" si="19"/>
        <v>1</v>
      </c>
      <c r="BI19" s="16">
        <f t="shared" si="28"/>
        <v>2874.3448275862061</v>
      </c>
      <c r="BJ19" s="254">
        <v>252.7</v>
      </c>
      <c r="BK19" s="197"/>
      <c r="BL19" s="197">
        <v>240.874</v>
      </c>
      <c r="BM19" s="197"/>
      <c r="BN19" s="230"/>
      <c r="BO19" s="230"/>
      <c r="BP19" s="258"/>
      <c r="BQ19" s="199"/>
      <c r="BR19" s="200">
        <v>2.13</v>
      </c>
      <c r="BS19" s="200"/>
      <c r="BT19" s="200"/>
      <c r="BU19" s="200"/>
      <c r="BV19" s="208"/>
      <c r="BW19" s="208"/>
      <c r="BX19" s="201"/>
      <c r="BY19" s="202">
        <v>37.28</v>
      </c>
      <c r="BZ19" s="200"/>
      <c r="CA19" s="200">
        <v>46.05</v>
      </c>
      <c r="CB19" s="200"/>
      <c r="CC19" s="208"/>
      <c r="CD19" s="208"/>
      <c r="CE19" s="209"/>
      <c r="CF19" s="199"/>
      <c r="CG19" s="197"/>
      <c r="CH19" s="197"/>
      <c r="CI19" s="197">
        <v>298.94</v>
      </c>
      <c r="CJ19" s="198"/>
      <c r="CK19" s="202"/>
      <c r="CL19" s="208"/>
      <c r="CM19" s="208"/>
      <c r="CN19" s="201"/>
      <c r="CO19" s="284"/>
      <c r="CP19" s="286">
        <f t="shared" si="20"/>
        <v>247.31748999999999</v>
      </c>
      <c r="CQ19" s="24">
        <f t="shared" si="20"/>
        <v>0</v>
      </c>
      <c r="CR19" s="25">
        <f t="shared" si="20"/>
        <v>240.874</v>
      </c>
      <c r="CS19" s="24">
        <f t="shared" si="20"/>
        <v>0</v>
      </c>
      <c r="CT19" s="27">
        <f t="shared" si="20"/>
        <v>0</v>
      </c>
      <c r="CU19" s="24">
        <f t="shared" si="20"/>
        <v>0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298.94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9"/>
        <v>0</v>
      </c>
      <c r="DH19" s="247"/>
    </row>
    <row r="20" spans="1:112" ht="16.5" customHeight="1">
      <c r="A20" s="127">
        <v>14</v>
      </c>
      <c r="B20" s="103">
        <f t="shared" si="24"/>
        <v>466.952</v>
      </c>
      <c r="C20" s="104">
        <f t="shared" si="0"/>
        <v>1.1016785451181279</v>
      </c>
      <c r="D20" s="143">
        <f t="shared" si="1"/>
        <v>461.80768999999998</v>
      </c>
      <c r="E20" s="104">
        <f t="shared" si="2"/>
        <v>41.923346810807111</v>
      </c>
      <c r="F20" s="128">
        <f t="shared" si="3"/>
        <v>1.9746341557275409</v>
      </c>
      <c r="G20" s="106"/>
      <c r="H20" s="107">
        <f t="shared" si="4"/>
        <v>0.98240770513533149</v>
      </c>
      <c r="I20" s="103">
        <f>'[1]сентябрь 20'!AE19</f>
        <v>0</v>
      </c>
      <c r="J20" s="103">
        <f>'[1]февраль 20'!AA19</f>
        <v>11.759</v>
      </c>
      <c r="K20" s="106"/>
      <c r="L20" s="328">
        <f>'[1]февраль 20'!AI19</f>
        <v>156.05199999999999</v>
      </c>
      <c r="M20" s="103">
        <f t="shared" si="5"/>
        <v>0.99222645059220926</v>
      </c>
      <c r="N20" s="103">
        <f>'[1]июль 20'!AM19</f>
        <v>0</v>
      </c>
      <c r="O20" s="103">
        <f>'[1]февраль 20'!W19</f>
        <v>0</v>
      </c>
      <c r="P20" s="103">
        <f>'[1]февраль 20'!S19</f>
        <v>287.15300000000002</v>
      </c>
      <c r="Q20" s="108">
        <f t="shared" si="6"/>
        <v>2.0591809941041928</v>
      </c>
      <c r="R20" s="109">
        <f t="shared" si="7"/>
        <v>281.24</v>
      </c>
      <c r="S20" s="106">
        <v>59.23</v>
      </c>
      <c r="T20" s="109">
        <f t="shared" si="8"/>
        <v>281.24</v>
      </c>
      <c r="U20" s="110">
        <f t="shared" si="9"/>
        <v>1.2025484243383076</v>
      </c>
      <c r="V20" s="136">
        <v>233.87</v>
      </c>
      <c r="W20" s="130">
        <v>233.87</v>
      </c>
      <c r="X20" s="131">
        <v>0.66</v>
      </c>
      <c r="Y20" s="112">
        <v>554</v>
      </c>
      <c r="Z20" s="133">
        <v>1221</v>
      </c>
      <c r="AA20" s="151" t="s">
        <v>187</v>
      </c>
      <c r="AB20" s="131">
        <v>76.790000000000006</v>
      </c>
      <c r="AC20" s="133">
        <v>156</v>
      </c>
      <c r="AD20" s="134">
        <v>5</v>
      </c>
      <c r="AE20" s="131">
        <v>4.2</v>
      </c>
      <c r="AF20" s="115">
        <f t="shared" si="10"/>
        <v>17.958695001496562</v>
      </c>
      <c r="AG20" s="131">
        <v>140.1</v>
      </c>
      <c r="AH20" s="115">
        <f t="shared" si="11"/>
        <v>599.05075469277801</v>
      </c>
      <c r="AI20" s="139">
        <v>26.4</v>
      </c>
      <c r="AJ20" s="131"/>
      <c r="AK20" s="136">
        <v>10.39</v>
      </c>
      <c r="AL20" s="136">
        <v>57.09</v>
      </c>
      <c r="AM20" s="110">
        <f t="shared" si="12"/>
        <v>0.19042695130086726</v>
      </c>
      <c r="AN20" s="137" t="s">
        <v>188</v>
      </c>
      <c r="AO20" s="150">
        <v>11.24</v>
      </c>
      <c r="AP20" s="138">
        <v>7.04</v>
      </c>
      <c r="AQ20" s="131"/>
      <c r="AR20" s="131">
        <v>8.1999999999999993</v>
      </c>
      <c r="AS20" s="315">
        <v>299.8</v>
      </c>
      <c r="AT20" s="131">
        <v>1.55</v>
      </c>
      <c r="AU20" s="148"/>
      <c r="AV20" s="131"/>
      <c r="AW20" s="109">
        <f t="shared" si="30"/>
        <v>0</v>
      </c>
      <c r="AX20" s="109">
        <f t="shared" si="13"/>
        <v>233.87</v>
      </c>
      <c r="AY20" s="115">
        <f t="shared" si="25"/>
        <v>220.103365104847</v>
      </c>
      <c r="AZ20" s="140">
        <f t="shared" si="14"/>
        <v>8.8993098591549291</v>
      </c>
      <c r="BA20" s="141">
        <f t="shared" si="15"/>
        <v>9.3548000000000009</v>
      </c>
      <c r="BB20" s="128">
        <f t="shared" si="16"/>
        <v>0.92760285560715361</v>
      </c>
      <c r="BC20" s="141">
        <f t="shared" si="17"/>
        <v>18.25410985915493</v>
      </c>
      <c r="BD20" s="142">
        <v>0.89900000000000002</v>
      </c>
      <c r="BE20" s="16">
        <f t="shared" si="26"/>
        <v>3297.66</v>
      </c>
      <c r="BF20" s="16">
        <f t="shared" si="18"/>
        <v>221.10344827586206</v>
      </c>
      <c r="BG20" s="16">
        <f t="shared" si="27"/>
        <v>3095.4482758620679</v>
      </c>
      <c r="BH20" s="17">
        <f t="shared" si="19"/>
        <v>1</v>
      </c>
      <c r="BI20" s="16">
        <f t="shared" si="28"/>
        <v>3095.4482758620679</v>
      </c>
      <c r="BJ20" s="254">
        <v>234.9</v>
      </c>
      <c r="BK20" s="197"/>
      <c r="BL20" s="197">
        <v>232.05199999999999</v>
      </c>
      <c r="BM20" s="197"/>
      <c r="BN20" s="230"/>
      <c r="BO20" s="230"/>
      <c r="BP20" s="259"/>
      <c r="BQ20" s="199"/>
      <c r="BR20" s="200">
        <v>2.19</v>
      </c>
      <c r="BS20" s="200"/>
      <c r="BT20" s="200"/>
      <c r="BU20" s="200"/>
      <c r="BV20" s="208"/>
      <c r="BW20" s="208"/>
      <c r="BX20" s="201"/>
      <c r="BY20" s="202">
        <v>37.58</v>
      </c>
      <c r="BZ20" s="200"/>
      <c r="CA20" s="200">
        <v>46.32</v>
      </c>
      <c r="CB20" s="200"/>
      <c r="CC20" s="208"/>
      <c r="CD20" s="208"/>
      <c r="CE20" s="209"/>
      <c r="CF20" s="199"/>
      <c r="CG20" s="197">
        <v>21.72</v>
      </c>
      <c r="CH20" s="197"/>
      <c r="CI20" s="197">
        <v>259.52</v>
      </c>
      <c r="CJ20" s="198"/>
      <c r="CK20" s="202"/>
      <c r="CL20" s="208"/>
      <c r="CM20" s="208"/>
      <c r="CN20" s="201"/>
      <c r="CO20" s="284"/>
      <c r="CP20" s="286">
        <f t="shared" si="20"/>
        <v>229.75568999999999</v>
      </c>
      <c r="CQ20" s="24">
        <f t="shared" si="20"/>
        <v>0</v>
      </c>
      <c r="CR20" s="25">
        <f t="shared" si="20"/>
        <v>232.05199999999999</v>
      </c>
      <c r="CS20" s="24">
        <f t="shared" si="20"/>
        <v>0</v>
      </c>
      <c r="CT20" s="27">
        <f t="shared" si="20"/>
        <v>0</v>
      </c>
      <c r="CU20" s="30">
        <f t="shared" si="20"/>
        <v>0</v>
      </c>
      <c r="CV20" s="280">
        <f t="shared" si="20"/>
        <v>0</v>
      </c>
      <c r="CW20" s="237">
        <f t="shared" si="21"/>
        <v>21.72</v>
      </c>
      <c r="CX20" s="29">
        <f t="shared" si="21"/>
        <v>0</v>
      </c>
      <c r="CY20" s="277">
        <f t="shared" si="21"/>
        <v>259.52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9"/>
        <v>0</v>
      </c>
      <c r="DH20" s="247"/>
    </row>
    <row r="21" spans="1:112" ht="16.5" customHeight="1">
      <c r="A21" s="127">
        <v>15</v>
      </c>
      <c r="B21" s="103">
        <f t="shared" si="24"/>
        <v>544.81600000000003</v>
      </c>
      <c r="C21" s="104">
        <f t="shared" si="0"/>
        <v>1.4085672961146516</v>
      </c>
      <c r="D21" s="143">
        <f t="shared" si="1"/>
        <v>537.14190000000008</v>
      </c>
      <c r="E21" s="104">
        <f t="shared" si="2"/>
        <v>41.588960309535693</v>
      </c>
      <c r="F21" s="128">
        <f t="shared" si="3"/>
        <v>2.2626980917477568</v>
      </c>
      <c r="G21" s="106"/>
      <c r="H21" s="107">
        <f t="shared" si="4"/>
        <v>1.182972745271494</v>
      </c>
      <c r="I21" s="103">
        <f>'[1]сентябрь 20'!AE20</f>
        <v>0</v>
      </c>
      <c r="J21" s="103">
        <f>'[1]февраль 20'!AA20</f>
        <v>14.595000000000001</v>
      </c>
      <c r="K21" s="106"/>
      <c r="L21" s="328">
        <f>'[1]февраль 20'!AI20</f>
        <v>180.316</v>
      </c>
      <c r="M21" s="103">
        <f t="shared" si="5"/>
        <v>1.0797253464762624</v>
      </c>
      <c r="N21" s="103">
        <f>'[1]июль 20'!AM20</f>
        <v>0</v>
      </c>
      <c r="O21" s="103">
        <f>'[1]февраль 20'!W20</f>
        <v>0</v>
      </c>
      <c r="P21" s="103">
        <f>'[1]февраль 20'!S20</f>
        <v>343.46100000000001</v>
      </c>
      <c r="Q21" s="108">
        <f t="shared" si="6"/>
        <v>3.1069029671491055</v>
      </c>
      <c r="R21" s="109">
        <f t="shared" si="7"/>
        <v>332.79</v>
      </c>
      <c r="S21" s="106">
        <v>36.21</v>
      </c>
      <c r="T21" s="109">
        <f t="shared" si="8"/>
        <v>332.79</v>
      </c>
      <c r="U21" s="110">
        <f t="shared" si="9"/>
        <v>1.4018703399469226</v>
      </c>
      <c r="V21" s="136">
        <v>143.22</v>
      </c>
      <c r="W21" s="130">
        <v>237.39</v>
      </c>
      <c r="X21" s="131">
        <v>0.28999999999999998</v>
      </c>
      <c r="Y21" s="112">
        <v>601</v>
      </c>
      <c r="Z21" s="133">
        <v>1228</v>
      </c>
      <c r="AA21" s="151" t="s">
        <v>184</v>
      </c>
      <c r="AB21" s="131">
        <v>75.239999999999995</v>
      </c>
      <c r="AC21" s="133">
        <v>182</v>
      </c>
      <c r="AD21" s="134">
        <v>5</v>
      </c>
      <c r="AE21" s="131">
        <v>1.05</v>
      </c>
      <c r="AF21" s="115">
        <f t="shared" si="10"/>
        <v>4.4231012258309113</v>
      </c>
      <c r="AG21" s="131">
        <v>158.15</v>
      </c>
      <c r="AH21" s="115">
        <f t="shared" si="11"/>
        <v>666.20329415729384</v>
      </c>
      <c r="AI21" s="139">
        <v>24.94</v>
      </c>
      <c r="AJ21" s="131"/>
      <c r="AK21" s="136">
        <v>9.1</v>
      </c>
      <c r="AL21" s="136">
        <v>53.48</v>
      </c>
      <c r="AM21" s="110">
        <f t="shared" si="12"/>
        <v>0.17955346650998821</v>
      </c>
      <c r="AN21" s="137" t="s">
        <v>189</v>
      </c>
      <c r="AO21" s="150">
        <v>9.5299999999999994</v>
      </c>
      <c r="AP21" s="138">
        <v>6.15</v>
      </c>
      <c r="AQ21" s="131"/>
      <c r="AR21" s="131">
        <v>13.32</v>
      </c>
      <c r="AS21" s="315">
        <v>297.85000000000002</v>
      </c>
      <c r="AT21" s="131">
        <v>2.12</v>
      </c>
      <c r="AU21" s="116"/>
      <c r="AV21" s="131"/>
      <c r="AW21" s="109">
        <f t="shared" si="30"/>
        <v>0</v>
      </c>
      <c r="AX21" s="109">
        <f t="shared" si="13"/>
        <v>237.39000000000004</v>
      </c>
      <c r="AY21" s="115">
        <f t="shared" si="25"/>
        <v>259.19854024997534</v>
      </c>
      <c r="AZ21" s="140">
        <f t="shared" si="14"/>
        <v>16.318407042253522</v>
      </c>
      <c r="BA21" s="141">
        <f t="shared" si="15"/>
        <v>9.4956000000000014</v>
      </c>
      <c r="BB21" s="128">
        <f t="shared" si="16"/>
        <v>0.79954721118465</v>
      </c>
      <c r="BC21" s="141">
        <f t="shared" si="17"/>
        <v>25.814007042253522</v>
      </c>
      <c r="BD21" s="142">
        <v>0.89100000000000001</v>
      </c>
      <c r="BE21" s="16">
        <f t="shared" si="26"/>
        <v>3535.0499999999997</v>
      </c>
      <c r="BF21" s="16">
        <f t="shared" si="18"/>
        <v>221.10344827586206</v>
      </c>
      <c r="BG21" s="16">
        <f t="shared" si="27"/>
        <v>3316.5517241379298</v>
      </c>
      <c r="BH21" s="17">
        <f t="shared" si="19"/>
        <v>1</v>
      </c>
      <c r="BI21" s="16">
        <f t="shared" si="28"/>
        <v>3316.5517241379298</v>
      </c>
      <c r="BJ21" s="254">
        <v>288.5</v>
      </c>
      <c r="BK21" s="197"/>
      <c r="BL21" s="197">
        <v>256.31599999999997</v>
      </c>
      <c r="BM21" s="197"/>
      <c r="BN21" s="230"/>
      <c r="BO21" s="230"/>
      <c r="BP21" s="259"/>
      <c r="BQ21" s="199"/>
      <c r="BR21" s="200">
        <v>2.66</v>
      </c>
      <c r="BS21" s="200"/>
      <c r="BT21" s="200"/>
      <c r="BU21" s="200"/>
      <c r="BV21" s="208"/>
      <c r="BW21" s="208"/>
      <c r="BX21" s="201"/>
      <c r="BY21" s="202">
        <v>37.67</v>
      </c>
      <c r="BZ21" s="200"/>
      <c r="CA21" s="200">
        <v>46</v>
      </c>
      <c r="CB21" s="200"/>
      <c r="CC21" s="208"/>
      <c r="CD21" s="208"/>
      <c r="CE21" s="209"/>
      <c r="CF21" s="199"/>
      <c r="CG21" s="197">
        <v>332.79</v>
      </c>
      <c r="CH21" s="197"/>
      <c r="CI21" s="197"/>
      <c r="CJ21" s="198"/>
      <c r="CK21" s="202"/>
      <c r="CL21" s="208"/>
      <c r="CM21" s="208"/>
      <c r="CN21" s="201"/>
      <c r="CO21" s="284"/>
      <c r="CP21" s="286">
        <f t="shared" si="20"/>
        <v>280.82589999999999</v>
      </c>
      <c r="CQ21" s="27">
        <f t="shared" si="20"/>
        <v>0</v>
      </c>
      <c r="CR21" s="28">
        <f t="shared" si="20"/>
        <v>256.31599999999997</v>
      </c>
      <c r="CS21" s="27">
        <f t="shared" si="20"/>
        <v>0</v>
      </c>
      <c r="CT21" s="27">
        <f t="shared" si="20"/>
        <v>0</v>
      </c>
      <c r="CU21" s="24">
        <f t="shared" si="20"/>
        <v>0</v>
      </c>
      <c r="CV21" s="281">
        <f t="shared" si="20"/>
        <v>0</v>
      </c>
      <c r="CW21" s="237">
        <f t="shared" si="21"/>
        <v>332.79</v>
      </c>
      <c r="CX21" s="24">
        <f t="shared" si="21"/>
        <v>0</v>
      </c>
      <c r="CY21" s="277">
        <f t="shared" si="21"/>
        <v>0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9"/>
        <v>0</v>
      </c>
      <c r="DH21" s="247"/>
    </row>
    <row r="22" spans="1:112" ht="16.5" customHeight="1">
      <c r="A22" s="127">
        <v>16</v>
      </c>
      <c r="B22" s="103">
        <f t="shared" si="24"/>
        <v>553.274</v>
      </c>
      <c r="C22" s="104">
        <f t="shared" si="0"/>
        <v>1.3459967394094066</v>
      </c>
      <c r="D22" s="143">
        <f t="shared" si="1"/>
        <v>545.82695000000001</v>
      </c>
      <c r="E22" s="104">
        <f t="shared" si="2"/>
        <v>41.258538843321752</v>
      </c>
      <c r="F22" s="128">
        <f t="shared" si="3"/>
        <v>2.6301110682792848</v>
      </c>
      <c r="G22" s="106"/>
      <c r="H22" s="107">
        <f t="shared" si="4"/>
        <v>1.416917795017588</v>
      </c>
      <c r="I22" s="103">
        <f>'[1]сентябрь 20'!AE21</f>
        <v>0</v>
      </c>
      <c r="J22" s="103">
        <f>'[1]февраль 20'!AA21</f>
        <v>14.647</v>
      </c>
      <c r="K22" s="106"/>
      <c r="L22" s="328">
        <f>'[1]февраль 20'!AI21</f>
        <v>175.774</v>
      </c>
      <c r="M22" s="103">
        <f t="shared" si="5"/>
        <v>1.213193273261697</v>
      </c>
      <c r="N22" s="103">
        <f>'[1]июль 20'!AM21</f>
        <v>0</v>
      </c>
      <c r="O22" s="103">
        <f>'[1]февраль 20'!W21</f>
        <v>0</v>
      </c>
      <c r="P22" s="103">
        <f>'[1]февраль 20'!S21</f>
        <v>357.09199999999998</v>
      </c>
      <c r="Q22" s="108">
        <f t="shared" si="6"/>
        <v>3.1790126914072458</v>
      </c>
      <c r="R22" s="109">
        <f t="shared" si="7"/>
        <v>345.74</v>
      </c>
      <c r="S22" s="106">
        <v>23.93</v>
      </c>
      <c r="T22" s="109">
        <f t="shared" si="8"/>
        <v>345.74</v>
      </c>
      <c r="U22" s="110">
        <f t="shared" si="9"/>
        <v>1.665976003469378</v>
      </c>
      <c r="V22" s="136">
        <v>159.63</v>
      </c>
      <c r="W22" s="129">
        <v>207.53</v>
      </c>
      <c r="X22" s="131">
        <v>0.17</v>
      </c>
      <c r="Y22" s="112">
        <v>524</v>
      </c>
      <c r="Z22" s="152">
        <v>1240</v>
      </c>
      <c r="AA22" s="144" t="s">
        <v>176</v>
      </c>
      <c r="AB22" s="131">
        <v>75.2</v>
      </c>
      <c r="AC22" s="133">
        <v>186</v>
      </c>
      <c r="AD22" s="134">
        <v>5</v>
      </c>
      <c r="AE22" s="131">
        <v>2.5</v>
      </c>
      <c r="AF22" s="115">
        <f t="shared" si="10"/>
        <v>12.046451115501373</v>
      </c>
      <c r="AG22" s="131">
        <v>163.69999999999999</v>
      </c>
      <c r="AH22" s="115">
        <f t="shared" si="11"/>
        <v>788.80161904302986</v>
      </c>
      <c r="AI22" s="139">
        <v>21.44</v>
      </c>
      <c r="AJ22" s="131"/>
      <c r="AK22" s="136">
        <v>10.19</v>
      </c>
      <c r="AL22" s="136">
        <v>58.55</v>
      </c>
      <c r="AM22" s="110">
        <f t="shared" si="12"/>
        <v>0.21349134001823153</v>
      </c>
      <c r="AN22" s="137" t="s">
        <v>190</v>
      </c>
      <c r="AO22" s="150">
        <v>8.6199999999999992</v>
      </c>
      <c r="AP22" s="138">
        <v>5.7</v>
      </c>
      <c r="AQ22" s="134"/>
      <c r="AR22" s="131">
        <v>17.71</v>
      </c>
      <c r="AS22" s="315">
        <v>274.25</v>
      </c>
      <c r="AT22" s="131">
        <v>2.02</v>
      </c>
      <c r="AU22" s="116"/>
      <c r="AV22" s="131"/>
      <c r="AW22" s="109">
        <f t="shared" si="30"/>
        <v>0</v>
      </c>
      <c r="AX22" s="109">
        <f t="shared" si="13"/>
        <v>207.53</v>
      </c>
      <c r="AY22" s="115">
        <f t="shared" si="25"/>
        <v>261.43589855295045</v>
      </c>
      <c r="AZ22" s="140">
        <f t="shared" si="14"/>
        <v>22.458026056338028</v>
      </c>
      <c r="BA22" s="141">
        <f t="shared" si="15"/>
        <v>8.3011999999999997</v>
      </c>
      <c r="BB22" s="128">
        <f t="shared" si="16"/>
        <v>0.6929946920174227</v>
      </c>
      <c r="BC22" s="141">
        <f t="shared" si="17"/>
        <v>30.759226056338029</v>
      </c>
      <c r="BD22" s="142">
        <v>0.878</v>
      </c>
      <c r="BE22" s="16">
        <f t="shared" si="26"/>
        <v>3742.58</v>
      </c>
      <c r="BF22" s="16">
        <f t="shared" si="18"/>
        <v>221.10344827586206</v>
      </c>
      <c r="BG22" s="16">
        <f t="shared" si="27"/>
        <v>3537.6551724137917</v>
      </c>
      <c r="BH22" s="17">
        <f t="shared" si="19"/>
        <v>1</v>
      </c>
      <c r="BI22" s="16">
        <f t="shared" si="28"/>
        <v>3537.6551724137917</v>
      </c>
      <c r="BJ22" s="254">
        <v>301.5</v>
      </c>
      <c r="BK22" s="197"/>
      <c r="BL22" s="197">
        <v>251.774</v>
      </c>
      <c r="BM22" s="197"/>
      <c r="BN22" s="230"/>
      <c r="BO22" s="230"/>
      <c r="BP22" s="258"/>
      <c r="BQ22" s="199"/>
      <c r="BR22" s="200">
        <v>2.4700000000000002</v>
      </c>
      <c r="BS22" s="200"/>
      <c r="BT22" s="200"/>
      <c r="BU22" s="200"/>
      <c r="BV22" s="208"/>
      <c r="BW22" s="208"/>
      <c r="BX22" s="201"/>
      <c r="BY22" s="202">
        <v>36.94</v>
      </c>
      <c r="BZ22" s="200"/>
      <c r="CA22" s="200">
        <v>46.43</v>
      </c>
      <c r="CB22" s="200"/>
      <c r="CC22" s="208"/>
      <c r="CD22" s="208"/>
      <c r="CE22" s="201"/>
      <c r="CF22" s="199"/>
      <c r="CG22" s="197">
        <v>345.74</v>
      </c>
      <c r="CH22" s="197"/>
      <c r="CI22" s="197"/>
      <c r="CJ22" s="198"/>
      <c r="CK22" s="202"/>
      <c r="CL22" s="200"/>
      <c r="CM22" s="208"/>
      <c r="CN22" s="201"/>
      <c r="CO22" s="284"/>
      <c r="CP22" s="286">
        <f t="shared" si="20"/>
        <v>294.05295000000001</v>
      </c>
      <c r="CQ22" s="29">
        <f t="shared" si="20"/>
        <v>0</v>
      </c>
      <c r="CR22" s="30">
        <f t="shared" si="20"/>
        <v>251.774</v>
      </c>
      <c r="CS22" s="29">
        <f t="shared" si="20"/>
        <v>0</v>
      </c>
      <c r="CT22" s="27">
        <f t="shared" si="20"/>
        <v>0</v>
      </c>
      <c r="CU22" s="24">
        <f t="shared" si="20"/>
        <v>0</v>
      </c>
      <c r="CV22" s="282">
        <f t="shared" si="20"/>
        <v>0</v>
      </c>
      <c r="CW22" s="237">
        <f t="shared" si="21"/>
        <v>345.74</v>
      </c>
      <c r="CX22" s="24">
        <f t="shared" si="21"/>
        <v>0</v>
      </c>
      <c r="CY22" s="277">
        <f t="shared" si="21"/>
        <v>0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9"/>
        <v>0</v>
      </c>
      <c r="DH22" s="247"/>
    </row>
    <row r="23" spans="1:112" ht="16.5" customHeight="1">
      <c r="A23" s="127">
        <v>17</v>
      </c>
      <c r="B23" s="103">
        <f t="shared" si="24"/>
        <v>562.52</v>
      </c>
      <c r="C23" s="104">
        <f t="shared" si="0"/>
        <v>1.1166109649434688</v>
      </c>
      <c r="D23" s="143">
        <f t="shared" si="1"/>
        <v>556.23883999999998</v>
      </c>
      <c r="E23" s="104">
        <f t="shared" si="2"/>
        <v>41.068620493493569</v>
      </c>
      <c r="F23" s="128">
        <f t="shared" si="3"/>
        <v>2.2055465503568592</v>
      </c>
      <c r="G23" s="106"/>
      <c r="H23" s="107">
        <f t="shared" si="4"/>
        <v>1.1959509912767643</v>
      </c>
      <c r="I23" s="103">
        <f>'[1]сентябрь 20'!AE22</f>
        <v>0</v>
      </c>
      <c r="J23" s="103">
        <f>'[1]февраль 20'!AA22</f>
        <v>15.53</v>
      </c>
      <c r="K23" s="106"/>
      <c r="L23" s="328">
        <f>'[1]февраль 20'!AI22</f>
        <v>178.62</v>
      </c>
      <c r="M23" s="103">
        <f t="shared" si="5"/>
        <v>1.0095955590800951</v>
      </c>
      <c r="N23" s="103">
        <f>'[1]июль 20'!AM22</f>
        <v>0</v>
      </c>
      <c r="O23" s="103">
        <f>'[1]февраль 20'!W22</f>
        <v>0</v>
      </c>
      <c r="P23" s="103">
        <f>'[1]февраль 20'!S22</f>
        <v>371.505</v>
      </c>
      <c r="Q23" s="108">
        <f t="shared" si="6"/>
        <v>3.5867619547516161</v>
      </c>
      <c r="R23" s="109">
        <f t="shared" si="7"/>
        <v>358.17999999999995</v>
      </c>
      <c r="S23" s="106">
        <v>57.74</v>
      </c>
      <c r="T23" s="109">
        <f t="shared" si="8"/>
        <v>358.18</v>
      </c>
      <c r="U23" s="110">
        <f t="shared" si="9"/>
        <v>1.4202220459952415</v>
      </c>
      <c r="V23" s="136">
        <v>252.2</v>
      </c>
      <c r="W23" s="129">
        <v>196.69</v>
      </c>
      <c r="X23" s="131">
        <v>0.61</v>
      </c>
      <c r="Y23" s="112">
        <v>501</v>
      </c>
      <c r="Z23" s="133">
        <v>1252</v>
      </c>
      <c r="AA23" s="144" t="s">
        <v>165</v>
      </c>
      <c r="AB23" s="131">
        <v>76.13</v>
      </c>
      <c r="AC23" s="133">
        <v>189</v>
      </c>
      <c r="AD23" s="134">
        <v>5</v>
      </c>
      <c r="AE23" s="131">
        <v>1.75</v>
      </c>
      <c r="AF23" s="115">
        <f t="shared" si="10"/>
        <v>6.9389373513084847</v>
      </c>
      <c r="AG23" s="131">
        <v>141.44999999999999</v>
      </c>
      <c r="AH23" s="115">
        <f t="shared" si="11"/>
        <v>560.86439333862006</v>
      </c>
      <c r="AI23" s="139">
        <v>26.11</v>
      </c>
      <c r="AJ23" s="131"/>
      <c r="AK23" s="136">
        <v>12.16</v>
      </c>
      <c r="AL23" s="136">
        <v>49.27</v>
      </c>
      <c r="AM23" s="110">
        <f t="shared" si="12"/>
        <v>0.15855189058728883</v>
      </c>
      <c r="AN23" s="137" t="s">
        <v>191</v>
      </c>
      <c r="AO23" s="150">
        <v>10.23</v>
      </c>
      <c r="AP23" s="138">
        <v>6.28</v>
      </c>
      <c r="AQ23" s="134"/>
      <c r="AR23" s="131">
        <v>11.05</v>
      </c>
      <c r="AS23" s="315">
        <v>310.75</v>
      </c>
      <c r="AT23" s="131">
        <v>2.88</v>
      </c>
      <c r="AU23" s="116"/>
      <c r="AV23" s="131"/>
      <c r="AW23" s="109">
        <f t="shared" si="30"/>
        <v>0</v>
      </c>
      <c r="AX23" s="109">
        <f t="shared" si="13"/>
        <v>252.20000000000002</v>
      </c>
      <c r="AY23" s="115">
        <f t="shared" si="25"/>
        <v>261.95689835926771</v>
      </c>
      <c r="AZ23" s="140">
        <f t="shared" si="14"/>
        <v>12.107920774647887</v>
      </c>
      <c r="BA23" s="141">
        <f t="shared" si="15"/>
        <v>10.088000000000001</v>
      </c>
      <c r="BB23" s="128">
        <f t="shared" si="16"/>
        <v>0.8404840696275202</v>
      </c>
      <c r="BC23" s="141">
        <f t="shared" si="17"/>
        <v>22.195920774647888</v>
      </c>
      <c r="BD23" s="142">
        <v>0.875</v>
      </c>
      <c r="BE23" s="16">
        <f t="shared" si="26"/>
        <v>3994.7799999999997</v>
      </c>
      <c r="BF23" s="16">
        <f t="shared" si="18"/>
        <v>221.10344827586206</v>
      </c>
      <c r="BG23" s="16">
        <f t="shared" si="27"/>
        <v>3758.7586206896535</v>
      </c>
      <c r="BH23" s="17">
        <f t="shared" si="19"/>
        <v>1</v>
      </c>
      <c r="BI23" s="16">
        <f t="shared" si="28"/>
        <v>3758.7586206896535</v>
      </c>
      <c r="BJ23" s="254">
        <v>307.89999999999998</v>
      </c>
      <c r="BK23" s="197"/>
      <c r="BL23" s="197">
        <v>254.62</v>
      </c>
      <c r="BM23" s="197"/>
      <c r="BN23" s="230"/>
      <c r="BO23" s="230"/>
      <c r="BP23" s="258"/>
      <c r="BQ23" s="199"/>
      <c r="BR23" s="200">
        <v>2.04</v>
      </c>
      <c r="BS23" s="200"/>
      <c r="BT23" s="200"/>
      <c r="BU23" s="200"/>
      <c r="BV23" s="208"/>
      <c r="BW23" s="208"/>
      <c r="BX23" s="201"/>
      <c r="BY23" s="202">
        <v>36.85</v>
      </c>
      <c r="BZ23" s="200"/>
      <c r="CA23" s="200">
        <v>46.17</v>
      </c>
      <c r="CB23" s="200"/>
      <c r="CC23" s="208"/>
      <c r="CD23" s="208"/>
      <c r="CE23" s="209"/>
      <c r="CF23" s="199"/>
      <c r="CG23" s="197">
        <v>358.18</v>
      </c>
      <c r="CH23" s="197"/>
      <c r="CI23" s="197"/>
      <c r="CJ23" s="198"/>
      <c r="CK23" s="202"/>
      <c r="CL23" s="208"/>
      <c r="CM23" s="208"/>
      <c r="CN23" s="201"/>
      <c r="CO23" s="284"/>
      <c r="CP23" s="286">
        <f t="shared" si="20"/>
        <v>301.61883999999998</v>
      </c>
      <c r="CQ23" s="24">
        <f t="shared" si="20"/>
        <v>0</v>
      </c>
      <c r="CR23" s="25">
        <f t="shared" si="20"/>
        <v>254.62</v>
      </c>
      <c r="CS23" s="24">
        <f t="shared" si="20"/>
        <v>0</v>
      </c>
      <c r="CT23" s="27">
        <f t="shared" si="20"/>
        <v>0</v>
      </c>
      <c r="CU23" s="24">
        <f t="shared" si="20"/>
        <v>0</v>
      </c>
      <c r="CV23" s="280">
        <f t="shared" si="20"/>
        <v>0</v>
      </c>
      <c r="CW23" s="237">
        <f t="shared" si="21"/>
        <v>358.18</v>
      </c>
      <c r="CX23" s="29">
        <f t="shared" si="21"/>
        <v>0</v>
      </c>
      <c r="CY23" s="277">
        <f t="shared" si="21"/>
        <v>0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9"/>
        <v>0</v>
      </c>
      <c r="DH23" s="247"/>
    </row>
    <row r="24" spans="1:112" ht="16.5" customHeight="1">
      <c r="A24" s="127">
        <v>18</v>
      </c>
      <c r="B24" s="103">
        <f t="shared" si="24"/>
        <v>241.04599999999999</v>
      </c>
      <c r="C24" s="104">
        <f t="shared" si="0"/>
        <v>0.7994822564987597</v>
      </c>
      <c r="D24" s="143">
        <f t="shared" si="1"/>
        <v>239.11887999999999</v>
      </c>
      <c r="E24" s="104">
        <f t="shared" si="2"/>
        <v>43.174395426599069</v>
      </c>
      <c r="F24" s="128">
        <f t="shared" si="3"/>
        <v>2.5362630462452267</v>
      </c>
      <c r="G24" s="106"/>
      <c r="H24" s="107">
        <f t="shared" si="4"/>
        <v>0.91719219346627068</v>
      </c>
      <c r="I24" s="103">
        <f>'[1]сентябрь 20'!AE23</f>
        <v>0</v>
      </c>
      <c r="J24" s="103">
        <f>'[1]февраль 20'!AA23</f>
        <v>6.5309999999999997</v>
      </c>
      <c r="K24" s="106"/>
      <c r="L24" s="328">
        <f>'[1]февраль 20'!AI23</f>
        <v>76.646000000000001</v>
      </c>
      <c r="M24" s="103">
        <f t="shared" si="5"/>
        <v>1.6190708527789561</v>
      </c>
      <c r="N24" s="103">
        <f>'[1]июль 20'!AM23</f>
        <v>0</v>
      </c>
      <c r="O24" s="103">
        <f>'[1]февраль 20'!W23</f>
        <v>0</v>
      </c>
      <c r="P24" s="103">
        <f>'[1]февраль 20'!S23</f>
        <v>170.63900000000001</v>
      </c>
      <c r="Q24" s="108">
        <f t="shared" si="6"/>
        <v>2.8944145242295272</v>
      </c>
      <c r="R24" s="109">
        <f t="shared" si="7"/>
        <v>165.7</v>
      </c>
      <c r="S24" s="106">
        <v>21.08</v>
      </c>
      <c r="T24" s="109">
        <f t="shared" si="8"/>
        <v>165.7</v>
      </c>
      <c r="U24" s="110">
        <f t="shared" si="9"/>
        <v>1.7575307594399658</v>
      </c>
      <c r="V24" s="136">
        <v>94.28</v>
      </c>
      <c r="W24" s="129">
        <v>94.28</v>
      </c>
      <c r="X24" s="131">
        <v>0.15</v>
      </c>
      <c r="Y24" s="133">
        <v>476</v>
      </c>
      <c r="Z24" s="133">
        <v>1168</v>
      </c>
      <c r="AA24" s="144" t="s">
        <v>192</v>
      </c>
      <c r="AB24" s="131">
        <v>75.760000000000005</v>
      </c>
      <c r="AC24" s="133">
        <v>84</v>
      </c>
      <c r="AD24" s="134">
        <v>2</v>
      </c>
      <c r="AE24" s="131">
        <v>1.8</v>
      </c>
      <c r="AF24" s="115">
        <f t="shared" si="10"/>
        <v>19.092066185829445</v>
      </c>
      <c r="AG24" s="131">
        <v>62.9</v>
      </c>
      <c r="AH24" s="115">
        <f t="shared" si="11"/>
        <v>667.16164616037327</v>
      </c>
      <c r="AI24" s="139">
        <v>9.6199999999999992</v>
      </c>
      <c r="AJ24" s="131"/>
      <c r="AK24" s="136">
        <v>5.9</v>
      </c>
      <c r="AL24" s="136">
        <v>18.149999999999999</v>
      </c>
      <c r="AM24" s="110">
        <f t="shared" si="12"/>
        <v>0.15653298835705043</v>
      </c>
      <c r="AN24" s="137" t="s">
        <v>193</v>
      </c>
      <c r="AO24" s="150">
        <v>8.8699999999999992</v>
      </c>
      <c r="AP24" s="138">
        <v>6.57</v>
      </c>
      <c r="AQ24" s="134"/>
      <c r="AR24" s="131">
        <v>13.1</v>
      </c>
      <c r="AS24" s="315">
        <v>115.95</v>
      </c>
      <c r="AT24" s="131">
        <v>2.38</v>
      </c>
      <c r="AU24" s="116"/>
      <c r="AV24" s="131"/>
      <c r="AW24" s="109">
        <f t="shared" si="30"/>
        <v>0</v>
      </c>
      <c r="AX24" s="109">
        <f t="shared" si="13"/>
        <v>94.28</v>
      </c>
      <c r="AY24" s="115">
        <f t="shared" si="25"/>
        <v>118.96368556021164</v>
      </c>
      <c r="AZ24" s="140">
        <f t="shared" si="14"/>
        <v>6.3830211267605632</v>
      </c>
      <c r="BA24" s="141"/>
      <c r="BB24" s="128">
        <f t="shared" si="16"/>
        <v>0.69186188720037478</v>
      </c>
      <c r="BC24" s="141">
        <f t="shared" si="17"/>
        <v>6.3830211267605632</v>
      </c>
      <c r="BD24" s="142">
        <v>0.87</v>
      </c>
      <c r="BE24" s="16">
        <f t="shared" si="26"/>
        <v>4089.06</v>
      </c>
      <c r="BF24" s="16">
        <f t="shared" si="18"/>
        <v>221.10344827586206</v>
      </c>
      <c r="BG24" s="16">
        <f t="shared" si="27"/>
        <v>3979.8620689655154</v>
      </c>
      <c r="BH24" s="17">
        <f t="shared" si="19"/>
        <v>1</v>
      </c>
      <c r="BI24" s="16">
        <f t="shared" si="28"/>
        <v>3979.8620689655154</v>
      </c>
      <c r="BJ24" s="254">
        <v>88.4</v>
      </c>
      <c r="BK24" s="197"/>
      <c r="BL24" s="197">
        <v>152.64599999999999</v>
      </c>
      <c r="BM24" s="197"/>
      <c r="BN24" s="230"/>
      <c r="BO24" s="230"/>
      <c r="BP24" s="258"/>
      <c r="BQ24" s="199"/>
      <c r="BR24" s="200">
        <v>2.1800000000000002</v>
      </c>
      <c r="BS24" s="200"/>
      <c r="BT24" s="200"/>
      <c r="BU24" s="200"/>
      <c r="BV24" s="208"/>
      <c r="BW24" s="208"/>
      <c r="BX24" s="201"/>
      <c r="BY24" s="202">
        <v>37.57</v>
      </c>
      <c r="BZ24" s="200"/>
      <c r="CA24" s="200">
        <v>46.42</v>
      </c>
      <c r="CB24" s="200"/>
      <c r="CC24" s="208"/>
      <c r="CD24" s="208"/>
      <c r="CE24" s="209"/>
      <c r="CF24" s="199"/>
      <c r="CG24" s="197">
        <v>165.7</v>
      </c>
      <c r="CH24" s="197"/>
      <c r="CI24" s="197"/>
      <c r="CJ24" s="198"/>
      <c r="CK24" s="202"/>
      <c r="CL24" s="208"/>
      <c r="CM24" s="208"/>
      <c r="CN24" s="201"/>
      <c r="CO24" s="284"/>
      <c r="CP24" s="286">
        <f t="shared" si="20"/>
        <v>86.472880000000004</v>
      </c>
      <c r="CQ24" s="29">
        <f t="shared" si="20"/>
        <v>0</v>
      </c>
      <c r="CR24" s="30">
        <f t="shared" si="20"/>
        <v>152.64599999999999</v>
      </c>
      <c r="CS24" s="29">
        <f t="shared" si="20"/>
        <v>0</v>
      </c>
      <c r="CT24" s="27">
        <f t="shared" si="20"/>
        <v>0</v>
      </c>
      <c r="CU24" s="27">
        <f t="shared" si="20"/>
        <v>0</v>
      </c>
      <c r="CV24" s="282">
        <f t="shared" si="20"/>
        <v>0</v>
      </c>
      <c r="CW24" s="25">
        <f t="shared" si="21"/>
        <v>165.7</v>
      </c>
      <c r="CX24" s="26">
        <f t="shared" si="21"/>
        <v>0</v>
      </c>
      <c r="CY24" s="277">
        <f t="shared" si="21"/>
        <v>0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9"/>
        <v>0</v>
      </c>
      <c r="DH24" s="247"/>
    </row>
    <row r="25" spans="1:112" ht="16.5" customHeight="1">
      <c r="A25" s="127">
        <v>19</v>
      </c>
      <c r="B25" s="103">
        <f t="shared" si="24"/>
        <v>481.03100000000001</v>
      </c>
      <c r="C25" s="104">
        <f t="shared" si="0"/>
        <v>1.2307314913176073</v>
      </c>
      <c r="D25" s="143">
        <f t="shared" si="1"/>
        <v>475.11079999999998</v>
      </c>
      <c r="E25" s="104">
        <f t="shared" si="2"/>
        <v>41.376554962154209</v>
      </c>
      <c r="F25" s="128">
        <f t="shared" si="3"/>
        <v>2.0577365845207676</v>
      </c>
      <c r="G25" s="106"/>
      <c r="H25" s="107">
        <f t="shared" si="4"/>
        <v>1.0701191043353977</v>
      </c>
      <c r="I25" s="103">
        <f>'[1]сентябрь 20'!AE24</f>
        <v>0</v>
      </c>
      <c r="J25" s="103">
        <f>'[1]февраль 20'!AA24</f>
        <v>11.987</v>
      </c>
      <c r="K25" s="106"/>
      <c r="L25" s="328">
        <f>'[1]февраль 20'!AI24</f>
        <v>152.03100000000001</v>
      </c>
      <c r="M25" s="103">
        <f t="shared" si="5"/>
        <v>0.98761748018536977</v>
      </c>
      <c r="N25" s="103">
        <f>'[1]июль 20'!AM24</f>
        <v>2.8069999999999999</v>
      </c>
      <c r="O25" s="103">
        <f>'[1]февраль 20'!W24</f>
        <v>0</v>
      </c>
      <c r="P25" s="103">
        <f>'[1]февраль 20'!S24</f>
        <v>320.45400000000001</v>
      </c>
      <c r="Q25" s="108">
        <f t="shared" si="6"/>
        <v>2.8128842205121463</v>
      </c>
      <c r="R25" s="109">
        <f t="shared" si="7"/>
        <v>311.44</v>
      </c>
      <c r="S25" s="106">
        <v>14.93</v>
      </c>
      <c r="T25" s="109">
        <f t="shared" si="8"/>
        <v>311.44</v>
      </c>
      <c r="U25" s="110">
        <f t="shared" si="9"/>
        <v>1.3488674260470355</v>
      </c>
      <c r="V25" s="136">
        <v>230.89</v>
      </c>
      <c r="W25" s="129">
        <v>230.89</v>
      </c>
      <c r="X25" s="131">
        <v>0.44</v>
      </c>
      <c r="Y25" s="133">
        <v>566</v>
      </c>
      <c r="Z25" s="133">
        <v>1226</v>
      </c>
      <c r="AA25" s="144" t="s">
        <v>176</v>
      </c>
      <c r="AB25" s="131">
        <v>76.150000000000006</v>
      </c>
      <c r="AC25" s="133">
        <v>160</v>
      </c>
      <c r="AD25" s="134">
        <v>5</v>
      </c>
      <c r="AE25" s="131">
        <v>0.2</v>
      </c>
      <c r="AF25" s="115">
        <f t="shared" si="10"/>
        <v>0.86621334834769814</v>
      </c>
      <c r="AG25" s="131">
        <v>154.4</v>
      </c>
      <c r="AH25" s="115">
        <f t="shared" si="11"/>
        <v>668.71670492442297</v>
      </c>
      <c r="AI25" s="139">
        <v>26.44</v>
      </c>
      <c r="AJ25" s="131"/>
      <c r="AK25" s="136">
        <v>8.65</v>
      </c>
      <c r="AL25" s="136">
        <v>48.59</v>
      </c>
      <c r="AM25" s="110">
        <f t="shared" si="12"/>
        <v>0.17004374453193352</v>
      </c>
      <c r="AN25" s="137" t="s">
        <v>194</v>
      </c>
      <c r="AO25" s="150">
        <v>9.4</v>
      </c>
      <c r="AP25" s="138">
        <v>6.38</v>
      </c>
      <c r="AQ25" s="153"/>
      <c r="AR25" s="131">
        <v>12</v>
      </c>
      <c r="AS25" s="315">
        <v>285.75</v>
      </c>
      <c r="AT25" s="131">
        <v>2.38</v>
      </c>
      <c r="AU25" s="148"/>
      <c r="AV25" s="131"/>
      <c r="AW25" s="109">
        <f t="shared" si="30"/>
        <v>0</v>
      </c>
      <c r="AX25" s="109">
        <f t="shared" si="13"/>
        <v>230.89</v>
      </c>
      <c r="AY25" s="115">
        <f t="shared" si="25"/>
        <v>225.36868308457383</v>
      </c>
      <c r="AZ25" s="140">
        <f t="shared" si="14"/>
        <v>14.35267605633803</v>
      </c>
      <c r="BA25" s="141">
        <f t="shared" ref="BA25:BA37" si="31">AX25*$BA$6</f>
        <v>9.2355999999999998</v>
      </c>
      <c r="BB25" s="128">
        <f t="shared" si="16"/>
        <v>0.89438766398771652</v>
      </c>
      <c r="BC25" s="141">
        <f t="shared" si="17"/>
        <v>23.588276056338032</v>
      </c>
      <c r="BD25" s="142">
        <v>0.871</v>
      </c>
      <c r="BE25" s="16">
        <f t="shared" si="26"/>
        <v>4319.95</v>
      </c>
      <c r="BF25" s="16">
        <f t="shared" si="18"/>
        <v>221.10344827586206</v>
      </c>
      <c r="BG25" s="16">
        <f t="shared" si="27"/>
        <v>4200.9655172413777</v>
      </c>
      <c r="BH25" s="17">
        <f t="shared" si="19"/>
        <v>1</v>
      </c>
      <c r="BI25" s="16">
        <f t="shared" si="28"/>
        <v>4200.9655172413777</v>
      </c>
      <c r="BJ25" s="254">
        <v>253</v>
      </c>
      <c r="BK25" s="197"/>
      <c r="BL25" s="197">
        <v>228.03100000000001</v>
      </c>
      <c r="BM25" s="197"/>
      <c r="BN25" s="230"/>
      <c r="BO25" s="230"/>
      <c r="BP25" s="258"/>
      <c r="BQ25" s="199"/>
      <c r="BR25" s="200">
        <v>2.34</v>
      </c>
      <c r="BS25" s="200"/>
      <c r="BT25" s="200"/>
      <c r="BU25" s="200"/>
      <c r="BV25" s="208"/>
      <c r="BW25" s="208"/>
      <c r="BX25" s="201"/>
      <c r="BY25" s="202">
        <v>36.93</v>
      </c>
      <c r="BZ25" s="200"/>
      <c r="CA25" s="200">
        <v>46.31</v>
      </c>
      <c r="CB25" s="200"/>
      <c r="CC25" s="208"/>
      <c r="CD25" s="208"/>
      <c r="CE25" s="201"/>
      <c r="CF25" s="199"/>
      <c r="CG25" s="197">
        <v>311.44</v>
      </c>
      <c r="CH25" s="197"/>
      <c r="CI25" s="197"/>
      <c r="CJ25" s="198"/>
      <c r="CK25" s="202"/>
      <c r="CL25" s="208"/>
      <c r="CM25" s="208"/>
      <c r="CN25" s="201"/>
      <c r="CO25" s="284"/>
      <c r="CP25" s="286">
        <f t="shared" si="20"/>
        <v>247.07979999999998</v>
      </c>
      <c r="CQ25" s="24">
        <f t="shared" si="20"/>
        <v>0</v>
      </c>
      <c r="CR25" s="25">
        <f t="shared" si="20"/>
        <v>228.03100000000001</v>
      </c>
      <c r="CS25" s="24">
        <f t="shared" si="20"/>
        <v>0</v>
      </c>
      <c r="CT25" s="27">
        <f t="shared" si="20"/>
        <v>0</v>
      </c>
      <c r="CU25" s="30">
        <f t="shared" si="20"/>
        <v>0</v>
      </c>
      <c r="CV25" s="280">
        <f t="shared" si="20"/>
        <v>0</v>
      </c>
      <c r="CW25" s="25">
        <f t="shared" si="21"/>
        <v>311.44</v>
      </c>
      <c r="CX25" s="26">
        <f t="shared" si="21"/>
        <v>0</v>
      </c>
      <c r="CY25" s="277">
        <f t="shared" si="21"/>
        <v>0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9"/>
        <v>0</v>
      </c>
      <c r="DH25" s="247"/>
    </row>
    <row r="26" spans="1:112" ht="16.5" customHeight="1">
      <c r="A26" s="127">
        <v>20</v>
      </c>
      <c r="B26" s="103">
        <f t="shared" si="24"/>
        <v>508.25099999999998</v>
      </c>
      <c r="C26" s="104">
        <f t="shared" si="0"/>
        <v>1.1992598145404534</v>
      </c>
      <c r="D26" s="143">
        <f t="shared" si="1"/>
        <v>502.15574999999995</v>
      </c>
      <c r="E26" s="104">
        <f t="shared" si="2"/>
        <v>41.584891657861959</v>
      </c>
      <c r="F26" s="128">
        <f t="shared" si="3"/>
        <v>2.4730645161290314</v>
      </c>
      <c r="G26" s="106"/>
      <c r="H26" s="107">
        <f t="shared" si="4"/>
        <v>1.3041356808667814</v>
      </c>
      <c r="I26" s="103">
        <f>'[1]сентябрь 20'!AE25</f>
        <v>0</v>
      </c>
      <c r="J26" s="103">
        <f>'[1]февраль 20'!AA25</f>
        <v>10.637</v>
      </c>
      <c r="K26" s="106"/>
      <c r="L26" s="328">
        <f>'[1]февраль 20'!AI25</f>
        <v>161.351</v>
      </c>
      <c r="M26" s="103">
        <f t="shared" si="5"/>
        <v>1.1689288352622504</v>
      </c>
      <c r="N26" s="103">
        <f>'[1]июль 20'!AM25</f>
        <v>7.1479999999999997</v>
      </c>
      <c r="O26" s="103">
        <f>'[1]февраль 20'!W25</f>
        <v>0</v>
      </c>
      <c r="P26" s="103">
        <f>'[1]февраль 20'!S25</f>
        <v>340.5</v>
      </c>
      <c r="Q26" s="108">
        <f t="shared" si="6"/>
        <v>3.9207048458149818</v>
      </c>
      <c r="R26" s="109">
        <f t="shared" si="7"/>
        <v>327.14999999999998</v>
      </c>
      <c r="S26" s="106">
        <v>27.79</v>
      </c>
      <c r="T26" s="109">
        <f t="shared" si="8"/>
        <v>327.14999999999998</v>
      </c>
      <c r="U26" s="110">
        <f t="shared" si="9"/>
        <v>1.6111795124353603</v>
      </c>
      <c r="V26" s="136">
        <v>203.05</v>
      </c>
      <c r="W26" s="154">
        <v>116.22</v>
      </c>
      <c r="X26" s="149">
        <v>0.82</v>
      </c>
      <c r="Y26" s="147">
        <v>552</v>
      </c>
      <c r="Z26" s="147">
        <v>1237</v>
      </c>
      <c r="AA26" s="144" t="s">
        <v>196</v>
      </c>
      <c r="AB26" s="149">
        <v>75.81</v>
      </c>
      <c r="AC26" s="147">
        <v>169</v>
      </c>
      <c r="AD26" s="155">
        <v>5</v>
      </c>
      <c r="AE26" s="149">
        <v>0.95</v>
      </c>
      <c r="AF26" s="115">
        <f t="shared" si="10"/>
        <v>4.6786505786752022</v>
      </c>
      <c r="AG26" s="149">
        <v>117.45</v>
      </c>
      <c r="AH26" s="115">
        <f t="shared" si="11"/>
        <v>578.42895838463426</v>
      </c>
      <c r="AI26" s="156">
        <v>22.87</v>
      </c>
      <c r="AJ26" s="149"/>
      <c r="AK26" s="157">
        <v>9.56</v>
      </c>
      <c r="AL26" s="157">
        <v>48.2</v>
      </c>
      <c r="AM26" s="110">
        <f t="shared" si="12"/>
        <v>0.18638824439288476</v>
      </c>
      <c r="AN26" s="158" t="s">
        <v>197</v>
      </c>
      <c r="AO26" s="404">
        <v>9.77</v>
      </c>
      <c r="AP26" s="159">
        <v>6.21</v>
      </c>
      <c r="AQ26" s="155"/>
      <c r="AR26" s="149">
        <v>11.96</v>
      </c>
      <c r="AS26" s="315">
        <v>258.60000000000002</v>
      </c>
      <c r="AT26" s="131">
        <v>2.21</v>
      </c>
      <c r="AU26" s="148"/>
      <c r="AV26" s="149"/>
      <c r="AW26" s="160">
        <f t="shared" si="30"/>
        <v>0</v>
      </c>
      <c r="AX26" s="109">
        <f t="shared" si="13"/>
        <v>203.05000000000004</v>
      </c>
      <c r="AY26" s="115">
        <f t="shared" si="25"/>
        <v>240.47047509317855</v>
      </c>
      <c r="AZ26" s="140">
        <f t="shared" si="14"/>
        <v>10.881494366197185</v>
      </c>
      <c r="BA26" s="140">
        <f t="shared" si="31"/>
        <v>8.1220000000000017</v>
      </c>
      <c r="BB26" s="161">
        <f t="shared" si="16"/>
        <v>0.73714933166457763</v>
      </c>
      <c r="BC26" s="140">
        <f t="shared" si="17"/>
        <v>19.003494366197188</v>
      </c>
      <c r="BD26" s="162">
        <v>0.86399999999999999</v>
      </c>
      <c r="BE26" s="16">
        <f t="shared" si="26"/>
        <v>4523</v>
      </c>
      <c r="BF26" s="16">
        <f t="shared" si="18"/>
        <v>221.10344827586206</v>
      </c>
      <c r="BG26" s="16">
        <f t="shared" si="27"/>
        <v>4422.06896551724</v>
      </c>
      <c r="BH26" s="17">
        <f t="shared" si="19"/>
        <v>1</v>
      </c>
      <c r="BI26" s="16">
        <f t="shared" si="28"/>
        <v>4422.06896551724</v>
      </c>
      <c r="BJ26" s="254">
        <v>270.89999999999998</v>
      </c>
      <c r="BK26" s="197"/>
      <c r="BL26" s="197">
        <v>237.351</v>
      </c>
      <c r="BM26" s="197"/>
      <c r="BN26" s="230"/>
      <c r="BO26" s="230"/>
      <c r="BP26" s="258"/>
      <c r="BQ26" s="199"/>
      <c r="BR26" s="200">
        <v>2.25</v>
      </c>
      <c r="BS26" s="200"/>
      <c r="BT26" s="200"/>
      <c r="BU26" s="200"/>
      <c r="BV26" s="208"/>
      <c r="BW26" s="208"/>
      <c r="BX26" s="201"/>
      <c r="BY26" s="202">
        <v>37.479999999999997</v>
      </c>
      <c r="BZ26" s="200"/>
      <c r="CA26" s="200">
        <v>46.27</v>
      </c>
      <c r="CB26" s="200"/>
      <c r="CC26" s="208"/>
      <c r="CD26" s="208"/>
      <c r="CE26" s="209"/>
      <c r="CF26" s="199"/>
      <c r="CG26" s="197">
        <v>253.05</v>
      </c>
      <c r="CH26" s="197"/>
      <c r="CI26" s="197">
        <v>74.099999999999994</v>
      </c>
      <c r="CJ26" s="198"/>
      <c r="CK26" s="202"/>
      <c r="CL26" s="208"/>
      <c r="CM26" s="208"/>
      <c r="CN26" s="201"/>
      <c r="CO26" s="284"/>
      <c r="CP26" s="286">
        <f t="shared" si="20"/>
        <v>264.80475000000001</v>
      </c>
      <c r="CQ26" s="24">
        <f t="shared" si="20"/>
        <v>0</v>
      </c>
      <c r="CR26" s="25">
        <f t="shared" si="20"/>
        <v>237.351</v>
      </c>
      <c r="CS26" s="24">
        <f t="shared" si="20"/>
        <v>0</v>
      </c>
      <c r="CT26" s="27">
        <f t="shared" si="20"/>
        <v>0</v>
      </c>
      <c r="CU26" s="24">
        <f t="shared" si="20"/>
        <v>0</v>
      </c>
      <c r="CV26" s="280">
        <f t="shared" si="20"/>
        <v>0</v>
      </c>
      <c r="CW26" s="30">
        <f t="shared" si="21"/>
        <v>253.05</v>
      </c>
      <c r="CX26" s="26">
        <f t="shared" si="21"/>
        <v>0</v>
      </c>
      <c r="CY26" s="277">
        <f t="shared" si="21"/>
        <v>74.099999999999994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9"/>
        <v>0</v>
      </c>
      <c r="DH26" s="247"/>
    </row>
    <row r="27" spans="1:112" ht="16.5" customHeight="1">
      <c r="A27" s="127">
        <v>21</v>
      </c>
      <c r="B27" s="103">
        <f t="shared" si="24"/>
        <v>433.42899999999997</v>
      </c>
      <c r="C27" s="104">
        <f t="shared" si="0"/>
        <v>1.170911498769118</v>
      </c>
      <c r="D27" s="143">
        <f t="shared" si="1"/>
        <v>428.35392999999999</v>
      </c>
      <c r="E27" s="104">
        <f t="shared" si="2"/>
        <v>41.736216243029425</v>
      </c>
      <c r="F27" s="128">
        <f t="shared" si="3"/>
        <v>1.8206134393063584</v>
      </c>
      <c r="G27" s="106"/>
      <c r="H27" s="107">
        <f t="shared" si="4"/>
        <v>0.91221068514110837</v>
      </c>
      <c r="I27" s="103">
        <f>'[1]сентябрь 20'!AE26</f>
        <v>0</v>
      </c>
      <c r="J27" s="103">
        <f>'[1]февраль 20'!AA26</f>
        <v>8.6210000000000004</v>
      </c>
      <c r="K27" s="106"/>
      <c r="L27" s="328">
        <f>'[1]февраль 20'!AI26</f>
        <v>137.72900000000001</v>
      </c>
      <c r="M27" s="103">
        <f t="shared" si="5"/>
        <v>0.90840275416524996</v>
      </c>
      <c r="N27" s="103">
        <f>'[1]июль 20'!AM26</f>
        <v>7.0339999999999998</v>
      </c>
      <c r="O27" s="103">
        <f>'[1]февраль 20'!W26</f>
        <v>0</v>
      </c>
      <c r="P27" s="103">
        <f>'[1]февраль 20'!S26</f>
        <v>286.68799999999999</v>
      </c>
      <c r="Q27" s="108">
        <f t="shared" si="6"/>
        <v>4.600122781560434</v>
      </c>
      <c r="R27" s="109">
        <f t="shared" si="7"/>
        <v>273.5</v>
      </c>
      <c r="S27" s="106">
        <v>2.96</v>
      </c>
      <c r="T27" s="109">
        <f t="shared" si="8"/>
        <v>273.5</v>
      </c>
      <c r="U27" s="110">
        <f t="shared" si="9"/>
        <v>1.1624447466848011</v>
      </c>
      <c r="V27" s="129">
        <v>235.28</v>
      </c>
      <c r="W27" s="129">
        <v>89.66</v>
      </c>
      <c r="X27" s="131">
        <v>1.02</v>
      </c>
      <c r="Y27" s="133">
        <v>638</v>
      </c>
      <c r="Z27" s="133">
        <v>1245</v>
      </c>
      <c r="AA27" s="144" t="s">
        <v>198</v>
      </c>
      <c r="AB27" s="131">
        <v>76.44</v>
      </c>
      <c r="AC27" s="133">
        <v>145</v>
      </c>
      <c r="AD27" s="134">
        <v>5</v>
      </c>
      <c r="AE27" s="131">
        <v>4.8499999999999996</v>
      </c>
      <c r="AF27" s="115">
        <f t="shared" si="10"/>
        <v>20.61373682420945</v>
      </c>
      <c r="AG27" s="131">
        <v>116.75</v>
      </c>
      <c r="AH27" s="115">
        <f t="shared" si="11"/>
        <v>496.21727303638221</v>
      </c>
      <c r="AI27" s="139">
        <v>24.87</v>
      </c>
      <c r="AJ27" s="131"/>
      <c r="AK27" s="136">
        <v>10.08</v>
      </c>
      <c r="AL27" s="136">
        <v>52.91</v>
      </c>
      <c r="AM27" s="110">
        <f t="shared" si="12"/>
        <v>0.17874999999999999</v>
      </c>
      <c r="AN27" s="137" t="s">
        <v>199</v>
      </c>
      <c r="AO27" s="150">
        <v>11.43</v>
      </c>
      <c r="AP27" s="138">
        <v>6.5</v>
      </c>
      <c r="AQ27" s="134"/>
      <c r="AR27" s="131">
        <v>7.46</v>
      </c>
      <c r="AS27" s="139">
        <v>296</v>
      </c>
      <c r="AT27" s="131">
        <v>2.27</v>
      </c>
      <c r="AU27" s="148"/>
      <c r="AV27" s="131"/>
      <c r="AW27" s="109">
        <f t="shared" si="30"/>
        <v>0</v>
      </c>
      <c r="AX27" s="109">
        <f t="shared" si="13"/>
        <v>235.28</v>
      </c>
      <c r="AY27" s="115">
        <f t="shared" si="25"/>
        <v>204.17821134419793</v>
      </c>
      <c r="AZ27" s="140">
        <f t="shared" si="14"/>
        <v>6.7468345070422533</v>
      </c>
      <c r="BA27" s="141">
        <f t="shared" si="31"/>
        <v>9.4112000000000009</v>
      </c>
      <c r="BB27" s="128">
        <f t="shared" si="16"/>
        <v>1.0059811899015187</v>
      </c>
      <c r="BC27" s="141">
        <f t="shared" si="17"/>
        <v>16.158034507042252</v>
      </c>
      <c r="BD27" s="142">
        <v>0.87</v>
      </c>
      <c r="BE27" s="16">
        <f t="shared" si="26"/>
        <v>4758.28</v>
      </c>
      <c r="BF27" s="16">
        <f t="shared" si="18"/>
        <v>221.10344827586206</v>
      </c>
      <c r="BG27" s="16">
        <f t="shared" si="27"/>
        <v>4643.1724137931024</v>
      </c>
      <c r="BH27" s="17">
        <f t="shared" si="19"/>
        <v>1</v>
      </c>
      <c r="BI27" s="16">
        <f t="shared" si="28"/>
        <v>4643.1724137931024</v>
      </c>
      <c r="BJ27" s="254">
        <v>219.7</v>
      </c>
      <c r="BK27" s="197"/>
      <c r="BL27" s="197">
        <v>213.72900000000001</v>
      </c>
      <c r="BM27" s="197"/>
      <c r="BN27" s="230"/>
      <c r="BO27" s="230"/>
      <c r="BP27" s="258"/>
      <c r="BQ27" s="199"/>
      <c r="BR27" s="200">
        <v>2.31</v>
      </c>
      <c r="BS27" s="200"/>
      <c r="BT27" s="200"/>
      <c r="BU27" s="200"/>
      <c r="BV27" s="208"/>
      <c r="BW27" s="208"/>
      <c r="BX27" s="201"/>
      <c r="BY27" s="202">
        <v>37.17</v>
      </c>
      <c r="BZ27" s="200"/>
      <c r="CA27" s="200">
        <v>46.43</v>
      </c>
      <c r="CB27" s="200"/>
      <c r="CC27" s="208"/>
      <c r="CD27" s="208"/>
      <c r="CE27" s="209"/>
      <c r="CF27" s="199"/>
      <c r="CG27" s="197">
        <v>137.75</v>
      </c>
      <c r="CH27" s="197"/>
      <c r="CI27" s="197">
        <v>135.75</v>
      </c>
      <c r="CJ27" s="198"/>
      <c r="CK27" s="202"/>
      <c r="CL27" s="208"/>
      <c r="CM27" s="208"/>
      <c r="CN27" s="201"/>
      <c r="CO27" s="284"/>
      <c r="CP27" s="286">
        <f t="shared" si="20"/>
        <v>214.62492999999998</v>
      </c>
      <c r="CQ27" s="24">
        <f t="shared" si="20"/>
        <v>0</v>
      </c>
      <c r="CR27" s="25">
        <f t="shared" si="20"/>
        <v>213.72900000000001</v>
      </c>
      <c r="CS27" s="24">
        <f t="shared" si="20"/>
        <v>0</v>
      </c>
      <c r="CT27" s="27">
        <f t="shared" si="20"/>
        <v>0</v>
      </c>
      <c r="CU27" s="29">
        <f t="shared" si="20"/>
        <v>0</v>
      </c>
      <c r="CV27" s="280">
        <f t="shared" si="20"/>
        <v>0</v>
      </c>
      <c r="CW27" s="237">
        <f t="shared" si="21"/>
        <v>137.75</v>
      </c>
      <c r="CX27" s="26">
        <f t="shared" si="21"/>
        <v>0</v>
      </c>
      <c r="CY27" s="277">
        <f t="shared" si="21"/>
        <v>135.75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9"/>
        <v>0</v>
      </c>
      <c r="DH27" s="247"/>
    </row>
    <row r="28" spans="1:112" ht="16.5" customHeight="1">
      <c r="A28" s="127">
        <v>22</v>
      </c>
      <c r="B28" s="103">
        <f t="shared" si="24"/>
        <v>479.46600000000001</v>
      </c>
      <c r="C28" s="104">
        <f t="shared" si="0"/>
        <v>1.2374266371338112</v>
      </c>
      <c r="D28" s="143">
        <f t="shared" si="1"/>
        <v>473.53296</v>
      </c>
      <c r="E28" s="104">
        <f t="shared" si="2"/>
        <v>41.654140105867775</v>
      </c>
      <c r="F28" s="128">
        <f t="shared" si="3"/>
        <v>2.0841202411865676</v>
      </c>
      <c r="G28" s="106"/>
      <c r="H28" s="107">
        <f t="shared" si="4"/>
        <v>1.0803528013731791</v>
      </c>
      <c r="I28" s="103">
        <f>'[1]сентябрь 20'!AE27</f>
        <v>0</v>
      </c>
      <c r="J28" s="103">
        <f>'[1]февраль 20'!AA27</f>
        <v>10.975</v>
      </c>
      <c r="K28" s="106"/>
      <c r="L28" s="328">
        <f>'[1]февраль 20'!AI27</f>
        <v>152.066</v>
      </c>
      <c r="M28" s="103">
        <f t="shared" si="5"/>
        <v>1.0037674398133885</v>
      </c>
      <c r="N28" s="103">
        <f>'[1]июль 20'!AM27</f>
        <v>6.6520000000000001</v>
      </c>
      <c r="O28" s="103">
        <f>'[1]февраль 20'!W27</f>
        <v>0</v>
      </c>
      <c r="P28" s="103">
        <f>'[1]февраль 20'!S27</f>
        <v>314.47500000000002</v>
      </c>
      <c r="Q28" s="108">
        <f t="shared" si="6"/>
        <v>4.3485173702202058</v>
      </c>
      <c r="R28" s="109">
        <f t="shared" si="7"/>
        <v>300.8</v>
      </c>
      <c r="S28" s="106"/>
      <c r="T28" s="109">
        <f t="shared" si="8"/>
        <v>300.8</v>
      </c>
      <c r="U28" s="110">
        <f t="shared" si="9"/>
        <v>1.3238853923682936</v>
      </c>
      <c r="V28" s="129">
        <v>227.21</v>
      </c>
      <c r="W28" s="136">
        <v>227.21</v>
      </c>
      <c r="X28" s="131">
        <v>0.8</v>
      </c>
      <c r="Y28" s="133">
        <v>606</v>
      </c>
      <c r="Z28" s="133">
        <v>1232</v>
      </c>
      <c r="AA28" s="144" t="s">
        <v>200</v>
      </c>
      <c r="AB28" s="131">
        <v>76.459999999999994</v>
      </c>
      <c r="AC28" s="133">
        <v>160</v>
      </c>
      <c r="AD28" s="134">
        <v>5</v>
      </c>
      <c r="AE28" s="131">
        <v>5.75</v>
      </c>
      <c r="AF28" s="115">
        <f t="shared" si="10"/>
        <v>25.306984727784869</v>
      </c>
      <c r="AG28" s="131">
        <v>124.1</v>
      </c>
      <c r="AH28" s="115">
        <f t="shared" si="11"/>
        <v>546.19074864662639</v>
      </c>
      <c r="AI28" s="139">
        <v>25.93</v>
      </c>
      <c r="AJ28" s="131"/>
      <c r="AK28" s="136">
        <v>9.7799999999999994</v>
      </c>
      <c r="AL28" s="136">
        <v>54.96</v>
      </c>
      <c r="AM28" s="110">
        <f t="shared" si="12"/>
        <v>0.18997580366401659</v>
      </c>
      <c r="AN28" s="137" t="s">
        <v>201</v>
      </c>
      <c r="AO28" s="150">
        <v>11.03</v>
      </c>
      <c r="AP28" s="138">
        <v>7.02</v>
      </c>
      <c r="AQ28" s="134"/>
      <c r="AR28" s="131">
        <v>7.32</v>
      </c>
      <c r="AS28" s="139">
        <v>289.3</v>
      </c>
      <c r="AT28" s="131">
        <v>2.65</v>
      </c>
      <c r="AU28" s="148"/>
      <c r="AV28" s="131"/>
      <c r="AW28" s="109">
        <f t="shared" si="30"/>
        <v>0</v>
      </c>
      <c r="AX28" s="109">
        <f t="shared" si="13"/>
        <v>227.21</v>
      </c>
      <c r="AY28" s="115">
        <f t="shared" si="25"/>
        <v>225.2103454288756</v>
      </c>
      <c r="AZ28" s="140">
        <f t="shared" si="14"/>
        <v>7.0369943661971828</v>
      </c>
      <c r="BA28" s="141">
        <f t="shared" si="31"/>
        <v>9.0884</v>
      </c>
      <c r="BB28" s="128">
        <f t="shared" si="16"/>
        <v>0.88075141318338313</v>
      </c>
      <c r="BC28" s="141">
        <f t="shared" si="17"/>
        <v>16.125394366197185</v>
      </c>
      <c r="BD28" s="142">
        <v>0.871</v>
      </c>
      <c r="BE28" s="16">
        <f t="shared" si="26"/>
        <v>4985.49</v>
      </c>
      <c r="BF28" s="16">
        <f t="shared" si="18"/>
        <v>221.10344827586206</v>
      </c>
      <c r="BG28" s="16">
        <f t="shared" si="27"/>
        <v>4864.2758620689647</v>
      </c>
      <c r="BH28" s="17">
        <f t="shared" si="19"/>
        <v>1</v>
      </c>
      <c r="BI28" s="16">
        <f t="shared" si="28"/>
        <v>4864.2758620689647</v>
      </c>
      <c r="BJ28" s="254">
        <v>251.4</v>
      </c>
      <c r="BK28" s="197"/>
      <c r="BL28" s="197">
        <v>228.066</v>
      </c>
      <c r="BM28" s="197"/>
      <c r="BN28" s="230"/>
      <c r="BO28" s="230"/>
      <c r="BP28" s="258"/>
      <c r="BQ28" s="199"/>
      <c r="BR28" s="200">
        <v>2.36</v>
      </c>
      <c r="BS28" s="200"/>
      <c r="BT28" s="200"/>
      <c r="BU28" s="200"/>
      <c r="BV28" s="208"/>
      <c r="BW28" s="208"/>
      <c r="BX28" s="201"/>
      <c r="BY28" s="202">
        <v>37.630000000000003</v>
      </c>
      <c r="BZ28" s="200"/>
      <c r="CA28" s="200">
        <v>46.09</v>
      </c>
      <c r="CB28" s="200"/>
      <c r="CC28" s="208"/>
      <c r="CD28" s="208"/>
      <c r="CE28" s="209"/>
      <c r="CF28" s="199"/>
      <c r="CG28" s="197">
        <v>152</v>
      </c>
      <c r="CH28" s="197"/>
      <c r="CI28" s="197">
        <v>148.80000000000001</v>
      </c>
      <c r="CJ28" s="198"/>
      <c r="CK28" s="202"/>
      <c r="CL28" s="208"/>
      <c r="CM28" s="208"/>
      <c r="CN28" s="201"/>
      <c r="CO28" s="284"/>
      <c r="CP28" s="286">
        <f t="shared" si="20"/>
        <v>245.46696000000003</v>
      </c>
      <c r="CQ28" s="29">
        <f t="shared" si="20"/>
        <v>0</v>
      </c>
      <c r="CR28" s="30">
        <f t="shared" si="20"/>
        <v>228.066</v>
      </c>
      <c r="CS28" s="29">
        <f t="shared" si="20"/>
        <v>0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152</v>
      </c>
      <c r="CX28" s="24">
        <f t="shared" si="21"/>
        <v>0</v>
      </c>
      <c r="CY28" s="277">
        <f t="shared" si="21"/>
        <v>148.80000000000001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9"/>
        <v>0</v>
      </c>
      <c r="DH28" s="247"/>
    </row>
    <row r="29" spans="1:112" ht="16.5" customHeight="1">
      <c r="A29" s="127">
        <v>23</v>
      </c>
      <c r="B29" s="103">
        <f t="shared" si="24"/>
        <v>475.43200000000002</v>
      </c>
      <c r="C29" s="104">
        <f t="shared" si="0"/>
        <v>0.72623634925709668</v>
      </c>
      <c r="D29" s="143">
        <f t="shared" si="1"/>
        <v>471.97924000000006</v>
      </c>
      <c r="E29" s="104">
        <f t="shared" si="2"/>
        <v>41.278256070268718</v>
      </c>
      <c r="F29" s="128">
        <f t="shared" si="3"/>
        <v>2.0146806676057545</v>
      </c>
      <c r="G29" s="106"/>
      <c r="H29" s="107">
        <f t="shared" si="4"/>
        <v>1.0455766423357664</v>
      </c>
      <c r="I29" s="103">
        <f>'[1]сентябрь 20'!AE28</f>
        <v>0</v>
      </c>
      <c r="J29" s="103">
        <f>'[1]февраль 20'!AA28</f>
        <v>10.882999999999999</v>
      </c>
      <c r="K29" s="106"/>
      <c r="L29" s="328">
        <f>'[1]февраль 20'!AI28</f>
        <v>151.03200000000001</v>
      </c>
      <c r="M29" s="103">
        <f t="shared" si="5"/>
        <v>0.96910402526998773</v>
      </c>
      <c r="N29" s="103">
        <f>'[1]июль 20'!AM28</f>
        <v>7.056</v>
      </c>
      <c r="O29" s="103">
        <f>'[1]февраль 20'!W28</f>
        <v>0</v>
      </c>
      <c r="P29" s="103">
        <f>'[1]февраль 20'!S28</f>
        <v>315.35599999999999</v>
      </c>
      <c r="Q29" s="108">
        <f t="shared" si="6"/>
        <v>5.1643222263092925</v>
      </c>
      <c r="R29" s="109">
        <f t="shared" si="7"/>
        <v>299.07000000000005</v>
      </c>
      <c r="S29" s="106">
        <v>20.34</v>
      </c>
      <c r="T29" s="109">
        <f t="shared" si="8"/>
        <v>299.07000000000005</v>
      </c>
      <c r="U29" s="110">
        <f t="shared" si="9"/>
        <v>1.2766039185555131</v>
      </c>
      <c r="V29" s="129">
        <v>234.27</v>
      </c>
      <c r="W29" s="136">
        <v>188.45</v>
      </c>
      <c r="X29" s="131">
        <v>0.77</v>
      </c>
      <c r="Y29" s="133">
        <v>567</v>
      </c>
      <c r="Z29" s="133">
        <v>1237</v>
      </c>
      <c r="AA29" s="144" t="s">
        <v>192</v>
      </c>
      <c r="AB29" s="131">
        <v>76.61</v>
      </c>
      <c r="AC29" s="133">
        <v>159</v>
      </c>
      <c r="AD29" s="134">
        <v>5</v>
      </c>
      <c r="AE29" s="131">
        <v>4.5</v>
      </c>
      <c r="AF29" s="115">
        <f t="shared" si="10"/>
        <v>19.208605455243951</v>
      </c>
      <c r="AG29" s="131">
        <v>125.95</v>
      </c>
      <c r="AH29" s="115">
        <f t="shared" si="11"/>
        <v>537.62752379732797</v>
      </c>
      <c r="AI29" s="139">
        <v>23.81</v>
      </c>
      <c r="AJ29" s="131"/>
      <c r="AK29" s="136">
        <v>8.74</v>
      </c>
      <c r="AL29" s="136">
        <v>49.2</v>
      </c>
      <c r="AM29" s="110">
        <f t="shared" si="12"/>
        <v>0.16983085950983778</v>
      </c>
      <c r="AN29" s="137" t="s">
        <v>202</v>
      </c>
      <c r="AO29" s="150">
        <v>11.14</v>
      </c>
      <c r="AP29" s="138">
        <v>7.01</v>
      </c>
      <c r="AQ29" s="134"/>
      <c r="AR29" s="131">
        <v>7.47</v>
      </c>
      <c r="AS29" s="139">
        <v>289.7</v>
      </c>
      <c r="AT29" s="131">
        <v>2.5099999999999998</v>
      </c>
      <c r="AU29" s="148"/>
      <c r="AV29" s="131"/>
      <c r="AW29" s="109">
        <f t="shared" si="30"/>
        <v>0</v>
      </c>
      <c r="AX29" s="109">
        <f t="shared" si="13"/>
        <v>234.26999999999998</v>
      </c>
      <c r="AY29" s="115">
        <f t="shared" si="25"/>
        <v>222.01024641224808</v>
      </c>
      <c r="AZ29" s="140">
        <f t="shared" si="14"/>
        <v>7.2882475352112674</v>
      </c>
      <c r="BA29" s="141">
        <f t="shared" si="31"/>
        <v>9.3707999999999991</v>
      </c>
      <c r="BB29" s="128">
        <f t="shared" si="16"/>
        <v>0.92120842756164334</v>
      </c>
      <c r="BC29" s="141">
        <f t="shared" si="17"/>
        <v>16.659047535211265</v>
      </c>
      <c r="BD29" s="142">
        <v>0.873</v>
      </c>
      <c r="BE29" s="16">
        <f t="shared" si="26"/>
        <v>5219.76</v>
      </c>
      <c r="BF29" s="16">
        <f t="shared" si="18"/>
        <v>221.10344827586206</v>
      </c>
      <c r="BG29" s="16">
        <f t="shared" si="27"/>
        <v>5085.379310344827</v>
      </c>
      <c r="BH29" s="17">
        <f t="shared" si="19"/>
        <v>1</v>
      </c>
      <c r="BI29" s="16">
        <f t="shared" si="28"/>
        <v>5085.379310344827</v>
      </c>
      <c r="BJ29" s="254">
        <v>248.4</v>
      </c>
      <c r="BK29" s="197"/>
      <c r="BL29" s="197">
        <v>227.03200000000001</v>
      </c>
      <c r="BM29" s="197"/>
      <c r="BN29" s="230"/>
      <c r="BO29" s="230"/>
      <c r="BP29" s="258"/>
      <c r="BQ29" s="199"/>
      <c r="BR29" s="200">
        <v>1.39</v>
      </c>
      <c r="BS29" s="200"/>
      <c r="BT29" s="200"/>
      <c r="BU29" s="200"/>
      <c r="BV29" s="208"/>
      <c r="BW29" s="208"/>
      <c r="BX29" s="201"/>
      <c r="BY29" s="202">
        <v>37.31</v>
      </c>
      <c r="BZ29" s="200"/>
      <c r="CA29" s="200">
        <v>45.62</v>
      </c>
      <c r="CB29" s="200"/>
      <c r="CC29" s="208"/>
      <c r="CD29" s="208"/>
      <c r="CE29" s="201"/>
      <c r="CF29" s="199"/>
      <c r="CG29" s="197">
        <v>151.05000000000001</v>
      </c>
      <c r="CH29" s="197"/>
      <c r="CI29" s="230">
        <v>148.02000000000001</v>
      </c>
      <c r="CJ29" s="198"/>
      <c r="CK29" s="202"/>
      <c r="CL29" s="208"/>
      <c r="CM29" s="208"/>
      <c r="CN29" s="201"/>
      <c r="CO29" s="284"/>
      <c r="CP29" s="286">
        <f t="shared" si="20"/>
        <v>244.94723999999999</v>
      </c>
      <c r="CQ29" s="24">
        <f t="shared" si="20"/>
        <v>0</v>
      </c>
      <c r="CR29" s="25">
        <f t="shared" si="20"/>
        <v>227.03200000000001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151.05000000000001</v>
      </c>
      <c r="CX29" s="29">
        <f t="shared" si="21"/>
        <v>0</v>
      </c>
      <c r="CY29" s="277">
        <f t="shared" si="21"/>
        <v>148.02000000000001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9"/>
        <v>0</v>
      </c>
      <c r="DH29" s="247"/>
    </row>
    <row r="30" spans="1:112" ht="16.5" customHeight="1">
      <c r="A30" s="127">
        <v>24</v>
      </c>
      <c r="B30" s="103">
        <f t="shared" si="24"/>
        <v>474.05399999999997</v>
      </c>
      <c r="C30" s="104">
        <f t="shared" si="0"/>
        <v>1.2021309808587208</v>
      </c>
      <c r="D30" s="143">
        <f t="shared" si="1"/>
        <v>468.35524999999996</v>
      </c>
      <c r="E30" s="104">
        <f t="shared" si="2"/>
        <v>41.735099292485664</v>
      </c>
      <c r="F30" s="128">
        <f t="shared" si="3"/>
        <v>1.9108741330069361</v>
      </c>
      <c r="G30" s="106"/>
      <c r="H30" s="107">
        <f t="shared" si="4"/>
        <v>0.96614137086903318</v>
      </c>
      <c r="I30" s="103">
        <f>'[1]сентябрь 20'!AE29</f>
        <v>0</v>
      </c>
      <c r="J30" s="103">
        <f>'[1]февраль 20'!AA29</f>
        <v>11.236000000000001</v>
      </c>
      <c r="K30" s="106"/>
      <c r="L30" s="328">
        <f>'[1]февраль 20'!AI29</f>
        <v>155.554</v>
      </c>
      <c r="M30" s="103">
        <f t="shared" si="5"/>
        <v>0.94473276213790303</v>
      </c>
      <c r="N30" s="103">
        <f>'[1]июль 20'!AM29</f>
        <v>6.6029999999999998</v>
      </c>
      <c r="O30" s="103">
        <f>'[1]февраль 20'!W29</f>
        <v>0</v>
      </c>
      <c r="P30" s="103">
        <f>'[1]февраль 20'!S29</f>
        <v>317.11500000000001</v>
      </c>
      <c r="Q30" s="108">
        <f t="shared" si="6"/>
        <v>5.5673809185941892</v>
      </c>
      <c r="R30" s="109">
        <f t="shared" si="7"/>
        <v>299.46000000000009</v>
      </c>
      <c r="S30" s="163">
        <v>25.85</v>
      </c>
      <c r="T30" s="109">
        <f t="shared" si="8"/>
        <v>299.46000000000004</v>
      </c>
      <c r="U30" s="110">
        <f t="shared" si="9"/>
        <v>1.2217870257037948</v>
      </c>
      <c r="V30" s="154">
        <v>245.1</v>
      </c>
      <c r="W30" s="157">
        <v>201.22</v>
      </c>
      <c r="X30" s="149">
        <v>0.78</v>
      </c>
      <c r="Y30" s="147">
        <v>573</v>
      </c>
      <c r="Z30" s="147">
        <v>1249</v>
      </c>
      <c r="AA30" s="144" t="s">
        <v>203</v>
      </c>
      <c r="AB30" s="149">
        <v>76.89</v>
      </c>
      <c r="AC30" s="147">
        <v>159</v>
      </c>
      <c r="AD30" s="155">
        <v>5</v>
      </c>
      <c r="AE30" s="149">
        <v>3.85</v>
      </c>
      <c r="AF30" s="115">
        <f t="shared" si="10"/>
        <v>15.707874337005306</v>
      </c>
      <c r="AG30" s="131">
        <v>123.9</v>
      </c>
      <c r="AH30" s="115">
        <f t="shared" si="11"/>
        <v>505.50795593635257</v>
      </c>
      <c r="AI30" s="139">
        <v>20.54</v>
      </c>
      <c r="AJ30" s="131"/>
      <c r="AK30" s="157">
        <v>10.119999999999999</v>
      </c>
      <c r="AL30" s="157">
        <v>53.74</v>
      </c>
      <c r="AM30" s="110">
        <f t="shared" si="12"/>
        <v>0.17507737416517349</v>
      </c>
      <c r="AN30" s="158" t="s">
        <v>204</v>
      </c>
      <c r="AO30" s="404">
        <v>11.68</v>
      </c>
      <c r="AP30" s="159">
        <v>7.09</v>
      </c>
      <c r="AQ30" s="155"/>
      <c r="AR30" s="149">
        <v>6.9</v>
      </c>
      <c r="AS30" s="156">
        <v>306.95</v>
      </c>
      <c r="AT30" s="131">
        <v>2.0099999999999998</v>
      </c>
      <c r="AU30" s="164"/>
      <c r="AV30" s="149"/>
      <c r="AW30" s="109">
        <f t="shared" si="30"/>
        <v>0</v>
      </c>
      <c r="AX30" s="109">
        <f t="shared" si="13"/>
        <v>245.09999999999997</v>
      </c>
      <c r="AY30" s="115">
        <f t="shared" si="25"/>
        <v>221.93266418673119</v>
      </c>
      <c r="AZ30" s="140">
        <f t="shared" si="14"/>
        <v>6.6225422535211269</v>
      </c>
      <c r="BA30" s="141">
        <f t="shared" si="31"/>
        <v>9.8039999999999985</v>
      </c>
      <c r="BB30" s="128">
        <f t="shared" si="16"/>
        <v>0.9641316242658472</v>
      </c>
      <c r="BC30" s="141">
        <f t="shared" si="17"/>
        <v>16.426542253521127</v>
      </c>
      <c r="BD30" s="162">
        <v>0.877</v>
      </c>
      <c r="BE30" s="16">
        <f t="shared" si="26"/>
        <v>5464.8600000000006</v>
      </c>
      <c r="BF30" s="16">
        <f t="shared" si="18"/>
        <v>221.10344827586206</v>
      </c>
      <c r="BG30" s="16">
        <f t="shared" si="27"/>
        <v>5306.4827586206893</v>
      </c>
      <c r="BH30" s="17">
        <f t="shared" si="19"/>
        <v>1</v>
      </c>
      <c r="BI30" s="16">
        <f t="shared" si="28"/>
        <v>5306.4827586206893</v>
      </c>
      <c r="BJ30" s="255">
        <v>242.5</v>
      </c>
      <c r="BK30" s="210"/>
      <c r="BL30" s="210">
        <v>231.554</v>
      </c>
      <c r="BM30" s="210"/>
      <c r="BN30" s="233"/>
      <c r="BO30" s="233"/>
      <c r="BP30" s="260"/>
      <c r="BQ30" s="212"/>
      <c r="BR30" s="213">
        <v>2.35</v>
      </c>
      <c r="BS30" s="213"/>
      <c r="BT30" s="213"/>
      <c r="BU30" s="213"/>
      <c r="BV30" s="235"/>
      <c r="BW30" s="235"/>
      <c r="BX30" s="214"/>
      <c r="BY30" s="215">
        <v>37.72</v>
      </c>
      <c r="BZ30" s="213"/>
      <c r="CA30" s="216">
        <v>45.94</v>
      </c>
      <c r="CB30" s="213"/>
      <c r="CC30" s="235"/>
      <c r="CD30" s="235"/>
      <c r="CE30" s="214"/>
      <c r="CF30" s="212"/>
      <c r="CG30" s="210">
        <v>151.05000000000001</v>
      </c>
      <c r="CH30" s="210"/>
      <c r="CI30" s="233">
        <v>148.41</v>
      </c>
      <c r="CJ30" s="198"/>
      <c r="CK30" s="202"/>
      <c r="CL30" s="208"/>
      <c r="CM30" s="208"/>
      <c r="CN30" s="201"/>
      <c r="CO30" s="284"/>
      <c r="CP30" s="286">
        <f t="shared" si="20"/>
        <v>236.80125000000001</v>
      </c>
      <c r="CQ30" s="24">
        <f t="shared" si="20"/>
        <v>0</v>
      </c>
      <c r="CR30" s="25">
        <f t="shared" si="20"/>
        <v>231.554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151.05000000000001</v>
      </c>
      <c r="CX30" s="26">
        <f t="shared" si="21"/>
        <v>0</v>
      </c>
      <c r="CY30" s="277">
        <f t="shared" si="21"/>
        <v>148.41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9"/>
        <v>0</v>
      </c>
      <c r="DH30" s="247"/>
    </row>
    <row r="31" spans="1:112" ht="16.5" customHeight="1">
      <c r="A31" s="127">
        <v>25</v>
      </c>
      <c r="B31" s="103">
        <f t="shared" si="24"/>
        <v>462.57600000000002</v>
      </c>
      <c r="C31" s="104">
        <f t="shared" si="0"/>
        <v>1.6372055618968557</v>
      </c>
      <c r="D31" s="143">
        <f t="shared" si="1"/>
        <v>455.00268000000005</v>
      </c>
      <c r="E31" s="104">
        <f t="shared" si="2"/>
        <v>41.508882432292197</v>
      </c>
      <c r="F31" s="128">
        <f t="shared" si="3"/>
        <v>2.0358061744966447</v>
      </c>
      <c r="G31" s="106"/>
      <c r="H31" s="107">
        <f t="shared" si="4"/>
        <v>1.0023565100671141</v>
      </c>
      <c r="I31" s="103">
        <f>'[1]сентябрь 20'!AE30</f>
        <v>0</v>
      </c>
      <c r="J31" s="103">
        <f>'[1]февраль 20'!AA30</f>
        <v>11.634</v>
      </c>
      <c r="K31" s="106"/>
      <c r="L31" s="328">
        <f>'[1]февраль 20'!AI30</f>
        <v>154.976</v>
      </c>
      <c r="M31" s="103">
        <f t="shared" si="5"/>
        <v>1.0334496644295303</v>
      </c>
      <c r="N31" s="103">
        <f>'[1]июль 20'!AM30</f>
        <v>7.069</v>
      </c>
      <c r="O31" s="103">
        <f>'[1]февраль 20'!W30</f>
        <v>0</v>
      </c>
      <c r="P31" s="103">
        <f>'[1]февраль 20'!S30</f>
        <v>307.11</v>
      </c>
      <c r="Q31" s="108">
        <f t="shared" si="6"/>
        <v>5.2066034971183006</v>
      </c>
      <c r="R31" s="109">
        <f t="shared" si="7"/>
        <v>291.12000000000006</v>
      </c>
      <c r="S31" s="106">
        <v>25.92</v>
      </c>
      <c r="T31" s="109">
        <f t="shared" si="8"/>
        <v>291.12</v>
      </c>
      <c r="U31" s="110">
        <f t="shared" si="9"/>
        <v>1.3025503355704702</v>
      </c>
      <c r="V31" s="136">
        <v>223.5</v>
      </c>
      <c r="W31" s="136">
        <v>182.74</v>
      </c>
      <c r="X31" s="131">
        <v>1.02</v>
      </c>
      <c r="Y31" s="133">
        <v>575</v>
      </c>
      <c r="Z31" s="133">
        <v>1240</v>
      </c>
      <c r="AA31" s="144" t="s">
        <v>205</v>
      </c>
      <c r="AB31" s="131">
        <v>76.34</v>
      </c>
      <c r="AC31" s="133">
        <v>155</v>
      </c>
      <c r="AD31" s="134">
        <v>5</v>
      </c>
      <c r="AE31" s="131">
        <v>5.25</v>
      </c>
      <c r="AF31" s="115">
        <f t="shared" si="10"/>
        <v>23.489932885906043</v>
      </c>
      <c r="AG31" s="131">
        <v>123.75</v>
      </c>
      <c r="AH31" s="115">
        <f t="shared" si="11"/>
        <v>553.69127516778531</v>
      </c>
      <c r="AI31" s="139">
        <v>25.16</v>
      </c>
      <c r="AJ31" s="131"/>
      <c r="AK31" s="136">
        <v>10.8</v>
      </c>
      <c r="AL31" s="136">
        <v>52.17</v>
      </c>
      <c r="AM31" s="110">
        <f t="shared" si="12"/>
        <v>0.18366484773807429</v>
      </c>
      <c r="AN31" s="137" t="s">
        <v>206</v>
      </c>
      <c r="AO31" s="150">
        <v>10.81</v>
      </c>
      <c r="AP31" s="138">
        <v>7.02</v>
      </c>
      <c r="AQ31" s="134"/>
      <c r="AR31" s="131">
        <v>8.42</v>
      </c>
      <c r="AS31" s="139">
        <v>284.05</v>
      </c>
      <c r="AT31" s="131">
        <v>2.42</v>
      </c>
      <c r="AU31" s="148"/>
      <c r="AV31" s="131"/>
      <c r="AW31" s="109">
        <f t="shared" si="30"/>
        <v>0</v>
      </c>
      <c r="AX31" s="109">
        <f t="shared" si="13"/>
        <v>223.49999999999997</v>
      </c>
      <c r="AY31" s="115">
        <f t="shared" si="25"/>
        <v>215.98176383527166</v>
      </c>
      <c r="AZ31" s="140">
        <f t="shared" si="14"/>
        <v>8.0716373239436603</v>
      </c>
      <c r="BA31" s="141">
        <f t="shared" si="31"/>
        <v>8.94</v>
      </c>
      <c r="BB31" s="128">
        <f t="shared" si="16"/>
        <v>0.90338877012234098</v>
      </c>
      <c r="BC31" s="141">
        <f t="shared" si="17"/>
        <v>17.01163732394366</v>
      </c>
      <c r="BD31" s="142">
        <v>0.878</v>
      </c>
      <c r="BE31" s="16">
        <f t="shared" si="26"/>
        <v>5688.3600000000006</v>
      </c>
      <c r="BF31" s="16">
        <f t="shared" si="18"/>
        <v>221.10344827586206</v>
      </c>
      <c r="BG31" s="16">
        <f t="shared" si="27"/>
        <v>5527.5862068965516</v>
      </c>
      <c r="BH31" s="17">
        <f t="shared" si="19"/>
        <v>1</v>
      </c>
      <c r="BI31" s="16">
        <f t="shared" si="28"/>
        <v>5527.5862068965516</v>
      </c>
      <c r="BJ31" s="254">
        <v>231.6</v>
      </c>
      <c r="BK31" s="197"/>
      <c r="BL31" s="197">
        <v>230.976</v>
      </c>
      <c r="BM31" s="197"/>
      <c r="BN31" s="230"/>
      <c r="BO31" s="230"/>
      <c r="BP31" s="259"/>
      <c r="BQ31" s="199"/>
      <c r="BR31" s="200">
        <v>3.27</v>
      </c>
      <c r="BS31" s="200"/>
      <c r="BT31" s="200"/>
      <c r="BU31" s="200"/>
      <c r="BV31" s="208"/>
      <c r="BW31" s="208"/>
      <c r="BX31" s="201"/>
      <c r="BY31" s="202">
        <v>36.979999999999997</v>
      </c>
      <c r="BZ31" s="200"/>
      <c r="CA31" s="200">
        <v>46.05</v>
      </c>
      <c r="CB31" s="200"/>
      <c r="CC31" s="208"/>
      <c r="CD31" s="208"/>
      <c r="CE31" s="209"/>
      <c r="CF31" s="199"/>
      <c r="CG31" s="197">
        <v>147.25</v>
      </c>
      <c r="CH31" s="197"/>
      <c r="CI31" s="230">
        <v>143.87</v>
      </c>
      <c r="CJ31" s="198"/>
      <c r="CK31" s="202"/>
      <c r="CL31" s="208"/>
      <c r="CM31" s="208"/>
      <c r="CN31" s="201"/>
      <c r="CO31" s="284"/>
      <c r="CP31" s="286">
        <f t="shared" si="20"/>
        <v>224.02668</v>
      </c>
      <c r="CQ31" s="24">
        <f t="shared" si="20"/>
        <v>0</v>
      </c>
      <c r="CR31" s="25">
        <f t="shared" si="20"/>
        <v>230.976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147.25</v>
      </c>
      <c r="CX31" s="24">
        <f t="shared" si="21"/>
        <v>0</v>
      </c>
      <c r="CY31" s="277">
        <f t="shared" si="21"/>
        <v>143.87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9"/>
        <v>0</v>
      </c>
      <c r="DH31" s="247"/>
    </row>
    <row r="32" spans="1:112" ht="16.5" customHeight="1">
      <c r="A32" s="127">
        <v>26</v>
      </c>
      <c r="B32" s="103">
        <f t="shared" si="24"/>
        <v>445.71499999999997</v>
      </c>
      <c r="C32" s="104">
        <f t="shared" si="0"/>
        <v>0.72293281581279512</v>
      </c>
      <c r="D32" s="143">
        <f t="shared" si="1"/>
        <v>442.49277999999998</v>
      </c>
      <c r="E32" s="104">
        <f t="shared" si="2"/>
        <v>41.831725429927189</v>
      </c>
      <c r="F32" s="128">
        <f t="shared" si="3"/>
        <v>1.8175173745173743</v>
      </c>
      <c r="G32" s="106"/>
      <c r="H32" s="107">
        <f t="shared" si="4"/>
        <v>0.89327930666228539</v>
      </c>
      <c r="I32" s="103">
        <f>'[1]сентябрь 20'!AE31</f>
        <v>0</v>
      </c>
      <c r="J32" s="103">
        <f>'[1]февраль 20'!AA31</f>
        <v>10.510999999999999</v>
      </c>
      <c r="K32" s="106"/>
      <c r="L32" s="328">
        <f>'[1]февраль 20'!AI31</f>
        <v>149.01499999999999</v>
      </c>
      <c r="M32" s="103">
        <f t="shared" si="5"/>
        <v>0.924238067855089</v>
      </c>
      <c r="N32" s="103">
        <f>'[1]июль 20'!AM31</f>
        <v>7.0679999999999996</v>
      </c>
      <c r="O32" s="103">
        <f>'[1]февраль 20'!W31</f>
        <v>0</v>
      </c>
      <c r="P32" s="103">
        <f>'[1]февраль 20'!S31</f>
        <v>286.73500000000001</v>
      </c>
      <c r="Q32" s="108">
        <f t="shared" si="6"/>
        <v>4.036828430432271</v>
      </c>
      <c r="R32" s="109">
        <f t="shared" si="7"/>
        <v>275.16000000000003</v>
      </c>
      <c r="S32" s="106">
        <v>15.77</v>
      </c>
      <c r="T32" s="109">
        <f t="shared" si="8"/>
        <v>275.16000000000003</v>
      </c>
      <c r="U32" s="110">
        <f t="shared" si="9"/>
        <v>1.1302061940359813</v>
      </c>
      <c r="V32" s="136">
        <v>243.46</v>
      </c>
      <c r="W32" s="136">
        <v>97.24</v>
      </c>
      <c r="X32" s="131">
        <v>1.25</v>
      </c>
      <c r="Y32" s="133">
        <v>605</v>
      </c>
      <c r="Z32" s="133">
        <v>1238</v>
      </c>
      <c r="AA32" s="144" t="s">
        <v>181</v>
      </c>
      <c r="AB32" s="131">
        <v>75.989999999999995</v>
      </c>
      <c r="AC32" s="133">
        <v>149</v>
      </c>
      <c r="AD32" s="134">
        <v>5</v>
      </c>
      <c r="AE32" s="131">
        <v>7.7</v>
      </c>
      <c r="AF32" s="115">
        <f t="shared" si="10"/>
        <v>31.627372052903965</v>
      </c>
      <c r="AG32" s="131">
        <v>130.44999999999999</v>
      </c>
      <c r="AH32" s="115">
        <f t="shared" si="11"/>
        <v>535.81697198718473</v>
      </c>
      <c r="AI32" s="139">
        <v>29.09</v>
      </c>
      <c r="AJ32" s="131"/>
      <c r="AK32" s="136">
        <v>9.11</v>
      </c>
      <c r="AL32" s="136">
        <v>58.16</v>
      </c>
      <c r="AM32" s="110">
        <f t="shared" si="12"/>
        <v>0.18904599382415083</v>
      </c>
      <c r="AN32" s="137" t="s">
        <v>206</v>
      </c>
      <c r="AO32" s="150">
        <v>11.19</v>
      </c>
      <c r="AP32" s="138">
        <v>6.85</v>
      </c>
      <c r="AQ32" s="134"/>
      <c r="AR32" s="131">
        <v>7.46</v>
      </c>
      <c r="AS32" s="139">
        <v>307.64999999999998</v>
      </c>
      <c r="AT32" s="131">
        <v>3.08</v>
      </c>
      <c r="AU32" s="148"/>
      <c r="AV32" s="131"/>
      <c r="AW32" s="109">
        <f t="shared" si="30"/>
        <v>0</v>
      </c>
      <c r="AX32" s="109">
        <f t="shared" si="13"/>
        <v>243.46</v>
      </c>
      <c r="AY32" s="115">
        <f t="shared" si="25"/>
        <v>212.65214429555417</v>
      </c>
      <c r="AZ32" s="140">
        <f t="shared" si="14"/>
        <v>7.5385401408450701</v>
      </c>
      <c r="BA32" s="141">
        <f t="shared" si="31"/>
        <v>9.7384000000000004</v>
      </c>
      <c r="BB32" s="128">
        <f t="shared" si="16"/>
        <v>0.99947536717335383</v>
      </c>
      <c r="BC32" s="141">
        <f t="shared" si="17"/>
        <v>17.27694014084507</v>
      </c>
      <c r="BD32" s="142">
        <v>0.88200000000000001</v>
      </c>
      <c r="BE32" s="16">
        <f t="shared" si="26"/>
        <v>5931.8200000000006</v>
      </c>
      <c r="BF32" s="16">
        <f t="shared" si="18"/>
        <v>221.10344827586206</v>
      </c>
      <c r="BG32" s="16">
        <f t="shared" si="27"/>
        <v>5748.6896551724139</v>
      </c>
      <c r="BH32" s="17">
        <f t="shared" si="19"/>
        <v>1</v>
      </c>
      <c r="BI32" s="16">
        <f t="shared" si="28"/>
        <v>5748.6896551724139</v>
      </c>
      <c r="BJ32" s="254">
        <v>220.7</v>
      </c>
      <c r="BK32" s="197"/>
      <c r="BL32" s="197">
        <v>225.01499999999999</v>
      </c>
      <c r="BM32" s="197"/>
      <c r="BN32" s="230"/>
      <c r="BO32" s="230"/>
      <c r="BP32" s="258"/>
      <c r="BQ32" s="199"/>
      <c r="BR32" s="200">
        <v>1.46</v>
      </c>
      <c r="BS32" s="200"/>
      <c r="BT32" s="200"/>
      <c r="BU32" s="200"/>
      <c r="BV32" s="208"/>
      <c r="BW32" s="208"/>
      <c r="BX32" s="201"/>
      <c r="BY32" s="202">
        <v>37.479999999999997</v>
      </c>
      <c r="BZ32" s="200"/>
      <c r="CA32" s="200">
        <v>46.1</v>
      </c>
      <c r="CB32" s="200"/>
      <c r="CC32" s="208"/>
      <c r="CD32" s="208"/>
      <c r="CE32" s="209"/>
      <c r="CF32" s="199"/>
      <c r="CG32" s="197">
        <v>141.55000000000001</v>
      </c>
      <c r="CH32" s="197"/>
      <c r="CI32" s="230">
        <v>133.61000000000001</v>
      </c>
      <c r="CJ32" s="198"/>
      <c r="CK32" s="202"/>
      <c r="CL32" s="208"/>
      <c r="CM32" s="208"/>
      <c r="CN32" s="201"/>
      <c r="CO32" s="284"/>
      <c r="CP32" s="286">
        <f t="shared" si="20"/>
        <v>217.47778</v>
      </c>
      <c r="CQ32" s="24">
        <f t="shared" si="20"/>
        <v>0</v>
      </c>
      <c r="CR32" s="25">
        <f t="shared" si="20"/>
        <v>225.01499999999999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141.55000000000001</v>
      </c>
      <c r="CX32" s="24">
        <f t="shared" si="21"/>
        <v>0</v>
      </c>
      <c r="CY32" s="277">
        <f t="shared" si="21"/>
        <v>133.61000000000001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9"/>
        <v>0</v>
      </c>
      <c r="DH32" s="247"/>
    </row>
    <row r="33" spans="1:112" ht="16.5" customHeight="1">
      <c r="A33" s="127">
        <v>27</v>
      </c>
      <c r="B33" s="103">
        <f t="shared" si="24"/>
        <v>477.79300000000001</v>
      </c>
      <c r="C33" s="104">
        <f t="shared" si="0"/>
        <v>1.6093245401251171</v>
      </c>
      <c r="D33" s="143">
        <f t="shared" si="1"/>
        <v>470.10376000000002</v>
      </c>
      <c r="E33" s="104">
        <f t="shared" si="2"/>
        <v>41.895351731816916</v>
      </c>
      <c r="F33" s="128">
        <f t="shared" si="3"/>
        <v>1.9623633327767576</v>
      </c>
      <c r="G33" s="106"/>
      <c r="H33" s="107">
        <f t="shared" si="4"/>
        <v>0.97725313073968945</v>
      </c>
      <c r="I33" s="103">
        <f>'[1]сентябрь 20'!AE32</f>
        <v>0</v>
      </c>
      <c r="J33" s="103">
        <f>'[1]февраль 20'!AA32</f>
        <v>11.21</v>
      </c>
      <c r="K33" s="106"/>
      <c r="L33" s="328">
        <f>'[1]февраль 20'!AI32</f>
        <v>159.99299999999999</v>
      </c>
      <c r="M33" s="103">
        <f t="shared" si="5"/>
        <v>0.98511020203706789</v>
      </c>
      <c r="N33" s="103">
        <f>'[1]июль 20'!AM32</f>
        <v>6.9580000000000002</v>
      </c>
      <c r="O33" s="103">
        <f>'[1]февраль 20'!W32</f>
        <v>0</v>
      </c>
      <c r="P33" s="103">
        <f>'[1]февраль 20'!S32</f>
        <v>313.99200000000002</v>
      </c>
      <c r="Q33" s="108">
        <f t="shared" si="6"/>
        <v>3.4943565441157842</v>
      </c>
      <c r="R33" s="109">
        <f t="shared" si="7"/>
        <v>303.02</v>
      </c>
      <c r="S33" s="131">
        <v>24.91</v>
      </c>
      <c r="T33" s="109">
        <f t="shared" si="8"/>
        <v>303.02</v>
      </c>
      <c r="U33" s="110">
        <f t="shared" si="9"/>
        <v>1.2649023209216896</v>
      </c>
      <c r="V33" s="136">
        <v>239.56</v>
      </c>
      <c r="W33" s="136">
        <v>239.56</v>
      </c>
      <c r="X33" s="131">
        <v>0.27</v>
      </c>
      <c r="Y33" s="133">
        <v>585</v>
      </c>
      <c r="Z33" s="133">
        <v>1248</v>
      </c>
      <c r="AA33" s="144" t="s">
        <v>207</v>
      </c>
      <c r="AB33" s="131">
        <v>76.040000000000006</v>
      </c>
      <c r="AC33" s="133">
        <v>162</v>
      </c>
      <c r="AD33" s="134">
        <v>5</v>
      </c>
      <c r="AE33" s="131">
        <v>5.8</v>
      </c>
      <c r="AF33" s="115">
        <f t="shared" si="10"/>
        <v>24.211053598263483</v>
      </c>
      <c r="AG33" s="131">
        <v>165.45</v>
      </c>
      <c r="AH33" s="115">
        <f t="shared" si="11"/>
        <v>690.64117548839533</v>
      </c>
      <c r="AI33" s="139">
        <v>27.21</v>
      </c>
      <c r="AJ33" s="131"/>
      <c r="AK33" s="136">
        <v>9.8699999999999992</v>
      </c>
      <c r="AL33" s="136">
        <v>53.35</v>
      </c>
      <c r="AM33" s="110">
        <f t="shared" si="12"/>
        <v>0.17756698285904476</v>
      </c>
      <c r="AN33" s="137" t="s">
        <v>208</v>
      </c>
      <c r="AO33" s="150">
        <v>9.56</v>
      </c>
      <c r="AP33" s="138">
        <v>6.4</v>
      </c>
      <c r="AQ33" s="134"/>
      <c r="AR33" s="131">
        <v>13.69</v>
      </c>
      <c r="AS33" s="139">
        <v>300.45</v>
      </c>
      <c r="AT33" s="131">
        <v>2.33</v>
      </c>
      <c r="AU33" s="116"/>
      <c r="AV33" s="131"/>
      <c r="AW33" s="109">
        <f t="shared" si="30"/>
        <v>0</v>
      </c>
      <c r="AX33" s="109">
        <f t="shared" si="13"/>
        <v>239.56</v>
      </c>
      <c r="AY33" s="115">
        <f t="shared" si="25"/>
        <v>226.11621191402074</v>
      </c>
      <c r="AZ33" s="140">
        <f t="shared" si="14"/>
        <v>17.545855985915491</v>
      </c>
      <c r="BA33" s="141">
        <f t="shared" si="31"/>
        <v>9.5823999999999998</v>
      </c>
      <c r="BB33" s="128">
        <f t="shared" si="16"/>
        <v>0.92490440304882948</v>
      </c>
      <c r="BC33" s="141">
        <f t="shared" si="17"/>
        <v>27.128255985915491</v>
      </c>
      <c r="BD33" s="142">
        <v>0.88400000000000001</v>
      </c>
      <c r="BE33" s="16">
        <f t="shared" si="26"/>
        <v>6171.380000000001</v>
      </c>
      <c r="BF33" s="16">
        <f t="shared" si="18"/>
        <v>221.10344827586206</v>
      </c>
      <c r="BG33" s="16">
        <f t="shared" si="27"/>
        <v>5969.7931034482763</v>
      </c>
      <c r="BH33" s="17">
        <f t="shared" si="19"/>
        <v>1</v>
      </c>
      <c r="BI33" s="16">
        <f t="shared" si="28"/>
        <v>5969.7931034482763</v>
      </c>
      <c r="BJ33" s="254">
        <v>241.8</v>
      </c>
      <c r="BK33" s="197"/>
      <c r="BL33" s="197">
        <v>235.99299999999999</v>
      </c>
      <c r="BM33" s="197"/>
      <c r="BN33" s="230"/>
      <c r="BO33" s="230"/>
      <c r="BP33" s="258"/>
      <c r="BQ33" s="199"/>
      <c r="BR33" s="200">
        <v>3.18</v>
      </c>
      <c r="BS33" s="200"/>
      <c r="BT33" s="200"/>
      <c r="BU33" s="200"/>
      <c r="BV33" s="208"/>
      <c r="BW33" s="208"/>
      <c r="BX33" s="201"/>
      <c r="BY33" s="202">
        <v>37.86</v>
      </c>
      <c r="BZ33" s="200"/>
      <c r="CA33" s="200">
        <v>46.03</v>
      </c>
      <c r="CB33" s="200"/>
      <c r="CC33" s="208"/>
      <c r="CD33" s="208"/>
      <c r="CE33" s="209"/>
      <c r="CF33" s="199"/>
      <c r="CG33" s="197">
        <v>152.53</v>
      </c>
      <c r="CH33" s="197"/>
      <c r="CI33" s="230">
        <v>150.49</v>
      </c>
      <c r="CJ33" s="198"/>
      <c r="CK33" s="202"/>
      <c r="CL33" s="208"/>
      <c r="CM33" s="208"/>
      <c r="CN33" s="209"/>
      <c r="CO33" s="284"/>
      <c r="CP33" s="286">
        <f t="shared" si="20"/>
        <v>234.11076</v>
      </c>
      <c r="CQ33" s="24">
        <f t="shared" si="20"/>
        <v>0</v>
      </c>
      <c r="CR33" s="25">
        <f t="shared" si="20"/>
        <v>235.99299999999999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152.53</v>
      </c>
      <c r="CX33" s="24">
        <f t="shared" si="21"/>
        <v>0</v>
      </c>
      <c r="CY33" s="277">
        <f t="shared" si="21"/>
        <v>150.49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9"/>
        <v>0</v>
      </c>
      <c r="DH33" s="247"/>
    </row>
    <row r="34" spans="1:112" ht="16.5" customHeight="1">
      <c r="A34" s="127">
        <v>28</v>
      </c>
      <c r="B34" s="103">
        <f t="shared" si="24"/>
        <v>517.04899999999998</v>
      </c>
      <c r="C34" s="104">
        <f t="shared" si="0"/>
        <v>1.3501389616844823</v>
      </c>
      <c r="D34" s="143">
        <f t="shared" si="1"/>
        <v>510.06812000000002</v>
      </c>
      <c r="E34" s="104">
        <f t="shared" si="2"/>
        <v>41.568033165135219</v>
      </c>
      <c r="F34" s="128">
        <f t="shared" si="3"/>
        <v>2.5940503483700352</v>
      </c>
      <c r="G34" s="106"/>
      <c r="H34" s="107">
        <f t="shared" si="4"/>
        <v>1.4947826882978184</v>
      </c>
      <c r="I34" s="103">
        <f>'[1]сентябрь 20'!AE33</f>
        <v>0</v>
      </c>
      <c r="J34" s="103">
        <f>'[1]февраль 20'!AA33</f>
        <v>14.651999999999999</v>
      </c>
      <c r="K34" s="106"/>
      <c r="L34" s="328">
        <f>'[1]февраль 20'!AI33</f>
        <v>140.149</v>
      </c>
      <c r="M34" s="103">
        <f t="shared" si="5"/>
        <v>1.0992676600722169</v>
      </c>
      <c r="N34" s="103">
        <f>'[1]июль 20'!AM33</f>
        <v>7.2119999999999997</v>
      </c>
      <c r="O34" s="103">
        <f>'[1]февраль 20'!W33</f>
        <v>0</v>
      </c>
      <c r="P34" s="103">
        <f>'[1]февраль 20'!S33</f>
        <v>341.59399999999999</v>
      </c>
      <c r="Q34" s="108">
        <f t="shared" si="6"/>
        <v>3.663413291802553</v>
      </c>
      <c r="R34" s="109">
        <f t="shared" si="7"/>
        <v>329.08</v>
      </c>
      <c r="S34" s="149">
        <v>24.36</v>
      </c>
      <c r="T34" s="109">
        <f t="shared" si="8"/>
        <v>329.08</v>
      </c>
      <c r="U34" s="110">
        <f t="shared" si="9"/>
        <v>1.6736001627422061</v>
      </c>
      <c r="V34" s="157">
        <v>196.63</v>
      </c>
      <c r="W34" s="157">
        <v>151.19999999999999</v>
      </c>
      <c r="X34" s="149">
        <v>0.52</v>
      </c>
      <c r="Y34" s="147">
        <v>485</v>
      </c>
      <c r="Z34" s="147">
        <v>1253</v>
      </c>
      <c r="AA34" s="144" t="s">
        <v>203</v>
      </c>
      <c r="AB34" s="149">
        <v>76.739999999999995</v>
      </c>
      <c r="AC34" s="147">
        <v>173</v>
      </c>
      <c r="AD34" s="155">
        <v>5</v>
      </c>
      <c r="AE34" s="149">
        <v>3.6</v>
      </c>
      <c r="AF34" s="115">
        <f t="shared" si="10"/>
        <v>18.30849819457865</v>
      </c>
      <c r="AG34" s="149">
        <v>146.4</v>
      </c>
      <c r="AH34" s="115">
        <f t="shared" si="11"/>
        <v>744.54559324619856</v>
      </c>
      <c r="AI34" s="156">
        <v>21.96</v>
      </c>
      <c r="AJ34" s="149"/>
      <c r="AK34" s="157">
        <v>9.25</v>
      </c>
      <c r="AL34" s="157">
        <v>58.31</v>
      </c>
      <c r="AM34" s="110">
        <f t="shared" si="12"/>
        <v>0.22281238058846009</v>
      </c>
      <c r="AN34" s="158" t="s">
        <v>209</v>
      </c>
      <c r="AO34" s="404">
        <v>8.66</v>
      </c>
      <c r="AP34" s="159">
        <v>6.16</v>
      </c>
      <c r="AQ34" s="155"/>
      <c r="AR34" s="149">
        <v>13.23</v>
      </c>
      <c r="AS34" s="156">
        <v>261.7</v>
      </c>
      <c r="AT34" s="131">
        <v>2.4900000000000002</v>
      </c>
      <c r="AU34" s="148"/>
      <c r="AV34" s="149"/>
      <c r="AW34" s="109">
        <f t="shared" si="30"/>
        <v>0</v>
      </c>
      <c r="AX34" s="109">
        <f t="shared" si="13"/>
        <v>196.63</v>
      </c>
      <c r="AY34" s="115">
        <f t="shared" si="25"/>
        <v>241.20155597473448</v>
      </c>
      <c r="AZ34" s="140">
        <f t="shared" si="14"/>
        <v>15.003938028169014</v>
      </c>
      <c r="BA34" s="141">
        <f t="shared" si="31"/>
        <v>7.8651999999999997</v>
      </c>
      <c r="BB34" s="128">
        <f t="shared" si="16"/>
        <v>0.71167861793553644</v>
      </c>
      <c r="BC34" s="141">
        <f t="shared" si="17"/>
        <v>22.869138028169012</v>
      </c>
      <c r="BD34" s="165">
        <v>0.877</v>
      </c>
      <c r="BE34" s="16">
        <f t="shared" si="26"/>
        <v>6368.0100000000011</v>
      </c>
      <c r="BF34" s="16">
        <f t="shared" si="18"/>
        <v>221.10344827586206</v>
      </c>
      <c r="BG34" s="16">
        <f t="shared" si="27"/>
        <v>6190.8965517241386</v>
      </c>
      <c r="BH34" s="17">
        <f t="shared" si="19"/>
        <v>1</v>
      </c>
      <c r="BI34" s="16">
        <f t="shared" si="28"/>
        <v>6190.8965517241386</v>
      </c>
      <c r="BJ34" s="255">
        <v>300.89999999999998</v>
      </c>
      <c r="BK34" s="210"/>
      <c r="BL34" s="210">
        <v>216.149</v>
      </c>
      <c r="BM34" s="210"/>
      <c r="BN34" s="233"/>
      <c r="BO34" s="233"/>
      <c r="BP34" s="260"/>
      <c r="BQ34" s="212"/>
      <c r="BR34" s="213">
        <v>2.3199999999999998</v>
      </c>
      <c r="BS34" s="213"/>
      <c r="BT34" s="213"/>
      <c r="BU34" s="213"/>
      <c r="BV34" s="235"/>
      <c r="BW34" s="235"/>
      <c r="BX34" s="214"/>
      <c r="BY34" s="215">
        <v>38.369999999999997</v>
      </c>
      <c r="BZ34" s="213"/>
      <c r="CA34" s="213">
        <v>46.02</v>
      </c>
      <c r="CB34" s="213"/>
      <c r="CC34" s="235"/>
      <c r="CD34" s="235"/>
      <c r="CE34" s="211"/>
      <c r="CF34" s="212"/>
      <c r="CG34" s="210">
        <v>164.35</v>
      </c>
      <c r="CH34" s="210"/>
      <c r="CI34" s="233">
        <v>164.73</v>
      </c>
      <c r="CJ34" s="198"/>
      <c r="CK34" s="202"/>
      <c r="CL34" s="208"/>
      <c r="CM34" s="208"/>
      <c r="CN34" s="209"/>
      <c r="CO34" s="284"/>
      <c r="CP34" s="286">
        <f t="shared" si="20"/>
        <v>293.91912000000002</v>
      </c>
      <c r="CQ34" s="24">
        <f t="shared" si="20"/>
        <v>0</v>
      </c>
      <c r="CR34" s="25">
        <f t="shared" si="20"/>
        <v>216.149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164.35</v>
      </c>
      <c r="CX34" s="29">
        <f t="shared" si="21"/>
        <v>0</v>
      </c>
      <c r="CY34" s="277">
        <f t="shared" si="21"/>
        <v>164.73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9"/>
        <v>0</v>
      </c>
      <c r="DH34" s="247"/>
    </row>
    <row r="35" spans="1:112" ht="16.5" customHeight="1">
      <c r="A35" s="127">
        <v>29</v>
      </c>
      <c r="B35" s="103">
        <f t="shared" si="24"/>
        <v>464.96100000000001</v>
      </c>
      <c r="C35" s="104">
        <f t="shared" si="0"/>
        <v>1.6952188248046607</v>
      </c>
      <c r="D35" s="143">
        <f t="shared" si="1"/>
        <v>457.07889360000001</v>
      </c>
      <c r="E35" s="104">
        <f t="shared" si="2"/>
        <v>41.00303999690297</v>
      </c>
      <c r="F35" s="128">
        <f t="shared" si="3"/>
        <v>2.0087848009141251</v>
      </c>
      <c r="G35" s="106"/>
      <c r="H35" s="107">
        <f t="shared" si="4"/>
        <v>1.116207671618177</v>
      </c>
      <c r="I35" s="103">
        <f>'[1]сентябрь 20'!AE34</f>
        <v>0</v>
      </c>
      <c r="J35" s="103">
        <f>'[1]февраль 20'!AA34</f>
        <v>13.840999999999999</v>
      </c>
      <c r="K35" s="106"/>
      <c r="L35" s="328">
        <f>'[1]февраль 20'!AI34</f>
        <v>116.51600000000001</v>
      </c>
      <c r="M35" s="103">
        <f t="shared" si="5"/>
        <v>0.89257712929594801</v>
      </c>
      <c r="N35" s="103">
        <f>'[1]июль 20'!AM34</f>
        <v>6.298</v>
      </c>
      <c r="O35" s="103">
        <f>'[1]февраль 20'!W34</f>
        <v>0</v>
      </c>
      <c r="P35" s="103">
        <f>'[1]февраль 20'!S34</f>
        <v>309.20699999999999</v>
      </c>
      <c r="Q35" s="108">
        <f>IF(P35=0,0,(1-(T35/P35))*100)</f>
        <v>3.391579103965936</v>
      </c>
      <c r="R35" s="109">
        <f>P35*((100-Q35)/100)</f>
        <v>298.72000000000003</v>
      </c>
      <c r="S35" s="131">
        <v>27.5</v>
      </c>
      <c r="T35" s="109">
        <f t="shared" si="8"/>
        <v>298.72000000000003</v>
      </c>
      <c r="U35" s="110">
        <f t="shared" si="9"/>
        <v>1.3128241188362488</v>
      </c>
      <c r="V35" s="136">
        <v>227.54</v>
      </c>
      <c r="W35" s="136">
        <v>227.54</v>
      </c>
      <c r="X35" s="131">
        <v>0.41</v>
      </c>
      <c r="Y35" s="133">
        <v>578</v>
      </c>
      <c r="Z35" s="133">
        <v>1246</v>
      </c>
      <c r="AA35" s="144" t="s">
        <v>142</v>
      </c>
      <c r="AB35" s="131">
        <v>76.19</v>
      </c>
      <c r="AC35" s="133">
        <v>156</v>
      </c>
      <c r="AD35" s="134">
        <v>5</v>
      </c>
      <c r="AE35" s="166">
        <v>5.5</v>
      </c>
      <c r="AF35" s="115">
        <f t="shared" si="10"/>
        <v>24.171574228707041</v>
      </c>
      <c r="AG35" s="166">
        <v>150</v>
      </c>
      <c r="AH35" s="115">
        <f t="shared" si="11"/>
        <v>659.22475169201027</v>
      </c>
      <c r="AI35" s="139">
        <v>25.27</v>
      </c>
      <c r="AJ35" s="131"/>
      <c r="AK35" s="167">
        <v>11.91</v>
      </c>
      <c r="AL35" s="167">
        <v>51.7</v>
      </c>
      <c r="AM35" s="110">
        <f t="shared" si="12"/>
        <v>0.1775716984372317</v>
      </c>
      <c r="AN35" s="168" t="s">
        <v>189</v>
      </c>
      <c r="AO35" s="405">
        <v>8.42</v>
      </c>
      <c r="AP35" s="169">
        <v>6.32</v>
      </c>
      <c r="AQ35" s="170"/>
      <c r="AR35" s="166">
        <v>8.59</v>
      </c>
      <c r="AS35" s="171">
        <v>291.14999999999998</v>
      </c>
      <c r="AT35" s="131"/>
      <c r="AU35" s="116"/>
      <c r="AV35" s="131"/>
      <c r="AW35" s="109">
        <f t="shared" si="30"/>
        <v>0</v>
      </c>
      <c r="AX35" s="109">
        <f t="shared" si="13"/>
        <v>227.54</v>
      </c>
      <c r="AY35" s="115">
        <f t="shared" si="25"/>
        <v>214.74521444029784</v>
      </c>
      <c r="AZ35" s="140">
        <f t="shared" si="14"/>
        <v>9.9813380281690129</v>
      </c>
      <c r="BA35" s="141">
        <f t="shared" si="31"/>
        <v>9.1015999999999995</v>
      </c>
      <c r="BB35" s="128">
        <f t="shared" si="16"/>
        <v>0.92501442007791668</v>
      </c>
      <c r="BC35" s="141">
        <f t="shared" si="17"/>
        <v>19.082938028169011</v>
      </c>
      <c r="BD35" s="165">
        <v>0.879</v>
      </c>
      <c r="BE35" s="16">
        <f t="shared" si="26"/>
        <v>6595.5500000000011</v>
      </c>
      <c r="BF35" s="16">
        <f t="shared" si="18"/>
        <v>221.10344827586206</v>
      </c>
      <c r="BG35" s="16">
        <f t="shared" si="27"/>
        <v>6412.0000000000009</v>
      </c>
      <c r="BH35" s="17">
        <f t="shared" si="19"/>
        <v>1</v>
      </c>
      <c r="BI35" s="16">
        <f t="shared" si="28"/>
        <v>6412.0000000000009</v>
      </c>
      <c r="BJ35" s="254">
        <v>261.86399999999998</v>
      </c>
      <c r="BK35" s="197"/>
      <c r="BL35" s="197">
        <v>203.09700000000001</v>
      </c>
      <c r="BM35" s="197"/>
      <c r="BN35" s="230"/>
      <c r="BO35" s="230"/>
      <c r="BP35" s="259"/>
      <c r="BQ35" s="199"/>
      <c r="BR35" s="200">
        <v>3.01</v>
      </c>
      <c r="BS35" s="200"/>
      <c r="BT35" s="200"/>
      <c r="BU35" s="200"/>
      <c r="BV35" s="208"/>
      <c r="BW35" s="208"/>
      <c r="BX35" s="201"/>
      <c r="BY35" s="202">
        <v>37.81</v>
      </c>
      <c r="BZ35" s="200"/>
      <c r="CA35" s="200">
        <v>45.12</v>
      </c>
      <c r="CB35" s="200"/>
      <c r="CC35" s="208"/>
      <c r="CD35" s="208"/>
      <c r="CE35" s="209"/>
      <c r="CF35" s="199"/>
      <c r="CG35" s="197">
        <v>148.19999999999999</v>
      </c>
      <c r="CH35" s="197"/>
      <c r="CI35" s="230">
        <v>150.52000000000001</v>
      </c>
      <c r="CJ35" s="198"/>
      <c r="CK35" s="202"/>
      <c r="CL35" s="208"/>
      <c r="CM35" s="208"/>
      <c r="CN35" s="209"/>
      <c r="CO35" s="284"/>
      <c r="CP35" s="286">
        <f t="shared" si="20"/>
        <v>253.98189359999998</v>
      </c>
      <c r="CQ35" s="24">
        <f t="shared" si="20"/>
        <v>0</v>
      </c>
      <c r="CR35" s="24">
        <f t="shared" si="20"/>
        <v>203.09700000000001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148.19999999999999</v>
      </c>
      <c r="CX35" s="26">
        <f t="shared" si="21"/>
        <v>0</v>
      </c>
      <c r="CY35" s="277">
        <f t="shared" si="21"/>
        <v>150.52000000000001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9"/>
        <v>0</v>
      </c>
      <c r="DH35" s="247"/>
    </row>
    <row r="36" spans="1:112" ht="16.5" customHeight="1">
      <c r="A36" s="127">
        <v>30</v>
      </c>
      <c r="B36" s="103">
        <f t="shared" si="24"/>
        <v>0</v>
      </c>
      <c r="C36" s="104">
        <f t="shared" si="0"/>
        <v>0</v>
      </c>
      <c r="D36" s="143">
        <f t="shared" si="1"/>
        <v>0</v>
      </c>
      <c r="E36" s="104">
        <f t="shared" si="2"/>
        <v>0</v>
      </c>
      <c r="F36" s="128">
        <f t="shared" si="3"/>
        <v>0</v>
      </c>
      <c r="G36" s="106"/>
      <c r="H36" s="107">
        <f t="shared" si="4"/>
        <v>0</v>
      </c>
      <c r="I36" s="103">
        <f>'[1]сентябрь 20'!AE35</f>
        <v>0</v>
      </c>
      <c r="J36" s="103">
        <f>'[1]февраль 20'!AA35</f>
        <v>0</v>
      </c>
      <c r="K36" s="106"/>
      <c r="L36" s="328">
        <f>'[1]февраль 20'!AI35</f>
        <v>0</v>
      </c>
      <c r="M36" s="103">
        <f t="shared" si="5"/>
        <v>0</v>
      </c>
      <c r="N36" s="103">
        <f>'[1]июль 20'!AM35</f>
        <v>7.1239999999999997</v>
      </c>
      <c r="O36" s="103">
        <f>'[1]февраль 20'!W35</f>
        <v>0</v>
      </c>
      <c r="P36" s="103">
        <f>'[1]февраль 20'!S35</f>
        <v>0</v>
      </c>
      <c r="Q36" s="108">
        <f t="shared" si="6"/>
        <v>0</v>
      </c>
      <c r="R36" s="109">
        <f t="shared" si="7"/>
        <v>0</v>
      </c>
      <c r="S36" s="131"/>
      <c r="T36" s="109">
        <f t="shared" si="8"/>
        <v>0</v>
      </c>
      <c r="U36" s="110">
        <f t="shared" si="9"/>
        <v>0</v>
      </c>
      <c r="V36" s="136"/>
      <c r="W36" s="136"/>
      <c r="X36" s="131"/>
      <c r="Y36" s="133"/>
      <c r="Z36" s="133"/>
      <c r="AA36" s="144"/>
      <c r="AB36" s="131"/>
      <c r="AC36" s="133"/>
      <c r="AD36" s="134"/>
      <c r="AE36" s="131"/>
      <c r="AF36" s="115">
        <f t="shared" si="10"/>
        <v>0</v>
      </c>
      <c r="AG36" s="131"/>
      <c r="AH36" s="115">
        <f t="shared" si="11"/>
        <v>0</v>
      </c>
      <c r="AI36" s="139"/>
      <c r="AJ36" s="131"/>
      <c r="AK36" s="136"/>
      <c r="AL36" s="136"/>
      <c r="AM36" s="110">
        <f t="shared" si="12"/>
        <v>0</v>
      </c>
      <c r="AN36" s="137"/>
      <c r="AO36" s="150"/>
      <c r="AP36" s="138"/>
      <c r="AQ36" s="134"/>
      <c r="AR36" s="131"/>
      <c r="AS36" s="139"/>
      <c r="AT36" s="131"/>
      <c r="AU36" s="116"/>
      <c r="AV36" s="131"/>
      <c r="AW36" s="109">
        <f t="shared" si="30"/>
        <v>0</v>
      </c>
      <c r="AX36" s="109">
        <f t="shared" si="13"/>
        <v>0</v>
      </c>
      <c r="AY36" s="115">
        <f t="shared" si="25"/>
        <v>0</v>
      </c>
      <c r="AZ36" s="140">
        <f t="shared" si="14"/>
        <v>0</v>
      </c>
      <c r="BA36" s="141">
        <f t="shared" si="31"/>
        <v>0</v>
      </c>
      <c r="BB36" s="128">
        <f t="shared" si="16"/>
        <v>0</v>
      </c>
      <c r="BC36" s="141">
        <f t="shared" si="17"/>
        <v>0</v>
      </c>
      <c r="BD36" s="165"/>
      <c r="BE36" s="16">
        <f t="shared" si="26"/>
        <v>6595.5500000000011</v>
      </c>
      <c r="BF36" s="16">
        <f t="shared" si="18"/>
        <v>0</v>
      </c>
      <c r="BG36" s="16">
        <f t="shared" si="27"/>
        <v>6412.0000000000009</v>
      </c>
      <c r="BH36" s="17">
        <f t="shared" si="19"/>
        <v>0</v>
      </c>
      <c r="BI36" s="16">
        <f t="shared" si="28"/>
        <v>6412.0000000000009</v>
      </c>
      <c r="BJ36" s="254"/>
      <c r="BK36" s="197"/>
      <c r="BL36" s="197"/>
      <c r="BM36" s="197"/>
      <c r="BN36" s="230"/>
      <c r="BO36" s="230"/>
      <c r="BP36" s="258"/>
      <c r="BQ36" s="199"/>
      <c r="BR36" s="200"/>
      <c r="BS36" s="200"/>
      <c r="BT36" s="200"/>
      <c r="BU36" s="200"/>
      <c r="BV36" s="208"/>
      <c r="BW36" s="208"/>
      <c r="BX36" s="201"/>
      <c r="BY36" s="202"/>
      <c r="BZ36" s="200"/>
      <c r="CA36" s="200"/>
      <c r="CB36" s="200"/>
      <c r="CC36" s="208"/>
      <c r="CD36" s="208"/>
      <c r="CE36" s="209"/>
      <c r="CF36" s="199"/>
      <c r="CG36" s="197"/>
      <c r="CH36" s="197"/>
      <c r="CI36" s="230"/>
      <c r="CJ36" s="198"/>
      <c r="CK36" s="202"/>
      <c r="CL36" s="208"/>
      <c r="CM36" s="208"/>
      <c r="CN36" s="209"/>
      <c r="CO36" s="284"/>
      <c r="CP36" s="286">
        <f t="shared" si="20"/>
        <v>0</v>
      </c>
      <c r="CQ36" s="27">
        <f t="shared" si="20"/>
        <v>0</v>
      </c>
      <c r="CR36" s="28">
        <f t="shared" si="20"/>
        <v>0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0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9"/>
        <v>0</v>
      </c>
      <c r="DH36" s="402"/>
    </row>
    <row r="37" spans="1:112" ht="16.5" customHeight="1" thickBot="1">
      <c r="A37" s="172">
        <v>31</v>
      </c>
      <c r="B37" s="103">
        <f t="shared" si="24"/>
        <v>0</v>
      </c>
      <c r="C37" s="104">
        <f t="shared" si="0"/>
        <v>0</v>
      </c>
      <c r="D37" s="173">
        <f t="shared" si="1"/>
        <v>0</v>
      </c>
      <c r="E37" s="104">
        <f t="shared" si="2"/>
        <v>0</v>
      </c>
      <c r="F37" s="174">
        <f t="shared" si="3"/>
        <v>0</v>
      </c>
      <c r="G37" s="106"/>
      <c r="H37" s="107">
        <f t="shared" si="4"/>
        <v>0</v>
      </c>
      <c r="I37" s="103">
        <f>'[1]сентябрь 20'!AE36</f>
        <v>0</v>
      </c>
      <c r="J37" s="103">
        <f>'[1]февраль 20'!AA36</f>
        <v>0</v>
      </c>
      <c r="K37" s="106"/>
      <c r="L37" s="328">
        <f>'[1]февраль 20'!AI36</f>
        <v>0</v>
      </c>
      <c r="M37" s="103">
        <f t="shared" si="5"/>
        <v>0</v>
      </c>
      <c r="N37" s="103">
        <f>'[1]июль 20'!AM36</f>
        <v>6.7409999999999997</v>
      </c>
      <c r="O37" s="103">
        <f>'[1]февраль 20'!W36</f>
        <v>0</v>
      </c>
      <c r="P37" s="103">
        <f>'[1]февраль 20'!S36</f>
        <v>0</v>
      </c>
      <c r="Q37" s="108">
        <f t="shared" si="6"/>
        <v>0</v>
      </c>
      <c r="R37" s="175">
        <f t="shared" si="7"/>
        <v>0</v>
      </c>
      <c r="S37" s="176"/>
      <c r="T37" s="109">
        <f t="shared" si="8"/>
        <v>0</v>
      </c>
      <c r="U37" s="227">
        <f t="shared" si="9"/>
        <v>0</v>
      </c>
      <c r="V37" s="177"/>
      <c r="W37" s="177"/>
      <c r="X37" s="176"/>
      <c r="Y37" s="178"/>
      <c r="Z37" s="178"/>
      <c r="AA37" s="179"/>
      <c r="AB37" s="176"/>
      <c r="AC37" s="178"/>
      <c r="AD37" s="180"/>
      <c r="AE37" s="176"/>
      <c r="AF37" s="115">
        <f t="shared" si="10"/>
        <v>0</v>
      </c>
      <c r="AG37" s="176"/>
      <c r="AH37" s="181">
        <f t="shared" si="11"/>
        <v>0</v>
      </c>
      <c r="AI37" s="182"/>
      <c r="AJ37" s="176"/>
      <c r="AK37" s="177"/>
      <c r="AL37" s="177"/>
      <c r="AM37" s="227">
        <f t="shared" si="12"/>
        <v>0</v>
      </c>
      <c r="AN37" s="183"/>
      <c r="AO37" s="406"/>
      <c r="AP37" s="184"/>
      <c r="AQ37" s="180"/>
      <c r="AR37" s="176"/>
      <c r="AS37" s="176"/>
      <c r="AT37" s="131"/>
      <c r="AU37" s="176"/>
      <c r="AV37" s="176"/>
      <c r="AW37" s="185">
        <f t="shared" si="30"/>
        <v>0</v>
      </c>
      <c r="AX37" s="109">
        <f t="shared" si="13"/>
        <v>0</v>
      </c>
      <c r="AY37" s="115">
        <f t="shared" si="25"/>
        <v>0</v>
      </c>
      <c r="AZ37" s="186">
        <f t="shared" si="14"/>
        <v>0</v>
      </c>
      <c r="BA37" s="181">
        <f t="shared" si="31"/>
        <v>0</v>
      </c>
      <c r="BB37" s="174">
        <f t="shared" si="16"/>
        <v>0</v>
      </c>
      <c r="BC37" s="181">
        <f t="shared" si="17"/>
        <v>0</v>
      </c>
      <c r="BD37" s="187"/>
      <c r="BE37" s="16">
        <f t="shared" si="26"/>
        <v>6595.5500000000011</v>
      </c>
      <c r="BF37" s="16">
        <f t="shared" si="18"/>
        <v>0</v>
      </c>
      <c r="BG37" s="16">
        <f t="shared" si="27"/>
        <v>6412.0000000000009</v>
      </c>
      <c r="BH37" s="17">
        <f t="shared" si="19"/>
        <v>0</v>
      </c>
      <c r="BI37" s="16">
        <f t="shared" si="28"/>
        <v>6412.0000000000009</v>
      </c>
      <c r="BJ37" s="256"/>
      <c r="BK37" s="257"/>
      <c r="BL37" s="257"/>
      <c r="BM37" s="257"/>
      <c r="BN37" s="261"/>
      <c r="BO37" s="261"/>
      <c r="BP37" s="262"/>
      <c r="BQ37" s="219"/>
      <c r="BR37" s="220"/>
      <c r="BS37" s="220"/>
      <c r="BT37" s="220"/>
      <c r="BU37" s="220"/>
      <c r="BV37" s="224"/>
      <c r="BW37" s="224"/>
      <c r="BX37" s="221"/>
      <c r="BY37" s="222"/>
      <c r="BZ37" s="220"/>
      <c r="CA37" s="220"/>
      <c r="CB37" s="220"/>
      <c r="CC37" s="224"/>
      <c r="CD37" s="224"/>
      <c r="CE37" s="221"/>
      <c r="CF37" s="219"/>
      <c r="CG37" s="217"/>
      <c r="CH37" s="217"/>
      <c r="CI37" s="234"/>
      <c r="CJ37" s="223"/>
      <c r="CK37" s="222"/>
      <c r="CL37" s="224"/>
      <c r="CM37" s="224"/>
      <c r="CN37" s="218"/>
      <c r="CO37" s="284">
        <f t="shared" ref="CO37" si="32">CG37+CI37</f>
        <v>0</v>
      </c>
      <c r="CP37" s="287">
        <f t="shared" si="20"/>
        <v>0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0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9"/>
        <v>0</v>
      </c>
      <c r="DH37" s="402"/>
    </row>
    <row r="38" spans="1:112" ht="16.5" customHeight="1" thickBot="1">
      <c r="A38" s="55" t="s">
        <v>58</v>
      </c>
      <c r="B38" s="188">
        <f>SUM(B7:B37)</f>
        <v>14046.581000000002</v>
      </c>
      <c r="C38" s="326"/>
      <c r="D38" s="327">
        <f>SUM(D7:D37)</f>
        <v>13851.083933379612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313.26900000000001</v>
      </c>
      <c r="K38" s="188">
        <f>SUM(K7:K37)</f>
        <v>0</v>
      </c>
      <c r="L38" s="331">
        <f>SUM(L7:L37)</f>
        <v>4480.4359999999997</v>
      </c>
      <c r="M38" s="342"/>
      <c r="N38" s="342">
        <f>SUM(N7:N37)</f>
        <v>85.77</v>
      </c>
      <c r="O38" s="188">
        <f>SUM(O7:O37)</f>
        <v>0</v>
      </c>
      <c r="P38" s="188">
        <f>SUM(P7:P37)</f>
        <v>8936.7029999999995</v>
      </c>
      <c r="Q38" s="342"/>
      <c r="R38" s="341">
        <f>SUM(R7:R37)</f>
        <v>8672.1600002999985</v>
      </c>
      <c r="S38" s="343">
        <f>SUM(S7:S37)</f>
        <v>775.62</v>
      </c>
      <c r="T38" s="341">
        <f>SUM(T7:T37)</f>
        <v>8672.1600002999985</v>
      </c>
      <c r="U38" s="344"/>
      <c r="V38" s="194">
        <f>SUM(V7:V37)</f>
        <v>6453.4800000000014</v>
      </c>
      <c r="W38" s="194">
        <f>SUM(W7:W37)</f>
        <v>5485.4599999999991</v>
      </c>
      <c r="X38" s="345"/>
      <c r="Y38" s="346"/>
      <c r="Z38" s="347"/>
      <c r="AA38" s="348"/>
      <c r="AB38" s="345"/>
      <c r="AC38" s="345"/>
      <c r="AD38" s="347">
        <f>SUM(AD7:AD37)</f>
        <v>142</v>
      </c>
      <c r="AE38" s="194">
        <f>SUM(AE7:AE37)</f>
        <v>106.14999999999999</v>
      </c>
      <c r="AF38" s="349"/>
      <c r="AG38" s="194">
        <f>SUM(AG7:AG37)</f>
        <v>3861.5999999999995</v>
      </c>
      <c r="AH38" s="343"/>
      <c r="AI38" s="338">
        <f>SUM(AI7:AI37)</f>
        <v>714.84999999999991</v>
      </c>
      <c r="AJ38" s="343">
        <f>SUM(AJ7:AJ37)</f>
        <v>0</v>
      </c>
      <c r="AK38" s="337">
        <f>SUM(AK7:AK37)</f>
        <v>279.23000000000008</v>
      </c>
      <c r="AL38" s="395">
        <f>SUM(AL7:AL37)</f>
        <v>1564.6200000000001</v>
      </c>
      <c r="AM38" s="350"/>
      <c r="AN38" s="351"/>
      <c r="AO38" s="343"/>
      <c r="AP38" s="351"/>
      <c r="AQ38" s="351"/>
      <c r="AR38" s="352"/>
      <c r="AS38" s="337">
        <f>SUM(AS7:AS37)</f>
        <v>8369.5999999999985</v>
      </c>
      <c r="AT38" s="341">
        <f>SUM(AT7:AT37)</f>
        <v>69.8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6595.5500000000011</v>
      </c>
      <c r="AY38" s="252">
        <f>SUM(AY7:AY37)</f>
        <v>6554.4879870037084</v>
      </c>
      <c r="AZ38" s="351">
        <f>SUM(AZ7:AZ36)</f>
        <v>283.59799119718309</v>
      </c>
      <c r="BA38" s="351">
        <f>SUM(BA7:BA36)</f>
        <v>260.05080000000004</v>
      </c>
      <c r="BB38" s="340"/>
      <c r="BC38" s="351">
        <f>SUM(BC7:BC37)</f>
        <v>543.64879119718307</v>
      </c>
      <c r="BD38" s="353"/>
      <c r="BE38" s="16"/>
      <c r="BF38" s="16">
        <f t="shared" si="18"/>
        <v>0</v>
      </c>
      <c r="BG38" s="16"/>
      <c r="BH38" s="17">
        <f>SUM(BH7:BH37)</f>
        <v>29</v>
      </c>
      <c r="BI38" s="33"/>
      <c r="BJ38" s="228">
        <f t="shared" ref="BJ38:BP38" si="33">SUM(BJ7:BJ37)</f>
        <v>7351.5639999999976</v>
      </c>
      <c r="BK38" s="38">
        <f t="shared" si="33"/>
        <v>9.9999999999999995E-8</v>
      </c>
      <c r="BL38" s="38">
        <f t="shared" si="33"/>
        <v>6695.0169999999998</v>
      </c>
      <c r="BM38" s="38">
        <f t="shared" si="33"/>
        <v>9.9999999999999995E-8</v>
      </c>
      <c r="BN38" s="38">
        <f t="shared" si="33"/>
        <v>9.9999999999999995E-8</v>
      </c>
      <c r="BO38" s="38">
        <f t="shared" si="33"/>
        <v>9.9999999999999995E-8</v>
      </c>
      <c r="BP38" s="38">
        <f t="shared" si="33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3134.3500001000007</v>
      </c>
      <c r="CH38" s="39">
        <f>SUM(CH7:CH37)</f>
        <v>9.9999999999999995E-8</v>
      </c>
      <c r="CI38" s="39">
        <f>SUM(CI7:CI37)</f>
        <v>5537.81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4">SUM(CP7:CP37)</f>
        <v>7156.0669336000001</v>
      </c>
      <c r="CQ38" s="190">
        <f t="shared" si="34"/>
        <v>9.99999999E-8</v>
      </c>
      <c r="CR38" s="191">
        <f t="shared" si="34"/>
        <v>6695.0169997796102</v>
      </c>
      <c r="CS38" s="192">
        <f t="shared" si="34"/>
        <v>9.99999999E-8</v>
      </c>
      <c r="CT38" s="192">
        <f t="shared" si="34"/>
        <v>9.99999999E-8</v>
      </c>
      <c r="CU38" s="192">
        <f t="shared" si="34"/>
        <v>9.99999999E-8</v>
      </c>
      <c r="CV38" s="278">
        <f t="shared" si="34"/>
        <v>9.99999999E-8</v>
      </c>
      <c r="CW38" s="278">
        <f t="shared" si="34"/>
        <v>3134.3500001000007</v>
      </c>
      <c r="CX38" s="192">
        <f t="shared" si="34"/>
        <v>9.99999999E-8</v>
      </c>
      <c r="CY38" s="192">
        <f t="shared" si="34"/>
        <v>5537.8099997233603</v>
      </c>
      <c r="CZ38" s="192">
        <f t="shared" si="34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  <c r="DH38" s="414"/>
    </row>
    <row r="39" spans="1:112" ht="16.5" customHeight="1" thickBot="1">
      <c r="A39" s="56" t="s">
        <v>59</v>
      </c>
      <c r="B39" s="84">
        <f>B38/AS2</f>
        <v>484.36486206896558</v>
      </c>
      <c r="C39" s="84">
        <f>(BJ38*BR39+BK38*BS39+BM38*BU39+BP38*BX39+BL38*BT39+BO38*BW39+BN38*BV39)/B38</f>
        <v>1.3917768788033897</v>
      </c>
      <c r="D39" s="82"/>
      <c r="E39" s="354">
        <f>(BJ38*BY39+BK38*BZ39+BM38*CB39+BP38*CE39+BL38*CA39+BO38*CD39+BN38*CC39)/B38</f>
        <v>41.404128330588058</v>
      </c>
      <c r="F39" s="355">
        <f>IF(AX38=0,0,D38/AX38)</f>
        <v>2.1000650337545177</v>
      </c>
      <c r="G39" s="354">
        <f>G38/AS2</f>
        <v>0</v>
      </c>
      <c r="H39" s="355">
        <f>IF(AX38=0,0,(CV38+CS38+CU38+CP38+CT38)/AX38)</f>
        <v>1.084984108072867</v>
      </c>
      <c r="I39" s="354">
        <f>I38/AS2</f>
        <v>0</v>
      </c>
      <c r="J39" s="354">
        <f>J38/AS2</f>
        <v>10.802379310344827</v>
      </c>
      <c r="K39" s="354">
        <f>K38/AS2</f>
        <v>0</v>
      </c>
      <c r="L39" s="354">
        <f>L38/AS2</f>
        <v>154.49779310344826</v>
      </c>
      <c r="M39" s="355">
        <f>IF($AX$38=0,0,(CR38+CQ38)/$AX$38)</f>
        <v>1.0150809257574591</v>
      </c>
      <c r="N39" s="354">
        <f>N38/AS2</f>
        <v>2.9575862068965515</v>
      </c>
      <c r="O39" s="354">
        <f>O38/AS2</f>
        <v>0</v>
      </c>
      <c r="P39" s="356">
        <f>P38/AS2</f>
        <v>308.16217241379309</v>
      </c>
      <c r="Q39" s="354">
        <f>(SUMPRODUCT(P7:P37,Q7:Q37))/P38</f>
        <v>2.9601856490027667</v>
      </c>
      <c r="R39" s="357"/>
      <c r="S39" s="354">
        <f>S38/AS2</f>
        <v>26.745517241379311</v>
      </c>
      <c r="T39" s="354">
        <f>T38/AS2:AS2</f>
        <v>299.04000001034478</v>
      </c>
      <c r="U39" s="358">
        <f>IF($AX$38=0,0,R38/$AX$38)</f>
        <v>1.3148501641712969</v>
      </c>
      <c r="V39" s="354">
        <f>V38/AS2</f>
        <v>222.53379310344832</v>
      </c>
      <c r="W39" s="354">
        <f>W38/AS2</f>
        <v>189.15379310344824</v>
      </c>
      <c r="X39" s="354">
        <f>(SUMPRODUCT(X7:X37,AX7:AX37))/AX38</f>
        <v>0.66707387556761744</v>
      </c>
      <c r="Y39" s="359">
        <f>AVERAGE(Y7:Y37)</f>
        <v>590.68965517241384</v>
      </c>
      <c r="Z39" s="359">
        <f>AVERAGE(Z7:Z37)</f>
        <v>1238.5862068965516</v>
      </c>
      <c r="AA39" s="359"/>
      <c r="AB39" s="354">
        <f>(SUMPRODUCT(AB7:AB37,AX7:AX37))/AX38</f>
        <v>76.405663545875612</v>
      </c>
      <c r="AC39" s="360">
        <f>AVERAGE(AC7:AC37)</f>
        <v>162.27586206896552</v>
      </c>
      <c r="AD39" s="360">
        <f>AVERAGE(AD7:AD37)</f>
        <v>4.8965517241379306</v>
      </c>
      <c r="AE39" s="354">
        <f>AE38/AS2</f>
        <v>3.6603448275862065</v>
      </c>
      <c r="AF39" s="361">
        <f>IF(AX38=0,0,AE38/AX38*1000)</f>
        <v>16.09418471545208</v>
      </c>
      <c r="AG39" s="361">
        <f>AG38/AS2</f>
        <v>133.15862068965515</v>
      </c>
      <c r="AH39" s="361">
        <f>IF(AX38=0,0,AG38/AX38*1000)</f>
        <v>585.48566836730811</v>
      </c>
      <c r="AI39" s="354">
        <f>AI38/AS2</f>
        <v>24.65</v>
      </c>
      <c r="AJ39" s="359"/>
      <c r="AK39" s="354">
        <f>AK38/AS2</f>
        <v>9.6286206896551754</v>
      </c>
      <c r="AL39" s="354">
        <f>AL38/AS2</f>
        <v>53.952413793103453</v>
      </c>
      <c r="AM39" s="346">
        <f>IF(AL39=0,0,AL39/AS39)</f>
        <v>0.18694083349264007</v>
      </c>
      <c r="AN39" s="361">
        <f>SUM(AN8:AN38)</f>
        <v>0</v>
      </c>
      <c r="AO39" s="354">
        <f>AVERAGE(AO7:AO37)</f>
        <v>10.670000000000003</v>
      </c>
      <c r="AP39" s="354">
        <f>AVERAGE(AP7:AP37)</f>
        <v>6.63448275862069</v>
      </c>
      <c r="AQ39" s="362"/>
      <c r="AR39" s="354">
        <f>AVERAGE(AR7:AR37)</f>
        <v>9.3413793103448288</v>
      </c>
      <c r="AS39" s="363">
        <f>AS38/AS2</f>
        <v>288.60689655172411</v>
      </c>
      <c r="AT39" s="363">
        <f>AT38/AS2</f>
        <v>2.4068965517241376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227.4327586206897</v>
      </c>
      <c r="AY39" s="354">
        <f>AY38/AS2</f>
        <v>226.01682713805891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0.87871726960581231</v>
      </c>
      <c r="BC39" s="354">
        <f>BC38/AS2</f>
        <v>18.746510041282175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2.6592581714584824</v>
      </c>
      <c r="BS39" s="42">
        <f t="shared" ref="BS39:BX39" si="35">(SUMPRODUCT(BK7:BK37,BS7:BS37))/BK38</f>
        <v>9.9999999999999982E-8</v>
      </c>
      <c r="BT39" s="42">
        <f t="shared" si="35"/>
        <v>3.2918512380177672E-9</v>
      </c>
      <c r="BU39" s="42">
        <f t="shared" si="35"/>
        <v>9.9999999999999982E-8</v>
      </c>
      <c r="BV39" s="42">
        <f t="shared" si="35"/>
        <v>9.9999999999999982E-8</v>
      </c>
      <c r="BW39" s="46">
        <f t="shared" si="35"/>
        <v>9.9999999999999982E-8</v>
      </c>
      <c r="BX39" s="240">
        <f t="shared" si="35"/>
        <v>9.9999999999999982E-8</v>
      </c>
      <c r="BY39" s="41">
        <f t="shared" ref="BY39:CE39" si="36">(SUMPRODUCT(BJ7:BJ37,BY7:BY37))/BJ38</f>
        <v>37.383405468550656</v>
      </c>
      <c r="BZ39" s="42">
        <f t="shared" si="36"/>
        <v>9.9999999999999982E-8</v>
      </c>
      <c r="CA39" s="42">
        <f t="shared" si="36"/>
        <v>45.819143474915755</v>
      </c>
      <c r="CB39" s="42">
        <f t="shared" si="36"/>
        <v>9.9999999999999982E-8</v>
      </c>
      <c r="CC39" s="42">
        <f t="shared" si="36"/>
        <v>9.9999999999999982E-8</v>
      </c>
      <c r="CD39" s="46">
        <f t="shared" si="36"/>
        <v>9.9999999999999982E-8</v>
      </c>
      <c r="CE39" s="240">
        <f t="shared" si="36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3.1904541610480486E-18</v>
      </c>
      <c r="CL39" s="46">
        <f>(SUMPRODUCT(CH7:CH37,CL7:CL37))/CH38</f>
        <v>9.9999999999999982E-8</v>
      </c>
      <c r="CM39" s="46">
        <f>(SUMPRODUCT(CI7:CI37,CM7:CM37))/CI38</f>
        <v>4.995476551199842E-9</v>
      </c>
      <c r="CN39" s="44">
        <f>(SUMPRODUCT(CJ7:CJ37,CN7:CN37))/CJ38</f>
        <v>9.9999999999999982E-8</v>
      </c>
      <c r="CP39" s="667">
        <f>CP38+CQ38</f>
        <v>7156.0669336999999</v>
      </c>
      <c r="CQ39" s="667"/>
      <c r="CR39" s="668">
        <f>CR38+CS38+CV38+CU38+CT38</f>
        <v>6695.0170001796096</v>
      </c>
      <c r="CS39" s="668"/>
      <c r="CT39" s="668"/>
      <c r="CU39" s="668"/>
      <c r="CV39" s="668"/>
      <c r="CW39" s="669">
        <f>CW38+CX38+CZ38+CY38</f>
        <v>8672.1600000233611</v>
      </c>
      <c r="CX39" s="668"/>
      <c r="CY39" s="668"/>
      <c r="CZ39" s="668"/>
      <c r="DB39" s="302"/>
      <c r="DC39" s="303"/>
      <c r="DD39" s="303"/>
      <c r="DE39" s="304"/>
      <c r="DF39" s="305"/>
      <c r="DH39" s="13"/>
    </row>
    <row r="40" spans="1:112" ht="16.5" customHeight="1" thickBot="1">
      <c r="A40" s="57" t="s">
        <v>60</v>
      </c>
      <c r="B40" s="85"/>
      <c r="C40" s="86"/>
      <c r="D40" s="87"/>
      <c r="E40" s="365">
        <v>39</v>
      </c>
      <c r="F40" s="366">
        <v>2.08</v>
      </c>
      <c r="G40" s="366"/>
      <c r="H40" s="366">
        <v>1.456</v>
      </c>
      <c r="I40" s="366"/>
      <c r="J40" s="408">
        <v>17.909343</v>
      </c>
      <c r="K40" s="366"/>
      <c r="L40" s="366"/>
      <c r="M40" s="366">
        <v>0.624</v>
      </c>
      <c r="N40" s="365"/>
      <c r="O40" s="366"/>
      <c r="P40" s="367"/>
      <c r="Q40" s="368"/>
      <c r="R40" s="367"/>
      <c r="S40" s="369">
        <v>25.581617099999999</v>
      </c>
      <c r="T40" s="367"/>
      <c r="U40" s="369">
        <v>1.2849999999999999</v>
      </c>
      <c r="V40" s="370">
        <v>6412</v>
      </c>
      <c r="W40" s="370">
        <v>6412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570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6412</v>
      </c>
      <c r="AT40" s="379">
        <v>44.88</v>
      </c>
      <c r="AU40" s="380"/>
      <c r="AV40" s="381"/>
      <c r="AW40" s="382"/>
      <c r="AX40" s="365">
        <v>221.1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13851.08393387961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2" ht="16.5" customHeight="1" thickBot="1">
      <c r="A41" s="58" t="s">
        <v>61</v>
      </c>
      <c r="B41" s="88"/>
      <c r="C41" s="88"/>
      <c r="D41" s="88"/>
      <c r="E41" s="384"/>
      <c r="F41" s="385">
        <f>F39-F40</f>
        <v>2.0065033754517625E-2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2.9601856490027667</v>
      </c>
      <c r="R41" s="386"/>
      <c r="S41" s="388"/>
      <c r="T41" s="388"/>
      <c r="U41" s="385">
        <f>U39-U40</f>
        <v>2.9850164171296933E-2</v>
      </c>
      <c r="V41" s="385"/>
      <c r="W41" s="385"/>
      <c r="X41" s="385"/>
      <c r="Y41" s="385"/>
      <c r="Z41" s="389">
        <f>Z39-Z40</f>
        <v>-11.41379310344837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1957.5999999999985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2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2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221.10344827586206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29</v>
      </c>
    </row>
    <row r="44" spans="1:112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2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58.940845070422526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28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2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229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2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2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183.55000000000018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2.8626013724267025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L3:AL6"/>
    <mergeCell ref="AM3:AM6"/>
    <mergeCell ref="AN3:AN6"/>
    <mergeCell ref="AO3:AO6"/>
    <mergeCell ref="AP3:AP6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V3:V6"/>
    <mergeCell ref="S4:S6"/>
    <mergeCell ref="T4:T6"/>
    <mergeCell ref="U4:U6"/>
    <mergeCell ref="AE5:AE6"/>
    <mergeCell ref="DB5:DF5"/>
    <mergeCell ref="CP39:CQ39"/>
    <mergeCell ref="CR39:CV39"/>
    <mergeCell ref="CW39:CZ39"/>
    <mergeCell ref="CG3:CJ5"/>
    <mergeCell ref="CK3:CN5"/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</mergeCells>
  <printOptions horizontalCentered="1" verticalCentered="1"/>
  <pageMargins left="0" right="0" top="0" bottom="0" header="0" footer="0"/>
  <pageSetup paperSize="9" scale="46" firstPageNumber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CQ34" activePane="bottomRight" state="frozen"/>
      <selection pane="topRight" activeCell="B1" sqref="B1"/>
      <selection pane="bottomLeft" activeCell="A7" sqref="A7"/>
      <selection pane="bottomRight" activeCell="CO57" sqref="CO57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6.28515625" customWidth="1"/>
    <col min="16" max="16" width="9" customWidth="1"/>
    <col min="17" max="17" width="5.140625" customWidth="1"/>
    <col min="18" max="18" width="8.85546875" customWidth="1"/>
    <col min="19" max="19" width="8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31</v>
      </c>
      <c r="AT2" s="321"/>
      <c r="AU2" s="321"/>
      <c r="AV2" s="322"/>
      <c r="AW2" s="321"/>
      <c r="AX2" s="323" t="s">
        <v>195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12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'[1]март 20'!K6</f>
        <v>487.30599999999998</v>
      </c>
      <c r="C7" s="104">
        <f t="shared" ref="C7:C37" si="0">IF(B7=0,0,(BJ7*BR7+BK7*BS7+BM7*BU7+BP7*BX7+BL7*BT7+BO7*BW7+BN7*BV7)/B7)</f>
        <v>1.979549874906527</v>
      </c>
      <c r="D7" s="105">
        <f t="shared" ref="D7:D37" si="1">B7*((100-C7)/100)</f>
        <v>477.65953468658796</v>
      </c>
      <c r="E7" s="104">
        <f t="shared" ref="E7:E37" si="2">IF(B7=0,0,(BJ7*BY7+BK7*BZ7+BM7*CB7+BP7*CE7+BL7*CA7+BO7*CD7+BN7*CC7)/B7)</f>
        <v>40.099999220202498</v>
      </c>
      <c r="F7" s="103">
        <f t="shared" ref="F7:F37" si="3">IF(AX7=0,0,D7/AX7)</f>
        <v>2.2556645952332257</v>
      </c>
      <c r="G7" s="106"/>
      <c r="H7" s="107">
        <f t="shared" ref="H7:H37" si="4">IF(AX7=0,0,(CV7+CS7+CU7+CP7+CT7)/AX7)</f>
        <v>1.7200960294673218</v>
      </c>
      <c r="I7" s="103">
        <f>'[1]сентябрь 20'!AE6</f>
        <v>0</v>
      </c>
      <c r="J7" s="328">
        <f>'[1]март 20'!AA6</f>
        <v>11.224</v>
      </c>
      <c r="K7" s="106"/>
      <c r="L7" s="328">
        <f>'[1]март 20'!AI6</f>
        <v>113.41200000000001</v>
      </c>
      <c r="M7" s="103">
        <f t="shared" ref="M7:M37" si="5">IF(AX7=0,0,(CR7+CQ7)/AX7)</f>
        <v>0.53556856812706832</v>
      </c>
      <c r="N7" s="103">
        <f>'[1]июль 20'!AM6</f>
        <v>0</v>
      </c>
      <c r="O7" s="103">
        <f>'[1]март 20'!W6</f>
        <v>0</v>
      </c>
      <c r="P7" s="103">
        <f>'[1]март 20'!S6</f>
        <v>320.22000000000003</v>
      </c>
      <c r="Q7" s="108">
        <f t="shared" ref="Q7:Q37" si="6">IF(P7=0,0,(1-(T7/P7))*100)</f>
        <v>3.2227842733120959</v>
      </c>
      <c r="R7" s="109">
        <f t="shared" ref="R7:R37" si="7">P7*((100-Q7)/100)</f>
        <v>309.90000020000002</v>
      </c>
      <c r="S7" s="106">
        <v>12.11</v>
      </c>
      <c r="T7" s="109">
        <f t="shared" ref="T7:T37" si="8">CG7+CH7+CJ7+CI7</f>
        <v>309.90000020000002</v>
      </c>
      <c r="U7" s="110">
        <f t="shared" ref="U7:U37" si="9">IF(AX7=0,0,R7/AX7)</f>
        <v>1.4634491887041934</v>
      </c>
      <c r="V7" s="136">
        <v>211.76</v>
      </c>
      <c r="W7" s="111">
        <v>90.73</v>
      </c>
      <c r="X7" s="106">
        <v>1.44</v>
      </c>
      <c r="Y7" s="112">
        <v>638</v>
      </c>
      <c r="Z7" s="238">
        <v>1239</v>
      </c>
      <c r="AA7" s="113" t="s">
        <v>211</v>
      </c>
      <c r="AB7" s="106">
        <v>76.180000000000007</v>
      </c>
      <c r="AC7" s="112">
        <v>163</v>
      </c>
      <c r="AD7" s="114">
        <v>5</v>
      </c>
      <c r="AE7" s="106">
        <v>5.45</v>
      </c>
      <c r="AF7" s="115">
        <f t="shared" ref="AF7:AF37" si="10">IF(AX7=0,0,AE7/AX7*1000)</f>
        <v>25.73668303740083</v>
      </c>
      <c r="AG7" s="106">
        <v>111.45</v>
      </c>
      <c r="AH7" s="115">
        <f t="shared" ref="AH7:AH37" si="11">IF(AX7=0,0,AG7/AX7*1000)</f>
        <v>526.30336229693989</v>
      </c>
      <c r="AI7" s="106">
        <v>23.62</v>
      </c>
      <c r="AJ7" s="116"/>
      <c r="AK7" s="117">
        <v>9.33</v>
      </c>
      <c r="AL7" s="118">
        <v>57.63</v>
      </c>
      <c r="AM7" s="110">
        <f t="shared" ref="AM7:AM37" si="12">IF(AL7=0,0,AL7/AS7)</f>
        <v>0.21121495327102802</v>
      </c>
      <c r="AN7" s="119" t="s">
        <v>212</v>
      </c>
      <c r="AO7" s="403">
        <v>9.52</v>
      </c>
      <c r="AP7" s="120">
        <v>7.16</v>
      </c>
      <c r="AQ7" s="106"/>
      <c r="AR7" s="106">
        <v>5.92</v>
      </c>
      <c r="AS7" s="314">
        <v>272.85000000000002</v>
      </c>
      <c r="AT7" s="121">
        <v>5.87</v>
      </c>
      <c r="AU7" s="122"/>
      <c r="AV7" s="123"/>
      <c r="AW7" s="124"/>
      <c r="AX7" s="109">
        <f t="shared" ref="AX7:AX37" si="13">AS7-AL7-AK7+AV7+AT7</f>
        <v>211.76000000000002</v>
      </c>
      <c r="AY7" s="115">
        <f>IF(AB7=0,0,((D7*0.97)*(E7/100)*0.9)/(AB7/100))</f>
        <v>219.50079159176619</v>
      </c>
      <c r="AZ7" s="125">
        <f t="shared" ref="AZ7:AZ37" si="14">(AG7*AR7)/100*(55/71)</f>
        <v>5.1110028169014079</v>
      </c>
      <c r="BA7" s="115">
        <f t="shared" ref="BA7:BA23" si="15">AX7*$BA$6</f>
        <v>8.4704000000000015</v>
      </c>
      <c r="BB7" s="103">
        <f t="shared" ref="BB7:BB37" si="16">IF((D7*E7)=0,0,(AX7*AB7)/(D7*E7))</f>
        <v>0.84221327248705313</v>
      </c>
      <c r="BC7" s="115">
        <f t="shared" ref="BC7:BC37" si="17">AZ7+BA7</f>
        <v>13.581402816901409</v>
      </c>
      <c r="BD7" s="126">
        <v>0.84199999999999997</v>
      </c>
      <c r="BE7" s="16">
        <f>AX7</f>
        <v>211.76000000000002</v>
      </c>
      <c r="BF7" s="16">
        <f t="shared" ref="BF7:BF38" si="18">IF(A7&lt;=$BD$43,$AS$43,0)</f>
        <v>220.96774193548387</v>
      </c>
      <c r="BG7" s="16">
        <f>BF7</f>
        <v>220.96774193548387</v>
      </c>
      <c r="BH7" s="17">
        <f t="shared" ref="BH7:BH37" si="19">IF(AX7&lt;&gt;0,1,0)</f>
        <v>1</v>
      </c>
      <c r="BI7" s="16">
        <f>BF7*BH7</f>
        <v>220.96774193548387</v>
      </c>
      <c r="BJ7" s="336">
        <v>373.89400000000001</v>
      </c>
      <c r="BK7" s="336">
        <v>9.9999999999999995E-8</v>
      </c>
      <c r="BL7" s="336">
        <v>113.41200000000001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2.58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38.549999999999997</v>
      </c>
      <c r="BZ7" s="336">
        <v>9.9999999999999995E-8</v>
      </c>
      <c r="CA7" s="336">
        <v>45.21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154.85</v>
      </c>
      <c r="CH7" s="336">
        <v>9.9999999999999995E-8</v>
      </c>
      <c r="CI7" s="336">
        <v>155.05000000000001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364.24753480000004</v>
      </c>
      <c r="CQ7" s="22">
        <f t="shared" si="20"/>
        <v>9.99999999E-8</v>
      </c>
      <c r="CR7" s="22">
        <f t="shared" si="20"/>
        <v>113.41199988658801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154.84999984514999</v>
      </c>
      <c r="CX7" s="21">
        <f t="shared" si="21"/>
        <v>9.99999999E-8</v>
      </c>
      <c r="CY7" s="21">
        <f t="shared" si="21"/>
        <v>155.04999984495001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02"/>
    </row>
    <row r="8" spans="1:112" ht="16.5" customHeight="1">
      <c r="A8" s="127">
        <v>2</v>
      </c>
      <c r="B8" s="103">
        <f>'[1]март 20'!K7</f>
        <v>416.65800000000002</v>
      </c>
      <c r="C8" s="104">
        <f t="shared" si="0"/>
        <v>2.4856189968751354</v>
      </c>
      <c r="D8" s="105">
        <f t="shared" si="1"/>
        <v>406.30146960000002</v>
      </c>
      <c r="E8" s="104">
        <f t="shared" si="2"/>
        <v>40.123418679108525</v>
      </c>
      <c r="F8" s="128">
        <f t="shared" si="3"/>
        <v>1.9409614942913107</v>
      </c>
      <c r="G8" s="106"/>
      <c r="H8" s="107">
        <f t="shared" si="4"/>
        <v>1.4775209936463958</v>
      </c>
      <c r="I8" s="103">
        <f>'[1]сентябрь 20'!AE7</f>
        <v>0</v>
      </c>
      <c r="J8" s="328">
        <f>'[1]март 20'!AA7</f>
        <v>15.044</v>
      </c>
      <c r="K8" s="106"/>
      <c r="L8" s="328">
        <f>'[1]март 20'!AI7</f>
        <v>97.012</v>
      </c>
      <c r="M8" s="103">
        <f t="shared" si="5"/>
        <v>0.46344050064491477</v>
      </c>
      <c r="N8" s="103">
        <f>'[1]июль 20'!AM7</f>
        <v>0</v>
      </c>
      <c r="O8" s="103">
        <f>'[1]март 20'!W7</f>
        <v>0</v>
      </c>
      <c r="P8" s="103">
        <f>'[1]март 20'!S7</f>
        <v>273.80599999999998</v>
      </c>
      <c r="Q8" s="108">
        <f t="shared" si="6"/>
        <v>3.3074512611118712</v>
      </c>
      <c r="R8" s="109">
        <f t="shared" si="7"/>
        <v>264.75000000000006</v>
      </c>
      <c r="S8" s="106">
        <v>18.18</v>
      </c>
      <c r="T8" s="109">
        <f t="shared" si="8"/>
        <v>264.75</v>
      </c>
      <c r="U8" s="110">
        <f t="shared" si="9"/>
        <v>1.2647494386853297</v>
      </c>
      <c r="V8" s="136">
        <v>209.33</v>
      </c>
      <c r="W8" s="130"/>
      <c r="X8" s="131">
        <v>1.51</v>
      </c>
      <c r="Y8" s="112">
        <v>663</v>
      </c>
      <c r="Z8" s="112">
        <v>1245</v>
      </c>
      <c r="AA8" s="132" t="s">
        <v>213</v>
      </c>
      <c r="AB8" s="131">
        <v>76.52</v>
      </c>
      <c r="AC8" s="133">
        <v>139</v>
      </c>
      <c r="AD8" s="134">
        <v>5</v>
      </c>
      <c r="AE8" s="131">
        <v>3.85</v>
      </c>
      <c r="AF8" s="115">
        <f t="shared" si="10"/>
        <v>18.392012611665795</v>
      </c>
      <c r="AG8" s="131">
        <v>110.75</v>
      </c>
      <c r="AH8" s="115">
        <f t="shared" si="11"/>
        <v>529.06893421869779</v>
      </c>
      <c r="AI8" s="131">
        <v>25.66</v>
      </c>
      <c r="AJ8" s="116"/>
      <c r="AK8" s="135">
        <v>9.9700000000000006</v>
      </c>
      <c r="AL8" s="136">
        <v>53.43</v>
      </c>
      <c r="AM8" s="110">
        <f t="shared" si="12"/>
        <v>0.19759615384615387</v>
      </c>
      <c r="AN8" s="137" t="s">
        <v>153</v>
      </c>
      <c r="AO8" s="150">
        <v>9.85</v>
      </c>
      <c r="AP8" s="138">
        <v>7.32</v>
      </c>
      <c r="AQ8" s="131"/>
      <c r="AR8" s="131">
        <v>5.59</v>
      </c>
      <c r="AS8" s="315">
        <v>270.39999999999998</v>
      </c>
      <c r="AT8" s="131">
        <v>2.33</v>
      </c>
      <c r="AU8" s="116"/>
      <c r="AV8" s="131"/>
      <c r="AW8" s="109"/>
      <c r="AX8" s="109">
        <f t="shared" si="13"/>
        <v>209.32999999999998</v>
      </c>
      <c r="AY8" s="115">
        <f t="shared" ref="AY8:AY37" si="24">IF(AB8=0,0,((D8*0.97)*(E8/100)*0.9)/(AB8/100))</f>
        <v>185.98829155660292</v>
      </c>
      <c r="AZ8" s="140">
        <f t="shared" si="14"/>
        <v>4.795786971830986</v>
      </c>
      <c r="BA8" s="141">
        <f t="shared" si="15"/>
        <v>8.3731999999999989</v>
      </c>
      <c r="BB8" s="128">
        <f t="shared" si="16"/>
        <v>0.98256233481441546</v>
      </c>
      <c r="BC8" s="141">
        <f t="shared" si="17"/>
        <v>13.168986971830986</v>
      </c>
      <c r="BD8" s="142">
        <v>0.90700000000000003</v>
      </c>
      <c r="BE8" s="16">
        <f t="shared" ref="BE8:BE37" si="25">BE7+AX8</f>
        <v>421.09000000000003</v>
      </c>
      <c r="BF8" s="16">
        <f t="shared" si="18"/>
        <v>220.96774193548387</v>
      </c>
      <c r="BG8" s="16">
        <f t="shared" ref="BG8:BG37" si="26">BF8+BG7</f>
        <v>441.93548387096774</v>
      </c>
      <c r="BH8" s="17">
        <f t="shared" si="19"/>
        <v>1</v>
      </c>
      <c r="BI8" s="16">
        <f t="shared" ref="BI8:BI37" si="27">BI7+BF8*BH8</f>
        <v>441.93548387096774</v>
      </c>
      <c r="BJ8" s="249">
        <v>319.64600000000002</v>
      </c>
      <c r="BK8" s="195"/>
      <c r="BL8" s="197">
        <v>97.012</v>
      </c>
      <c r="BM8" s="197"/>
      <c r="BN8" s="230"/>
      <c r="BO8" s="230"/>
      <c r="BP8" s="250"/>
      <c r="BQ8" s="199"/>
      <c r="BR8" s="200">
        <v>3.24</v>
      </c>
      <c r="BS8" s="200"/>
      <c r="BT8" s="200"/>
      <c r="BU8" s="200"/>
      <c r="BV8" s="208"/>
      <c r="BW8" s="208"/>
      <c r="BX8" s="198"/>
      <c r="BY8" s="202">
        <v>38.61</v>
      </c>
      <c r="BZ8" s="200"/>
      <c r="CA8" s="200">
        <v>45.11</v>
      </c>
      <c r="CB8" s="200"/>
      <c r="CC8" s="197"/>
      <c r="CD8" s="197"/>
      <c r="CE8" s="197"/>
      <c r="CF8" s="203"/>
      <c r="CG8" s="204">
        <v>132.05000000000001</v>
      </c>
      <c r="CH8" s="197"/>
      <c r="CI8" s="197">
        <v>132.69999999999999</v>
      </c>
      <c r="CJ8" s="198"/>
      <c r="CK8" s="205"/>
      <c r="CL8" s="206"/>
      <c r="CM8" s="269"/>
      <c r="CN8" s="207"/>
      <c r="CO8" s="284"/>
      <c r="CP8" s="286">
        <f t="shared" si="20"/>
        <v>309.28946960000002</v>
      </c>
      <c r="CQ8" s="24">
        <f t="shared" si="20"/>
        <v>0</v>
      </c>
      <c r="CR8" s="25">
        <f t="shared" si="20"/>
        <v>97.012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132.05000000000001</v>
      </c>
      <c r="CX8" s="26">
        <f t="shared" si="21"/>
        <v>0</v>
      </c>
      <c r="CY8" s="277">
        <f t="shared" si="21"/>
        <v>132.69999999999999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8">IF(I8=0,0,(DE8*DD8%)/(AB8/100))</f>
        <v>0</v>
      </c>
      <c r="DH8" s="402"/>
    </row>
    <row r="9" spans="1:112" ht="16.5" customHeight="1">
      <c r="A9" s="127">
        <v>3</v>
      </c>
      <c r="B9" s="103">
        <f>'[1]март 20'!K8</f>
        <v>386.06700000000001</v>
      </c>
      <c r="C9" s="104">
        <f t="shared" si="0"/>
        <v>2.1758201555688519</v>
      </c>
      <c r="D9" s="143">
        <f t="shared" si="1"/>
        <v>377.66687639999998</v>
      </c>
      <c r="E9" s="104">
        <f t="shared" si="2"/>
        <v>40.138436618514405</v>
      </c>
      <c r="F9" s="128">
        <f t="shared" si="3"/>
        <v>2.3117272228683357</v>
      </c>
      <c r="G9" s="106"/>
      <c r="H9" s="107">
        <f t="shared" si="4"/>
        <v>1.7590676158413419</v>
      </c>
      <c r="I9" s="103">
        <f>'[1]сентябрь 20'!AE8</f>
        <v>0</v>
      </c>
      <c r="J9" s="328">
        <f>'[1]март 20'!AA8</f>
        <v>13.404</v>
      </c>
      <c r="K9" s="106"/>
      <c r="L9" s="328">
        <f>'[1]март 20'!AI8</f>
        <v>90.287999999999997</v>
      </c>
      <c r="M9" s="103">
        <f t="shared" si="5"/>
        <v>0.5526596070269939</v>
      </c>
      <c r="N9" s="103">
        <f>'[1]июль 20'!AM8</f>
        <v>0</v>
      </c>
      <c r="O9" s="103">
        <f>'[1]март 20'!W8</f>
        <v>0</v>
      </c>
      <c r="P9" s="103">
        <f>'[1]март 20'!S8</f>
        <v>247.33099999999999</v>
      </c>
      <c r="Q9" s="108">
        <f t="shared" si="6"/>
        <v>3.0570369262243768</v>
      </c>
      <c r="R9" s="109">
        <f t="shared" si="7"/>
        <v>239.77</v>
      </c>
      <c r="S9" s="106">
        <v>13.25</v>
      </c>
      <c r="T9" s="109">
        <f t="shared" si="8"/>
        <v>239.76999999999998</v>
      </c>
      <c r="U9" s="110">
        <f t="shared" si="9"/>
        <v>1.4676501193609599</v>
      </c>
      <c r="V9" s="136">
        <v>163.37</v>
      </c>
      <c r="W9" s="130"/>
      <c r="X9" s="131">
        <v>1.55</v>
      </c>
      <c r="Y9" s="112">
        <v>648</v>
      </c>
      <c r="Z9" s="112">
        <v>1243</v>
      </c>
      <c r="AA9" s="144" t="s">
        <v>214</v>
      </c>
      <c r="AB9" s="131">
        <v>76.02</v>
      </c>
      <c r="AC9" s="133">
        <v>129</v>
      </c>
      <c r="AD9" s="134">
        <v>5</v>
      </c>
      <c r="AE9" s="131">
        <v>6.45</v>
      </c>
      <c r="AF9" s="115">
        <f t="shared" si="10"/>
        <v>39.480932851808781</v>
      </c>
      <c r="AG9" s="131">
        <v>103.4</v>
      </c>
      <c r="AH9" s="115">
        <f t="shared" si="11"/>
        <v>632.91914060108957</v>
      </c>
      <c r="AI9" s="131">
        <v>24.35</v>
      </c>
      <c r="AJ9" s="116"/>
      <c r="AK9" s="135">
        <v>11.09</v>
      </c>
      <c r="AL9" s="136">
        <v>53.75</v>
      </c>
      <c r="AM9" s="110">
        <f t="shared" si="12"/>
        <v>0.23798981624972326</v>
      </c>
      <c r="AN9" s="137" t="s">
        <v>215</v>
      </c>
      <c r="AO9" s="150">
        <v>8.4600000000000009</v>
      </c>
      <c r="AP9" s="131">
        <v>7.35</v>
      </c>
      <c r="AQ9" s="131"/>
      <c r="AR9" s="131">
        <v>8.1999999999999993</v>
      </c>
      <c r="AS9" s="315">
        <v>225.85</v>
      </c>
      <c r="AT9" s="131">
        <v>2.36</v>
      </c>
      <c r="AU9" s="116"/>
      <c r="AV9" s="131"/>
      <c r="AW9" s="109"/>
      <c r="AX9" s="109">
        <f t="shared" si="13"/>
        <v>163.37</v>
      </c>
      <c r="AY9" s="115">
        <f t="shared" si="24"/>
        <v>174.08274556260739</v>
      </c>
      <c r="AZ9" s="140">
        <f t="shared" si="14"/>
        <v>6.5680845070422533</v>
      </c>
      <c r="BA9" s="141">
        <f t="shared" si="15"/>
        <v>6.5348000000000006</v>
      </c>
      <c r="BB9" s="128">
        <f t="shared" si="16"/>
        <v>0.81927711755159105</v>
      </c>
      <c r="BC9" s="141">
        <f t="shared" si="17"/>
        <v>13.102884507042255</v>
      </c>
      <c r="BD9" s="142">
        <v>0.88100000000000001</v>
      </c>
      <c r="BE9" s="16">
        <f t="shared" si="25"/>
        <v>584.46</v>
      </c>
      <c r="BF9" s="16">
        <f t="shared" si="18"/>
        <v>220.96774193548387</v>
      </c>
      <c r="BG9" s="16">
        <f t="shared" si="26"/>
        <v>662.90322580645159</v>
      </c>
      <c r="BH9" s="17">
        <f t="shared" si="19"/>
        <v>1</v>
      </c>
      <c r="BI9" s="16">
        <f t="shared" si="27"/>
        <v>662.90322580645159</v>
      </c>
      <c r="BJ9" s="249">
        <v>295.779</v>
      </c>
      <c r="BK9" s="195"/>
      <c r="BL9" s="197">
        <v>90.287999999999997</v>
      </c>
      <c r="BM9" s="197"/>
      <c r="BN9" s="230"/>
      <c r="BO9" s="230"/>
      <c r="BP9" s="250"/>
      <c r="BQ9" s="199"/>
      <c r="BR9" s="200">
        <v>2.84</v>
      </c>
      <c r="BS9" s="200"/>
      <c r="BT9" s="200"/>
      <c r="BU9" s="200"/>
      <c r="BV9" s="208"/>
      <c r="BW9" s="208"/>
      <c r="BX9" s="201"/>
      <c r="BY9" s="202">
        <v>38.630000000000003</v>
      </c>
      <c r="BZ9" s="200"/>
      <c r="CA9" s="200">
        <v>45.08</v>
      </c>
      <c r="CB9" s="200"/>
      <c r="CC9" s="200"/>
      <c r="CD9" s="200"/>
      <c r="CE9" s="200"/>
      <c r="CF9" s="203"/>
      <c r="CG9" s="204">
        <v>122.55</v>
      </c>
      <c r="CH9" s="197"/>
      <c r="CI9" s="197">
        <v>117.22</v>
      </c>
      <c r="CJ9" s="198"/>
      <c r="CK9" s="202"/>
      <c r="CL9" s="208"/>
      <c r="CM9" s="208"/>
      <c r="CN9" s="201"/>
      <c r="CO9" s="284"/>
      <c r="CP9" s="286">
        <f t="shared" si="20"/>
        <v>287.37887640000002</v>
      </c>
      <c r="CQ9" s="27">
        <f t="shared" si="20"/>
        <v>0</v>
      </c>
      <c r="CR9" s="28">
        <f t="shared" si="20"/>
        <v>90.287999999999997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122.55</v>
      </c>
      <c r="CX9" s="26">
        <f t="shared" si="21"/>
        <v>0</v>
      </c>
      <c r="CY9" s="277">
        <f t="shared" si="21"/>
        <v>117.22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8"/>
        <v>0</v>
      </c>
      <c r="DH9" s="402"/>
    </row>
    <row r="10" spans="1:112" ht="16.5" customHeight="1">
      <c r="A10" s="127">
        <v>4</v>
      </c>
      <c r="B10" s="103">
        <f>'[1]март 20'!K9</f>
        <v>228.119</v>
      </c>
      <c r="C10" s="104">
        <f t="shared" si="0"/>
        <v>2.6898104936458607</v>
      </c>
      <c r="D10" s="143">
        <f t="shared" si="1"/>
        <v>221.9830312</v>
      </c>
      <c r="E10" s="104">
        <f t="shared" si="2"/>
        <v>40.007871242640903</v>
      </c>
      <c r="F10" s="128">
        <f t="shared" si="3"/>
        <v>2.2249476916908892</v>
      </c>
      <c r="G10" s="106"/>
      <c r="H10" s="107">
        <f t="shared" si="4"/>
        <v>1.6256493054024259</v>
      </c>
      <c r="I10" s="103">
        <f>'[1]сентябрь 20'!AE9</f>
        <v>0</v>
      </c>
      <c r="J10" s="328">
        <f>'[1]март 20'!AA9</f>
        <v>4.5430000000000001</v>
      </c>
      <c r="K10" s="106"/>
      <c r="L10" s="328">
        <f>'[1]март 20'!AI9</f>
        <v>59.792000000000002</v>
      </c>
      <c r="M10" s="103">
        <f t="shared" si="5"/>
        <v>0.59929838628846355</v>
      </c>
      <c r="N10" s="103">
        <f>'[1]июль 20'!AM9</f>
        <v>0</v>
      </c>
      <c r="O10" s="103">
        <f>'[1]март 20'!W9</f>
        <v>0</v>
      </c>
      <c r="P10" s="103">
        <f>'[1]март 20'!S9</f>
        <v>148.733</v>
      </c>
      <c r="Q10" s="108">
        <f t="shared" si="6"/>
        <v>3.4040865174507218</v>
      </c>
      <c r="R10" s="109">
        <f t="shared" si="7"/>
        <v>143.67000000000002</v>
      </c>
      <c r="S10" s="106">
        <v>18.11</v>
      </c>
      <c r="T10" s="109">
        <f t="shared" si="8"/>
        <v>143.67000000000002</v>
      </c>
      <c r="U10" s="110">
        <f t="shared" si="9"/>
        <v>1.4400120276636266</v>
      </c>
      <c r="V10" s="136">
        <v>99.77</v>
      </c>
      <c r="W10" s="130">
        <v>69.53</v>
      </c>
      <c r="X10" s="131">
        <v>0.99</v>
      </c>
      <c r="Y10" s="112">
        <v>553</v>
      </c>
      <c r="Z10" s="112">
        <v>1172</v>
      </c>
      <c r="AA10" s="144" t="s">
        <v>216</v>
      </c>
      <c r="AB10" s="131">
        <v>76.66</v>
      </c>
      <c r="AC10" s="133">
        <v>77</v>
      </c>
      <c r="AD10" s="134">
        <v>3</v>
      </c>
      <c r="AE10" s="131"/>
      <c r="AF10" s="115">
        <f t="shared" si="10"/>
        <v>0</v>
      </c>
      <c r="AG10" s="131">
        <v>60.85</v>
      </c>
      <c r="AH10" s="115">
        <f t="shared" si="11"/>
        <v>609.90277638568716</v>
      </c>
      <c r="AI10" s="131">
        <v>16.39</v>
      </c>
      <c r="AJ10" s="116"/>
      <c r="AK10" s="135">
        <v>8.02</v>
      </c>
      <c r="AL10" s="136">
        <v>30.35</v>
      </c>
      <c r="AM10" s="110">
        <f t="shared" si="12"/>
        <v>0.22406792174234039</v>
      </c>
      <c r="AN10" s="137" t="s">
        <v>159</v>
      </c>
      <c r="AO10" s="150">
        <v>8.6199999999999992</v>
      </c>
      <c r="AP10" s="138">
        <v>7.17</v>
      </c>
      <c r="AQ10" s="131"/>
      <c r="AR10" s="131">
        <v>9.65</v>
      </c>
      <c r="AS10" s="315">
        <v>135.44999999999999</v>
      </c>
      <c r="AT10" s="131">
        <v>2.69</v>
      </c>
      <c r="AU10" s="116"/>
      <c r="AV10" s="131"/>
      <c r="AW10" s="109"/>
      <c r="AX10" s="109">
        <f t="shared" si="13"/>
        <v>99.77</v>
      </c>
      <c r="AY10" s="115">
        <f>IF(AB10=0,0,((D10*0.97)*(E10/100)*0.9)/(AB10/100))</f>
        <v>101.13713575466403</v>
      </c>
      <c r="AZ10" s="140">
        <f t="shared" si="14"/>
        <v>4.5487517605633796</v>
      </c>
      <c r="BA10" s="141">
        <f t="shared" si="15"/>
        <v>3.9908000000000001</v>
      </c>
      <c r="BB10" s="128">
        <f t="shared" si="16"/>
        <v>0.86119909714749199</v>
      </c>
      <c r="BC10" s="141">
        <f t="shared" si="17"/>
        <v>8.5395517605633806</v>
      </c>
      <c r="BD10" s="142">
        <v>0.878</v>
      </c>
      <c r="BE10" s="16">
        <f t="shared" si="25"/>
        <v>684.23</v>
      </c>
      <c r="BF10" s="16">
        <f t="shared" si="18"/>
        <v>220.96774193548387</v>
      </c>
      <c r="BG10" s="16">
        <f t="shared" si="26"/>
        <v>883.87096774193549</v>
      </c>
      <c r="BH10" s="17">
        <f t="shared" si="19"/>
        <v>1</v>
      </c>
      <c r="BI10" s="16">
        <f t="shared" si="27"/>
        <v>883.87096774193549</v>
      </c>
      <c r="BJ10" s="249">
        <v>159.46100000000001</v>
      </c>
      <c r="BK10" s="195"/>
      <c r="BL10" s="197">
        <v>59.792000000000002</v>
      </c>
      <c r="BM10" s="195"/>
      <c r="BN10" s="195"/>
      <c r="BO10" s="230"/>
      <c r="BP10" s="250">
        <v>8.8659999999999997</v>
      </c>
      <c r="BQ10" s="199"/>
      <c r="BR10" s="200">
        <v>3.64</v>
      </c>
      <c r="BS10" s="200"/>
      <c r="BT10" s="200"/>
      <c r="BU10" s="200"/>
      <c r="BV10" s="208"/>
      <c r="BW10" s="208"/>
      <c r="BX10" s="201">
        <v>3.74</v>
      </c>
      <c r="BY10" s="202">
        <v>38.22</v>
      </c>
      <c r="BZ10" s="200"/>
      <c r="CA10" s="200">
        <v>45.05</v>
      </c>
      <c r="CB10" s="200"/>
      <c r="CC10" s="200"/>
      <c r="CD10" s="200"/>
      <c r="CE10" s="200">
        <v>38.159999999999997</v>
      </c>
      <c r="CF10" s="203"/>
      <c r="CG10" s="204">
        <v>72.2</v>
      </c>
      <c r="CH10" s="197"/>
      <c r="CI10" s="197">
        <v>71.47</v>
      </c>
      <c r="CJ10" s="198"/>
      <c r="CK10" s="202"/>
      <c r="CL10" s="208"/>
      <c r="CM10" s="208"/>
      <c r="CN10" s="201"/>
      <c r="CO10" s="284"/>
      <c r="CP10" s="286">
        <f t="shared" si="20"/>
        <v>153.65661960000003</v>
      </c>
      <c r="CQ10" s="29">
        <f t="shared" si="20"/>
        <v>0</v>
      </c>
      <c r="CR10" s="30">
        <f t="shared" si="20"/>
        <v>59.792000000000002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8.5344116000000003</v>
      </c>
      <c r="CW10" s="237">
        <f t="shared" si="21"/>
        <v>72.2</v>
      </c>
      <c r="CX10" s="26">
        <f t="shared" si="21"/>
        <v>0</v>
      </c>
      <c r="CY10" s="277">
        <f t="shared" si="21"/>
        <v>71.47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8"/>
        <v>0</v>
      </c>
      <c r="DH10" s="402"/>
    </row>
    <row r="11" spans="1:112" ht="16.5" customHeight="1">
      <c r="A11" s="127">
        <v>5</v>
      </c>
      <c r="B11" s="103">
        <f>'[1]март 20'!K10</f>
        <v>338.12</v>
      </c>
      <c r="C11" s="104">
        <f t="shared" si="0"/>
        <v>2.1509250857683662</v>
      </c>
      <c r="D11" s="143">
        <f t="shared" si="1"/>
        <v>330.8472921</v>
      </c>
      <c r="E11" s="104">
        <f t="shared" si="2"/>
        <v>40.089855583816387</v>
      </c>
      <c r="F11" s="128">
        <f t="shared" si="3"/>
        <v>2.2140620497891987</v>
      </c>
      <c r="G11" s="106"/>
      <c r="H11" s="107">
        <f>IF(AX11=0,0,(CV11+CS11+CU11+CP11+CT11)/AX11)</f>
        <v>1.565725035802717</v>
      </c>
      <c r="I11" s="103">
        <f>'[1]сентябрь 20'!AE10</f>
        <v>0</v>
      </c>
      <c r="J11" s="328">
        <f>'[1]март 20'!AA10</f>
        <v>3.0179999999999998</v>
      </c>
      <c r="K11" s="106"/>
      <c r="L11" s="328">
        <f>'[1]март 20'!AI10</f>
        <v>96.881</v>
      </c>
      <c r="M11" s="103">
        <f t="shared" si="5"/>
        <v>0.64833701398648191</v>
      </c>
      <c r="N11" s="103">
        <f>'[1]июль 20'!AM10</f>
        <v>0</v>
      </c>
      <c r="O11" s="103">
        <f>'[1]март 20'!W10</f>
        <v>0</v>
      </c>
      <c r="P11" s="103">
        <f>'[1]март 20'!S10</f>
        <v>217.554</v>
      </c>
      <c r="Q11" s="108">
        <f t="shared" si="6"/>
        <v>3.1904722505676775</v>
      </c>
      <c r="R11" s="109">
        <f t="shared" si="7"/>
        <v>210.613</v>
      </c>
      <c r="S11" s="106">
        <v>2.72</v>
      </c>
      <c r="T11" s="109">
        <f t="shared" si="8"/>
        <v>210.613</v>
      </c>
      <c r="U11" s="110">
        <f t="shared" si="9"/>
        <v>1.4094425483503981</v>
      </c>
      <c r="V11" s="136">
        <v>149.43</v>
      </c>
      <c r="W11" s="130">
        <v>149.43</v>
      </c>
      <c r="X11" s="131">
        <v>0.46</v>
      </c>
      <c r="Y11" s="112">
        <v>561</v>
      </c>
      <c r="Z11" s="112">
        <v>1160</v>
      </c>
      <c r="AA11" s="144" t="s">
        <v>142</v>
      </c>
      <c r="AB11" s="131">
        <v>76.39</v>
      </c>
      <c r="AC11" s="133">
        <v>113</v>
      </c>
      <c r="AD11" s="134">
        <v>4</v>
      </c>
      <c r="AE11" s="131">
        <v>4.9000000000000004</v>
      </c>
      <c r="AF11" s="115">
        <f t="shared" si="10"/>
        <v>32.791273505989423</v>
      </c>
      <c r="AG11" s="131">
        <v>88.7</v>
      </c>
      <c r="AH11" s="115">
        <f t="shared" si="11"/>
        <v>593.58897142474734</v>
      </c>
      <c r="AI11" s="131">
        <v>24.75</v>
      </c>
      <c r="AJ11" s="116"/>
      <c r="AK11" s="135">
        <v>6.92</v>
      </c>
      <c r="AL11" s="136">
        <v>46.89</v>
      </c>
      <c r="AM11" s="110">
        <f t="shared" si="12"/>
        <v>0.23398203592814371</v>
      </c>
      <c r="AN11" s="137" t="s">
        <v>117</v>
      </c>
      <c r="AO11" s="150">
        <v>8.6999999999999993</v>
      </c>
      <c r="AP11" s="138">
        <v>7.03</v>
      </c>
      <c r="AQ11" s="131"/>
      <c r="AR11" s="131">
        <v>11</v>
      </c>
      <c r="AS11" s="315">
        <v>200.4</v>
      </c>
      <c r="AT11" s="131">
        <v>2.84</v>
      </c>
      <c r="AU11" s="145"/>
      <c r="AV11" s="131"/>
      <c r="AW11" s="109"/>
      <c r="AX11" s="109">
        <f t="shared" si="13"/>
        <v>149.43</v>
      </c>
      <c r="AY11" s="115">
        <f t="shared" si="24"/>
        <v>151.57926954040229</v>
      </c>
      <c r="AZ11" s="140">
        <f t="shared" si="14"/>
        <v>7.5582394366197176</v>
      </c>
      <c r="BA11" s="141">
        <f t="shared" si="15"/>
        <v>5.9772000000000007</v>
      </c>
      <c r="BB11" s="128">
        <f t="shared" si="16"/>
        <v>0.86062157705034281</v>
      </c>
      <c r="BC11" s="141">
        <f t="shared" si="17"/>
        <v>13.535439436619718</v>
      </c>
      <c r="BD11" s="142">
        <v>0.875</v>
      </c>
      <c r="BE11" s="16">
        <f t="shared" si="25"/>
        <v>833.66000000000008</v>
      </c>
      <c r="BF11" s="16">
        <f t="shared" si="18"/>
        <v>220.96774193548387</v>
      </c>
      <c r="BG11" s="16">
        <f t="shared" si="26"/>
        <v>1104.8387096774193</v>
      </c>
      <c r="BH11" s="17">
        <f t="shared" si="19"/>
        <v>1</v>
      </c>
      <c r="BI11" s="16">
        <f t="shared" si="27"/>
        <v>1104.8387096774193</v>
      </c>
      <c r="BJ11" s="249">
        <v>218.51</v>
      </c>
      <c r="BK11" s="195"/>
      <c r="BL11" s="197">
        <v>96.881</v>
      </c>
      <c r="BM11" s="197"/>
      <c r="BN11" s="230"/>
      <c r="BO11" s="230"/>
      <c r="BP11" s="250">
        <v>22.728999999999999</v>
      </c>
      <c r="BQ11" s="199"/>
      <c r="BR11" s="200">
        <v>2.88</v>
      </c>
      <c r="BS11" s="200"/>
      <c r="BT11" s="200"/>
      <c r="BU11" s="200"/>
      <c r="BV11" s="208"/>
      <c r="BW11" s="208"/>
      <c r="BX11" s="201">
        <v>4.3099999999999996</v>
      </c>
      <c r="BY11" s="202">
        <v>38.229999999999997</v>
      </c>
      <c r="BZ11" s="200"/>
      <c r="CA11" s="200">
        <v>44.66</v>
      </c>
      <c r="CB11" s="200"/>
      <c r="CC11" s="200"/>
      <c r="CD11" s="200"/>
      <c r="CE11" s="200">
        <v>38.49</v>
      </c>
      <c r="CF11" s="203"/>
      <c r="CG11" s="204">
        <v>107.35</v>
      </c>
      <c r="CH11" s="197"/>
      <c r="CI11" s="230">
        <v>103.26300000000001</v>
      </c>
      <c r="CJ11" s="198"/>
      <c r="CK11" s="202"/>
      <c r="CL11" s="208"/>
      <c r="CM11" s="208"/>
      <c r="CN11" s="201"/>
      <c r="CO11" s="284"/>
      <c r="CP11" s="286">
        <f t="shared" si="20"/>
        <v>212.21691200000001</v>
      </c>
      <c r="CQ11" s="24">
        <f t="shared" si="20"/>
        <v>0</v>
      </c>
      <c r="CR11" s="25">
        <f t="shared" si="20"/>
        <v>96.881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21.7493801</v>
      </c>
      <c r="CW11" s="237">
        <f t="shared" si="21"/>
        <v>107.35</v>
      </c>
      <c r="CX11" s="26">
        <f t="shared" si="21"/>
        <v>0</v>
      </c>
      <c r="CY11" s="277">
        <f t="shared" si="21"/>
        <v>103.26300000000001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8"/>
        <v>0</v>
      </c>
      <c r="DH11" s="402"/>
    </row>
    <row r="12" spans="1:112" ht="16.5" customHeight="1">
      <c r="A12" s="127">
        <v>6</v>
      </c>
      <c r="B12" s="103">
        <f>'[1]март 20'!K11</f>
        <v>480.209</v>
      </c>
      <c r="C12" s="104">
        <f t="shared" si="0"/>
        <v>1.3421404846639691</v>
      </c>
      <c r="D12" s="143">
        <f t="shared" si="1"/>
        <v>473.76392060000001</v>
      </c>
      <c r="E12" s="104">
        <f t="shared" si="2"/>
        <v>40.466745542045231</v>
      </c>
      <c r="F12" s="128">
        <f t="shared" si="3"/>
        <v>2.0140454899460103</v>
      </c>
      <c r="G12" s="106"/>
      <c r="H12" s="107">
        <f t="shared" si="4"/>
        <v>1.4358156723207078</v>
      </c>
      <c r="I12" s="103">
        <f>'[1]сентябрь 20'!AE11</f>
        <v>0</v>
      </c>
      <c r="J12" s="328">
        <f>'[1]март 20'!AA11</f>
        <v>4.649</v>
      </c>
      <c r="K12" s="106"/>
      <c r="L12" s="328">
        <f>'[1]март 20'!AI11</f>
        <v>136.017</v>
      </c>
      <c r="M12" s="103">
        <f t="shared" si="5"/>
        <v>0.5782298176253029</v>
      </c>
      <c r="N12" s="103">
        <f>'[1]июль 20'!AM11</f>
        <v>0</v>
      </c>
      <c r="O12" s="103">
        <f>'[1]март 20'!W11</f>
        <v>0</v>
      </c>
      <c r="P12" s="103">
        <f>'[1]март 20'!S11</f>
        <v>309.33300000000003</v>
      </c>
      <c r="Q12" s="108">
        <f t="shared" si="6"/>
        <v>3.0623955413745074</v>
      </c>
      <c r="R12" s="109">
        <f t="shared" si="7"/>
        <v>299.86</v>
      </c>
      <c r="S12" s="106">
        <v>25.93</v>
      </c>
      <c r="T12" s="109">
        <f t="shared" si="8"/>
        <v>299.86</v>
      </c>
      <c r="U12" s="110">
        <f t="shared" si="9"/>
        <v>1.2747523700208307</v>
      </c>
      <c r="V12" s="136">
        <v>235.23</v>
      </c>
      <c r="W12" s="130">
        <v>235.23</v>
      </c>
      <c r="X12" s="131">
        <v>0.75</v>
      </c>
      <c r="Y12" s="112">
        <v>636</v>
      </c>
      <c r="Z12" s="133">
        <v>1213</v>
      </c>
      <c r="AA12" s="144" t="s">
        <v>217</v>
      </c>
      <c r="AB12" s="131">
        <v>76.09</v>
      </c>
      <c r="AC12" s="133">
        <v>160</v>
      </c>
      <c r="AD12" s="134">
        <v>5</v>
      </c>
      <c r="AE12" s="131">
        <v>2.1</v>
      </c>
      <c r="AF12" s="115">
        <f t="shared" si="10"/>
        <v>8.9274327254176757</v>
      </c>
      <c r="AG12" s="131">
        <v>116.55</v>
      </c>
      <c r="AH12" s="115">
        <f t="shared" si="11"/>
        <v>495.47251626068106</v>
      </c>
      <c r="AI12" s="131">
        <v>27.14</v>
      </c>
      <c r="AJ12" s="116"/>
      <c r="AK12" s="135">
        <v>9.08</v>
      </c>
      <c r="AL12" s="136">
        <v>53.83</v>
      </c>
      <c r="AM12" s="110">
        <f t="shared" si="12"/>
        <v>0.18204261075414271</v>
      </c>
      <c r="AN12" s="137" t="s">
        <v>218</v>
      </c>
      <c r="AO12" s="150">
        <v>10.69</v>
      </c>
      <c r="AP12" s="138">
        <v>6.78</v>
      </c>
      <c r="AQ12" s="131"/>
      <c r="AR12" s="131">
        <v>6.74</v>
      </c>
      <c r="AS12" s="315">
        <v>295.7</v>
      </c>
      <c r="AT12" s="131">
        <v>2.44</v>
      </c>
      <c r="AU12" s="116"/>
      <c r="AV12" s="131"/>
      <c r="AW12" s="109"/>
      <c r="AX12" s="109">
        <f t="shared" si="13"/>
        <v>235.23</v>
      </c>
      <c r="AY12" s="115">
        <f t="shared" si="24"/>
        <v>219.9616263784707</v>
      </c>
      <c r="AZ12" s="140">
        <f t="shared" si="14"/>
        <v>6.0852232394366199</v>
      </c>
      <c r="BA12" s="141">
        <f t="shared" si="15"/>
        <v>9.4092000000000002</v>
      </c>
      <c r="BB12" s="128">
        <f t="shared" si="16"/>
        <v>0.93359825248182315</v>
      </c>
      <c r="BC12" s="141">
        <f t="shared" si="17"/>
        <v>15.494423239436621</v>
      </c>
      <c r="BD12" s="142">
        <v>0.88700000000000001</v>
      </c>
      <c r="BE12" s="16">
        <f t="shared" si="25"/>
        <v>1068.8900000000001</v>
      </c>
      <c r="BF12" s="16">
        <f t="shared" si="18"/>
        <v>220.96774193548387</v>
      </c>
      <c r="BG12" s="16">
        <f t="shared" si="26"/>
        <v>1325.8064516129032</v>
      </c>
      <c r="BH12" s="17">
        <f t="shared" si="19"/>
        <v>1</v>
      </c>
      <c r="BI12" s="16">
        <f t="shared" si="27"/>
        <v>1325.8064516129032</v>
      </c>
      <c r="BJ12" s="249">
        <v>312.18900000000002</v>
      </c>
      <c r="BK12" s="195"/>
      <c r="BL12" s="271">
        <v>136.017</v>
      </c>
      <c r="BM12" s="197"/>
      <c r="BN12" s="230"/>
      <c r="BO12" s="230"/>
      <c r="BP12" s="250">
        <v>32.003</v>
      </c>
      <c r="BQ12" s="199"/>
      <c r="BR12" s="200">
        <v>1.8</v>
      </c>
      <c r="BS12" s="200"/>
      <c r="BT12" s="200"/>
      <c r="BU12" s="200"/>
      <c r="BV12" s="208"/>
      <c r="BW12" s="208"/>
      <c r="BX12" s="201">
        <v>2.58</v>
      </c>
      <c r="BY12" s="202">
        <v>38.57</v>
      </c>
      <c r="BZ12" s="200"/>
      <c r="CA12" s="200">
        <v>45.37</v>
      </c>
      <c r="CB12" s="200"/>
      <c r="CC12" s="200"/>
      <c r="CD12" s="200"/>
      <c r="CE12" s="200">
        <v>38.130000000000003</v>
      </c>
      <c r="CF12" s="203"/>
      <c r="CG12" s="204">
        <v>152</v>
      </c>
      <c r="CH12" s="197"/>
      <c r="CI12" s="230">
        <v>147.86000000000001</v>
      </c>
      <c r="CJ12" s="198"/>
      <c r="CK12" s="202"/>
      <c r="CL12" s="202"/>
      <c r="CM12" s="270"/>
      <c r="CN12" s="201"/>
      <c r="CO12" s="284"/>
      <c r="CP12" s="286">
        <f t="shared" si="20"/>
        <v>306.56959800000004</v>
      </c>
      <c r="CQ12" s="24">
        <f t="shared" si="20"/>
        <v>0</v>
      </c>
      <c r="CR12" s="25">
        <f t="shared" si="20"/>
        <v>136.017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31.177322600000004</v>
      </c>
      <c r="CW12" s="237">
        <f t="shared" si="21"/>
        <v>152</v>
      </c>
      <c r="CX12" s="26">
        <f t="shared" si="21"/>
        <v>0</v>
      </c>
      <c r="CY12" s="277">
        <f t="shared" si="21"/>
        <v>147.86000000000001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8"/>
        <v>0</v>
      </c>
    </row>
    <row r="13" spans="1:112" ht="16.5" customHeight="1">
      <c r="A13" s="127">
        <v>7</v>
      </c>
      <c r="B13" s="103">
        <f>'[1]март 20'!K12</f>
        <v>504.15300000000002</v>
      </c>
      <c r="C13" s="104">
        <f t="shared" si="0"/>
        <v>1.8551164626611365</v>
      </c>
      <c r="D13" s="143">
        <f t="shared" si="1"/>
        <v>494.80037470000002</v>
      </c>
      <c r="E13" s="104">
        <f t="shared" si="2"/>
        <v>40.268997367862525</v>
      </c>
      <c r="F13" s="128">
        <f t="shared" si="3"/>
        <v>2.1504644908514061</v>
      </c>
      <c r="G13" s="106"/>
      <c r="H13" s="107">
        <f t="shared" si="4"/>
        <v>1.5630117549654483</v>
      </c>
      <c r="I13" s="103">
        <f>'[1]сентябрь 20'!AE12</f>
        <v>0</v>
      </c>
      <c r="J13" s="328">
        <f>'[1]март 20'!AA12</f>
        <v>5.1710000000000003</v>
      </c>
      <c r="K13" s="106"/>
      <c r="L13" s="328">
        <f>'[1]март 20'!AI12</f>
        <v>135.167</v>
      </c>
      <c r="M13" s="103">
        <f t="shared" si="5"/>
        <v>0.5874527358859577</v>
      </c>
      <c r="N13" s="103">
        <f>'[1]июль 20'!AM12</f>
        <v>0</v>
      </c>
      <c r="O13" s="103">
        <f>'[1]март 20'!W12</f>
        <v>0</v>
      </c>
      <c r="P13" s="103">
        <f>'[1]март 20'!S12</f>
        <v>318.33999999999997</v>
      </c>
      <c r="Q13" s="108">
        <f t="shared" si="6"/>
        <v>2.8051768549349765</v>
      </c>
      <c r="R13" s="109">
        <f t="shared" si="7"/>
        <v>309.41000000000003</v>
      </c>
      <c r="S13" s="106"/>
      <c r="T13" s="109">
        <f t="shared" si="8"/>
        <v>309.40999999999997</v>
      </c>
      <c r="U13" s="110">
        <f t="shared" si="9"/>
        <v>1.3447346690425486</v>
      </c>
      <c r="V13" s="136">
        <v>230.09</v>
      </c>
      <c r="W13" s="130">
        <v>49.55</v>
      </c>
      <c r="X13" s="131">
        <v>1.41</v>
      </c>
      <c r="Y13" s="146">
        <v>610</v>
      </c>
      <c r="Z13" s="147">
        <v>1243</v>
      </c>
      <c r="AA13" s="144" t="s">
        <v>219</v>
      </c>
      <c r="AB13" s="131">
        <v>75.37</v>
      </c>
      <c r="AC13" s="133">
        <v>168</v>
      </c>
      <c r="AD13" s="134">
        <v>5</v>
      </c>
      <c r="AE13" s="131">
        <v>3.3</v>
      </c>
      <c r="AF13" s="115">
        <f t="shared" si="10"/>
        <v>14.342213916293623</v>
      </c>
      <c r="AG13" s="131">
        <v>99.2</v>
      </c>
      <c r="AH13" s="115">
        <f t="shared" si="11"/>
        <v>431.13564257464469</v>
      </c>
      <c r="AI13" s="131">
        <v>25.92</v>
      </c>
      <c r="AJ13" s="116"/>
      <c r="AK13" s="135">
        <v>15.02</v>
      </c>
      <c r="AL13" s="136">
        <v>53.84</v>
      </c>
      <c r="AM13" s="110">
        <f t="shared" si="12"/>
        <v>0.18137106282634327</v>
      </c>
      <c r="AN13" s="137" t="s">
        <v>220</v>
      </c>
      <c r="AO13" s="150">
        <v>10.82</v>
      </c>
      <c r="AP13" s="138">
        <v>6.43</v>
      </c>
      <c r="AQ13" s="131"/>
      <c r="AR13" s="131">
        <v>5.4</v>
      </c>
      <c r="AS13" s="315">
        <v>296.85000000000002</v>
      </c>
      <c r="AT13" s="131">
        <v>2.1</v>
      </c>
      <c r="AU13" s="148"/>
      <c r="AV13" s="149"/>
      <c r="AW13" s="109"/>
      <c r="AX13" s="109">
        <f t="shared" si="13"/>
        <v>230.09</v>
      </c>
      <c r="AY13" s="115">
        <f t="shared" si="24"/>
        <v>230.78977554912308</v>
      </c>
      <c r="AZ13" s="140">
        <f t="shared" si="14"/>
        <v>4.1496338028169015</v>
      </c>
      <c r="BA13" s="141">
        <f t="shared" si="15"/>
        <v>9.2035999999999998</v>
      </c>
      <c r="BB13" s="128">
        <f t="shared" si="16"/>
        <v>0.87035298475449829</v>
      </c>
      <c r="BC13" s="141">
        <f t="shared" si="17"/>
        <v>13.353233802816902</v>
      </c>
      <c r="BD13" s="142">
        <v>0.88400000000000001</v>
      </c>
      <c r="BE13" s="16">
        <f t="shared" si="25"/>
        <v>1298.98</v>
      </c>
      <c r="BF13" s="16">
        <f t="shared" si="18"/>
        <v>220.96774193548387</v>
      </c>
      <c r="BG13" s="16">
        <f t="shared" si="26"/>
        <v>1546.7741935483871</v>
      </c>
      <c r="BH13" s="17">
        <f t="shared" si="19"/>
        <v>1</v>
      </c>
      <c r="BI13" s="16">
        <f t="shared" si="27"/>
        <v>1546.7741935483871</v>
      </c>
      <c r="BJ13" s="249">
        <v>335.827</v>
      </c>
      <c r="BK13" s="195"/>
      <c r="BL13" s="266">
        <v>135.167</v>
      </c>
      <c r="BM13" s="196"/>
      <c r="BN13" s="313"/>
      <c r="BO13" s="230"/>
      <c r="BP13" s="250">
        <v>33.158999999999999</v>
      </c>
      <c r="BQ13" s="199"/>
      <c r="BR13" s="200">
        <v>2.39</v>
      </c>
      <c r="BS13" s="200"/>
      <c r="BT13" s="200"/>
      <c r="BU13" s="200"/>
      <c r="BV13" s="208"/>
      <c r="BW13" s="208"/>
      <c r="BX13" s="201">
        <v>4</v>
      </c>
      <c r="BY13" s="202">
        <v>38.75</v>
      </c>
      <c r="BZ13" s="200"/>
      <c r="CA13" s="202">
        <v>44.58</v>
      </c>
      <c r="CB13" s="200"/>
      <c r="CC13" s="200"/>
      <c r="CD13" s="200"/>
      <c r="CE13" s="200">
        <v>38.08</v>
      </c>
      <c r="CF13" s="203"/>
      <c r="CG13" s="204">
        <v>159.6</v>
      </c>
      <c r="CH13" s="197"/>
      <c r="CI13" s="264">
        <v>149.81</v>
      </c>
      <c r="CJ13" s="265"/>
      <c r="CK13" s="202"/>
      <c r="CL13" s="202"/>
      <c r="CM13" s="270"/>
      <c r="CN13" s="201"/>
      <c r="CO13" s="284"/>
      <c r="CP13" s="286">
        <f t="shared" si="20"/>
        <v>327.80073469999996</v>
      </c>
      <c r="CQ13" s="24">
        <f t="shared" si="20"/>
        <v>0</v>
      </c>
      <c r="CR13" s="25">
        <f t="shared" si="20"/>
        <v>135.167</v>
      </c>
      <c r="CS13" s="24">
        <f t="shared" si="20"/>
        <v>0</v>
      </c>
      <c r="CT13" s="27">
        <f t="shared" si="20"/>
        <v>0</v>
      </c>
      <c r="CU13" s="24">
        <f t="shared" si="20"/>
        <v>0</v>
      </c>
      <c r="CV13" s="280">
        <f t="shared" si="20"/>
        <v>31.832639999999998</v>
      </c>
      <c r="CW13" s="237">
        <f t="shared" si="21"/>
        <v>159.6</v>
      </c>
      <c r="CX13" s="26">
        <f t="shared" si="21"/>
        <v>0</v>
      </c>
      <c r="CY13" s="277">
        <f t="shared" si="21"/>
        <v>149.81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8"/>
        <v>0</v>
      </c>
    </row>
    <row r="14" spans="1:112" ht="16.5" customHeight="1">
      <c r="A14" s="127">
        <v>8</v>
      </c>
      <c r="B14" s="103">
        <f>'[1]март 20'!K13</f>
        <v>511.25099999999998</v>
      </c>
      <c r="C14" s="104">
        <f>IF(B14=0,0,(BJ14*BR14+BK14*BS14+BM14*BU14+BP14*BX14+BL14*BT14+BO14*BW14+BN14*BV14)/B14)</f>
        <v>1.6894206368300502</v>
      </c>
      <c r="D14" s="143">
        <f>B14*((100-C14)/100)</f>
        <v>502.61382009999994</v>
      </c>
      <c r="E14" s="104">
        <f>IF(B14=0,0,(BJ14*BY14+BK14*BZ14+BM14*CB14+BP14*CE14+BL14*CA14+BO14*CD14+BN14*CC14)/B14)</f>
        <v>39.296313806721166</v>
      </c>
      <c r="F14" s="128">
        <f>IF(AX14=0,0,D14/AX14)</f>
        <v>2.0132738638093328</v>
      </c>
      <c r="G14" s="106"/>
      <c r="H14" s="107">
        <f>IF(AX14=0,0,(CV14+CS14+CU14+CP14+CT14)/AX14)</f>
        <v>1.4689438017224115</v>
      </c>
      <c r="I14" s="103">
        <f>'[1]сентябрь 20'!AE13</f>
        <v>0</v>
      </c>
      <c r="J14" s="328">
        <f>'[1]март 20'!AA13</f>
        <v>5.1210000000000004</v>
      </c>
      <c r="K14" s="106"/>
      <c r="L14" s="328">
        <f>'[1]март 20'!AI13</f>
        <v>135.892</v>
      </c>
      <c r="M14" s="103">
        <f>IF(AX14=0,0,(CR14+CQ14)/AX14)</f>
        <v>0.5443300620869217</v>
      </c>
      <c r="N14" s="103">
        <f>'[1]июль 20'!AM13</f>
        <v>0</v>
      </c>
      <c r="O14" s="103">
        <f>'[1]март 20'!W13</f>
        <v>0</v>
      </c>
      <c r="P14" s="103">
        <f>'[1]март 20'!S13</f>
        <v>319.23200000000003</v>
      </c>
      <c r="Q14" s="108">
        <f>IF(P14=0,0,(1-(T14/P14))*100)</f>
        <v>3.0798917401764436</v>
      </c>
      <c r="R14" s="109">
        <f>P14*((100-Q14)/100)</f>
        <v>309.39999999999992</v>
      </c>
      <c r="S14" s="106">
        <v>19.86</v>
      </c>
      <c r="T14" s="109">
        <f>CG14+CH14+CJ14+CI14</f>
        <v>309.39999999999998</v>
      </c>
      <c r="U14" s="110">
        <f>IF(AX14=0,0,R14/AX14)</f>
        <v>1.2393350690967353</v>
      </c>
      <c r="V14" s="136">
        <v>249.65</v>
      </c>
      <c r="W14" s="130">
        <v>201.63</v>
      </c>
      <c r="X14" s="131">
        <v>0.8</v>
      </c>
      <c r="Y14" s="146">
        <v>612</v>
      </c>
      <c r="Z14" s="147">
        <v>1231</v>
      </c>
      <c r="AA14" s="144" t="s">
        <v>221</v>
      </c>
      <c r="AB14" s="131">
        <v>75.739999999999995</v>
      </c>
      <c r="AC14" s="133">
        <v>170</v>
      </c>
      <c r="AD14" s="134">
        <v>5</v>
      </c>
      <c r="AE14" s="131">
        <v>4.95</v>
      </c>
      <c r="AF14" s="115">
        <f t="shared" si="10"/>
        <v>19.827758862407372</v>
      </c>
      <c r="AG14" s="131">
        <v>126.85</v>
      </c>
      <c r="AH14" s="115">
        <f>IF(AX14=0,0,AG14/AX14*1000)</f>
        <v>508.11135589825761</v>
      </c>
      <c r="AI14" s="131">
        <v>28.65</v>
      </c>
      <c r="AJ14" s="116"/>
      <c r="AK14" s="135">
        <v>11.91</v>
      </c>
      <c r="AL14" s="136">
        <v>48.29</v>
      </c>
      <c r="AM14" s="110">
        <f>IF(AL14=0,0,AL14/AS14)</f>
        <v>0.1579653254824992</v>
      </c>
      <c r="AN14" s="137" t="s">
        <v>115</v>
      </c>
      <c r="AO14" s="150">
        <v>10.64</v>
      </c>
      <c r="AP14" s="138">
        <v>7.19</v>
      </c>
      <c r="AQ14" s="131"/>
      <c r="AR14" s="131">
        <v>6.37</v>
      </c>
      <c r="AS14" s="315">
        <v>305.7</v>
      </c>
      <c r="AT14" s="131">
        <v>4.1500000000000004</v>
      </c>
      <c r="AU14" s="148"/>
      <c r="AV14" s="149"/>
      <c r="AW14" s="109"/>
      <c r="AX14" s="109">
        <f>AS14-AL14-AK14+AV14+AT14</f>
        <v>249.64999999999998</v>
      </c>
      <c r="AY14" s="115">
        <f>IF(AB14=0,0,((D14*0.97)*(E14/100)*0.9)/(AB14/100))</f>
        <v>227.6539458366444</v>
      </c>
      <c r="AZ14" s="140">
        <f>(AG14*AR14)/100*(55/71)</f>
        <v>6.2594221830985912</v>
      </c>
      <c r="BA14" s="141">
        <f>AX14*$BA$6</f>
        <v>9.9859999999999989</v>
      </c>
      <c r="BB14" s="128">
        <f>IF((D14*E14)=0,0,(AX14*AB14)/(D14*E14))</f>
        <v>0.9573497582000553</v>
      </c>
      <c r="BC14" s="141">
        <f>AZ14+BA14</f>
        <v>16.24542218309859</v>
      </c>
      <c r="BD14" s="142">
        <v>0.89500000000000002</v>
      </c>
      <c r="BE14" s="16">
        <f>BE13+AX14</f>
        <v>1548.63</v>
      </c>
      <c r="BF14" s="16">
        <f>IF(A14&lt;=$BD$43,$AS$43,0)</f>
        <v>220.96774193548387</v>
      </c>
      <c r="BG14" s="16">
        <f>BF14+BG13</f>
        <v>1767.741935483871</v>
      </c>
      <c r="BH14" s="17">
        <f>IF(AX14&lt;&gt;0,1,0)</f>
        <v>1</v>
      </c>
      <c r="BI14" s="16">
        <f>BI13+BF14*BH14</f>
        <v>1767.741935483871</v>
      </c>
      <c r="BJ14" s="249">
        <v>341.74599999999998</v>
      </c>
      <c r="BK14" s="195"/>
      <c r="BL14" s="266">
        <v>135.892</v>
      </c>
      <c r="BM14" s="196"/>
      <c r="BN14" s="313"/>
      <c r="BO14" s="230"/>
      <c r="BP14" s="250">
        <v>33.613</v>
      </c>
      <c r="BQ14" s="199"/>
      <c r="BR14" s="200">
        <v>2.31</v>
      </c>
      <c r="BS14" s="200"/>
      <c r="BT14" s="200"/>
      <c r="BU14" s="200"/>
      <c r="BV14" s="208"/>
      <c r="BW14" s="208"/>
      <c r="BX14" s="201">
        <v>2.21</v>
      </c>
      <c r="BY14" s="202">
        <v>37.49</v>
      </c>
      <c r="BZ14" s="200"/>
      <c r="CA14" s="202">
        <v>44.35</v>
      </c>
      <c r="CB14" s="200"/>
      <c r="CC14" s="200"/>
      <c r="CD14" s="200"/>
      <c r="CE14" s="200">
        <v>37.229999999999997</v>
      </c>
      <c r="CF14" s="203"/>
      <c r="CG14" s="204">
        <v>161.5</v>
      </c>
      <c r="CH14" s="197"/>
      <c r="CI14" s="264">
        <v>147.9</v>
      </c>
      <c r="CJ14" s="265"/>
      <c r="CK14" s="202"/>
      <c r="CL14" s="202"/>
      <c r="CM14" s="270"/>
      <c r="CN14" s="201"/>
      <c r="CO14" s="284"/>
      <c r="CP14" s="286">
        <f t="shared" si="20"/>
        <v>333.8516674</v>
      </c>
      <c r="CQ14" s="27">
        <f t="shared" si="20"/>
        <v>0</v>
      </c>
      <c r="CR14" s="28">
        <f t="shared" si="20"/>
        <v>135.892</v>
      </c>
      <c r="CS14" s="27">
        <f t="shared" si="20"/>
        <v>0</v>
      </c>
      <c r="CT14" s="27">
        <f t="shared" si="20"/>
        <v>0</v>
      </c>
      <c r="CU14" s="24">
        <f t="shared" si="20"/>
        <v>0</v>
      </c>
      <c r="CV14" s="282">
        <f t="shared" si="20"/>
        <v>32.870152700000006</v>
      </c>
      <c r="CW14" s="237">
        <f t="shared" si="21"/>
        <v>161.5</v>
      </c>
      <c r="CX14" s="26">
        <f t="shared" si="21"/>
        <v>0</v>
      </c>
      <c r="CY14" s="277">
        <f t="shared" si="21"/>
        <v>147.9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8"/>
        <v>0</v>
      </c>
    </row>
    <row r="15" spans="1:112" ht="16.5" customHeight="1">
      <c r="A15" s="253">
        <v>9</v>
      </c>
      <c r="B15" s="103">
        <f>'[1]март 20'!K14</f>
        <v>496.791</v>
      </c>
      <c r="C15" s="104">
        <f t="shared" si="0"/>
        <v>2.6307892252476393</v>
      </c>
      <c r="D15" s="143">
        <f t="shared" si="1"/>
        <v>483.72147589999997</v>
      </c>
      <c r="E15" s="104">
        <f t="shared" si="2"/>
        <v>39.441920686968963</v>
      </c>
      <c r="F15" s="128">
        <f t="shared" si="3"/>
        <v>2.1154617156476867</v>
      </c>
      <c r="G15" s="106"/>
      <c r="H15" s="107">
        <f t="shared" si="4"/>
        <v>1.5725289770838802</v>
      </c>
      <c r="I15" s="103">
        <f>'[1]сентябрь 20'!AE14</f>
        <v>0</v>
      </c>
      <c r="J15" s="328">
        <f>'[1]март 20'!AA14</f>
        <v>8.2200000000000006</v>
      </c>
      <c r="K15" s="106"/>
      <c r="L15" s="328">
        <f>'[1]март 20'!AI14</f>
        <v>124.14700000000001</v>
      </c>
      <c r="M15" s="103">
        <f t="shared" si="5"/>
        <v>0.54293273856380664</v>
      </c>
      <c r="N15" s="103">
        <f>'[1]июль 20'!AM14</f>
        <v>0</v>
      </c>
      <c r="O15" s="103">
        <f>'[1]март 20'!W14</f>
        <v>0</v>
      </c>
      <c r="P15" s="103">
        <f>'[1]март 20'!S14</f>
        <v>313.64600000000002</v>
      </c>
      <c r="Q15" s="108">
        <f t="shared" si="6"/>
        <v>3.2157272849008156</v>
      </c>
      <c r="R15" s="109">
        <f t="shared" si="7"/>
        <v>303.55999999999995</v>
      </c>
      <c r="S15" s="106">
        <v>16.149999999999999</v>
      </c>
      <c r="T15" s="109">
        <f t="shared" si="8"/>
        <v>303.56</v>
      </c>
      <c r="U15" s="110">
        <f t="shared" si="9"/>
        <v>1.3275605702790167</v>
      </c>
      <c r="V15" s="136">
        <v>228.66</v>
      </c>
      <c r="W15" s="130">
        <v>188.24</v>
      </c>
      <c r="X15" s="131">
        <v>0.68</v>
      </c>
      <c r="Y15" s="112">
        <v>586</v>
      </c>
      <c r="Z15" s="133">
        <v>1237</v>
      </c>
      <c r="AA15" s="144" t="s">
        <v>222</v>
      </c>
      <c r="AB15" s="131">
        <v>75.84</v>
      </c>
      <c r="AC15" s="133">
        <v>165</v>
      </c>
      <c r="AD15" s="134">
        <v>5</v>
      </c>
      <c r="AE15" s="131">
        <v>4.4000000000000004</v>
      </c>
      <c r="AF15" s="115">
        <f t="shared" si="10"/>
        <v>19.242543514388178</v>
      </c>
      <c r="AG15" s="131">
        <v>118.8</v>
      </c>
      <c r="AH15" s="115">
        <f t="shared" si="11"/>
        <v>519.54867488848083</v>
      </c>
      <c r="AI15" s="131">
        <v>28.49</v>
      </c>
      <c r="AJ15" s="116"/>
      <c r="AK15" s="135">
        <v>10.77</v>
      </c>
      <c r="AL15" s="136">
        <v>55.88</v>
      </c>
      <c r="AM15" s="110">
        <f t="shared" si="12"/>
        <v>0.19159951997256988</v>
      </c>
      <c r="AN15" s="137" t="s">
        <v>223</v>
      </c>
      <c r="AO15" s="150">
        <v>9.9600000000000009</v>
      </c>
      <c r="AP15" s="138">
        <v>6.61</v>
      </c>
      <c r="AQ15" s="131"/>
      <c r="AR15" s="131">
        <v>6.93</v>
      </c>
      <c r="AS15" s="315">
        <v>291.64999999999998</v>
      </c>
      <c r="AT15" s="131">
        <v>3.66</v>
      </c>
      <c r="AU15" s="116"/>
      <c r="AV15" s="131"/>
      <c r="AW15" s="109"/>
      <c r="AX15" s="109">
        <f t="shared" si="13"/>
        <v>228.65999999999997</v>
      </c>
      <c r="AY15" s="115">
        <f t="shared" si="24"/>
        <v>219.61871397650819</v>
      </c>
      <c r="AZ15" s="140">
        <f t="shared" si="14"/>
        <v>6.3775521126760557</v>
      </c>
      <c r="BA15" s="141">
        <f t="shared" si="15"/>
        <v>9.1463999999999981</v>
      </c>
      <c r="BB15" s="128">
        <f t="shared" si="16"/>
        <v>0.90893975465748589</v>
      </c>
      <c r="BC15" s="141">
        <f t="shared" si="17"/>
        <v>15.523952112676053</v>
      </c>
      <c r="BD15" s="142">
        <v>0.89700000000000002</v>
      </c>
      <c r="BE15" s="16">
        <f t="shared" si="25"/>
        <v>1777.29</v>
      </c>
      <c r="BF15" s="16">
        <f t="shared" si="18"/>
        <v>220.96774193548387</v>
      </c>
      <c r="BG15" s="16">
        <f t="shared" si="26"/>
        <v>1988.7096774193549</v>
      </c>
      <c r="BH15" s="17">
        <f t="shared" si="19"/>
        <v>1</v>
      </c>
      <c r="BI15" s="16">
        <f t="shared" si="27"/>
        <v>1988.7096774193549</v>
      </c>
      <c r="BJ15" s="249">
        <v>335.73099999999999</v>
      </c>
      <c r="BK15" s="195"/>
      <c r="BL15" s="197">
        <v>124.14700000000001</v>
      </c>
      <c r="BM15" s="197">
        <v>28.960999999999999</v>
      </c>
      <c r="BN15" s="230"/>
      <c r="BO15" s="195"/>
      <c r="BP15" s="329">
        <v>7.952</v>
      </c>
      <c r="BQ15" s="199"/>
      <c r="BR15" s="200">
        <v>2.5</v>
      </c>
      <c r="BS15" s="200"/>
      <c r="BT15" s="200"/>
      <c r="BU15" s="200">
        <v>15.15</v>
      </c>
      <c r="BV15" s="208"/>
      <c r="BW15" s="208"/>
      <c r="BX15" s="330">
        <v>3.63</v>
      </c>
      <c r="BY15" s="202">
        <v>37.6</v>
      </c>
      <c r="BZ15" s="200"/>
      <c r="CA15" s="200">
        <v>44.55</v>
      </c>
      <c r="CB15" s="200">
        <v>39.17</v>
      </c>
      <c r="CC15" s="200"/>
      <c r="CD15" s="200"/>
      <c r="CE15" s="200">
        <v>38.450000000000003</v>
      </c>
      <c r="CF15" s="203"/>
      <c r="CG15" s="204">
        <v>156.75</v>
      </c>
      <c r="CH15" s="230"/>
      <c r="CI15" s="266">
        <v>146.81</v>
      </c>
      <c r="CJ15" s="265"/>
      <c r="CK15" s="202"/>
      <c r="CL15" s="208"/>
      <c r="CM15" s="208"/>
      <c r="CN15" s="201"/>
      <c r="CO15" s="284"/>
      <c r="CP15" s="286">
        <f t="shared" si="20"/>
        <v>327.33772499999998</v>
      </c>
      <c r="CQ15" s="29">
        <f t="shared" si="20"/>
        <v>0</v>
      </c>
      <c r="CR15" s="30">
        <f t="shared" si="20"/>
        <v>124.14700000000001</v>
      </c>
      <c r="CS15" s="29">
        <f t="shared" si="20"/>
        <v>24.573408499999996</v>
      </c>
      <c r="CT15" s="27">
        <f t="shared" si="20"/>
        <v>0</v>
      </c>
      <c r="CU15" s="24">
        <f t="shared" si="20"/>
        <v>0</v>
      </c>
      <c r="CV15" s="283">
        <f t="shared" si="20"/>
        <v>7.6633424000000003</v>
      </c>
      <c r="CW15" s="237">
        <f t="shared" si="21"/>
        <v>156.75</v>
      </c>
      <c r="CX15" s="24">
        <f t="shared" si="21"/>
        <v>0</v>
      </c>
      <c r="CY15" s="277">
        <f t="shared" si="21"/>
        <v>146.81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8"/>
        <v>0</v>
      </c>
    </row>
    <row r="16" spans="1:112" ht="16.5" customHeight="1">
      <c r="A16" s="127">
        <v>10</v>
      </c>
      <c r="B16" s="103">
        <f>'[1]март 20'!K15</f>
        <v>498.73200000000003</v>
      </c>
      <c r="C16" s="104">
        <f t="shared" si="0"/>
        <v>3.324408880922018</v>
      </c>
      <c r="D16" s="143">
        <f t="shared" si="1"/>
        <v>482.15210910000002</v>
      </c>
      <c r="E16" s="104">
        <f t="shared" si="2"/>
        <v>40.472905728928559</v>
      </c>
      <c r="F16" s="128">
        <f t="shared" si="3"/>
        <v>2.3756016412100909</v>
      </c>
      <c r="G16" s="106"/>
      <c r="H16" s="107">
        <f t="shared" si="4"/>
        <v>1.7487736948167127</v>
      </c>
      <c r="I16" s="103">
        <f>'[1]сентябрь 20'!AE15</f>
        <v>0</v>
      </c>
      <c r="J16" s="328">
        <f>'[1]март 20'!AA15</f>
        <v>0</v>
      </c>
      <c r="K16" s="106"/>
      <c r="L16" s="328">
        <f>'[1]март 20'!AI15</f>
        <v>127.221</v>
      </c>
      <c r="M16" s="103">
        <f t="shared" si="5"/>
        <v>0.62682794639337802</v>
      </c>
      <c r="N16" s="103">
        <f>'[1]июль 20'!AM15</f>
        <v>0</v>
      </c>
      <c r="O16" s="103">
        <f>'[1]март 20'!W15</f>
        <v>0</v>
      </c>
      <c r="P16" s="103">
        <f>'[1]март 20'!S15</f>
        <v>316.69499999999999</v>
      </c>
      <c r="Q16" s="108">
        <f t="shared" si="6"/>
        <v>3.2002399785282298</v>
      </c>
      <c r="R16" s="109">
        <f t="shared" si="7"/>
        <v>306.56</v>
      </c>
      <c r="S16" s="106">
        <v>20.21</v>
      </c>
      <c r="T16" s="109">
        <f t="shared" si="8"/>
        <v>306.56</v>
      </c>
      <c r="U16" s="110">
        <f t="shared" si="9"/>
        <v>1.5104454079621601</v>
      </c>
      <c r="V16" s="136">
        <v>76.11</v>
      </c>
      <c r="W16" s="130">
        <v>78.19</v>
      </c>
      <c r="X16" s="131">
        <v>1.1200000000000001</v>
      </c>
      <c r="Y16" s="112">
        <v>598</v>
      </c>
      <c r="Z16" s="133">
        <v>1232</v>
      </c>
      <c r="AA16" s="144" t="s">
        <v>219</v>
      </c>
      <c r="AB16" s="131">
        <v>74.930000000000007</v>
      </c>
      <c r="AC16" s="133">
        <v>166</v>
      </c>
      <c r="AD16" s="134">
        <v>5</v>
      </c>
      <c r="AE16" s="131">
        <v>1.8</v>
      </c>
      <c r="AF16" s="115">
        <f t="shared" si="10"/>
        <v>8.8687426093811599</v>
      </c>
      <c r="AG16" s="131">
        <v>107.55</v>
      </c>
      <c r="AH16" s="115">
        <f t="shared" si="11"/>
        <v>529.90737091052415</v>
      </c>
      <c r="AI16" s="139">
        <v>31.95</v>
      </c>
      <c r="AJ16" s="131"/>
      <c r="AK16" s="136">
        <v>11.95</v>
      </c>
      <c r="AL16" s="136">
        <v>56.12</v>
      </c>
      <c r="AM16" s="110">
        <f t="shared" si="12"/>
        <v>0.20936392464092518</v>
      </c>
      <c r="AN16" s="137" t="s">
        <v>224</v>
      </c>
      <c r="AO16" s="150">
        <v>14.37</v>
      </c>
      <c r="AP16" s="138">
        <v>6.17</v>
      </c>
      <c r="AQ16" s="131"/>
      <c r="AR16" s="131">
        <v>8.48</v>
      </c>
      <c r="AS16" s="315">
        <v>268.05</v>
      </c>
      <c r="AT16" s="131">
        <v>2.98</v>
      </c>
      <c r="AU16" s="116"/>
      <c r="AV16" s="131"/>
      <c r="AW16" s="109"/>
      <c r="AX16" s="109">
        <f t="shared" si="13"/>
        <v>202.96</v>
      </c>
      <c r="AY16" s="115">
        <f t="shared" si="24"/>
        <v>227.35628663506091</v>
      </c>
      <c r="AZ16" s="140">
        <f t="shared" si="14"/>
        <v>7.0649746478873245</v>
      </c>
      <c r="BA16" s="141">
        <f t="shared" si="15"/>
        <v>8.1184000000000012</v>
      </c>
      <c r="BB16" s="128">
        <f t="shared" si="16"/>
        <v>0.77932342501883656</v>
      </c>
      <c r="BC16" s="141">
        <f t="shared" si="17"/>
        <v>15.183374647887327</v>
      </c>
      <c r="BD16" s="142">
        <v>0.88300000000000001</v>
      </c>
      <c r="BE16" s="16">
        <f t="shared" si="25"/>
        <v>1980.25</v>
      </c>
      <c r="BF16" s="16">
        <f t="shared" si="18"/>
        <v>220.96774193548387</v>
      </c>
      <c r="BG16" s="16">
        <f t="shared" si="26"/>
        <v>2209.6774193548385</v>
      </c>
      <c r="BH16" s="17">
        <f t="shared" si="19"/>
        <v>1</v>
      </c>
      <c r="BI16" s="16">
        <f t="shared" si="27"/>
        <v>2209.6774193548385</v>
      </c>
      <c r="BJ16" s="249">
        <v>271.52100000000002</v>
      </c>
      <c r="BK16" s="195"/>
      <c r="BL16" s="195">
        <v>127.221</v>
      </c>
      <c r="BM16" s="197">
        <v>99.99</v>
      </c>
      <c r="BN16" s="230"/>
      <c r="BO16" s="230"/>
      <c r="BP16" s="250"/>
      <c r="BQ16" s="199"/>
      <c r="BR16" s="200">
        <v>2.4900000000000002</v>
      </c>
      <c r="BS16" s="200"/>
      <c r="BT16" s="200"/>
      <c r="BU16" s="200">
        <v>9.82</v>
      </c>
      <c r="BV16" s="208"/>
      <c r="BW16" s="208"/>
      <c r="BX16" s="201"/>
      <c r="BY16" s="202">
        <v>37.64</v>
      </c>
      <c r="BZ16" s="200"/>
      <c r="CA16" s="200">
        <v>44.58</v>
      </c>
      <c r="CB16" s="200">
        <v>42.94</v>
      </c>
      <c r="CC16" s="200"/>
      <c r="CD16" s="200"/>
      <c r="CE16" s="200"/>
      <c r="CF16" s="203"/>
      <c r="CG16" s="204">
        <v>157.69999999999999</v>
      </c>
      <c r="CH16" s="230"/>
      <c r="CI16" s="266">
        <v>148.86000000000001</v>
      </c>
      <c r="CJ16" s="265"/>
      <c r="CK16" s="202"/>
      <c r="CL16" s="208"/>
      <c r="CM16" s="208"/>
      <c r="CN16" s="201"/>
      <c r="CO16" s="284"/>
      <c r="CP16" s="286">
        <f t="shared" si="20"/>
        <v>264.76012710000003</v>
      </c>
      <c r="CQ16" s="24">
        <f t="shared" si="20"/>
        <v>0</v>
      </c>
      <c r="CR16" s="25">
        <f t="shared" si="20"/>
        <v>127.221</v>
      </c>
      <c r="CS16" s="24">
        <f t="shared" si="20"/>
        <v>90.170981999999995</v>
      </c>
      <c r="CT16" s="27">
        <f t="shared" si="20"/>
        <v>0</v>
      </c>
      <c r="CU16" s="24">
        <f t="shared" si="20"/>
        <v>0</v>
      </c>
      <c r="CV16" s="280">
        <f t="shared" si="20"/>
        <v>0</v>
      </c>
      <c r="CW16" s="237">
        <f t="shared" si="21"/>
        <v>157.69999999999999</v>
      </c>
      <c r="CX16" s="29">
        <f t="shared" si="21"/>
        <v>0</v>
      </c>
      <c r="CY16" s="277">
        <f t="shared" si="21"/>
        <v>148.86000000000001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8"/>
        <v>0</v>
      </c>
    </row>
    <row r="17" spans="1:110" ht="16.5" customHeight="1">
      <c r="A17" s="127">
        <v>11</v>
      </c>
      <c r="B17" s="103">
        <f>'[1]март 20'!K16</f>
        <v>425.10700000000003</v>
      </c>
      <c r="C17" s="104">
        <f t="shared" si="0"/>
        <v>3.7191039902895033</v>
      </c>
      <c r="D17" s="143">
        <f t="shared" si="1"/>
        <v>409.29682860000008</v>
      </c>
      <c r="E17" s="104">
        <f t="shared" si="2"/>
        <v>40.398430889164374</v>
      </c>
      <c r="F17" s="128">
        <f t="shared" si="3"/>
        <v>2.3345700924024642</v>
      </c>
      <c r="G17" s="106"/>
      <c r="H17" s="107">
        <f t="shared" si="4"/>
        <v>1.7270181873146244</v>
      </c>
      <c r="I17" s="103">
        <f>'[1]сентябрь 20'!AE16</f>
        <v>0</v>
      </c>
      <c r="J17" s="328">
        <f>'[1]март 20'!AA16</f>
        <v>0</v>
      </c>
      <c r="K17" s="106"/>
      <c r="L17" s="328">
        <f>'[1]март 20'!AI16</f>
        <v>106.51600000000001</v>
      </c>
      <c r="M17" s="103">
        <f t="shared" si="5"/>
        <v>0.60755190508783929</v>
      </c>
      <c r="N17" s="103">
        <f>'[1]июль 20'!AM16</f>
        <v>0</v>
      </c>
      <c r="O17" s="103">
        <f>'[1]март 20'!W16</f>
        <v>0</v>
      </c>
      <c r="P17" s="103">
        <f>'[1]март 20'!S16</f>
        <v>273.94799999999998</v>
      </c>
      <c r="Q17" s="108">
        <f t="shared" si="6"/>
        <v>1.7550776059690132</v>
      </c>
      <c r="R17" s="109">
        <f t="shared" si="7"/>
        <v>269.14000000000004</v>
      </c>
      <c r="S17" s="106">
        <v>40.08</v>
      </c>
      <c r="T17" s="109">
        <f t="shared" si="8"/>
        <v>269.14</v>
      </c>
      <c r="U17" s="110">
        <f t="shared" si="9"/>
        <v>1.5351357517681954</v>
      </c>
      <c r="V17" s="136">
        <v>95.51</v>
      </c>
      <c r="W17" s="130">
        <v>78.06</v>
      </c>
      <c r="X17" s="131">
        <v>1.1499999999999999</v>
      </c>
      <c r="Y17" s="112">
        <v>644</v>
      </c>
      <c r="Z17" s="133">
        <v>1236</v>
      </c>
      <c r="AA17" s="144" t="s">
        <v>118</v>
      </c>
      <c r="AB17" s="131">
        <v>74.95</v>
      </c>
      <c r="AC17" s="133">
        <v>147</v>
      </c>
      <c r="AD17" s="134">
        <v>5</v>
      </c>
      <c r="AE17" s="131"/>
      <c r="AF17" s="115">
        <f t="shared" si="10"/>
        <v>0</v>
      </c>
      <c r="AG17" s="131">
        <v>94.2</v>
      </c>
      <c r="AH17" s="115">
        <f t="shared" si="11"/>
        <v>537.30321697467491</v>
      </c>
      <c r="AI17" s="139">
        <v>26.21</v>
      </c>
      <c r="AJ17" s="131"/>
      <c r="AK17" s="136">
        <v>13.25</v>
      </c>
      <c r="AL17" s="136">
        <v>66.97</v>
      </c>
      <c r="AM17" s="110">
        <f t="shared" si="12"/>
        <v>0.26809447558046434</v>
      </c>
      <c r="AN17" s="137" t="s">
        <v>225</v>
      </c>
      <c r="AO17" s="150">
        <v>14.89</v>
      </c>
      <c r="AP17" s="138">
        <v>6.34</v>
      </c>
      <c r="AQ17" s="131"/>
      <c r="AR17" s="131">
        <v>9.74</v>
      </c>
      <c r="AS17" s="315">
        <v>249.8</v>
      </c>
      <c r="AT17" s="131">
        <v>5.74</v>
      </c>
      <c r="AU17" s="116"/>
      <c r="AV17" s="131"/>
      <c r="AW17" s="109"/>
      <c r="AX17" s="109">
        <f t="shared" si="13"/>
        <v>175.32000000000002</v>
      </c>
      <c r="AY17" s="115">
        <f t="shared" si="24"/>
        <v>192.59521065571246</v>
      </c>
      <c r="AZ17" s="140">
        <f t="shared" si="14"/>
        <v>7.1074563380281699</v>
      </c>
      <c r="BA17" s="141">
        <f t="shared" si="15"/>
        <v>7.0128000000000013</v>
      </c>
      <c r="BB17" s="128">
        <f t="shared" si="16"/>
        <v>0.79469452785928008</v>
      </c>
      <c r="BC17" s="141">
        <f t="shared" si="17"/>
        <v>14.12025633802817</v>
      </c>
      <c r="BD17" s="142">
        <v>0.875</v>
      </c>
      <c r="BE17" s="16">
        <f t="shared" si="25"/>
        <v>2155.5700000000002</v>
      </c>
      <c r="BF17" s="16">
        <f t="shared" si="18"/>
        <v>220.96774193548387</v>
      </c>
      <c r="BG17" s="16">
        <f t="shared" si="26"/>
        <v>2430.6451612903224</v>
      </c>
      <c r="BH17" s="17">
        <f t="shared" si="19"/>
        <v>1</v>
      </c>
      <c r="BI17" s="16">
        <f t="shared" si="27"/>
        <v>2430.6451612903224</v>
      </c>
      <c r="BJ17" s="249">
        <v>234.77</v>
      </c>
      <c r="BK17" s="195"/>
      <c r="BL17" s="195">
        <v>106.51600000000001</v>
      </c>
      <c r="BM17" s="197">
        <v>83.820999999999998</v>
      </c>
      <c r="BN17" s="230"/>
      <c r="BO17" s="230"/>
      <c r="BP17" s="250"/>
      <c r="BQ17" s="199"/>
      <c r="BR17" s="200">
        <v>2.15</v>
      </c>
      <c r="BS17" s="200"/>
      <c r="BT17" s="200"/>
      <c r="BU17" s="200">
        <v>12.84</v>
      </c>
      <c r="BV17" s="208"/>
      <c r="BW17" s="208"/>
      <c r="BX17" s="201"/>
      <c r="BY17" s="202">
        <v>37.979999999999997</v>
      </c>
      <c r="BZ17" s="200"/>
      <c r="CA17" s="200">
        <v>44.5</v>
      </c>
      <c r="CB17" s="200">
        <v>41.96</v>
      </c>
      <c r="CC17" s="208"/>
      <c r="CD17" s="208"/>
      <c r="CE17" s="201"/>
      <c r="CF17" s="199"/>
      <c r="CG17" s="197">
        <v>25.65</v>
      </c>
      <c r="CH17" s="244"/>
      <c r="CI17" s="266">
        <v>243.49</v>
      </c>
      <c r="CJ17" s="265"/>
      <c r="CK17" s="231"/>
      <c r="CL17" s="208"/>
      <c r="CM17" s="208"/>
      <c r="CN17" s="201"/>
      <c r="CO17" s="284"/>
      <c r="CP17" s="286">
        <f t="shared" si="20"/>
        <v>229.72244499999999</v>
      </c>
      <c r="CQ17" s="24">
        <f t="shared" si="20"/>
        <v>0</v>
      </c>
      <c r="CR17" s="25">
        <f t="shared" si="20"/>
        <v>106.51600000000001</v>
      </c>
      <c r="CS17" s="24">
        <f t="shared" si="20"/>
        <v>73.058383599999999</v>
      </c>
      <c r="CT17" s="27">
        <f t="shared" si="20"/>
        <v>0</v>
      </c>
      <c r="CU17" s="27">
        <f t="shared" si="20"/>
        <v>0</v>
      </c>
      <c r="CV17" s="280">
        <f t="shared" si="20"/>
        <v>0</v>
      </c>
      <c r="CW17" s="25">
        <f t="shared" si="21"/>
        <v>25.65</v>
      </c>
      <c r="CX17" s="26">
        <f t="shared" si="21"/>
        <v>0</v>
      </c>
      <c r="CY17" s="277">
        <f t="shared" si="21"/>
        <v>243.49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8"/>
        <v>0</v>
      </c>
    </row>
    <row r="18" spans="1:110" ht="16.5" customHeight="1">
      <c r="A18" s="127">
        <v>12</v>
      </c>
      <c r="B18" s="103">
        <f>'[1]март 20'!K17</f>
        <v>141.05199999999999</v>
      </c>
      <c r="C18" s="104">
        <f t="shared" si="0"/>
        <v>4.6011825426084005</v>
      </c>
      <c r="D18" s="143">
        <f t="shared" si="1"/>
        <v>134.56193999999999</v>
      </c>
      <c r="E18" s="104">
        <f t="shared" si="2"/>
        <v>40.310019567251807</v>
      </c>
      <c r="F18" s="128">
        <f t="shared" si="3"/>
        <v>1.5317238474672739</v>
      </c>
      <c r="G18" s="106"/>
      <c r="H18" s="107">
        <f t="shared" si="4"/>
        <v>1.1304489470688674</v>
      </c>
      <c r="I18" s="103">
        <f>'[1]сентябрь 20'!AE17</f>
        <v>0</v>
      </c>
      <c r="J18" s="328">
        <f>'[1]март 20'!AA17</f>
        <v>0</v>
      </c>
      <c r="K18" s="106"/>
      <c r="L18" s="328">
        <f>'[1]март 20'!AI17</f>
        <v>35.252000000000002</v>
      </c>
      <c r="M18" s="103">
        <f t="shared" si="5"/>
        <v>0.40127490039840641</v>
      </c>
      <c r="N18" s="103">
        <f>'[1]июль 20'!AM17</f>
        <v>0</v>
      </c>
      <c r="O18" s="103">
        <f>'[1]март 20'!W17</f>
        <v>0</v>
      </c>
      <c r="P18" s="103">
        <f>'[1]март 20'!S17</f>
        <v>94.685000000000002</v>
      </c>
      <c r="Q18" s="108">
        <f t="shared" si="6"/>
        <v>1.5261129006706509</v>
      </c>
      <c r="R18" s="109">
        <f t="shared" si="7"/>
        <v>93.24</v>
      </c>
      <c r="S18" s="106">
        <v>20.18</v>
      </c>
      <c r="T18" s="109">
        <f t="shared" si="8"/>
        <v>93.24</v>
      </c>
      <c r="U18" s="110">
        <f t="shared" si="9"/>
        <v>1.0613545816733068</v>
      </c>
      <c r="V18" s="136"/>
      <c r="W18" s="130">
        <v>44.78</v>
      </c>
      <c r="X18" s="131">
        <v>1.41</v>
      </c>
      <c r="Y18" s="112">
        <v>651</v>
      </c>
      <c r="Z18" s="133">
        <v>1223</v>
      </c>
      <c r="AA18" s="144" t="s">
        <v>226</v>
      </c>
      <c r="AB18" s="131">
        <v>73.31</v>
      </c>
      <c r="AC18" s="133">
        <v>50</v>
      </c>
      <c r="AD18" s="134">
        <v>2</v>
      </c>
      <c r="AE18" s="131">
        <v>1.65</v>
      </c>
      <c r="AF18" s="115">
        <f t="shared" si="10"/>
        <v>18.782014797951053</v>
      </c>
      <c r="AG18" s="131">
        <v>30.15</v>
      </c>
      <c r="AH18" s="115">
        <f t="shared" si="11"/>
        <v>343.19863403528745</v>
      </c>
      <c r="AI18" s="139">
        <v>10.87</v>
      </c>
      <c r="AJ18" s="131"/>
      <c r="AK18" s="136">
        <v>6.9</v>
      </c>
      <c r="AL18" s="136"/>
      <c r="AM18" s="110">
        <f t="shared" si="12"/>
        <v>0</v>
      </c>
      <c r="AN18" s="137" t="s">
        <v>212</v>
      </c>
      <c r="AO18" s="150">
        <v>14.82</v>
      </c>
      <c r="AP18" s="138">
        <v>6.25</v>
      </c>
      <c r="AQ18" s="131"/>
      <c r="AR18" s="131">
        <v>8.6999999999999993</v>
      </c>
      <c r="AS18" s="315">
        <v>92.3</v>
      </c>
      <c r="AT18" s="131">
        <v>2.4500000000000002</v>
      </c>
      <c r="AU18" s="116"/>
      <c r="AV18" s="131"/>
      <c r="AW18" s="109">
        <f t="shared" ref="AW18:AW37" si="29">IF(AX18=0,0,AV18/AX18*100)</f>
        <v>0</v>
      </c>
      <c r="AX18" s="109">
        <f t="shared" si="13"/>
        <v>87.85</v>
      </c>
      <c r="AY18" s="115">
        <f>IF(AB18=0,0,((D18*0.97)*(E18/100)*0.9)/(AB18/100))</f>
        <v>64.593121555553523</v>
      </c>
      <c r="AZ18" s="140">
        <f t="shared" si="14"/>
        <v>2.0319401408450699</v>
      </c>
      <c r="BA18" s="141">
        <f t="shared" si="15"/>
        <v>3.5139999999999998</v>
      </c>
      <c r="BB18" s="128">
        <f t="shared" si="16"/>
        <v>1.1873253398047947</v>
      </c>
      <c r="BC18" s="141">
        <f t="shared" si="17"/>
        <v>5.5459401408450697</v>
      </c>
      <c r="BD18" s="142">
        <v>0.88400000000000001</v>
      </c>
      <c r="BE18" s="16">
        <f t="shared" si="25"/>
        <v>2243.42</v>
      </c>
      <c r="BF18" s="16">
        <f t="shared" si="18"/>
        <v>220.96774193548387</v>
      </c>
      <c r="BG18" s="16">
        <f t="shared" si="26"/>
        <v>2651.6129032258063</v>
      </c>
      <c r="BH18" s="17">
        <f t="shared" si="19"/>
        <v>1</v>
      </c>
      <c r="BI18" s="16">
        <f t="shared" si="27"/>
        <v>2651.6129032258063</v>
      </c>
      <c r="BJ18" s="249">
        <v>77.549000000000007</v>
      </c>
      <c r="BK18" s="195"/>
      <c r="BL18" s="195">
        <v>35.252000000000002</v>
      </c>
      <c r="BM18" s="197">
        <v>28.251000000000001</v>
      </c>
      <c r="BN18" s="230"/>
      <c r="BO18" s="230"/>
      <c r="BP18" s="250"/>
      <c r="BQ18" s="199"/>
      <c r="BR18" s="200">
        <v>2.93</v>
      </c>
      <c r="BS18" s="200"/>
      <c r="BT18" s="200"/>
      <c r="BU18" s="200">
        <v>14.93</v>
      </c>
      <c r="BV18" s="208"/>
      <c r="BW18" s="208"/>
      <c r="BX18" s="201"/>
      <c r="BY18" s="202">
        <v>37.380000000000003</v>
      </c>
      <c r="BZ18" s="200"/>
      <c r="CA18" s="200">
        <v>44.68</v>
      </c>
      <c r="CB18" s="200">
        <v>42.9</v>
      </c>
      <c r="CC18" s="208"/>
      <c r="CD18" s="208"/>
      <c r="CE18" s="209"/>
      <c r="CF18" s="199"/>
      <c r="CG18" s="197"/>
      <c r="CH18" s="268"/>
      <c r="CI18" s="289">
        <v>93.24</v>
      </c>
      <c r="CJ18" s="267"/>
      <c r="CK18" s="202"/>
      <c r="CL18" s="208"/>
      <c r="CM18" s="208"/>
      <c r="CN18" s="201"/>
      <c r="CO18" s="284"/>
      <c r="CP18" s="286">
        <f t="shared" si="20"/>
        <v>75.276814299999998</v>
      </c>
      <c r="CQ18" s="24">
        <f t="shared" si="20"/>
        <v>0</v>
      </c>
      <c r="CR18" s="25">
        <f t="shared" si="20"/>
        <v>35.252000000000002</v>
      </c>
      <c r="CS18" s="24">
        <f t="shared" si="20"/>
        <v>24.033125699999999</v>
      </c>
      <c r="CT18" s="27">
        <f t="shared" si="20"/>
        <v>0</v>
      </c>
      <c r="CU18" s="30">
        <f t="shared" si="20"/>
        <v>0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93.24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8"/>
        <v>0</v>
      </c>
    </row>
    <row r="19" spans="1:110" ht="16.5" customHeight="1">
      <c r="A19" s="127">
        <v>13</v>
      </c>
      <c r="B19" s="103">
        <f>'[1]март 20'!K18</f>
        <v>218.97</v>
      </c>
      <c r="C19" s="104">
        <f t="shared" si="0"/>
        <v>4.8801161802986712</v>
      </c>
      <c r="D19" s="143">
        <f t="shared" si="1"/>
        <v>208.28400960000002</v>
      </c>
      <c r="E19" s="104">
        <f>IF(B19=0,0,(BJ19*BY19+BK19*BZ19+BM19*CB19+BP19*CE19+BL19*CA19+BO19*CD19+BN19*CC19)/B19)</f>
        <v>41.939930675434987</v>
      </c>
      <c r="F19" s="128">
        <f t="shared" si="3"/>
        <v>3.2463218453865341</v>
      </c>
      <c r="G19" s="106"/>
      <c r="H19" s="107">
        <f t="shared" si="4"/>
        <v>1.881265735660848</v>
      </c>
      <c r="I19" s="103">
        <f>'[1]сентябрь 20'!AE18</f>
        <v>0</v>
      </c>
      <c r="J19" s="328">
        <f>'[1]март 20'!AA18</f>
        <v>0</v>
      </c>
      <c r="K19" s="106"/>
      <c r="L19" s="328">
        <f>'[1]март 20'!AI18</f>
        <v>87.581999999999994</v>
      </c>
      <c r="M19" s="103">
        <f t="shared" si="5"/>
        <v>1.3650561097256857</v>
      </c>
      <c r="N19" s="103">
        <f>'[1]июль 20'!AM18</f>
        <v>0</v>
      </c>
      <c r="O19" s="415">
        <f>'[1]март 20'!W18</f>
        <v>15.919</v>
      </c>
      <c r="P19" s="103">
        <f>'[1]март 20'!S18</f>
        <v>135.61699999999999</v>
      </c>
      <c r="Q19" s="108">
        <f t="shared" si="6"/>
        <v>1.494650375690354</v>
      </c>
      <c r="R19" s="109">
        <f t="shared" si="7"/>
        <v>133.59</v>
      </c>
      <c r="S19" s="106">
        <v>2.19</v>
      </c>
      <c r="T19" s="109">
        <f t="shared" si="8"/>
        <v>133.59</v>
      </c>
      <c r="U19" s="110">
        <f t="shared" si="9"/>
        <v>2.082138403990025</v>
      </c>
      <c r="V19" s="136"/>
      <c r="W19" s="130"/>
      <c r="X19" s="131">
        <v>1.53</v>
      </c>
      <c r="Y19" s="112">
        <v>585</v>
      </c>
      <c r="Z19" s="133">
        <v>1094</v>
      </c>
      <c r="AA19" s="144" t="s">
        <v>227</v>
      </c>
      <c r="AB19" s="131">
        <v>71.73</v>
      </c>
      <c r="AC19" s="133">
        <v>73</v>
      </c>
      <c r="AD19" s="134">
        <v>3</v>
      </c>
      <c r="AE19" s="131"/>
      <c r="AF19" s="115">
        <f t="shared" si="10"/>
        <v>0</v>
      </c>
      <c r="AG19" s="131">
        <v>30.4</v>
      </c>
      <c r="AH19" s="115">
        <f t="shared" si="11"/>
        <v>473.81546134663341</v>
      </c>
      <c r="AI19" s="139">
        <v>16.739999999999998</v>
      </c>
      <c r="AJ19" s="131"/>
      <c r="AK19" s="136">
        <v>7.93</v>
      </c>
      <c r="AL19" s="136">
        <v>34.11</v>
      </c>
      <c r="AM19" s="110">
        <f t="shared" si="12"/>
        <v>0.32766570605187323</v>
      </c>
      <c r="AN19" s="137" t="s">
        <v>228</v>
      </c>
      <c r="AO19" s="150">
        <v>15.18</v>
      </c>
      <c r="AP19" s="138">
        <v>6.29</v>
      </c>
      <c r="AQ19" s="134"/>
      <c r="AR19" s="131">
        <v>7.36</v>
      </c>
      <c r="AS19" s="315">
        <v>104.1</v>
      </c>
      <c r="AT19" s="131">
        <v>2.1</v>
      </c>
      <c r="AU19" s="116"/>
      <c r="AV19" s="131"/>
      <c r="AW19" s="109">
        <f t="shared" si="29"/>
        <v>0</v>
      </c>
      <c r="AX19" s="109">
        <f t="shared" si="13"/>
        <v>64.16</v>
      </c>
      <c r="AY19" s="115">
        <f t="shared" si="24"/>
        <v>106.31561374809117</v>
      </c>
      <c r="AZ19" s="140">
        <f t="shared" si="14"/>
        <v>1.7332281690140843</v>
      </c>
      <c r="BA19" s="141">
        <f t="shared" si="15"/>
        <v>2.5663999999999998</v>
      </c>
      <c r="BB19" s="128">
        <f t="shared" si="16"/>
        <v>0.52684340545422148</v>
      </c>
      <c r="BC19" s="141">
        <f t="shared" si="17"/>
        <v>4.2996281690140838</v>
      </c>
      <c r="BD19" s="142">
        <v>0.86899999999999999</v>
      </c>
      <c r="BE19" s="16">
        <f t="shared" si="25"/>
        <v>2307.58</v>
      </c>
      <c r="BF19" s="16">
        <f t="shared" si="18"/>
        <v>220.96774193548387</v>
      </c>
      <c r="BG19" s="16">
        <f t="shared" si="26"/>
        <v>2872.5806451612902</v>
      </c>
      <c r="BH19" s="17">
        <f t="shared" si="19"/>
        <v>1</v>
      </c>
      <c r="BI19" s="16">
        <f t="shared" si="27"/>
        <v>2872.5806451612902</v>
      </c>
      <c r="BJ19" s="254">
        <v>65.736000000000004</v>
      </c>
      <c r="BK19" s="197"/>
      <c r="BL19" s="197">
        <v>87.581999999999994</v>
      </c>
      <c r="BM19" s="197">
        <v>65.652000000000001</v>
      </c>
      <c r="BN19" s="230"/>
      <c r="BO19" s="230"/>
      <c r="BP19" s="258"/>
      <c r="BQ19" s="199"/>
      <c r="BR19" s="200">
        <v>5.25</v>
      </c>
      <c r="BS19" s="200"/>
      <c r="BT19" s="200"/>
      <c r="BU19" s="200">
        <v>11.02</v>
      </c>
      <c r="BV19" s="208"/>
      <c r="BW19" s="208"/>
      <c r="BX19" s="201"/>
      <c r="BY19" s="202">
        <v>37.9</v>
      </c>
      <c r="BZ19" s="200"/>
      <c r="CA19" s="200">
        <v>44.23</v>
      </c>
      <c r="CB19" s="200">
        <v>42.93</v>
      </c>
      <c r="CC19" s="208"/>
      <c r="CD19" s="208"/>
      <c r="CE19" s="209"/>
      <c r="CF19" s="199"/>
      <c r="CG19" s="197"/>
      <c r="CH19" s="197"/>
      <c r="CI19" s="197">
        <v>133.59</v>
      </c>
      <c r="CJ19" s="198"/>
      <c r="CK19" s="202"/>
      <c r="CL19" s="208"/>
      <c r="CM19" s="208"/>
      <c r="CN19" s="201"/>
      <c r="CO19" s="284"/>
      <c r="CP19" s="286">
        <f t="shared" si="20"/>
        <v>62.284860000000002</v>
      </c>
      <c r="CQ19" s="24">
        <f t="shared" si="20"/>
        <v>0</v>
      </c>
      <c r="CR19" s="25">
        <f t="shared" si="20"/>
        <v>87.581999999999994</v>
      </c>
      <c r="CS19" s="24">
        <f t="shared" si="20"/>
        <v>58.417149600000002</v>
      </c>
      <c r="CT19" s="27">
        <f t="shared" si="20"/>
        <v>0</v>
      </c>
      <c r="CU19" s="24">
        <f t="shared" si="20"/>
        <v>0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133.59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8"/>
        <v>0</v>
      </c>
    </row>
    <row r="20" spans="1:110" ht="16.5" customHeight="1">
      <c r="A20" s="127">
        <v>14</v>
      </c>
      <c r="B20" s="103">
        <f>'[1]март 20'!K19</f>
        <v>302.92599999999999</v>
      </c>
      <c r="C20" s="104">
        <f t="shared" si="0"/>
        <v>3.1782820886949286</v>
      </c>
      <c r="D20" s="143">
        <f t="shared" si="1"/>
        <v>293.29815719999999</v>
      </c>
      <c r="E20" s="104">
        <f t="shared" si="2"/>
        <v>41.965035553237428</v>
      </c>
      <c r="F20" s="128">
        <f t="shared" si="3"/>
        <v>2.3172802180611516</v>
      </c>
      <c r="G20" s="106"/>
      <c r="H20" s="107">
        <f t="shared" si="4"/>
        <v>1.5022055558189145</v>
      </c>
      <c r="I20" s="103">
        <f>'[1]сентябрь 20'!AE19</f>
        <v>0</v>
      </c>
      <c r="J20" s="328">
        <f>'[1]март 20'!AA19</f>
        <v>0</v>
      </c>
      <c r="K20" s="106"/>
      <c r="L20" s="328">
        <f>'[1]март 20'!AI19</f>
        <v>103.164</v>
      </c>
      <c r="M20" s="103">
        <f t="shared" si="5"/>
        <v>0.81507466224223746</v>
      </c>
      <c r="N20" s="103">
        <f>'[1]июль 20'!AM19</f>
        <v>0</v>
      </c>
      <c r="O20" s="415">
        <f>'[1]март 20'!W19</f>
        <v>13.23</v>
      </c>
      <c r="P20" s="103">
        <f>'[1]март 20'!S19</f>
        <v>187.73500000000001</v>
      </c>
      <c r="Q20" s="108">
        <f t="shared" si="6"/>
        <v>1.6752337070871204</v>
      </c>
      <c r="R20" s="109">
        <f t="shared" si="7"/>
        <v>184.59</v>
      </c>
      <c r="S20" s="106">
        <v>12.5</v>
      </c>
      <c r="T20" s="109">
        <f t="shared" si="8"/>
        <v>184.59</v>
      </c>
      <c r="U20" s="110">
        <f t="shared" si="9"/>
        <v>1.4584024650391088</v>
      </c>
      <c r="V20" s="136"/>
      <c r="W20" s="130"/>
      <c r="X20" s="131">
        <v>1.36</v>
      </c>
      <c r="Y20" s="112">
        <v>612</v>
      </c>
      <c r="Z20" s="133">
        <v>1192</v>
      </c>
      <c r="AA20" s="151" t="s">
        <v>229</v>
      </c>
      <c r="AB20" s="131">
        <v>70.03</v>
      </c>
      <c r="AC20" s="133">
        <v>101</v>
      </c>
      <c r="AD20" s="134">
        <v>4</v>
      </c>
      <c r="AE20" s="131">
        <v>4</v>
      </c>
      <c r="AF20" s="115">
        <f t="shared" si="10"/>
        <v>31.603065497353242</v>
      </c>
      <c r="AG20" s="131">
        <v>84.1</v>
      </c>
      <c r="AH20" s="115">
        <f t="shared" si="11"/>
        <v>664.45445208185185</v>
      </c>
      <c r="AI20" s="139">
        <v>21.81</v>
      </c>
      <c r="AJ20" s="131"/>
      <c r="AK20" s="136">
        <v>10.29</v>
      </c>
      <c r="AL20" s="136">
        <v>42.88</v>
      </c>
      <c r="AM20" s="110">
        <f t="shared" si="12"/>
        <v>0.24301501841881556</v>
      </c>
      <c r="AN20" s="137" t="s">
        <v>230</v>
      </c>
      <c r="AO20" s="150">
        <v>15.13</v>
      </c>
      <c r="AP20" s="138">
        <v>5.27</v>
      </c>
      <c r="AQ20" s="131"/>
      <c r="AR20" s="131">
        <v>9.4499999999999993</v>
      </c>
      <c r="AS20" s="315">
        <v>176.45</v>
      </c>
      <c r="AT20" s="131">
        <v>3.29</v>
      </c>
      <c r="AU20" s="148"/>
      <c r="AV20" s="131"/>
      <c r="AW20" s="109">
        <f t="shared" si="29"/>
        <v>0</v>
      </c>
      <c r="AX20" s="109">
        <f t="shared" si="13"/>
        <v>126.57000000000001</v>
      </c>
      <c r="AY20" s="115">
        <f t="shared" si="24"/>
        <v>153.43592189180634</v>
      </c>
      <c r="AZ20" s="140">
        <f t="shared" si="14"/>
        <v>6.1564753521126754</v>
      </c>
      <c r="BA20" s="141">
        <f t="shared" si="15"/>
        <v>5.0628000000000002</v>
      </c>
      <c r="BB20" s="128">
        <f t="shared" si="16"/>
        <v>0.72014172846639379</v>
      </c>
      <c r="BC20" s="141">
        <f t="shared" si="17"/>
        <v>11.219275352112675</v>
      </c>
      <c r="BD20" s="142">
        <v>0.86</v>
      </c>
      <c r="BE20" s="16">
        <f t="shared" si="25"/>
        <v>2434.15</v>
      </c>
      <c r="BF20" s="16">
        <f t="shared" si="18"/>
        <v>220.96774193548387</v>
      </c>
      <c r="BG20" s="16">
        <f t="shared" si="26"/>
        <v>3093.5483870967741</v>
      </c>
      <c r="BH20" s="17">
        <f t="shared" si="19"/>
        <v>1</v>
      </c>
      <c r="BI20" s="16">
        <f t="shared" si="27"/>
        <v>3093.5483870967741</v>
      </c>
      <c r="BJ20" s="254">
        <v>104.447</v>
      </c>
      <c r="BK20" s="197"/>
      <c r="BL20" s="197">
        <v>103.164</v>
      </c>
      <c r="BM20" s="197">
        <v>95.314999999999998</v>
      </c>
      <c r="BN20" s="230"/>
      <c r="BO20" s="230"/>
      <c r="BP20" s="259"/>
      <c r="BQ20" s="199"/>
      <c r="BR20" s="200">
        <v>1.89</v>
      </c>
      <c r="BS20" s="200"/>
      <c r="BT20" s="200"/>
      <c r="BU20" s="200">
        <v>8.0299999999999994</v>
      </c>
      <c r="BV20" s="208"/>
      <c r="BW20" s="208"/>
      <c r="BX20" s="201"/>
      <c r="BY20" s="202">
        <v>38.630000000000003</v>
      </c>
      <c r="BZ20" s="200"/>
      <c r="CA20" s="200">
        <v>44.45</v>
      </c>
      <c r="CB20" s="200">
        <v>42.93</v>
      </c>
      <c r="CC20" s="208"/>
      <c r="CD20" s="208"/>
      <c r="CE20" s="209"/>
      <c r="CF20" s="199"/>
      <c r="CG20" s="197"/>
      <c r="CH20" s="197"/>
      <c r="CI20" s="197">
        <v>184.59</v>
      </c>
      <c r="CJ20" s="198"/>
      <c r="CK20" s="202"/>
      <c r="CL20" s="208"/>
      <c r="CM20" s="208"/>
      <c r="CN20" s="201"/>
      <c r="CO20" s="284"/>
      <c r="CP20" s="286">
        <f t="shared" si="20"/>
        <v>102.4729517</v>
      </c>
      <c r="CQ20" s="24">
        <f t="shared" si="20"/>
        <v>0</v>
      </c>
      <c r="CR20" s="25">
        <f t="shared" si="20"/>
        <v>103.164</v>
      </c>
      <c r="CS20" s="24">
        <f t="shared" si="20"/>
        <v>87.661205499999994</v>
      </c>
      <c r="CT20" s="27">
        <f t="shared" si="20"/>
        <v>0</v>
      </c>
      <c r="CU20" s="30">
        <f t="shared" si="20"/>
        <v>0</v>
      </c>
      <c r="CV20" s="280">
        <f t="shared" si="20"/>
        <v>0</v>
      </c>
      <c r="CW20" s="237">
        <f t="shared" si="21"/>
        <v>0</v>
      </c>
      <c r="CX20" s="29">
        <f t="shared" si="21"/>
        <v>0</v>
      </c>
      <c r="CY20" s="277">
        <f t="shared" si="21"/>
        <v>184.59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8"/>
        <v>0</v>
      </c>
    </row>
    <row r="21" spans="1:110" ht="16.5" customHeight="1">
      <c r="A21" s="127">
        <v>15</v>
      </c>
      <c r="B21" s="103">
        <f>'[1]март 20'!K20</f>
        <v>455.82499999999999</v>
      </c>
      <c r="C21" s="104">
        <f t="shared" si="0"/>
        <v>3.2262316239785003</v>
      </c>
      <c r="D21" s="143">
        <f t="shared" si="1"/>
        <v>441.1190297</v>
      </c>
      <c r="E21" s="104">
        <f t="shared" si="2"/>
        <v>40.206407700323581</v>
      </c>
      <c r="F21" s="128">
        <f t="shared" si="3"/>
        <v>2.4013011959716928</v>
      </c>
      <c r="G21" s="106"/>
      <c r="H21" s="107">
        <f t="shared" si="4"/>
        <v>1.7959010870985301</v>
      </c>
      <c r="I21" s="103">
        <f>'[1]сентябрь 20'!AE20</f>
        <v>0</v>
      </c>
      <c r="J21" s="328">
        <f>'[1]март 20'!AA20</f>
        <v>6.3609999999999998</v>
      </c>
      <c r="K21" s="106"/>
      <c r="L21" s="328">
        <f>'[1]март 20'!AI20</f>
        <v>111.212</v>
      </c>
      <c r="M21" s="103">
        <f t="shared" si="5"/>
        <v>0.60540010887316276</v>
      </c>
      <c r="N21" s="103">
        <f>'[1]июль 20'!AM20</f>
        <v>0</v>
      </c>
      <c r="O21" s="103">
        <f>'[1]март 20'!W20</f>
        <v>9.3539999999999992</v>
      </c>
      <c r="P21" s="103">
        <f>'[1]март 20'!S20</f>
        <v>279.49299999999999</v>
      </c>
      <c r="Q21" s="108">
        <f t="shared" si="6"/>
        <v>1.6397548418028207</v>
      </c>
      <c r="R21" s="109">
        <f t="shared" si="7"/>
        <v>274.91000000000003</v>
      </c>
      <c r="S21" s="106">
        <v>13.71</v>
      </c>
      <c r="T21" s="109">
        <f t="shared" si="8"/>
        <v>274.91000000000003</v>
      </c>
      <c r="U21" s="110">
        <f t="shared" si="9"/>
        <v>1.4965160587915078</v>
      </c>
      <c r="V21" s="136"/>
      <c r="W21" s="130"/>
      <c r="X21" s="131">
        <v>1.56</v>
      </c>
      <c r="Y21" s="112">
        <v>674</v>
      </c>
      <c r="Z21" s="133">
        <v>1236</v>
      </c>
      <c r="AA21" s="151" t="s">
        <v>219</v>
      </c>
      <c r="AB21" s="131">
        <v>70.06</v>
      </c>
      <c r="AC21" s="133">
        <v>152</v>
      </c>
      <c r="AD21" s="134">
        <v>5</v>
      </c>
      <c r="AE21" s="131">
        <v>1.2</v>
      </c>
      <c r="AF21" s="115">
        <f t="shared" si="10"/>
        <v>6.5323897659226988</v>
      </c>
      <c r="AG21" s="131">
        <v>97.65</v>
      </c>
      <c r="AH21" s="115">
        <f t="shared" si="11"/>
        <v>531.57321720195966</v>
      </c>
      <c r="AI21" s="139">
        <v>25.84</v>
      </c>
      <c r="AJ21" s="131"/>
      <c r="AK21" s="136">
        <v>13</v>
      </c>
      <c r="AL21" s="136">
        <v>56.59</v>
      </c>
      <c r="AM21" s="110">
        <f t="shared" si="12"/>
        <v>0.22676818272891205</v>
      </c>
      <c r="AN21" s="137" t="s">
        <v>231</v>
      </c>
      <c r="AO21" s="150">
        <v>14.66</v>
      </c>
      <c r="AP21" s="138">
        <v>5.27</v>
      </c>
      <c r="AQ21" s="131"/>
      <c r="AR21" s="131">
        <v>8.65</v>
      </c>
      <c r="AS21" s="315">
        <v>249.55</v>
      </c>
      <c r="AT21" s="131">
        <v>3.74</v>
      </c>
      <c r="AU21" s="116"/>
      <c r="AV21" s="131"/>
      <c r="AW21" s="109">
        <f t="shared" si="29"/>
        <v>0</v>
      </c>
      <c r="AX21" s="109">
        <f t="shared" si="13"/>
        <v>183.70000000000002</v>
      </c>
      <c r="AY21" s="115">
        <f t="shared" si="24"/>
        <v>221.00147709567801</v>
      </c>
      <c r="AZ21" s="140">
        <f t="shared" si="14"/>
        <v>6.5432376760563384</v>
      </c>
      <c r="BA21" s="141">
        <f t="shared" si="15"/>
        <v>7.3480000000000008</v>
      </c>
      <c r="BB21" s="128">
        <f t="shared" si="16"/>
        <v>0.72565171105427095</v>
      </c>
      <c r="BC21" s="141">
        <f t="shared" si="17"/>
        <v>13.891237676056338</v>
      </c>
      <c r="BD21" s="142">
        <v>0.85</v>
      </c>
      <c r="BE21" s="16">
        <f t="shared" si="25"/>
        <v>2617.85</v>
      </c>
      <c r="BF21" s="16">
        <f t="shared" si="18"/>
        <v>220.96774193548387</v>
      </c>
      <c r="BG21" s="16">
        <f t="shared" si="26"/>
        <v>3314.516129032258</v>
      </c>
      <c r="BH21" s="17">
        <f t="shared" si="19"/>
        <v>1</v>
      </c>
      <c r="BI21" s="16">
        <f t="shared" si="27"/>
        <v>3314.516129032258</v>
      </c>
      <c r="BJ21" s="254">
        <v>256.935</v>
      </c>
      <c r="BK21" s="197"/>
      <c r="BL21" s="197">
        <v>111.212</v>
      </c>
      <c r="BM21" s="197">
        <v>87.677999999999997</v>
      </c>
      <c r="BN21" s="230"/>
      <c r="BO21" s="230"/>
      <c r="BP21" s="259"/>
      <c r="BQ21" s="199"/>
      <c r="BR21" s="200">
        <v>1.83</v>
      </c>
      <c r="BS21" s="200"/>
      <c r="BT21" s="200"/>
      <c r="BU21" s="200">
        <v>11.41</v>
      </c>
      <c r="BV21" s="208"/>
      <c r="BW21" s="208"/>
      <c r="BX21" s="201"/>
      <c r="BY21" s="202">
        <v>37.409999999999997</v>
      </c>
      <c r="BZ21" s="200"/>
      <c r="CA21" s="200">
        <v>43.96</v>
      </c>
      <c r="CB21" s="200">
        <v>43.64</v>
      </c>
      <c r="CC21" s="208"/>
      <c r="CD21" s="208"/>
      <c r="CE21" s="209"/>
      <c r="CF21" s="199"/>
      <c r="CG21" s="197"/>
      <c r="CH21" s="197"/>
      <c r="CI21" s="197">
        <v>274.91000000000003</v>
      </c>
      <c r="CJ21" s="198"/>
      <c r="CK21" s="202"/>
      <c r="CL21" s="208"/>
      <c r="CM21" s="208"/>
      <c r="CN21" s="201"/>
      <c r="CO21" s="284"/>
      <c r="CP21" s="286">
        <f t="shared" si="20"/>
        <v>252.23308950000001</v>
      </c>
      <c r="CQ21" s="27">
        <f t="shared" si="20"/>
        <v>0</v>
      </c>
      <c r="CR21" s="28">
        <f t="shared" si="20"/>
        <v>111.212</v>
      </c>
      <c r="CS21" s="27">
        <f t="shared" si="20"/>
        <v>77.673940200000004</v>
      </c>
      <c r="CT21" s="27">
        <f t="shared" si="20"/>
        <v>0</v>
      </c>
      <c r="CU21" s="24">
        <f t="shared" si="20"/>
        <v>0</v>
      </c>
      <c r="CV21" s="281">
        <f t="shared" si="20"/>
        <v>0</v>
      </c>
      <c r="CW21" s="237">
        <f t="shared" si="21"/>
        <v>0</v>
      </c>
      <c r="CX21" s="24">
        <f t="shared" si="21"/>
        <v>0</v>
      </c>
      <c r="CY21" s="277">
        <f t="shared" si="21"/>
        <v>274.91000000000003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8"/>
        <v>0</v>
      </c>
    </row>
    <row r="22" spans="1:110" ht="16.5" customHeight="1">
      <c r="A22" s="127">
        <v>16</v>
      </c>
      <c r="B22" s="103">
        <f>'[1]март 20'!K21</f>
        <v>498.34699999999998</v>
      </c>
      <c r="C22" s="104">
        <f t="shared" si="0"/>
        <v>1.4741348498134834</v>
      </c>
      <c r="D22" s="143">
        <f t="shared" si="1"/>
        <v>491.0006932</v>
      </c>
      <c r="E22" s="104">
        <f t="shared" si="2"/>
        <v>39.101892596925438</v>
      </c>
      <c r="F22" s="128">
        <f t="shared" si="3"/>
        <v>2.059221159201476</v>
      </c>
      <c r="G22" s="106"/>
      <c r="H22" s="107">
        <f t="shared" si="4"/>
        <v>1.6080133081697703</v>
      </c>
      <c r="I22" s="103">
        <f>'[1]сентябрь 20'!AE21</f>
        <v>0</v>
      </c>
      <c r="J22" s="328">
        <f>'[1]март 20'!AA21</f>
        <v>18.920000000000002</v>
      </c>
      <c r="K22" s="106"/>
      <c r="L22" s="328">
        <f>'[1]март 20'!AI21</f>
        <v>107.586</v>
      </c>
      <c r="M22" s="103">
        <f t="shared" si="5"/>
        <v>0.45120785103170602</v>
      </c>
      <c r="N22" s="103">
        <f>'[1]июль 20'!AM21</f>
        <v>0</v>
      </c>
      <c r="O22" s="103">
        <f>'[1]март 20'!W21</f>
        <v>0</v>
      </c>
      <c r="P22" s="103">
        <f>'[1]март 20'!S21</f>
        <v>301.04300000000001</v>
      </c>
      <c r="Q22" s="108">
        <f t="shared" si="6"/>
        <v>1.5589135106944818</v>
      </c>
      <c r="R22" s="109">
        <f t="shared" si="7"/>
        <v>296.35000000000002</v>
      </c>
      <c r="S22" s="106">
        <v>9.8699999999999992</v>
      </c>
      <c r="T22" s="109">
        <f t="shared" si="8"/>
        <v>296.35000000000002</v>
      </c>
      <c r="U22" s="110">
        <f t="shared" si="9"/>
        <v>1.2428703237711793</v>
      </c>
      <c r="V22" s="136"/>
      <c r="W22" s="129">
        <v>189.52</v>
      </c>
      <c r="X22" s="131">
        <v>0.95</v>
      </c>
      <c r="Y22" s="112">
        <v>640</v>
      </c>
      <c r="Z22" s="152">
        <v>1220</v>
      </c>
      <c r="AA22" s="144" t="s">
        <v>232</v>
      </c>
      <c r="AB22" s="131">
        <v>74.09</v>
      </c>
      <c r="AC22" s="133">
        <v>166</v>
      </c>
      <c r="AD22" s="134">
        <v>5</v>
      </c>
      <c r="AE22" s="131">
        <v>2.0499999999999998</v>
      </c>
      <c r="AF22" s="115">
        <f t="shared" si="10"/>
        <v>8.5975507465190386</v>
      </c>
      <c r="AG22" s="131">
        <v>144.30000000000001</v>
      </c>
      <c r="AH22" s="115">
        <f t="shared" si="11"/>
        <v>605.18369401107202</v>
      </c>
      <c r="AI22" s="139">
        <v>32.57</v>
      </c>
      <c r="AJ22" s="131"/>
      <c r="AK22" s="136">
        <v>9.56</v>
      </c>
      <c r="AL22" s="136">
        <v>53.41</v>
      </c>
      <c r="AM22" s="110">
        <f t="shared" si="12"/>
        <v>0.17919812112061734</v>
      </c>
      <c r="AN22" s="137" t="s">
        <v>233</v>
      </c>
      <c r="AO22" s="150">
        <v>10.5</v>
      </c>
      <c r="AP22" s="138">
        <v>6.78</v>
      </c>
      <c r="AQ22" s="134"/>
      <c r="AR22" s="131">
        <v>8.09</v>
      </c>
      <c r="AS22" s="315">
        <v>298.05</v>
      </c>
      <c r="AT22" s="131">
        <v>3.36</v>
      </c>
      <c r="AU22" s="116"/>
      <c r="AV22" s="131"/>
      <c r="AW22" s="109">
        <f t="shared" si="29"/>
        <v>0</v>
      </c>
      <c r="AX22" s="109">
        <f t="shared" si="13"/>
        <v>238.44000000000003</v>
      </c>
      <c r="AY22" s="115">
        <f t="shared" si="24"/>
        <v>226.2218411589418</v>
      </c>
      <c r="AZ22" s="140">
        <f t="shared" si="14"/>
        <v>9.0431387323943664</v>
      </c>
      <c r="BA22" s="141">
        <f t="shared" si="15"/>
        <v>9.5376000000000012</v>
      </c>
      <c r="BB22" s="128">
        <f t="shared" si="16"/>
        <v>0.92015041047141699</v>
      </c>
      <c r="BC22" s="141">
        <f t="shared" si="17"/>
        <v>18.580738732394366</v>
      </c>
      <c r="BD22" s="142">
        <v>0.85499999999999998</v>
      </c>
      <c r="BE22" s="16">
        <f t="shared" si="25"/>
        <v>2856.29</v>
      </c>
      <c r="BF22" s="16">
        <f t="shared" si="18"/>
        <v>220.96774193548387</v>
      </c>
      <c r="BG22" s="16">
        <f t="shared" si="26"/>
        <v>3535.483870967742</v>
      </c>
      <c r="BH22" s="17">
        <f t="shared" si="19"/>
        <v>1</v>
      </c>
      <c r="BI22" s="16">
        <f t="shared" si="27"/>
        <v>3535.483870967742</v>
      </c>
      <c r="BJ22" s="254">
        <v>390.76100000000002</v>
      </c>
      <c r="BK22" s="197"/>
      <c r="BL22" s="197">
        <v>107.586</v>
      </c>
      <c r="BM22" s="197"/>
      <c r="BN22" s="230"/>
      <c r="BO22" s="230"/>
      <c r="BP22" s="258"/>
      <c r="BQ22" s="199"/>
      <c r="BR22" s="200">
        <v>1.88</v>
      </c>
      <c r="BS22" s="200"/>
      <c r="BT22" s="200"/>
      <c r="BU22" s="200"/>
      <c r="BV22" s="208"/>
      <c r="BW22" s="208"/>
      <c r="BX22" s="201"/>
      <c r="BY22" s="202">
        <v>37.69</v>
      </c>
      <c r="BZ22" s="200"/>
      <c r="CA22" s="200">
        <v>44.23</v>
      </c>
      <c r="CB22" s="200"/>
      <c r="CC22" s="208"/>
      <c r="CD22" s="208"/>
      <c r="CE22" s="201"/>
      <c r="CF22" s="199"/>
      <c r="CG22" s="197"/>
      <c r="CH22" s="197"/>
      <c r="CI22" s="197">
        <v>296.35000000000002</v>
      </c>
      <c r="CJ22" s="198"/>
      <c r="CK22" s="202"/>
      <c r="CL22" s="200"/>
      <c r="CM22" s="208"/>
      <c r="CN22" s="201"/>
      <c r="CO22" s="284"/>
      <c r="CP22" s="286">
        <f t="shared" si="20"/>
        <v>383.41469320000004</v>
      </c>
      <c r="CQ22" s="29">
        <f t="shared" si="20"/>
        <v>0</v>
      </c>
      <c r="CR22" s="30">
        <f t="shared" si="20"/>
        <v>107.586</v>
      </c>
      <c r="CS22" s="29">
        <f t="shared" si="20"/>
        <v>0</v>
      </c>
      <c r="CT22" s="27">
        <f t="shared" si="20"/>
        <v>0</v>
      </c>
      <c r="CU22" s="24">
        <f t="shared" si="20"/>
        <v>0</v>
      </c>
      <c r="CV22" s="282">
        <f t="shared" si="20"/>
        <v>0</v>
      </c>
      <c r="CW22" s="237">
        <f t="shared" si="21"/>
        <v>0</v>
      </c>
      <c r="CX22" s="24">
        <f t="shared" si="21"/>
        <v>0</v>
      </c>
      <c r="CY22" s="277">
        <f t="shared" si="21"/>
        <v>296.35000000000002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8"/>
        <v>0</v>
      </c>
    </row>
    <row r="23" spans="1:110" ht="16.5" customHeight="1">
      <c r="A23" s="127">
        <v>17</v>
      </c>
      <c r="B23" s="103">
        <f>'[1]март 20'!K22</f>
        <v>509.05</v>
      </c>
      <c r="C23" s="104">
        <f t="shared" si="0"/>
        <v>1.2786233179451922</v>
      </c>
      <c r="D23" s="143">
        <f t="shared" si="1"/>
        <v>502.54116800000003</v>
      </c>
      <c r="E23" s="104">
        <f t="shared" si="2"/>
        <v>38.727343247225221</v>
      </c>
      <c r="F23" s="128">
        <f t="shared" si="3"/>
        <v>2.1584965552787563</v>
      </c>
      <c r="G23" s="106"/>
      <c r="H23" s="107">
        <f t="shared" si="4"/>
        <v>1.7193246628296541</v>
      </c>
      <c r="I23" s="103">
        <f>'[1]сентябрь 20'!AE22</f>
        <v>0</v>
      </c>
      <c r="J23" s="328">
        <f>'[1]март 20'!AA22</f>
        <v>18.306000000000001</v>
      </c>
      <c r="K23" s="106"/>
      <c r="L23" s="328">
        <f>'[1]март 20'!AI22</f>
        <v>102.248</v>
      </c>
      <c r="M23" s="103">
        <f t="shared" si="5"/>
        <v>0.43917189244910232</v>
      </c>
      <c r="N23" s="103">
        <f>'[1]июль 20'!AM22</f>
        <v>0</v>
      </c>
      <c r="O23" s="103">
        <f>'[1]март 20'!W22</f>
        <v>0</v>
      </c>
      <c r="P23" s="103">
        <f>'[1]март 20'!S22</f>
        <v>310.923</v>
      </c>
      <c r="Q23" s="108">
        <f t="shared" si="6"/>
        <v>2.660787397522868</v>
      </c>
      <c r="R23" s="109">
        <f t="shared" si="7"/>
        <v>302.64999999999998</v>
      </c>
      <c r="S23" s="106">
        <v>6.69</v>
      </c>
      <c r="T23" s="109">
        <f t="shared" si="8"/>
        <v>302.64999999999998</v>
      </c>
      <c r="U23" s="110">
        <f t="shared" si="9"/>
        <v>1.2999312773816682</v>
      </c>
      <c r="V23" s="136">
        <v>184.18</v>
      </c>
      <c r="W23" s="129">
        <v>232.82</v>
      </c>
      <c r="X23" s="131">
        <v>0.69</v>
      </c>
      <c r="Y23" s="112">
        <v>628</v>
      </c>
      <c r="Z23" s="133">
        <v>1225</v>
      </c>
      <c r="AA23" s="144" t="s">
        <v>198</v>
      </c>
      <c r="AB23" s="131">
        <v>75.75</v>
      </c>
      <c r="AC23" s="133">
        <v>169</v>
      </c>
      <c r="AD23" s="134">
        <v>5</v>
      </c>
      <c r="AE23" s="131">
        <v>3.5</v>
      </c>
      <c r="AF23" s="115">
        <f t="shared" si="10"/>
        <v>15.033072760072159</v>
      </c>
      <c r="AG23" s="131">
        <v>146.55000000000001</v>
      </c>
      <c r="AH23" s="115">
        <f t="shared" si="11"/>
        <v>629.45623228245006</v>
      </c>
      <c r="AI23" s="139">
        <v>29.6</v>
      </c>
      <c r="AJ23" s="131"/>
      <c r="AK23" s="136">
        <v>9.86</v>
      </c>
      <c r="AL23" s="136">
        <v>56.38</v>
      </c>
      <c r="AM23" s="110">
        <f t="shared" si="12"/>
        <v>0.1901838421318941</v>
      </c>
      <c r="AN23" s="137" t="s">
        <v>225</v>
      </c>
      <c r="AO23" s="150">
        <v>8.64</v>
      </c>
      <c r="AP23" s="138">
        <v>7.32</v>
      </c>
      <c r="AQ23" s="134"/>
      <c r="AR23" s="131">
        <v>6.48</v>
      </c>
      <c r="AS23" s="315">
        <v>296.45</v>
      </c>
      <c r="AT23" s="131">
        <v>2.61</v>
      </c>
      <c r="AU23" s="116"/>
      <c r="AV23" s="131"/>
      <c r="AW23" s="109">
        <f t="shared" si="29"/>
        <v>0</v>
      </c>
      <c r="AX23" s="109">
        <f t="shared" si="13"/>
        <v>232.82</v>
      </c>
      <c r="AY23" s="115">
        <f t="shared" si="24"/>
        <v>224.29570431359468</v>
      </c>
      <c r="AZ23" s="140">
        <f t="shared" si="14"/>
        <v>7.3563971830985926</v>
      </c>
      <c r="BA23" s="141">
        <f t="shared" si="15"/>
        <v>9.3127999999999993</v>
      </c>
      <c r="BB23" s="128">
        <f t="shared" si="16"/>
        <v>0.90617812152045196</v>
      </c>
      <c r="BC23" s="141">
        <f t="shared" si="17"/>
        <v>16.669197183098593</v>
      </c>
      <c r="BD23" s="142">
        <v>0.85899999999999999</v>
      </c>
      <c r="BE23" s="16">
        <f t="shared" si="25"/>
        <v>3089.11</v>
      </c>
      <c r="BF23" s="16">
        <f t="shared" si="18"/>
        <v>220.96774193548387</v>
      </c>
      <c r="BG23" s="16">
        <f t="shared" si="26"/>
        <v>3756.4516129032259</v>
      </c>
      <c r="BH23" s="17">
        <f t="shared" si="19"/>
        <v>1</v>
      </c>
      <c r="BI23" s="16">
        <f t="shared" si="27"/>
        <v>3756.4516129032259</v>
      </c>
      <c r="BJ23" s="254">
        <v>406.80200000000002</v>
      </c>
      <c r="BK23" s="197"/>
      <c r="BL23" s="197">
        <v>102.248</v>
      </c>
      <c r="BM23" s="197"/>
      <c r="BN23" s="230"/>
      <c r="BO23" s="230"/>
      <c r="BP23" s="258"/>
      <c r="BQ23" s="199"/>
      <c r="BR23" s="200">
        <v>1.6</v>
      </c>
      <c r="BS23" s="200"/>
      <c r="BT23" s="200"/>
      <c r="BU23" s="200"/>
      <c r="BV23" s="208"/>
      <c r="BW23" s="208"/>
      <c r="BX23" s="201"/>
      <c r="BY23" s="202">
        <v>37.479999999999997</v>
      </c>
      <c r="BZ23" s="200"/>
      <c r="CA23" s="200">
        <v>43.69</v>
      </c>
      <c r="CB23" s="200"/>
      <c r="CC23" s="208"/>
      <c r="CD23" s="208"/>
      <c r="CE23" s="209"/>
      <c r="CF23" s="199"/>
      <c r="CG23" s="197"/>
      <c r="CH23" s="197"/>
      <c r="CI23" s="197">
        <v>302.64999999999998</v>
      </c>
      <c r="CJ23" s="198"/>
      <c r="CK23" s="202"/>
      <c r="CL23" s="208"/>
      <c r="CM23" s="208"/>
      <c r="CN23" s="201"/>
      <c r="CO23" s="284"/>
      <c r="CP23" s="286">
        <f t="shared" si="20"/>
        <v>400.29316800000004</v>
      </c>
      <c r="CQ23" s="24">
        <f t="shared" si="20"/>
        <v>0</v>
      </c>
      <c r="CR23" s="25">
        <f t="shared" si="20"/>
        <v>102.248</v>
      </c>
      <c r="CS23" s="24">
        <f t="shared" si="20"/>
        <v>0</v>
      </c>
      <c r="CT23" s="27">
        <f t="shared" si="20"/>
        <v>0</v>
      </c>
      <c r="CU23" s="24">
        <f t="shared" si="20"/>
        <v>0</v>
      </c>
      <c r="CV23" s="280">
        <f t="shared" si="20"/>
        <v>0</v>
      </c>
      <c r="CW23" s="237">
        <f t="shared" si="21"/>
        <v>0</v>
      </c>
      <c r="CX23" s="29">
        <f t="shared" si="21"/>
        <v>0</v>
      </c>
      <c r="CY23" s="277">
        <f t="shared" si="21"/>
        <v>302.64999999999998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8"/>
        <v>0</v>
      </c>
    </row>
    <row r="24" spans="1:110" ht="16.5" customHeight="1">
      <c r="A24" s="127">
        <v>18</v>
      </c>
      <c r="B24" s="103">
        <f>'[1]март 20'!K23</f>
        <v>539.90599999999995</v>
      </c>
      <c r="C24" s="104">
        <f t="shared" si="0"/>
        <v>1.2311525339596152</v>
      </c>
      <c r="D24" s="143">
        <f t="shared" si="1"/>
        <v>533.25893359999998</v>
      </c>
      <c r="E24" s="104">
        <f t="shared" si="2"/>
        <v>38.265016095394387</v>
      </c>
      <c r="F24" s="128">
        <f t="shared" si="3"/>
        <v>2.2644653004373856</v>
      </c>
      <c r="G24" s="106"/>
      <c r="H24" s="107">
        <f t="shared" si="4"/>
        <v>1.8287822565714045</v>
      </c>
      <c r="I24" s="103">
        <f>'[1]сентябрь 20'!AE23</f>
        <v>0</v>
      </c>
      <c r="J24" s="328">
        <f>'[1]март 20'!AA23</f>
        <v>17.78</v>
      </c>
      <c r="K24" s="106"/>
      <c r="L24" s="328">
        <f>'[1]март 20'!AI23</f>
        <v>102.599</v>
      </c>
      <c r="M24" s="103">
        <f t="shared" si="5"/>
        <v>0.43568304386598156</v>
      </c>
      <c r="N24" s="103">
        <f>'[1]июль 20'!AM23</f>
        <v>0</v>
      </c>
      <c r="O24" s="103">
        <f>'[1]март 20'!W23</f>
        <v>0</v>
      </c>
      <c r="P24" s="103">
        <f>'[1]март 20'!S23</f>
        <v>333.33100000000002</v>
      </c>
      <c r="Q24" s="108">
        <f t="shared" si="6"/>
        <v>4.0833285833000836</v>
      </c>
      <c r="R24" s="109">
        <f t="shared" si="7"/>
        <v>319.72000000000003</v>
      </c>
      <c r="S24" s="106">
        <v>33.61</v>
      </c>
      <c r="T24" s="109">
        <f t="shared" si="8"/>
        <v>319.72000000000003</v>
      </c>
      <c r="U24" s="110">
        <f t="shared" si="9"/>
        <v>1.3576797316234235</v>
      </c>
      <c r="V24" s="136">
        <v>235.49</v>
      </c>
      <c r="W24" s="129">
        <v>235.49</v>
      </c>
      <c r="X24" s="131">
        <v>0.56000000000000005</v>
      </c>
      <c r="Y24" s="133">
        <v>563</v>
      </c>
      <c r="Z24" s="133">
        <v>1229</v>
      </c>
      <c r="AA24" s="144" t="s">
        <v>234</v>
      </c>
      <c r="AB24" s="131">
        <v>76.05</v>
      </c>
      <c r="AC24" s="133">
        <v>180</v>
      </c>
      <c r="AD24" s="134">
        <v>5</v>
      </c>
      <c r="AE24" s="131"/>
      <c r="AF24" s="115">
        <f t="shared" si="10"/>
        <v>0</v>
      </c>
      <c r="AG24" s="131">
        <v>168.15</v>
      </c>
      <c r="AH24" s="115">
        <f t="shared" si="11"/>
        <v>714.04305915325494</v>
      </c>
      <c r="AI24" s="139">
        <v>30.46</v>
      </c>
      <c r="AJ24" s="131"/>
      <c r="AK24" s="136">
        <v>14.06</v>
      </c>
      <c r="AL24" s="136">
        <v>48.74</v>
      </c>
      <c r="AM24" s="110">
        <f t="shared" si="12"/>
        <v>0.16474564813249956</v>
      </c>
      <c r="AN24" s="137" t="s">
        <v>235</v>
      </c>
      <c r="AO24" s="150">
        <v>6.98</v>
      </c>
      <c r="AP24" s="138">
        <v>7.26</v>
      </c>
      <c r="AQ24" s="134"/>
      <c r="AR24" s="131">
        <v>8.76</v>
      </c>
      <c r="AS24" s="315">
        <v>295.85000000000002</v>
      </c>
      <c r="AT24" s="131">
        <v>2.44</v>
      </c>
      <c r="AU24" s="116"/>
      <c r="AV24" s="131"/>
      <c r="AW24" s="109">
        <f t="shared" si="29"/>
        <v>0</v>
      </c>
      <c r="AX24" s="109">
        <f t="shared" si="13"/>
        <v>235.49</v>
      </c>
      <c r="AY24" s="115">
        <f t="shared" si="24"/>
        <v>234.23676718225261</v>
      </c>
      <c r="AZ24" s="140">
        <f t="shared" si="14"/>
        <v>11.41051690140845</v>
      </c>
      <c r="BA24" s="141"/>
      <c r="BB24" s="128">
        <f t="shared" si="16"/>
        <v>0.87767079640423096</v>
      </c>
      <c r="BC24" s="141">
        <f t="shared" si="17"/>
        <v>11.41051690140845</v>
      </c>
      <c r="BD24" s="142">
        <v>0.86</v>
      </c>
      <c r="BE24" s="16">
        <f t="shared" si="25"/>
        <v>3324.6000000000004</v>
      </c>
      <c r="BF24" s="16">
        <f t="shared" si="18"/>
        <v>220.96774193548387</v>
      </c>
      <c r="BG24" s="16">
        <f t="shared" si="26"/>
        <v>3977.4193548387098</v>
      </c>
      <c r="BH24" s="17">
        <f t="shared" si="19"/>
        <v>1</v>
      </c>
      <c r="BI24" s="16">
        <f t="shared" si="27"/>
        <v>3977.4193548387098</v>
      </c>
      <c r="BJ24" s="254">
        <v>437.30700000000002</v>
      </c>
      <c r="BK24" s="197"/>
      <c r="BL24" s="197">
        <v>102.599</v>
      </c>
      <c r="BM24" s="197"/>
      <c r="BN24" s="230"/>
      <c r="BO24" s="230"/>
      <c r="BP24" s="258"/>
      <c r="BQ24" s="199"/>
      <c r="BR24" s="200">
        <v>1.52</v>
      </c>
      <c r="BS24" s="200"/>
      <c r="BT24" s="200"/>
      <c r="BU24" s="200"/>
      <c r="BV24" s="208"/>
      <c r="BW24" s="208"/>
      <c r="BX24" s="201"/>
      <c r="BY24" s="202">
        <v>36.950000000000003</v>
      </c>
      <c r="BZ24" s="200"/>
      <c r="CA24" s="200">
        <v>43.87</v>
      </c>
      <c r="CB24" s="200"/>
      <c r="CC24" s="208"/>
      <c r="CD24" s="208"/>
      <c r="CE24" s="209"/>
      <c r="CF24" s="199"/>
      <c r="CG24" s="197"/>
      <c r="CH24" s="197"/>
      <c r="CI24" s="197">
        <v>319.72000000000003</v>
      </c>
      <c r="CJ24" s="198"/>
      <c r="CK24" s="202"/>
      <c r="CL24" s="208"/>
      <c r="CM24" s="208"/>
      <c r="CN24" s="201"/>
      <c r="CO24" s="284"/>
      <c r="CP24" s="286">
        <f t="shared" si="20"/>
        <v>430.65993360000004</v>
      </c>
      <c r="CQ24" s="29">
        <f t="shared" si="20"/>
        <v>0</v>
      </c>
      <c r="CR24" s="30">
        <f t="shared" si="20"/>
        <v>102.599</v>
      </c>
      <c r="CS24" s="29">
        <f t="shared" si="20"/>
        <v>0</v>
      </c>
      <c r="CT24" s="27">
        <f t="shared" si="20"/>
        <v>0</v>
      </c>
      <c r="CU24" s="27">
        <f t="shared" si="20"/>
        <v>0</v>
      </c>
      <c r="CV24" s="282">
        <f t="shared" si="20"/>
        <v>0</v>
      </c>
      <c r="CW24" s="25">
        <f t="shared" si="21"/>
        <v>0</v>
      </c>
      <c r="CX24" s="26">
        <f t="shared" si="21"/>
        <v>0</v>
      </c>
      <c r="CY24" s="277">
        <f t="shared" si="21"/>
        <v>319.72000000000003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8"/>
        <v>0</v>
      </c>
    </row>
    <row r="25" spans="1:110" ht="16.5" customHeight="1">
      <c r="A25" s="127">
        <v>19</v>
      </c>
      <c r="B25" s="103">
        <f>'[1]март 20'!K24</f>
        <v>570.07500000000005</v>
      </c>
      <c r="C25" s="104">
        <f t="shared" si="0"/>
        <v>1.2401250712625531</v>
      </c>
      <c r="D25" s="143">
        <f t="shared" si="1"/>
        <v>563.005357</v>
      </c>
      <c r="E25" s="104">
        <f t="shared" si="2"/>
        <v>39.101527149936402</v>
      </c>
      <c r="F25" s="128">
        <f t="shared" si="3"/>
        <v>2.4351442776816605</v>
      </c>
      <c r="G25" s="106"/>
      <c r="H25" s="107">
        <f t="shared" si="4"/>
        <v>1.9421987759515567</v>
      </c>
      <c r="I25" s="103">
        <f>'[1]сентябрь 20'!AE24</f>
        <v>0</v>
      </c>
      <c r="J25" s="328">
        <f>'[1]март 20'!AA24</f>
        <v>17.484000000000002</v>
      </c>
      <c r="K25" s="106">
        <v>59.93</v>
      </c>
      <c r="L25" s="328">
        <f>'[1]март 20'!AI24</f>
        <v>113.96899999999999</v>
      </c>
      <c r="M25" s="103">
        <f t="shared" si="5"/>
        <v>0.49294550173010371</v>
      </c>
      <c r="N25" s="103">
        <f>'[1]июль 20'!AM24</f>
        <v>2.8069999999999999</v>
      </c>
      <c r="O25" s="103">
        <f>'[1]март 20'!W24</f>
        <v>0</v>
      </c>
      <c r="P25" s="103">
        <f>'[1]март 20'!S24</f>
        <v>343.65600000000001</v>
      </c>
      <c r="Q25" s="108">
        <f t="shared" si="6"/>
        <v>3.9621016365202322</v>
      </c>
      <c r="R25" s="109">
        <f t="shared" si="7"/>
        <v>330.04</v>
      </c>
      <c r="S25" s="106">
        <v>22.03</v>
      </c>
      <c r="T25" s="109">
        <f t="shared" si="8"/>
        <v>330.04</v>
      </c>
      <c r="U25" s="110">
        <f t="shared" si="9"/>
        <v>1.4275086505190309</v>
      </c>
      <c r="V25" s="136">
        <v>231.2</v>
      </c>
      <c r="W25" s="129">
        <v>132.46</v>
      </c>
      <c r="X25" s="131">
        <v>0.86</v>
      </c>
      <c r="Y25" s="133">
        <v>514</v>
      </c>
      <c r="Z25" s="133">
        <v>1237</v>
      </c>
      <c r="AA25" s="144" t="s">
        <v>178</v>
      </c>
      <c r="AB25" s="131">
        <v>76.489999999999995</v>
      </c>
      <c r="AC25" s="133">
        <v>190</v>
      </c>
      <c r="AD25" s="134">
        <v>5</v>
      </c>
      <c r="AE25" s="131">
        <v>2.8</v>
      </c>
      <c r="AF25" s="115">
        <f t="shared" si="10"/>
        <v>12.110726643598612</v>
      </c>
      <c r="AG25" s="131">
        <v>156.9</v>
      </c>
      <c r="AH25" s="115">
        <f t="shared" si="11"/>
        <v>678.63321799307948</v>
      </c>
      <c r="AI25" s="139">
        <v>25.55</v>
      </c>
      <c r="AJ25" s="131"/>
      <c r="AK25" s="136">
        <v>12.7</v>
      </c>
      <c r="AL25" s="136">
        <v>54.22</v>
      </c>
      <c r="AM25" s="110">
        <f t="shared" si="12"/>
        <v>0.1849880586830433</v>
      </c>
      <c r="AN25" s="137" t="s">
        <v>208</v>
      </c>
      <c r="AO25" s="150">
        <v>7.07</v>
      </c>
      <c r="AP25" s="138">
        <v>7.12</v>
      </c>
      <c r="AQ25" s="153"/>
      <c r="AR25" s="131">
        <v>8.32</v>
      </c>
      <c r="AS25" s="315">
        <v>293.10000000000002</v>
      </c>
      <c r="AT25" s="131">
        <v>5.0199999999999996</v>
      </c>
      <c r="AU25" s="148"/>
      <c r="AV25" s="131"/>
      <c r="AW25" s="109">
        <f t="shared" si="29"/>
        <v>0</v>
      </c>
      <c r="AX25" s="109">
        <f t="shared" si="13"/>
        <v>231.20000000000005</v>
      </c>
      <c r="AY25" s="115">
        <f t="shared" si="24"/>
        <v>251.25564593088845</v>
      </c>
      <c r="AZ25" s="140">
        <f t="shared" si="14"/>
        <v>10.112315492957746</v>
      </c>
      <c r="BA25" s="141">
        <f t="shared" ref="BA25:BA37" si="30">AX25*$BA$6</f>
        <v>9.2480000000000029</v>
      </c>
      <c r="BB25" s="128">
        <f t="shared" si="16"/>
        <v>0.80331567974205231</v>
      </c>
      <c r="BC25" s="141">
        <f t="shared" si="17"/>
        <v>19.360315492957749</v>
      </c>
      <c r="BD25" s="142">
        <v>0.85599999999999998</v>
      </c>
      <c r="BE25" s="16">
        <f t="shared" si="25"/>
        <v>3555.8</v>
      </c>
      <c r="BF25" s="16">
        <f t="shared" si="18"/>
        <v>220.96774193548387</v>
      </c>
      <c r="BG25" s="16">
        <f t="shared" si="26"/>
        <v>4198.3870967741932</v>
      </c>
      <c r="BH25" s="17">
        <f t="shared" si="19"/>
        <v>1</v>
      </c>
      <c r="BI25" s="16">
        <f t="shared" si="27"/>
        <v>4198.3870967741932</v>
      </c>
      <c r="BJ25" s="254">
        <v>456.10599999999999</v>
      </c>
      <c r="BK25" s="197"/>
      <c r="BL25" s="197">
        <v>113.96899999999999</v>
      </c>
      <c r="BM25" s="197"/>
      <c r="BN25" s="230"/>
      <c r="BO25" s="230"/>
      <c r="BP25" s="258"/>
      <c r="BQ25" s="199"/>
      <c r="BR25" s="200">
        <v>1.55</v>
      </c>
      <c r="BS25" s="200"/>
      <c r="BT25" s="200"/>
      <c r="BU25" s="200"/>
      <c r="BV25" s="208"/>
      <c r="BW25" s="208"/>
      <c r="BX25" s="201"/>
      <c r="BY25" s="202">
        <v>37.93</v>
      </c>
      <c r="BZ25" s="200"/>
      <c r="CA25" s="200">
        <v>43.79</v>
      </c>
      <c r="CB25" s="200"/>
      <c r="CC25" s="208"/>
      <c r="CD25" s="208"/>
      <c r="CE25" s="201"/>
      <c r="CF25" s="199"/>
      <c r="CG25" s="197"/>
      <c r="CH25" s="197"/>
      <c r="CI25" s="197">
        <v>330.04</v>
      </c>
      <c r="CJ25" s="198"/>
      <c r="CK25" s="202"/>
      <c r="CL25" s="208"/>
      <c r="CM25" s="208"/>
      <c r="CN25" s="201"/>
      <c r="CO25" s="284"/>
      <c r="CP25" s="286">
        <f t="shared" si="20"/>
        <v>449.03635700000001</v>
      </c>
      <c r="CQ25" s="24">
        <f t="shared" si="20"/>
        <v>0</v>
      </c>
      <c r="CR25" s="25">
        <f t="shared" si="20"/>
        <v>113.96899999999999</v>
      </c>
      <c r="CS25" s="24">
        <f t="shared" si="20"/>
        <v>0</v>
      </c>
      <c r="CT25" s="27">
        <f t="shared" si="20"/>
        <v>0</v>
      </c>
      <c r="CU25" s="30">
        <f t="shared" si="20"/>
        <v>0</v>
      </c>
      <c r="CV25" s="280">
        <f t="shared" si="20"/>
        <v>0</v>
      </c>
      <c r="CW25" s="25">
        <f t="shared" si="21"/>
        <v>0</v>
      </c>
      <c r="CX25" s="26">
        <f t="shared" si="21"/>
        <v>0</v>
      </c>
      <c r="CY25" s="277">
        <f t="shared" si="21"/>
        <v>330.04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8"/>
        <v>0</v>
      </c>
    </row>
    <row r="26" spans="1:110" ht="16.5" customHeight="1">
      <c r="A26" s="127">
        <v>20</v>
      </c>
      <c r="B26" s="103">
        <f>'[1]март 20'!K25</f>
        <v>525.27800000000002</v>
      </c>
      <c r="C26" s="104">
        <f t="shared" si="0"/>
        <v>2.6480730965317409</v>
      </c>
      <c r="D26" s="143">
        <f t="shared" si="1"/>
        <v>511.3682546</v>
      </c>
      <c r="E26" s="104">
        <f t="shared" si="2"/>
        <v>39.023871473771976</v>
      </c>
      <c r="F26" s="128">
        <f t="shared" si="3"/>
        <v>2.2620908369459434</v>
      </c>
      <c r="G26" s="106"/>
      <c r="H26" s="107">
        <f t="shared" si="4"/>
        <v>1.7974177413076173</v>
      </c>
      <c r="I26" s="103">
        <f>'[1]сентябрь 20'!AE25</f>
        <v>0</v>
      </c>
      <c r="J26" s="328">
        <f>'[1]март 20'!AA25</f>
        <v>15.284000000000001</v>
      </c>
      <c r="K26" s="106">
        <v>22.08</v>
      </c>
      <c r="L26" s="328">
        <f>'[1]март 20'!AI25</f>
        <v>105.044</v>
      </c>
      <c r="M26" s="103">
        <f t="shared" si="5"/>
        <v>0.46467309563832609</v>
      </c>
      <c r="N26" s="103">
        <f>'[1]июль 20'!AM25</f>
        <v>7.1479999999999997</v>
      </c>
      <c r="O26" s="103">
        <f>'[1]март 20'!W25</f>
        <v>0</v>
      </c>
      <c r="P26" s="103">
        <f>'[1]март 20'!S25</f>
        <v>314.32400000000001</v>
      </c>
      <c r="Q26" s="108">
        <f t="shared" si="6"/>
        <v>3.9653351319021146</v>
      </c>
      <c r="R26" s="109">
        <f t="shared" si="7"/>
        <v>301.86000000000007</v>
      </c>
      <c r="S26" s="106">
        <v>13.33</v>
      </c>
      <c r="T26" s="109">
        <f t="shared" si="8"/>
        <v>301.86</v>
      </c>
      <c r="U26" s="110">
        <f t="shared" si="9"/>
        <v>1.3353092099442629</v>
      </c>
      <c r="V26" s="136">
        <v>226.06</v>
      </c>
      <c r="W26" s="154">
        <v>226.06</v>
      </c>
      <c r="X26" s="149">
        <v>0.3</v>
      </c>
      <c r="Y26" s="147">
        <v>583</v>
      </c>
      <c r="Z26" s="147">
        <v>1234</v>
      </c>
      <c r="AA26" s="144" t="s">
        <v>222</v>
      </c>
      <c r="AB26" s="149">
        <v>75.94</v>
      </c>
      <c r="AC26" s="147">
        <v>175</v>
      </c>
      <c r="AD26" s="155">
        <v>5</v>
      </c>
      <c r="AE26" s="149">
        <v>1.5</v>
      </c>
      <c r="AF26" s="115">
        <f t="shared" si="10"/>
        <v>6.6354065292400248</v>
      </c>
      <c r="AG26" s="149">
        <v>174.95</v>
      </c>
      <c r="AH26" s="115">
        <f t="shared" si="11"/>
        <v>773.90958152702819</v>
      </c>
      <c r="AI26" s="156">
        <v>29.97</v>
      </c>
      <c r="AJ26" s="149"/>
      <c r="AK26" s="157">
        <v>8.94</v>
      </c>
      <c r="AL26" s="157">
        <v>53.34</v>
      </c>
      <c r="AM26" s="110">
        <f t="shared" si="12"/>
        <v>0.18794926004228329</v>
      </c>
      <c r="AN26" s="158" t="s">
        <v>208</v>
      </c>
      <c r="AO26" s="404">
        <v>6.69</v>
      </c>
      <c r="AP26" s="159">
        <v>6.79</v>
      </c>
      <c r="AQ26" s="155"/>
      <c r="AR26" s="149">
        <v>11.81</v>
      </c>
      <c r="AS26" s="315">
        <v>283.8</v>
      </c>
      <c r="AT26" s="131">
        <v>4.54</v>
      </c>
      <c r="AU26" s="148"/>
      <c r="AV26" s="149"/>
      <c r="AW26" s="160">
        <f t="shared" si="29"/>
        <v>0</v>
      </c>
      <c r="AX26" s="109">
        <f t="shared" si="13"/>
        <v>226.06</v>
      </c>
      <c r="AY26" s="115">
        <f t="shared" si="24"/>
        <v>229.40758196972956</v>
      </c>
      <c r="AZ26" s="140">
        <f t="shared" si="14"/>
        <v>16.005460915492957</v>
      </c>
      <c r="BA26" s="140">
        <f t="shared" si="30"/>
        <v>9.0424000000000007</v>
      </c>
      <c r="BB26" s="161">
        <f t="shared" si="16"/>
        <v>0.86026093080934218</v>
      </c>
      <c r="BC26" s="140">
        <f t="shared" si="17"/>
        <v>25.047860915492958</v>
      </c>
      <c r="BD26" s="162">
        <v>0.85599999999999998</v>
      </c>
      <c r="BE26" s="16">
        <f t="shared" si="25"/>
        <v>3781.86</v>
      </c>
      <c r="BF26" s="16">
        <f t="shared" si="18"/>
        <v>220.96774193548387</v>
      </c>
      <c r="BG26" s="16">
        <f t="shared" si="26"/>
        <v>4419.3548387096771</v>
      </c>
      <c r="BH26" s="17">
        <f t="shared" si="19"/>
        <v>1</v>
      </c>
      <c r="BI26" s="16">
        <f t="shared" si="27"/>
        <v>4419.3548387096771</v>
      </c>
      <c r="BJ26" s="254">
        <v>420.23399999999998</v>
      </c>
      <c r="BK26" s="197"/>
      <c r="BL26" s="197">
        <v>105.044</v>
      </c>
      <c r="BM26" s="197"/>
      <c r="BN26" s="230"/>
      <c r="BO26" s="230"/>
      <c r="BP26" s="258"/>
      <c r="BQ26" s="199"/>
      <c r="BR26" s="200">
        <v>3.31</v>
      </c>
      <c r="BS26" s="200"/>
      <c r="BT26" s="200"/>
      <c r="BU26" s="200"/>
      <c r="BV26" s="208"/>
      <c r="BW26" s="208"/>
      <c r="BX26" s="201"/>
      <c r="BY26" s="202">
        <v>37.86</v>
      </c>
      <c r="BZ26" s="200"/>
      <c r="CA26" s="200">
        <v>43.68</v>
      </c>
      <c r="CB26" s="200"/>
      <c r="CC26" s="208"/>
      <c r="CD26" s="208"/>
      <c r="CE26" s="209"/>
      <c r="CF26" s="199"/>
      <c r="CG26" s="197"/>
      <c r="CH26" s="197"/>
      <c r="CI26" s="197">
        <v>301.86</v>
      </c>
      <c r="CJ26" s="198"/>
      <c r="CK26" s="202"/>
      <c r="CL26" s="208"/>
      <c r="CM26" s="208"/>
      <c r="CN26" s="201"/>
      <c r="CO26" s="284"/>
      <c r="CP26" s="286">
        <f t="shared" si="20"/>
        <v>406.32425459999996</v>
      </c>
      <c r="CQ26" s="24">
        <f t="shared" si="20"/>
        <v>0</v>
      </c>
      <c r="CR26" s="25">
        <f t="shared" si="20"/>
        <v>105.044</v>
      </c>
      <c r="CS26" s="24">
        <f t="shared" si="20"/>
        <v>0</v>
      </c>
      <c r="CT26" s="27">
        <f t="shared" si="20"/>
        <v>0</v>
      </c>
      <c r="CU26" s="24">
        <f t="shared" si="20"/>
        <v>0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301.86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8"/>
        <v>0</v>
      </c>
    </row>
    <row r="27" spans="1:110" ht="16.5" customHeight="1">
      <c r="A27" s="127">
        <v>21</v>
      </c>
      <c r="B27" s="103">
        <f>'[1]март 20'!K26</f>
        <v>539.98099999999999</v>
      </c>
      <c r="C27" s="104">
        <f t="shared" si="0"/>
        <v>2.600338252642223</v>
      </c>
      <c r="D27" s="143">
        <f t="shared" si="1"/>
        <v>525.93966750000004</v>
      </c>
      <c r="E27" s="104">
        <f t="shared" si="2"/>
        <v>39.429437980225231</v>
      </c>
      <c r="F27" s="128">
        <f t="shared" si="3"/>
        <v>2.4429358888011521</v>
      </c>
      <c r="G27" s="106"/>
      <c r="H27" s="107">
        <f t="shared" si="4"/>
        <v>1.9415656440150493</v>
      </c>
      <c r="I27" s="103">
        <f>'[1]сентябрь 20'!AE26</f>
        <v>0</v>
      </c>
      <c r="J27" s="328">
        <f>'[1]март 20'!AA26</f>
        <v>14.247999999999999</v>
      </c>
      <c r="K27" s="106">
        <v>26.07</v>
      </c>
      <c r="L27" s="328">
        <f>'[1]март 20'!AI26</f>
        <v>107.94</v>
      </c>
      <c r="M27" s="103">
        <f t="shared" si="5"/>
        <v>0.50137024478610237</v>
      </c>
      <c r="N27" s="103">
        <f>'[1]июль 20'!AM26</f>
        <v>7.0339999999999998</v>
      </c>
      <c r="O27" s="103">
        <f>'[1]март 20'!W26</f>
        <v>0</v>
      </c>
      <c r="P27" s="103">
        <f>'[1]март 20'!S26</f>
        <v>324.78699999999998</v>
      </c>
      <c r="Q27" s="108">
        <f t="shared" si="6"/>
        <v>4.1217782731451713</v>
      </c>
      <c r="R27" s="109">
        <f t="shared" si="7"/>
        <v>311.39999999999998</v>
      </c>
      <c r="S27" s="106">
        <v>15.22</v>
      </c>
      <c r="T27" s="109">
        <f t="shared" si="8"/>
        <v>311.39999999999998</v>
      </c>
      <c r="U27" s="110">
        <f t="shared" si="9"/>
        <v>1.4464211064146033</v>
      </c>
      <c r="V27" s="129">
        <v>215.29</v>
      </c>
      <c r="W27" s="129">
        <v>215.29</v>
      </c>
      <c r="X27" s="131">
        <v>0.31</v>
      </c>
      <c r="Y27" s="133">
        <v>573</v>
      </c>
      <c r="Z27" s="133">
        <v>1235</v>
      </c>
      <c r="AA27" s="144" t="s">
        <v>236</v>
      </c>
      <c r="AB27" s="131">
        <v>76.28</v>
      </c>
      <c r="AC27" s="133">
        <v>180</v>
      </c>
      <c r="AD27" s="134">
        <v>5</v>
      </c>
      <c r="AE27" s="131">
        <v>4.55</v>
      </c>
      <c r="AF27" s="115">
        <f t="shared" si="10"/>
        <v>21.134283989038039</v>
      </c>
      <c r="AG27" s="131">
        <v>161.69999999999999</v>
      </c>
      <c r="AH27" s="115">
        <f t="shared" si="11"/>
        <v>751.07993868735184</v>
      </c>
      <c r="AI27" s="139">
        <v>32.56</v>
      </c>
      <c r="AJ27" s="131"/>
      <c r="AK27" s="136">
        <v>8.6999999999999993</v>
      </c>
      <c r="AL27" s="136">
        <v>63.19</v>
      </c>
      <c r="AM27" s="110">
        <f t="shared" si="12"/>
        <v>0.22285311232586844</v>
      </c>
      <c r="AN27" s="137" t="s">
        <v>189</v>
      </c>
      <c r="AO27" s="150">
        <v>6.88</v>
      </c>
      <c r="AP27" s="138">
        <v>6.97</v>
      </c>
      <c r="AQ27" s="134"/>
      <c r="AR27" s="131">
        <v>10.47</v>
      </c>
      <c r="AS27" s="139">
        <v>283.55</v>
      </c>
      <c r="AT27" s="131">
        <v>3.63</v>
      </c>
      <c r="AU27" s="148"/>
      <c r="AV27" s="131"/>
      <c r="AW27" s="109">
        <f t="shared" si="29"/>
        <v>0</v>
      </c>
      <c r="AX27" s="109">
        <f t="shared" si="13"/>
        <v>215.29000000000002</v>
      </c>
      <c r="AY27" s="115">
        <f t="shared" si="24"/>
        <v>237.33406269533987</v>
      </c>
      <c r="AZ27" s="140">
        <f t="shared" si="14"/>
        <v>13.114780985915493</v>
      </c>
      <c r="BA27" s="141">
        <f t="shared" si="30"/>
        <v>8.611600000000001</v>
      </c>
      <c r="BB27" s="128">
        <f t="shared" si="16"/>
        <v>0.79191401295508368</v>
      </c>
      <c r="BC27" s="141">
        <f t="shared" si="17"/>
        <v>21.726380985915494</v>
      </c>
      <c r="BD27" s="142">
        <v>0.85299999999999998</v>
      </c>
      <c r="BE27" s="16">
        <f t="shared" si="25"/>
        <v>3997.15</v>
      </c>
      <c r="BF27" s="16">
        <f t="shared" si="18"/>
        <v>220.96774193548387</v>
      </c>
      <c r="BG27" s="16">
        <f t="shared" si="26"/>
        <v>4640.322580645161</v>
      </c>
      <c r="BH27" s="17">
        <f t="shared" si="19"/>
        <v>1</v>
      </c>
      <c r="BI27" s="16">
        <f t="shared" si="27"/>
        <v>4640.322580645161</v>
      </c>
      <c r="BJ27" s="254">
        <v>432.041</v>
      </c>
      <c r="BK27" s="197"/>
      <c r="BL27" s="197">
        <v>107.94</v>
      </c>
      <c r="BM27" s="197"/>
      <c r="BN27" s="230"/>
      <c r="BO27" s="230"/>
      <c r="BP27" s="258"/>
      <c r="BQ27" s="199"/>
      <c r="BR27" s="200">
        <v>3.25</v>
      </c>
      <c r="BS27" s="200"/>
      <c r="BT27" s="200"/>
      <c r="BU27" s="200"/>
      <c r="BV27" s="208"/>
      <c r="BW27" s="208"/>
      <c r="BX27" s="201"/>
      <c r="BY27" s="202">
        <v>38.35</v>
      </c>
      <c r="BZ27" s="200"/>
      <c r="CA27" s="200">
        <v>43.75</v>
      </c>
      <c r="CB27" s="200"/>
      <c r="CC27" s="208"/>
      <c r="CD27" s="208"/>
      <c r="CE27" s="209"/>
      <c r="CF27" s="199"/>
      <c r="CG27" s="197"/>
      <c r="CH27" s="197"/>
      <c r="CI27" s="197">
        <v>311.39999999999998</v>
      </c>
      <c r="CJ27" s="198"/>
      <c r="CK27" s="202"/>
      <c r="CL27" s="208"/>
      <c r="CM27" s="208"/>
      <c r="CN27" s="201"/>
      <c r="CO27" s="284"/>
      <c r="CP27" s="286">
        <f t="shared" si="20"/>
        <v>417.99966749999999</v>
      </c>
      <c r="CQ27" s="24">
        <f t="shared" si="20"/>
        <v>0</v>
      </c>
      <c r="CR27" s="25">
        <f t="shared" si="20"/>
        <v>107.94</v>
      </c>
      <c r="CS27" s="24">
        <f t="shared" si="20"/>
        <v>0</v>
      </c>
      <c r="CT27" s="27">
        <f t="shared" si="20"/>
        <v>0</v>
      </c>
      <c r="CU27" s="29">
        <f t="shared" si="20"/>
        <v>0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311.39999999999998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8"/>
        <v>0</v>
      </c>
    </row>
    <row r="28" spans="1:110" ht="16.5" customHeight="1">
      <c r="A28" s="127">
        <v>22</v>
      </c>
      <c r="B28" s="103">
        <f>'[1]март 20'!K27</f>
        <v>543.07799999999997</v>
      </c>
      <c r="C28" s="104">
        <f t="shared" si="0"/>
        <v>2.6239553066042078</v>
      </c>
      <c r="D28" s="143">
        <f t="shared" si="1"/>
        <v>528.82787600000006</v>
      </c>
      <c r="E28" s="104">
        <f t="shared" si="2"/>
        <v>39.078079576046164</v>
      </c>
      <c r="F28" s="128">
        <f t="shared" si="3"/>
        <v>2.1534710103025616</v>
      </c>
      <c r="G28" s="106"/>
      <c r="H28" s="107">
        <f t="shared" si="4"/>
        <v>1.7111409211222868</v>
      </c>
      <c r="I28" s="103">
        <f>'[1]сентябрь 20'!AE27</f>
        <v>0</v>
      </c>
      <c r="J28" s="328">
        <f>'[1]март 20'!AA27</f>
        <v>14.51</v>
      </c>
      <c r="K28" s="106">
        <v>26.13</v>
      </c>
      <c r="L28" s="328">
        <f>'[1]март 20'!AI27</f>
        <v>108.623</v>
      </c>
      <c r="M28" s="103">
        <f t="shared" si="5"/>
        <v>0.4423300891802745</v>
      </c>
      <c r="N28" s="103">
        <f>'[1]июль 20'!AM27</f>
        <v>6.6520000000000001</v>
      </c>
      <c r="O28" s="103">
        <f>'[1]март 20'!W27</f>
        <v>0</v>
      </c>
      <c r="P28" s="103">
        <f>'[1]март 20'!S27</f>
        <v>326.49799999999999</v>
      </c>
      <c r="Q28" s="108">
        <f t="shared" si="6"/>
        <v>4.186243101029719</v>
      </c>
      <c r="R28" s="109">
        <f t="shared" si="7"/>
        <v>312.83</v>
      </c>
      <c r="S28" s="106">
        <v>14.53</v>
      </c>
      <c r="T28" s="109">
        <f t="shared" si="8"/>
        <v>312.83</v>
      </c>
      <c r="U28" s="110">
        <f t="shared" si="9"/>
        <v>1.2738933908865089</v>
      </c>
      <c r="V28" s="129">
        <v>245.57</v>
      </c>
      <c r="W28" s="136">
        <v>245.57</v>
      </c>
      <c r="X28" s="131">
        <v>0.43</v>
      </c>
      <c r="Y28" s="133">
        <v>570</v>
      </c>
      <c r="Z28" s="133">
        <v>1242</v>
      </c>
      <c r="AA28" s="144" t="s">
        <v>236</v>
      </c>
      <c r="AB28" s="131">
        <v>76.510000000000005</v>
      </c>
      <c r="AC28" s="133">
        <v>181</v>
      </c>
      <c r="AD28" s="134">
        <v>5</v>
      </c>
      <c r="AE28" s="131">
        <v>2.8</v>
      </c>
      <c r="AF28" s="115">
        <f t="shared" si="10"/>
        <v>11.402044223642953</v>
      </c>
      <c r="AG28" s="131">
        <v>142.44999999999999</v>
      </c>
      <c r="AH28" s="115">
        <f t="shared" si="11"/>
        <v>580.07899987783514</v>
      </c>
      <c r="AI28" s="139">
        <v>31.68</v>
      </c>
      <c r="AJ28" s="131"/>
      <c r="AK28" s="136">
        <v>8.74</v>
      </c>
      <c r="AL28" s="136">
        <v>53.4</v>
      </c>
      <c r="AM28" s="110">
        <f t="shared" si="12"/>
        <v>0.17490992466426464</v>
      </c>
      <c r="AN28" s="137" t="s">
        <v>201</v>
      </c>
      <c r="AO28" s="150">
        <v>7.24</v>
      </c>
      <c r="AP28" s="138">
        <v>7.37</v>
      </c>
      <c r="AQ28" s="134"/>
      <c r="AR28" s="131">
        <v>8.44</v>
      </c>
      <c r="AS28" s="139">
        <v>305.3</v>
      </c>
      <c r="AT28" s="131">
        <v>2.41</v>
      </c>
      <c r="AU28" s="148"/>
      <c r="AV28" s="131"/>
      <c r="AW28" s="109">
        <f t="shared" si="29"/>
        <v>0</v>
      </c>
      <c r="AX28" s="109">
        <f t="shared" si="13"/>
        <v>245.57</v>
      </c>
      <c r="AY28" s="115">
        <f t="shared" si="24"/>
        <v>235.79988808226148</v>
      </c>
      <c r="AZ28" s="140">
        <f t="shared" si="14"/>
        <v>9.3134211267605611</v>
      </c>
      <c r="BA28" s="141">
        <f t="shared" si="30"/>
        <v>9.8227999999999991</v>
      </c>
      <c r="BB28" s="128">
        <f t="shared" si="16"/>
        <v>0.90917180556595623</v>
      </c>
      <c r="BC28" s="141">
        <f t="shared" si="17"/>
        <v>19.13622112676056</v>
      </c>
      <c r="BD28" s="142">
        <v>0.85599999999999998</v>
      </c>
      <c r="BE28" s="16">
        <f t="shared" si="25"/>
        <v>4242.72</v>
      </c>
      <c r="BF28" s="16">
        <f t="shared" si="18"/>
        <v>220.96774193548387</v>
      </c>
      <c r="BG28" s="16">
        <f t="shared" si="26"/>
        <v>4861.2903225806449</v>
      </c>
      <c r="BH28" s="17">
        <f t="shared" si="19"/>
        <v>1</v>
      </c>
      <c r="BI28" s="16">
        <f t="shared" si="27"/>
        <v>4861.2903225806449</v>
      </c>
      <c r="BJ28" s="254">
        <v>434.45499999999998</v>
      </c>
      <c r="BK28" s="197"/>
      <c r="BL28" s="197">
        <v>108.623</v>
      </c>
      <c r="BM28" s="197"/>
      <c r="BN28" s="230"/>
      <c r="BO28" s="230"/>
      <c r="BP28" s="258"/>
      <c r="BQ28" s="199"/>
      <c r="BR28" s="200">
        <v>3.28</v>
      </c>
      <c r="BS28" s="200"/>
      <c r="BT28" s="200"/>
      <c r="BU28" s="200"/>
      <c r="BV28" s="208"/>
      <c r="BW28" s="208"/>
      <c r="BX28" s="201"/>
      <c r="BY28" s="202">
        <v>37.909999999999997</v>
      </c>
      <c r="BZ28" s="200"/>
      <c r="CA28" s="200">
        <v>43.75</v>
      </c>
      <c r="CB28" s="200"/>
      <c r="CC28" s="208"/>
      <c r="CD28" s="208"/>
      <c r="CE28" s="209"/>
      <c r="CF28" s="199"/>
      <c r="CG28" s="197"/>
      <c r="CH28" s="197"/>
      <c r="CI28" s="197">
        <v>312.83</v>
      </c>
      <c r="CJ28" s="198"/>
      <c r="CK28" s="202"/>
      <c r="CL28" s="208"/>
      <c r="CM28" s="208"/>
      <c r="CN28" s="201"/>
      <c r="CO28" s="284"/>
      <c r="CP28" s="286">
        <f t="shared" si="20"/>
        <v>420.20487599999996</v>
      </c>
      <c r="CQ28" s="29">
        <f t="shared" si="20"/>
        <v>0</v>
      </c>
      <c r="CR28" s="30">
        <f t="shared" si="20"/>
        <v>108.623</v>
      </c>
      <c r="CS28" s="29">
        <f t="shared" si="20"/>
        <v>0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312.83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8"/>
        <v>0</v>
      </c>
    </row>
    <row r="29" spans="1:110" ht="16.5" customHeight="1">
      <c r="A29" s="127">
        <v>23</v>
      </c>
      <c r="B29" s="103">
        <f>'[1]март 20'!K28</f>
        <v>544.11400000000003</v>
      </c>
      <c r="C29" s="104">
        <f t="shared" si="0"/>
        <v>1.6725753978026661</v>
      </c>
      <c r="D29" s="143">
        <f t="shared" si="1"/>
        <v>535.01328310000008</v>
      </c>
      <c r="E29" s="104">
        <f t="shared" si="2"/>
        <v>38.922356399578021</v>
      </c>
      <c r="F29" s="128">
        <f t="shared" si="3"/>
        <v>2.2422081350320608</v>
      </c>
      <c r="G29" s="106"/>
      <c r="H29" s="107">
        <f t="shared" si="4"/>
        <v>1.7867662004945306</v>
      </c>
      <c r="I29" s="103">
        <f>'[1]сентябрь 20'!AE28</f>
        <v>0</v>
      </c>
      <c r="J29" s="328">
        <f>'[1]март 20'!AA28</f>
        <v>14.680999999999999</v>
      </c>
      <c r="K29" s="106">
        <v>31.3</v>
      </c>
      <c r="L29" s="328">
        <f>'[1]март 20'!AI28</f>
        <v>108.673</v>
      </c>
      <c r="M29" s="103">
        <f t="shared" si="5"/>
        <v>0.45544193453752985</v>
      </c>
      <c r="N29" s="103">
        <f>'[1]июль 20'!AM28</f>
        <v>7.056</v>
      </c>
      <c r="O29" s="103">
        <f>'[1]март 20'!W28</f>
        <v>0</v>
      </c>
      <c r="P29" s="103">
        <f>'[1]март 20'!S28</f>
        <v>328.78500000000003</v>
      </c>
      <c r="Q29" s="108">
        <f t="shared" si="6"/>
        <v>4.0558419635932434</v>
      </c>
      <c r="R29" s="109">
        <f t="shared" si="7"/>
        <v>315.45</v>
      </c>
      <c r="S29" s="106">
        <v>7.8</v>
      </c>
      <c r="T29" s="109">
        <f t="shared" si="8"/>
        <v>315.45</v>
      </c>
      <c r="U29" s="110">
        <f t="shared" si="9"/>
        <v>1.322031767319056</v>
      </c>
      <c r="V29" s="129">
        <v>238.61</v>
      </c>
      <c r="W29" s="136">
        <v>238.61</v>
      </c>
      <c r="X29" s="131">
        <v>0.28999999999999998</v>
      </c>
      <c r="Y29" s="133">
        <v>581</v>
      </c>
      <c r="Z29" s="133">
        <v>1236</v>
      </c>
      <c r="AA29" s="144" t="s">
        <v>198</v>
      </c>
      <c r="AB29" s="131">
        <v>76.040000000000006</v>
      </c>
      <c r="AC29" s="133">
        <v>181</v>
      </c>
      <c r="AD29" s="134">
        <v>5</v>
      </c>
      <c r="AE29" s="131">
        <v>1.45</v>
      </c>
      <c r="AF29" s="115">
        <f t="shared" si="10"/>
        <v>6.0768618247349231</v>
      </c>
      <c r="AG29" s="131">
        <v>174.6</v>
      </c>
      <c r="AH29" s="115">
        <f t="shared" si="11"/>
        <v>731.73798248187416</v>
      </c>
      <c r="AI29" s="139">
        <v>26.37</v>
      </c>
      <c r="AJ29" s="131"/>
      <c r="AK29" s="136">
        <v>11.73</v>
      </c>
      <c r="AL29" s="136">
        <v>53.93</v>
      </c>
      <c r="AM29" s="110">
        <f t="shared" si="12"/>
        <v>0.17887230514096186</v>
      </c>
      <c r="AN29" s="137" t="s">
        <v>202</v>
      </c>
      <c r="AO29" s="150">
        <v>7.07</v>
      </c>
      <c r="AP29" s="138">
        <v>7.26</v>
      </c>
      <c r="AQ29" s="134"/>
      <c r="AR29" s="131">
        <v>9.84</v>
      </c>
      <c r="AS29" s="139">
        <v>301.5</v>
      </c>
      <c r="AT29" s="131">
        <v>2.77</v>
      </c>
      <c r="AU29" s="148"/>
      <c r="AV29" s="131"/>
      <c r="AW29" s="109">
        <f t="shared" si="29"/>
        <v>0</v>
      </c>
      <c r="AX29" s="109">
        <f t="shared" si="13"/>
        <v>238.61</v>
      </c>
      <c r="AY29" s="115">
        <f t="shared" si="24"/>
        <v>239.07591422335696</v>
      </c>
      <c r="AZ29" s="140">
        <f t="shared" si="14"/>
        <v>13.308946478873237</v>
      </c>
      <c r="BA29" s="141">
        <f t="shared" si="30"/>
        <v>9.5444000000000013</v>
      </c>
      <c r="BB29" s="128">
        <f t="shared" si="16"/>
        <v>0.87129868634692076</v>
      </c>
      <c r="BC29" s="141">
        <f t="shared" si="17"/>
        <v>22.853346478873238</v>
      </c>
      <c r="BD29" s="142">
        <v>0.85599999999999998</v>
      </c>
      <c r="BE29" s="16">
        <f t="shared" si="25"/>
        <v>4481.33</v>
      </c>
      <c r="BF29" s="16">
        <f t="shared" si="18"/>
        <v>220.96774193548387</v>
      </c>
      <c r="BG29" s="16">
        <f t="shared" si="26"/>
        <v>5082.2580645161288</v>
      </c>
      <c r="BH29" s="17">
        <f t="shared" si="19"/>
        <v>1</v>
      </c>
      <c r="BI29" s="16">
        <f t="shared" si="27"/>
        <v>5082.2580645161288</v>
      </c>
      <c r="BJ29" s="254">
        <v>435.44099999999997</v>
      </c>
      <c r="BK29" s="197"/>
      <c r="BL29" s="197">
        <v>108.673</v>
      </c>
      <c r="BM29" s="197"/>
      <c r="BN29" s="230"/>
      <c r="BO29" s="230"/>
      <c r="BP29" s="258"/>
      <c r="BQ29" s="199"/>
      <c r="BR29" s="200">
        <v>2.09</v>
      </c>
      <c r="BS29" s="200"/>
      <c r="BT29" s="200"/>
      <c r="BU29" s="200"/>
      <c r="BV29" s="208"/>
      <c r="BW29" s="208"/>
      <c r="BX29" s="201"/>
      <c r="BY29" s="202">
        <v>37.729999999999997</v>
      </c>
      <c r="BZ29" s="200"/>
      <c r="CA29" s="200">
        <v>43.7</v>
      </c>
      <c r="CB29" s="200"/>
      <c r="CC29" s="208"/>
      <c r="CD29" s="208"/>
      <c r="CE29" s="201"/>
      <c r="CF29" s="199"/>
      <c r="CG29" s="197"/>
      <c r="CH29" s="197"/>
      <c r="CI29" s="230">
        <v>315.45</v>
      </c>
      <c r="CJ29" s="198"/>
      <c r="CK29" s="202"/>
      <c r="CL29" s="208"/>
      <c r="CM29" s="208"/>
      <c r="CN29" s="201"/>
      <c r="CO29" s="284"/>
      <c r="CP29" s="286">
        <f t="shared" si="20"/>
        <v>426.34028309999997</v>
      </c>
      <c r="CQ29" s="24">
        <f t="shared" si="20"/>
        <v>0</v>
      </c>
      <c r="CR29" s="25">
        <f t="shared" si="20"/>
        <v>108.673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315.45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8"/>
        <v>0</v>
      </c>
    </row>
    <row r="30" spans="1:110" ht="16.5" customHeight="1">
      <c r="A30" s="127">
        <v>24</v>
      </c>
      <c r="B30" s="103">
        <f>'[1]март 20'!K29</f>
        <v>524.70899999999995</v>
      </c>
      <c r="C30" s="104">
        <f t="shared" si="0"/>
        <v>1.8955338673436135</v>
      </c>
      <c r="D30" s="143">
        <f t="shared" si="1"/>
        <v>514.76296319999994</v>
      </c>
      <c r="E30" s="104">
        <f t="shared" si="2"/>
        <v>38.467254821243777</v>
      </c>
      <c r="F30" s="128">
        <f t="shared" si="3"/>
        <v>2.2611041166652019</v>
      </c>
      <c r="G30" s="106"/>
      <c r="H30" s="107">
        <f t="shared" si="4"/>
        <v>1.7996923622946497</v>
      </c>
      <c r="I30" s="103">
        <f>'[1]сентябрь 20'!AE29</f>
        <v>0</v>
      </c>
      <c r="J30" s="328">
        <f>'[1]март 20'!AA29</f>
        <v>13.372999999999999</v>
      </c>
      <c r="K30" s="106">
        <v>21.14</v>
      </c>
      <c r="L30" s="328">
        <f>'[1]март 20'!AI29</f>
        <v>105.045</v>
      </c>
      <c r="M30" s="103">
        <f t="shared" si="5"/>
        <v>0.46141175437055254</v>
      </c>
      <c r="N30" s="103">
        <f>'[1]июль 20'!AM29</f>
        <v>6.6029999999999998</v>
      </c>
      <c r="O30" s="103">
        <f>'[1]март 20'!W29</f>
        <v>0</v>
      </c>
      <c r="P30" s="103">
        <f>'[1]март 20'!S29</f>
        <v>322.98500000000001</v>
      </c>
      <c r="Q30" s="108">
        <f t="shared" si="6"/>
        <v>4.3423069182779495</v>
      </c>
      <c r="R30" s="109">
        <f t="shared" si="7"/>
        <v>308.95999999999992</v>
      </c>
      <c r="S30" s="163">
        <v>18.84</v>
      </c>
      <c r="T30" s="109">
        <f t="shared" si="8"/>
        <v>308.95999999999998</v>
      </c>
      <c r="U30" s="110">
        <f t="shared" si="9"/>
        <v>1.3571114820346126</v>
      </c>
      <c r="V30" s="154">
        <v>227.66</v>
      </c>
      <c r="W30" s="157">
        <v>227.66</v>
      </c>
      <c r="X30" s="149">
        <v>0.32</v>
      </c>
      <c r="Y30" s="147">
        <v>564</v>
      </c>
      <c r="Z30" s="147">
        <v>1238</v>
      </c>
      <c r="AA30" s="144" t="s">
        <v>236</v>
      </c>
      <c r="AB30" s="149">
        <v>76.59</v>
      </c>
      <c r="AC30" s="147">
        <v>175</v>
      </c>
      <c r="AD30" s="155">
        <v>5</v>
      </c>
      <c r="AE30" s="149"/>
      <c r="AF30" s="115">
        <f t="shared" si="10"/>
        <v>0</v>
      </c>
      <c r="AG30" s="131">
        <v>163.85</v>
      </c>
      <c r="AH30" s="115">
        <f t="shared" si="11"/>
        <v>719.71360801194749</v>
      </c>
      <c r="AI30" s="139">
        <v>33.14</v>
      </c>
      <c r="AJ30" s="131"/>
      <c r="AK30" s="157">
        <v>12.31</v>
      </c>
      <c r="AL30" s="157">
        <v>53.4</v>
      </c>
      <c r="AM30" s="110">
        <f t="shared" si="12"/>
        <v>0.18439226519337015</v>
      </c>
      <c r="AN30" s="158" t="s">
        <v>238</v>
      </c>
      <c r="AO30" s="404">
        <v>6.94</v>
      </c>
      <c r="AP30" s="159">
        <v>7.19</v>
      </c>
      <c r="AQ30" s="155"/>
      <c r="AR30" s="149">
        <v>10.039999999999999</v>
      </c>
      <c r="AS30" s="156">
        <v>289.60000000000002</v>
      </c>
      <c r="AT30" s="131">
        <v>3.77</v>
      </c>
      <c r="AU30" s="164"/>
      <c r="AV30" s="149"/>
      <c r="AW30" s="109">
        <f t="shared" si="29"/>
        <v>0</v>
      </c>
      <c r="AX30" s="109">
        <f t="shared" si="13"/>
        <v>227.66000000000003</v>
      </c>
      <c r="AY30" s="115">
        <f t="shared" si="24"/>
        <v>225.70473014822966</v>
      </c>
      <c r="AZ30" s="140">
        <f t="shared" si="14"/>
        <v>12.743376056338027</v>
      </c>
      <c r="BA30" s="141">
        <f t="shared" si="30"/>
        <v>9.1064000000000007</v>
      </c>
      <c r="BB30" s="128">
        <f t="shared" si="16"/>
        <v>0.88056275944892481</v>
      </c>
      <c r="BC30" s="141">
        <f t="shared" si="17"/>
        <v>21.84977605633803</v>
      </c>
      <c r="BD30" s="162">
        <v>0.85799999999999998</v>
      </c>
      <c r="BE30" s="16">
        <f t="shared" si="25"/>
        <v>4708.99</v>
      </c>
      <c r="BF30" s="16">
        <f t="shared" si="18"/>
        <v>220.96774193548387</v>
      </c>
      <c r="BG30" s="16">
        <f t="shared" si="26"/>
        <v>5303.2258064516127</v>
      </c>
      <c r="BH30" s="17">
        <f t="shared" si="19"/>
        <v>1</v>
      </c>
      <c r="BI30" s="16">
        <f t="shared" si="27"/>
        <v>5303.2258064516127</v>
      </c>
      <c r="BJ30" s="255">
        <v>419.66399999999999</v>
      </c>
      <c r="BK30" s="210"/>
      <c r="BL30" s="210">
        <v>105.045</v>
      </c>
      <c r="BM30" s="210"/>
      <c r="BN30" s="233"/>
      <c r="BO30" s="233"/>
      <c r="BP30" s="260"/>
      <c r="BQ30" s="212"/>
      <c r="BR30" s="213">
        <v>2.37</v>
      </c>
      <c r="BS30" s="213"/>
      <c r="BT30" s="213"/>
      <c r="BU30" s="213"/>
      <c r="BV30" s="235"/>
      <c r="BW30" s="235"/>
      <c r="BX30" s="214"/>
      <c r="BY30" s="215">
        <v>37.19</v>
      </c>
      <c r="BZ30" s="213"/>
      <c r="CA30" s="216">
        <v>43.57</v>
      </c>
      <c r="CB30" s="213"/>
      <c r="CC30" s="235"/>
      <c r="CD30" s="235"/>
      <c r="CE30" s="214"/>
      <c r="CF30" s="212"/>
      <c r="CG30" s="210"/>
      <c r="CH30" s="210"/>
      <c r="CI30" s="233">
        <v>308.95999999999998</v>
      </c>
      <c r="CJ30" s="198"/>
      <c r="CK30" s="202"/>
      <c r="CL30" s="208"/>
      <c r="CM30" s="208"/>
      <c r="CN30" s="201"/>
      <c r="CO30" s="284"/>
      <c r="CP30" s="286">
        <f t="shared" si="20"/>
        <v>409.71796319999999</v>
      </c>
      <c r="CQ30" s="24">
        <f t="shared" si="20"/>
        <v>0</v>
      </c>
      <c r="CR30" s="25">
        <f t="shared" si="20"/>
        <v>105.045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308.95999999999998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8"/>
        <v>0</v>
      </c>
    </row>
    <row r="31" spans="1:110" ht="16.5" customHeight="1">
      <c r="A31" s="127">
        <v>25</v>
      </c>
      <c r="B31" s="103">
        <f>'[1]март 20'!K30</f>
        <v>534.13900000000001</v>
      </c>
      <c r="C31" s="104">
        <f t="shared" si="0"/>
        <v>1.1521342571877355</v>
      </c>
      <c r="D31" s="143">
        <f t="shared" si="1"/>
        <v>527.98500159999992</v>
      </c>
      <c r="E31" s="104">
        <f t="shared" si="2"/>
        <v>38.397390248605703</v>
      </c>
      <c r="F31" s="128">
        <f t="shared" si="3"/>
        <v>2.3092416095171449</v>
      </c>
      <c r="G31" s="106"/>
      <c r="H31" s="107">
        <f t="shared" si="4"/>
        <v>1.8422279636109171</v>
      </c>
      <c r="I31" s="103">
        <f>'[1]сентябрь 20'!AE30</f>
        <v>0</v>
      </c>
      <c r="J31" s="328">
        <f>'[1]март 20'!AA30</f>
        <v>12.206</v>
      </c>
      <c r="K31" s="106"/>
      <c r="L31" s="328">
        <f>'[1]март 20'!AI30</f>
        <v>106.77800000000001</v>
      </c>
      <c r="M31" s="103">
        <f t="shared" si="5"/>
        <v>0.46701364590622824</v>
      </c>
      <c r="N31" s="103">
        <f>'[1]июль 20'!AM30</f>
        <v>7.069</v>
      </c>
      <c r="O31" s="103">
        <f>'[1]март 20'!W30</f>
        <v>0</v>
      </c>
      <c r="P31" s="103">
        <f>'[1]март 20'!S30</f>
        <v>332.90199999999999</v>
      </c>
      <c r="Q31" s="108">
        <f t="shared" si="6"/>
        <v>4.1609843137019205</v>
      </c>
      <c r="R31" s="109">
        <f t="shared" si="7"/>
        <v>319.05</v>
      </c>
      <c r="S31" s="106">
        <v>3.77</v>
      </c>
      <c r="T31" s="109">
        <f t="shared" si="8"/>
        <v>319.05</v>
      </c>
      <c r="U31" s="110">
        <f t="shared" si="9"/>
        <v>1.3954251224632612</v>
      </c>
      <c r="V31" s="136">
        <v>228.64</v>
      </c>
      <c r="W31" s="136">
        <v>228.64</v>
      </c>
      <c r="X31" s="131">
        <v>0.47</v>
      </c>
      <c r="Y31" s="133">
        <v>532</v>
      </c>
      <c r="Z31" s="133">
        <v>1248</v>
      </c>
      <c r="AA31" s="144" t="s">
        <v>192</v>
      </c>
      <c r="AB31" s="131">
        <v>76.599999999999994</v>
      </c>
      <c r="AC31" s="133">
        <v>178</v>
      </c>
      <c r="AD31" s="134">
        <v>5</v>
      </c>
      <c r="AE31" s="131">
        <v>9.5500000000000007</v>
      </c>
      <c r="AF31" s="115">
        <f t="shared" si="10"/>
        <v>41.768719384184756</v>
      </c>
      <c r="AG31" s="131">
        <v>147.55000000000001</v>
      </c>
      <c r="AH31" s="115">
        <f t="shared" si="11"/>
        <v>645.33764870538857</v>
      </c>
      <c r="AI31" s="139">
        <v>30.73</v>
      </c>
      <c r="AJ31" s="131"/>
      <c r="AK31" s="136">
        <v>8.11</v>
      </c>
      <c r="AL31" s="136">
        <v>61.17</v>
      </c>
      <c r="AM31" s="110">
        <f t="shared" si="12"/>
        <v>0.20770797962648557</v>
      </c>
      <c r="AN31" s="137" t="s">
        <v>189</v>
      </c>
      <c r="AO31" s="150">
        <v>7.23</v>
      </c>
      <c r="AP31" s="138">
        <v>7.21</v>
      </c>
      <c r="AQ31" s="134"/>
      <c r="AR31" s="131">
        <v>7.94</v>
      </c>
      <c r="AS31" s="139">
        <v>294.5</v>
      </c>
      <c r="AT31" s="131">
        <v>3.42</v>
      </c>
      <c r="AU31" s="148"/>
      <c r="AV31" s="131"/>
      <c r="AW31" s="109">
        <f t="shared" si="29"/>
        <v>0</v>
      </c>
      <c r="AX31" s="109">
        <f t="shared" si="13"/>
        <v>228.63999999999996</v>
      </c>
      <c r="AY31" s="115">
        <f t="shared" si="24"/>
        <v>231.05148682195139</v>
      </c>
      <c r="AZ31" s="140">
        <f t="shared" si="14"/>
        <v>9.0753640845070453</v>
      </c>
      <c r="BA31" s="141">
        <f t="shared" si="30"/>
        <v>9.1455999999999982</v>
      </c>
      <c r="BB31" s="128">
        <f t="shared" si="16"/>
        <v>0.86388848972789412</v>
      </c>
      <c r="BC31" s="141">
        <f t="shared" si="17"/>
        <v>18.220964084507045</v>
      </c>
      <c r="BD31" s="142">
        <v>0.85799999999999998</v>
      </c>
      <c r="BE31" s="16">
        <f t="shared" si="25"/>
        <v>4937.63</v>
      </c>
      <c r="BF31" s="16">
        <f t="shared" si="18"/>
        <v>220.96774193548387</v>
      </c>
      <c r="BG31" s="16">
        <f t="shared" si="26"/>
        <v>5524.1935483870966</v>
      </c>
      <c r="BH31" s="17">
        <f t="shared" si="19"/>
        <v>1</v>
      </c>
      <c r="BI31" s="16">
        <f t="shared" si="27"/>
        <v>5524.1935483870966</v>
      </c>
      <c r="BJ31" s="254">
        <v>427.36099999999999</v>
      </c>
      <c r="BK31" s="197"/>
      <c r="BL31" s="197">
        <v>106.77800000000001</v>
      </c>
      <c r="BM31" s="197"/>
      <c r="BN31" s="230"/>
      <c r="BO31" s="230"/>
      <c r="BP31" s="259"/>
      <c r="BQ31" s="199"/>
      <c r="BR31" s="200">
        <v>1.44</v>
      </c>
      <c r="BS31" s="200"/>
      <c r="BT31" s="200"/>
      <c r="BU31" s="200"/>
      <c r="BV31" s="208"/>
      <c r="BW31" s="208"/>
      <c r="BX31" s="201"/>
      <c r="BY31" s="202">
        <v>37.090000000000003</v>
      </c>
      <c r="BZ31" s="200"/>
      <c r="CA31" s="200">
        <v>43.63</v>
      </c>
      <c r="CB31" s="200"/>
      <c r="CC31" s="208"/>
      <c r="CD31" s="208"/>
      <c r="CE31" s="209"/>
      <c r="CF31" s="199"/>
      <c r="CG31" s="197"/>
      <c r="CH31" s="197"/>
      <c r="CI31" s="230">
        <v>319.05</v>
      </c>
      <c r="CJ31" s="198"/>
      <c r="CK31" s="202"/>
      <c r="CL31" s="208"/>
      <c r="CM31" s="208"/>
      <c r="CN31" s="201"/>
      <c r="CO31" s="284"/>
      <c r="CP31" s="286">
        <f t="shared" si="20"/>
        <v>421.20700160000001</v>
      </c>
      <c r="CQ31" s="24">
        <f t="shared" si="20"/>
        <v>0</v>
      </c>
      <c r="CR31" s="25">
        <f t="shared" si="20"/>
        <v>106.77800000000001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319.05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8"/>
        <v>0</v>
      </c>
    </row>
    <row r="32" spans="1:110" ht="16.5" customHeight="1">
      <c r="A32" s="127">
        <v>26</v>
      </c>
      <c r="B32" s="103">
        <f>'[1]март 20'!K31</f>
        <v>501.00900000000001</v>
      </c>
      <c r="C32" s="104">
        <f t="shared" si="0"/>
        <v>1.5039842398040753</v>
      </c>
      <c r="D32" s="143">
        <f t="shared" si="1"/>
        <v>493.47390360000003</v>
      </c>
      <c r="E32" s="104">
        <f t="shared" si="2"/>
        <v>38.300057843272278</v>
      </c>
      <c r="F32" s="128">
        <f t="shared" si="3"/>
        <v>2.1136501631901319</v>
      </c>
      <c r="G32" s="106"/>
      <c r="H32" s="107">
        <f t="shared" si="4"/>
        <v>1.6844472677431792</v>
      </c>
      <c r="I32" s="103">
        <f>'[1]сентябрь 20'!AE31</f>
        <v>0</v>
      </c>
      <c r="J32" s="328">
        <f>'[1]март 20'!AA31</f>
        <v>13.073</v>
      </c>
      <c r="K32" s="106"/>
      <c r="L32" s="328">
        <f>'[1]март 20'!AI31</f>
        <v>100.206</v>
      </c>
      <c r="M32" s="103">
        <f t="shared" si="5"/>
        <v>0.42920289544695256</v>
      </c>
      <c r="N32" s="103">
        <f>'[1]июль 20'!AM31</f>
        <v>7.0679999999999996</v>
      </c>
      <c r="O32" s="103">
        <f>'[1]март 20'!W31</f>
        <v>0</v>
      </c>
      <c r="P32" s="103">
        <f>'[1]март 20'!S31</f>
        <v>311.44299999999998</v>
      </c>
      <c r="Q32" s="108">
        <f t="shared" si="6"/>
        <v>4.0177496363700493</v>
      </c>
      <c r="R32" s="109">
        <f t="shared" si="7"/>
        <v>298.92999999999995</v>
      </c>
      <c r="S32" s="106">
        <v>33.67</v>
      </c>
      <c r="T32" s="109">
        <f t="shared" si="8"/>
        <v>298.93</v>
      </c>
      <c r="U32" s="110">
        <f t="shared" si="9"/>
        <v>1.2803786353707114</v>
      </c>
      <c r="V32" s="136">
        <v>233.47</v>
      </c>
      <c r="W32" s="136">
        <v>233.47</v>
      </c>
      <c r="X32" s="131">
        <v>0.69</v>
      </c>
      <c r="Y32" s="133">
        <v>588</v>
      </c>
      <c r="Z32" s="133">
        <v>1240</v>
      </c>
      <c r="AA32" s="144" t="s">
        <v>239</v>
      </c>
      <c r="AB32" s="131">
        <v>76.92</v>
      </c>
      <c r="AC32" s="133">
        <v>167</v>
      </c>
      <c r="AD32" s="134">
        <v>5</v>
      </c>
      <c r="AE32" s="131">
        <v>2.6</v>
      </c>
      <c r="AF32" s="115">
        <f t="shared" si="10"/>
        <v>11.136334432689427</v>
      </c>
      <c r="AG32" s="131">
        <v>141.94999999999999</v>
      </c>
      <c r="AH32" s="115">
        <f t="shared" si="11"/>
        <v>608.00102796933231</v>
      </c>
      <c r="AI32" s="139">
        <v>28.35</v>
      </c>
      <c r="AJ32" s="131"/>
      <c r="AK32" s="136">
        <v>9.1300000000000008</v>
      </c>
      <c r="AL32" s="136">
        <v>53.46</v>
      </c>
      <c r="AM32" s="110">
        <f t="shared" si="12"/>
        <v>0.18220858895705525</v>
      </c>
      <c r="AN32" s="137" t="s">
        <v>240</v>
      </c>
      <c r="AO32" s="150">
        <v>7.96</v>
      </c>
      <c r="AP32" s="138">
        <v>7.35</v>
      </c>
      <c r="AQ32" s="134"/>
      <c r="AR32" s="131">
        <v>7.62</v>
      </c>
      <c r="AS32" s="139">
        <v>293.39999999999998</v>
      </c>
      <c r="AT32" s="131">
        <v>2.66</v>
      </c>
      <c r="AU32" s="148"/>
      <c r="AV32" s="131"/>
      <c r="AW32" s="109">
        <f t="shared" si="29"/>
        <v>0</v>
      </c>
      <c r="AX32" s="109">
        <f t="shared" si="13"/>
        <v>233.46999999999997</v>
      </c>
      <c r="AY32" s="115">
        <f t="shared" si="24"/>
        <v>214.50557738453131</v>
      </c>
      <c r="AZ32" s="140">
        <f t="shared" si="14"/>
        <v>8.379048591549294</v>
      </c>
      <c r="BA32" s="141">
        <f t="shared" si="30"/>
        <v>9.3387999999999991</v>
      </c>
      <c r="BB32" s="128">
        <f t="shared" si="16"/>
        <v>0.95018186699465323</v>
      </c>
      <c r="BC32" s="141">
        <f t="shared" si="17"/>
        <v>17.717848591549291</v>
      </c>
      <c r="BD32" s="142">
        <v>0.86199999999999999</v>
      </c>
      <c r="BE32" s="16">
        <f t="shared" si="25"/>
        <v>5171.1000000000004</v>
      </c>
      <c r="BF32" s="16">
        <f t="shared" si="18"/>
        <v>220.96774193548387</v>
      </c>
      <c r="BG32" s="16">
        <f t="shared" si="26"/>
        <v>5745.1612903225805</v>
      </c>
      <c r="BH32" s="17">
        <f t="shared" si="19"/>
        <v>1</v>
      </c>
      <c r="BI32" s="16">
        <f t="shared" si="27"/>
        <v>5745.1612903225805</v>
      </c>
      <c r="BJ32" s="254">
        <v>400.803</v>
      </c>
      <c r="BK32" s="197"/>
      <c r="BL32" s="197">
        <v>100.206</v>
      </c>
      <c r="BM32" s="197"/>
      <c r="BN32" s="230"/>
      <c r="BO32" s="230"/>
      <c r="BP32" s="258"/>
      <c r="BQ32" s="199"/>
      <c r="BR32" s="200">
        <v>1.88</v>
      </c>
      <c r="BS32" s="200"/>
      <c r="BT32" s="200"/>
      <c r="BU32" s="200"/>
      <c r="BV32" s="208"/>
      <c r="BW32" s="208"/>
      <c r="BX32" s="201"/>
      <c r="BY32" s="202">
        <v>36.92</v>
      </c>
      <c r="BZ32" s="200"/>
      <c r="CA32" s="200">
        <v>43.82</v>
      </c>
      <c r="CB32" s="200"/>
      <c r="CC32" s="208"/>
      <c r="CD32" s="208"/>
      <c r="CE32" s="209"/>
      <c r="CF32" s="199"/>
      <c r="CG32" s="197"/>
      <c r="CH32" s="197"/>
      <c r="CI32" s="230">
        <v>298.93</v>
      </c>
      <c r="CJ32" s="198"/>
      <c r="CK32" s="202"/>
      <c r="CL32" s="208"/>
      <c r="CM32" s="208"/>
      <c r="CN32" s="201"/>
      <c r="CO32" s="284"/>
      <c r="CP32" s="286">
        <f t="shared" si="20"/>
        <v>393.26790360000001</v>
      </c>
      <c r="CQ32" s="24">
        <f t="shared" si="20"/>
        <v>0</v>
      </c>
      <c r="CR32" s="25">
        <f t="shared" si="20"/>
        <v>100.206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298.93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8"/>
        <v>0</v>
      </c>
    </row>
    <row r="33" spans="1:110" ht="16.5" customHeight="1">
      <c r="A33" s="127">
        <v>27</v>
      </c>
      <c r="B33" s="103">
        <f>'[1]март 20'!K32</f>
        <v>459.32400000000001</v>
      </c>
      <c r="C33" s="104">
        <f t="shared" si="0"/>
        <v>1.3682859158241241</v>
      </c>
      <c r="D33" s="143">
        <f t="shared" si="1"/>
        <v>453.03913440000002</v>
      </c>
      <c r="E33" s="104">
        <f t="shared" si="2"/>
        <v>38.492834600412777</v>
      </c>
      <c r="F33" s="128">
        <f t="shared" si="3"/>
        <v>2.264742723455309</v>
      </c>
      <c r="G33" s="106"/>
      <c r="H33" s="107">
        <f t="shared" si="4"/>
        <v>1.8058944931013801</v>
      </c>
      <c r="I33" s="103">
        <f>'[1]сентябрь 20'!AE32</f>
        <v>0</v>
      </c>
      <c r="J33" s="328">
        <f>'[1]март 20'!AA32</f>
        <v>12.185</v>
      </c>
      <c r="K33" s="106"/>
      <c r="L33" s="328">
        <f>'[1]март 20'!AI32</f>
        <v>91.787999999999997</v>
      </c>
      <c r="M33" s="103">
        <f t="shared" si="5"/>
        <v>0.45884823035392924</v>
      </c>
      <c r="N33" s="103">
        <f>'[1]июль 20'!AM32</f>
        <v>6.9580000000000002</v>
      </c>
      <c r="O33" s="103">
        <f>'[1]март 20'!W32</f>
        <v>0</v>
      </c>
      <c r="P33" s="103">
        <f>'[1]март 20'!S32</f>
        <v>287.85000000000002</v>
      </c>
      <c r="Q33" s="108">
        <f t="shared" si="6"/>
        <v>4.6169880145909392</v>
      </c>
      <c r="R33" s="109">
        <f t="shared" si="7"/>
        <v>274.56</v>
      </c>
      <c r="S33" s="131">
        <v>19.64</v>
      </c>
      <c r="T33" s="109">
        <f t="shared" si="8"/>
        <v>274.56</v>
      </c>
      <c r="U33" s="110">
        <f t="shared" si="9"/>
        <v>1.3725254949010199</v>
      </c>
      <c r="V33" s="136">
        <v>200.04</v>
      </c>
      <c r="W33" s="136">
        <v>166.27</v>
      </c>
      <c r="X33" s="131">
        <v>0.7</v>
      </c>
      <c r="Y33" s="133">
        <v>592</v>
      </c>
      <c r="Z33" s="133">
        <v>1247</v>
      </c>
      <c r="AA33" s="144" t="s">
        <v>241</v>
      </c>
      <c r="AB33" s="131">
        <v>76.3</v>
      </c>
      <c r="AC33" s="133">
        <v>153</v>
      </c>
      <c r="AD33" s="134">
        <v>5</v>
      </c>
      <c r="AE33" s="131">
        <v>2.25</v>
      </c>
      <c r="AF33" s="115">
        <f t="shared" si="10"/>
        <v>11.247750449910018</v>
      </c>
      <c r="AG33" s="131">
        <v>134.15</v>
      </c>
      <c r="AH33" s="115">
        <f t="shared" si="11"/>
        <v>670.61587682463505</v>
      </c>
      <c r="AI33" s="139">
        <v>25</v>
      </c>
      <c r="AJ33" s="131"/>
      <c r="AK33" s="136">
        <v>8.26</v>
      </c>
      <c r="AL33" s="136">
        <v>56.6</v>
      </c>
      <c r="AM33" s="110">
        <f t="shared" si="12"/>
        <v>0.21607176942164535</v>
      </c>
      <c r="AN33" s="137" t="s">
        <v>242</v>
      </c>
      <c r="AO33" s="150">
        <v>7.49</v>
      </c>
      <c r="AP33" s="138">
        <v>7.49</v>
      </c>
      <c r="AQ33" s="134"/>
      <c r="AR33" s="131">
        <v>6.77</v>
      </c>
      <c r="AS33" s="139">
        <v>261.95</v>
      </c>
      <c r="AT33" s="131">
        <v>2.95</v>
      </c>
      <c r="AU33" s="116"/>
      <c r="AV33" s="131"/>
      <c r="AW33" s="109">
        <f t="shared" si="29"/>
        <v>0</v>
      </c>
      <c r="AX33" s="109">
        <f t="shared" si="13"/>
        <v>200.04</v>
      </c>
      <c r="AY33" s="115">
        <f t="shared" si="24"/>
        <v>199.52867481704794</v>
      </c>
      <c r="AZ33" s="140">
        <f t="shared" si="14"/>
        <v>7.0353172535211259</v>
      </c>
      <c r="BA33" s="141">
        <f t="shared" si="30"/>
        <v>8.0015999999999998</v>
      </c>
      <c r="BB33" s="128">
        <f t="shared" si="16"/>
        <v>0.87523720668283134</v>
      </c>
      <c r="BC33" s="141">
        <f t="shared" si="17"/>
        <v>15.036917253521125</v>
      </c>
      <c r="BD33" s="142">
        <v>0.86199999999999999</v>
      </c>
      <c r="BE33" s="16">
        <f t="shared" si="25"/>
        <v>5371.14</v>
      </c>
      <c r="BF33" s="16">
        <f t="shared" si="18"/>
        <v>220.96774193548387</v>
      </c>
      <c r="BG33" s="16">
        <f t="shared" si="26"/>
        <v>5966.1290322580644</v>
      </c>
      <c r="BH33" s="17">
        <f t="shared" si="19"/>
        <v>1</v>
      </c>
      <c r="BI33" s="16">
        <f t="shared" si="27"/>
        <v>5966.1290322580644</v>
      </c>
      <c r="BJ33" s="254">
        <v>367.536</v>
      </c>
      <c r="BK33" s="197"/>
      <c r="BL33" s="197">
        <v>91.787999999999997</v>
      </c>
      <c r="BM33" s="197"/>
      <c r="BN33" s="230"/>
      <c r="BO33" s="230"/>
      <c r="BP33" s="258"/>
      <c r="BQ33" s="199"/>
      <c r="BR33" s="200">
        <v>1.71</v>
      </c>
      <c r="BS33" s="200"/>
      <c r="BT33" s="200"/>
      <c r="BU33" s="200"/>
      <c r="BV33" s="208"/>
      <c r="BW33" s="208"/>
      <c r="BX33" s="201"/>
      <c r="BY33" s="202">
        <v>37.1</v>
      </c>
      <c r="BZ33" s="200"/>
      <c r="CA33" s="200">
        <v>44.07</v>
      </c>
      <c r="CB33" s="200"/>
      <c r="CC33" s="208"/>
      <c r="CD33" s="208"/>
      <c r="CE33" s="209"/>
      <c r="CF33" s="199"/>
      <c r="CG33" s="197"/>
      <c r="CH33" s="197"/>
      <c r="CI33" s="230">
        <v>274.56</v>
      </c>
      <c r="CJ33" s="198"/>
      <c r="CK33" s="202"/>
      <c r="CL33" s="208"/>
      <c r="CM33" s="208"/>
      <c r="CN33" s="209"/>
      <c r="CO33" s="284"/>
      <c r="CP33" s="286">
        <f t="shared" si="20"/>
        <v>361.25113440000007</v>
      </c>
      <c r="CQ33" s="24">
        <f t="shared" si="20"/>
        <v>0</v>
      </c>
      <c r="CR33" s="25">
        <f t="shared" si="20"/>
        <v>91.787999999999997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274.56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8"/>
        <v>0</v>
      </c>
    </row>
    <row r="34" spans="1:110" ht="16.5" customHeight="1">
      <c r="A34" s="127">
        <v>28</v>
      </c>
      <c r="B34" s="103">
        <f>'[1]март 20'!K33</f>
        <v>414.09</v>
      </c>
      <c r="C34" s="104">
        <f t="shared" si="0"/>
        <v>1.1841501122944289</v>
      </c>
      <c r="D34" s="143">
        <f t="shared" si="1"/>
        <v>409.18655279999996</v>
      </c>
      <c r="E34" s="104">
        <f t="shared" si="2"/>
        <v>38.183277838151135</v>
      </c>
      <c r="F34" s="128">
        <f t="shared" si="3"/>
        <v>2.1367444010443863</v>
      </c>
      <c r="G34" s="106"/>
      <c r="H34" s="107">
        <f t="shared" si="4"/>
        <v>1.7044937483028721</v>
      </c>
      <c r="I34" s="103">
        <f>'[1]сентябрь 20'!AE33</f>
        <v>0</v>
      </c>
      <c r="J34" s="328">
        <f>'[1]март 20'!AA33</f>
        <v>11.721</v>
      </c>
      <c r="K34" s="106"/>
      <c r="L34" s="328">
        <f>'[1]март 20'!AI33</f>
        <v>82.775999999999996</v>
      </c>
      <c r="M34" s="103">
        <f t="shared" si="5"/>
        <v>0.43225065274151436</v>
      </c>
      <c r="N34" s="103">
        <f>'[1]июль 20'!AM33</f>
        <v>7.2119999999999997</v>
      </c>
      <c r="O34" s="103">
        <f>'[1]март 20'!W33</f>
        <v>0</v>
      </c>
      <c r="P34" s="103">
        <f>'[1]март 20'!S33</f>
        <v>250.053</v>
      </c>
      <c r="Q34" s="108">
        <f t="shared" si="6"/>
        <v>2.8565944019867784</v>
      </c>
      <c r="R34" s="109">
        <f t="shared" si="7"/>
        <v>242.91</v>
      </c>
      <c r="S34" s="149">
        <v>16.48</v>
      </c>
      <c r="T34" s="109">
        <f t="shared" si="8"/>
        <v>242.91</v>
      </c>
      <c r="U34" s="110">
        <f t="shared" si="9"/>
        <v>1.2684595300261097</v>
      </c>
      <c r="V34" s="157">
        <v>191.5</v>
      </c>
      <c r="W34" s="157">
        <v>44.15</v>
      </c>
      <c r="X34" s="149">
        <v>1.23</v>
      </c>
      <c r="Y34" s="147">
        <v>631</v>
      </c>
      <c r="Z34" s="147">
        <v>1234</v>
      </c>
      <c r="AA34" s="144" t="s">
        <v>243</v>
      </c>
      <c r="AB34" s="149">
        <v>76.099999999999994</v>
      </c>
      <c r="AC34" s="147">
        <v>138</v>
      </c>
      <c r="AD34" s="155">
        <v>5</v>
      </c>
      <c r="AE34" s="149">
        <v>2</v>
      </c>
      <c r="AF34" s="115">
        <f t="shared" si="10"/>
        <v>10.443864229765014</v>
      </c>
      <c r="AG34" s="149">
        <v>99.55</v>
      </c>
      <c r="AH34" s="115">
        <f t="shared" si="11"/>
        <v>519.84334203655351</v>
      </c>
      <c r="AI34" s="156">
        <v>27.73</v>
      </c>
      <c r="AJ34" s="149"/>
      <c r="AK34" s="157">
        <v>15.3</v>
      </c>
      <c r="AL34" s="157">
        <v>34.93</v>
      </c>
      <c r="AM34" s="110">
        <f t="shared" si="12"/>
        <v>0.14575422491132903</v>
      </c>
      <c r="AN34" s="158" t="s">
        <v>244</v>
      </c>
      <c r="AO34" s="404">
        <v>8.98</v>
      </c>
      <c r="AP34" s="159">
        <v>7.12</v>
      </c>
      <c r="AQ34" s="155"/>
      <c r="AR34" s="149">
        <v>5.74</v>
      </c>
      <c r="AS34" s="156">
        <v>239.65</v>
      </c>
      <c r="AT34" s="131">
        <v>2.08</v>
      </c>
      <c r="AU34" s="148"/>
      <c r="AV34" s="149"/>
      <c r="AW34" s="109">
        <f t="shared" si="29"/>
        <v>0</v>
      </c>
      <c r="AX34" s="109">
        <f t="shared" si="13"/>
        <v>191.5</v>
      </c>
      <c r="AY34" s="115">
        <f t="shared" si="24"/>
        <v>179.23554778425222</v>
      </c>
      <c r="AZ34" s="140">
        <f t="shared" si="14"/>
        <v>4.4264697183098587</v>
      </c>
      <c r="BA34" s="141">
        <f t="shared" si="30"/>
        <v>7.66</v>
      </c>
      <c r="BB34" s="128">
        <f t="shared" si="16"/>
        <v>0.9327362906895893</v>
      </c>
      <c r="BC34" s="141">
        <f t="shared" si="17"/>
        <v>12.086469718309859</v>
      </c>
      <c r="BD34" s="165">
        <v>0.86399999999999999</v>
      </c>
      <c r="BE34" s="16">
        <f t="shared" si="25"/>
        <v>5562.64</v>
      </c>
      <c r="BF34" s="16">
        <f t="shared" si="18"/>
        <v>220.96774193548387</v>
      </c>
      <c r="BG34" s="16">
        <f t="shared" si="26"/>
        <v>6187.0967741935483</v>
      </c>
      <c r="BH34" s="17">
        <f t="shared" si="19"/>
        <v>1</v>
      </c>
      <c r="BI34" s="16">
        <f t="shared" si="27"/>
        <v>6187.0967741935483</v>
      </c>
      <c r="BJ34" s="255">
        <v>331.31400000000002</v>
      </c>
      <c r="BK34" s="210"/>
      <c r="BL34" s="210">
        <v>82.775999999999996</v>
      </c>
      <c r="BM34" s="210"/>
      <c r="BN34" s="233"/>
      <c r="BO34" s="233"/>
      <c r="BP34" s="260"/>
      <c r="BQ34" s="212"/>
      <c r="BR34" s="213">
        <v>1.48</v>
      </c>
      <c r="BS34" s="213"/>
      <c r="BT34" s="213"/>
      <c r="BU34" s="213"/>
      <c r="BV34" s="235"/>
      <c r="BW34" s="235"/>
      <c r="BX34" s="214"/>
      <c r="BY34" s="215">
        <v>36.76</v>
      </c>
      <c r="BZ34" s="213"/>
      <c r="CA34" s="213">
        <v>43.88</v>
      </c>
      <c r="CB34" s="213"/>
      <c r="CC34" s="235"/>
      <c r="CD34" s="235"/>
      <c r="CE34" s="211"/>
      <c r="CF34" s="212"/>
      <c r="CG34" s="210"/>
      <c r="CH34" s="210"/>
      <c r="CI34" s="233">
        <v>242.91</v>
      </c>
      <c r="CJ34" s="198"/>
      <c r="CK34" s="202"/>
      <c r="CL34" s="208"/>
      <c r="CM34" s="208"/>
      <c r="CN34" s="209"/>
      <c r="CO34" s="284"/>
      <c r="CP34" s="286">
        <f t="shared" si="20"/>
        <v>326.4105528</v>
      </c>
      <c r="CQ34" s="24">
        <f t="shared" si="20"/>
        <v>0</v>
      </c>
      <c r="CR34" s="25">
        <f t="shared" si="20"/>
        <v>82.775999999999996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242.91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8"/>
        <v>0</v>
      </c>
    </row>
    <row r="35" spans="1:110" ht="16.5" customHeight="1">
      <c r="A35" s="127">
        <v>29</v>
      </c>
      <c r="B35" s="103">
        <f>'[1]март 20'!K34</f>
        <v>428.78399999999999</v>
      </c>
      <c r="C35" s="104">
        <f t="shared" si="0"/>
        <v>1.1524426284562856</v>
      </c>
      <c r="D35" s="143">
        <f t="shared" si="1"/>
        <v>423.84251039999998</v>
      </c>
      <c r="E35" s="104">
        <f t="shared" si="2"/>
        <v>38.401811448188369</v>
      </c>
      <c r="F35" s="128">
        <f t="shared" si="3"/>
        <v>2.3458186318352885</v>
      </c>
      <c r="G35" s="106"/>
      <c r="H35" s="107">
        <f t="shared" si="4"/>
        <v>1.8719144919194153</v>
      </c>
      <c r="I35" s="103">
        <f>'[1]сентябрь 20'!AE34</f>
        <v>0</v>
      </c>
      <c r="J35" s="328">
        <f>'[1]март 20'!AA34</f>
        <v>13.500999999999999</v>
      </c>
      <c r="K35" s="106"/>
      <c r="L35" s="328">
        <f>'[1]март 20'!AI34</f>
        <v>85.625</v>
      </c>
      <c r="M35" s="103">
        <f t="shared" si="5"/>
        <v>0.47390413991587332</v>
      </c>
      <c r="N35" s="103">
        <f>'[1]июль 20'!AM34</f>
        <v>6.298</v>
      </c>
      <c r="O35" s="103">
        <f>'[1]март 20'!W34</f>
        <v>0</v>
      </c>
      <c r="P35" s="103">
        <f>'[1]март 20'!S34</f>
        <v>255.803</v>
      </c>
      <c r="Q35" s="108">
        <f t="shared" si="6"/>
        <v>2.6790147105389739</v>
      </c>
      <c r="R35" s="109">
        <f t="shared" si="7"/>
        <v>248.95</v>
      </c>
      <c r="S35" s="131">
        <v>21.5</v>
      </c>
      <c r="T35" s="109">
        <f t="shared" si="8"/>
        <v>248.95</v>
      </c>
      <c r="U35" s="110">
        <f t="shared" si="9"/>
        <v>1.3778503431481071</v>
      </c>
      <c r="V35" s="136">
        <v>180.68</v>
      </c>
      <c r="W35" s="136">
        <v>148.57</v>
      </c>
      <c r="X35" s="131">
        <v>0.97</v>
      </c>
      <c r="Y35" s="133">
        <v>625</v>
      </c>
      <c r="Z35" s="133">
        <v>1226</v>
      </c>
      <c r="AA35" s="144" t="s">
        <v>245</v>
      </c>
      <c r="AB35" s="131">
        <v>76.41</v>
      </c>
      <c r="AC35" s="133">
        <v>143</v>
      </c>
      <c r="AD35" s="134">
        <v>5</v>
      </c>
      <c r="AE35" s="166">
        <v>5</v>
      </c>
      <c r="AF35" s="115">
        <f t="shared" si="10"/>
        <v>27.67323444764224</v>
      </c>
      <c r="AG35" s="166">
        <v>113.65</v>
      </c>
      <c r="AH35" s="115">
        <f t="shared" si="11"/>
        <v>629.01261899490817</v>
      </c>
      <c r="AI35" s="139">
        <v>27.3</v>
      </c>
      <c r="AJ35" s="131"/>
      <c r="AK35" s="167">
        <v>15.52</v>
      </c>
      <c r="AL35" s="167">
        <v>54.63</v>
      </c>
      <c r="AM35" s="110">
        <f t="shared" si="12"/>
        <v>0.22180267965895251</v>
      </c>
      <c r="AN35" s="168" t="s">
        <v>204</v>
      </c>
      <c r="AO35" s="405">
        <v>9.14</v>
      </c>
      <c r="AP35" s="169">
        <v>7.4</v>
      </c>
      <c r="AQ35" s="170"/>
      <c r="AR35" s="166">
        <v>5.61</v>
      </c>
      <c r="AS35" s="171">
        <v>246.3</v>
      </c>
      <c r="AT35" s="131">
        <v>4.53</v>
      </c>
      <c r="AU35" s="116"/>
      <c r="AV35" s="131"/>
      <c r="AW35" s="109">
        <f t="shared" si="29"/>
        <v>0</v>
      </c>
      <c r="AX35" s="109">
        <f t="shared" si="13"/>
        <v>180.68</v>
      </c>
      <c r="AY35" s="115">
        <f t="shared" si="24"/>
        <v>185.96031287472778</v>
      </c>
      <c r="AZ35" s="140">
        <f t="shared" si="14"/>
        <v>4.9389728873239447</v>
      </c>
      <c r="BA35" s="141">
        <f t="shared" si="30"/>
        <v>7.2272000000000007</v>
      </c>
      <c r="BB35" s="128">
        <f t="shared" si="16"/>
        <v>0.84821130681930668</v>
      </c>
      <c r="BC35" s="141">
        <f t="shared" si="17"/>
        <v>12.166172887323945</v>
      </c>
      <c r="BD35" s="165">
        <v>0.86399999999999999</v>
      </c>
      <c r="BE35" s="16">
        <f t="shared" si="25"/>
        <v>5743.3200000000006</v>
      </c>
      <c r="BF35" s="16">
        <f t="shared" si="18"/>
        <v>220.96774193548387</v>
      </c>
      <c r="BG35" s="16">
        <f t="shared" si="26"/>
        <v>6408.0645161290322</v>
      </c>
      <c r="BH35" s="17">
        <f t="shared" si="19"/>
        <v>1</v>
      </c>
      <c r="BI35" s="16">
        <f t="shared" si="27"/>
        <v>6408.0645161290322</v>
      </c>
      <c r="BJ35" s="254">
        <v>343.15899999999999</v>
      </c>
      <c r="BK35" s="197"/>
      <c r="BL35" s="197">
        <v>85.625</v>
      </c>
      <c r="BM35" s="197"/>
      <c r="BN35" s="230"/>
      <c r="BO35" s="230"/>
      <c r="BP35" s="259"/>
      <c r="BQ35" s="199"/>
      <c r="BR35" s="200">
        <v>1.44</v>
      </c>
      <c r="BS35" s="200"/>
      <c r="BT35" s="200"/>
      <c r="BU35" s="200"/>
      <c r="BV35" s="208"/>
      <c r="BW35" s="208"/>
      <c r="BX35" s="201"/>
      <c r="BY35" s="202">
        <v>36.979999999999997</v>
      </c>
      <c r="BZ35" s="200"/>
      <c r="CA35" s="200">
        <v>44.1</v>
      </c>
      <c r="CB35" s="200"/>
      <c r="CC35" s="208"/>
      <c r="CD35" s="208"/>
      <c r="CE35" s="209"/>
      <c r="CF35" s="199"/>
      <c r="CG35" s="197"/>
      <c r="CH35" s="197"/>
      <c r="CI35" s="230">
        <v>248.95</v>
      </c>
      <c r="CJ35" s="198"/>
      <c r="CK35" s="202"/>
      <c r="CL35" s="208"/>
      <c r="CM35" s="208"/>
      <c r="CN35" s="209"/>
      <c r="CP35" s="286">
        <f t="shared" si="20"/>
        <v>338.21751039999998</v>
      </c>
      <c r="CQ35" s="24">
        <f t="shared" si="20"/>
        <v>0</v>
      </c>
      <c r="CR35" s="24">
        <f t="shared" si="20"/>
        <v>85.625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248.95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8"/>
        <v>0</v>
      </c>
    </row>
    <row r="36" spans="1:110" ht="16.5" customHeight="1">
      <c r="A36" s="127">
        <v>30</v>
      </c>
      <c r="B36" s="103">
        <f>'[1]март 20'!K35</f>
        <v>357.24700000000001</v>
      </c>
      <c r="C36" s="104">
        <f t="shared" si="0"/>
        <v>1.7204778486593308</v>
      </c>
      <c r="D36" s="143">
        <f t="shared" si="1"/>
        <v>351.10064450000004</v>
      </c>
      <c r="E36" s="104">
        <f t="shared" si="2"/>
        <v>38.126424210700158</v>
      </c>
      <c r="F36" s="128">
        <f t="shared" si="3"/>
        <v>2.1856364821962151</v>
      </c>
      <c r="G36" s="106"/>
      <c r="H36" s="107">
        <f t="shared" si="4"/>
        <v>1.7413511236304777</v>
      </c>
      <c r="I36" s="103">
        <f>'[1]сентябрь 20'!AE35</f>
        <v>0</v>
      </c>
      <c r="J36" s="328">
        <f>'[1]март 20'!AA35</f>
        <v>11.795</v>
      </c>
      <c r="K36" s="106"/>
      <c r="L36" s="328">
        <f>'[1]март 20'!AI35</f>
        <v>71.37</v>
      </c>
      <c r="M36" s="103">
        <f t="shared" si="5"/>
        <v>0.44428535856573703</v>
      </c>
      <c r="N36" s="103">
        <f>'[1]июль 20'!AM35</f>
        <v>7.1239999999999997</v>
      </c>
      <c r="O36" s="103">
        <f>'[1]март 20'!W35</f>
        <v>0</v>
      </c>
      <c r="P36" s="103">
        <f>'[1]март 20'!S35</f>
        <v>212.31299999999999</v>
      </c>
      <c r="Q36" s="108">
        <f t="shared" si="6"/>
        <v>2.7002585804919987</v>
      </c>
      <c r="R36" s="109">
        <f t="shared" si="7"/>
        <v>206.57999999999998</v>
      </c>
      <c r="S36" s="131">
        <v>13.46</v>
      </c>
      <c r="T36" s="109">
        <f t="shared" si="8"/>
        <v>206.58</v>
      </c>
      <c r="U36" s="110">
        <f t="shared" si="9"/>
        <v>1.285981075697211</v>
      </c>
      <c r="V36" s="136">
        <v>160.63999999999999</v>
      </c>
      <c r="W36" s="136">
        <v>64.83</v>
      </c>
      <c r="X36" s="131">
        <v>1.06</v>
      </c>
      <c r="Y36" s="133">
        <v>550</v>
      </c>
      <c r="Z36" s="133">
        <v>1216</v>
      </c>
      <c r="AA36" s="144" t="s">
        <v>246</v>
      </c>
      <c r="AB36" s="131">
        <v>75.66</v>
      </c>
      <c r="AC36" s="133">
        <v>119</v>
      </c>
      <c r="AD36" s="134">
        <v>5</v>
      </c>
      <c r="AE36" s="131">
        <v>2.2999999999999998</v>
      </c>
      <c r="AF36" s="115">
        <f t="shared" si="10"/>
        <v>14.317729083665336</v>
      </c>
      <c r="AG36" s="131">
        <v>109.85</v>
      </c>
      <c r="AH36" s="115">
        <f t="shared" si="11"/>
        <v>683.82719123505967</v>
      </c>
      <c r="AI36" s="139">
        <v>29.7</v>
      </c>
      <c r="AJ36" s="131"/>
      <c r="AK36" s="136">
        <v>10.72</v>
      </c>
      <c r="AL36" s="136">
        <v>46.7</v>
      </c>
      <c r="AM36" s="110">
        <f t="shared" si="12"/>
        <v>0.21791880541297248</v>
      </c>
      <c r="AN36" s="137" t="s">
        <v>247</v>
      </c>
      <c r="AO36" s="150">
        <v>8.31</v>
      </c>
      <c r="AP36" s="138">
        <v>7.12</v>
      </c>
      <c r="AQ36" s="134"/>
      <c r="AR36" s="131">
        <v>7.92</v>
      </c>
      <c r="AS36" s="139">
        <v>214.3</v>
      </c>
      <c r="AT36" s="131">
        <v>3.76</v>
      </c>
      <c r="AU36" s="116"/>
      <c r="AV36" s="131"/>
      <c r="AW36" s="109">
        <f t="shared" si="29"/>
        <v>0</v>
      </c>
      <c r="AX36" s="109">
        <f t="shared" si="13"/>
        <v>160.64000000000001</v>
      </c>
      <c r="AY36" s="115">
        <f t="shared" si="24"/>
        <v>154.45629360989116</v>
      </c>
      <c r="AZ36" s="140">
        <f t="shared" si="14"/>
        <v>6.7395295774647881</v>
      </c>
      <c r="BA36" s="141">
        <f t="shared" si="30"/>
        <v>6.4256000000000011</v>
      </c>
      <c r="BB36" s="128">
        <f t="shared" si="16"/>
        <v>0.90795083011767508</v>
      </c>
      <c r="BC36" s="141">
        <f t="shared" si="17"/>
        <v>13.165129577464789</v>
      </c>
      <c r="BD36" s="165">
        <v>0.86499999999999999</v>
      </c>
      <c r="BE36" s="16">
        <f t="shared" si="25"/>
        <v>5903.9600000000009</v>
      </c>
      <c r="BF36" s="16">
        <f t="shared" si="18"/>
        <v>220.96774193548387</v>
      </c>
      <c r="BG36" s="16">
        <f t="shared" si="26"/>
        <v>6629.0322580645161</v>
      </c>
      <c r="BH36" s="17">
        <f t="shared" si="19"/>
        <v>1</v>
      </c>
      <c r="BI36" s="16">
        <f t="shared" si="27"/>
        <v>6629.0322580645161</v>
      </c>
      <c r="BJ36" s="254">
        <v>285.87700000000001</v>
      </c>
      <c r="BK36" s="197"/>
      <c r="BL36" s="197">
        <v>71.37</v>
      </c>
      <c r="BM36" s="197"/>
      <c r="BN36" s="230"/>
      <c r="BO36" s="230"/>
      <c r="BP36" s="258"/>
      <c r="BQ36" s="199"/>
      <c r="BR36" s="200">
        <v>2.15</v>
      </c>
      <c r="BS36" s="200"/>
      <c r="BT36" s="200"/>
      <c r="BU36" s="200"/>
      <c r="BV36" s="208"/>
      <c r="BW36" s="208"/>
      <c r="BX36" s="201"/>
      <c r="BY36" s="202">
        <v>36.71</v>
      </c>
      <c r="BZ36" s="200"/>
      <c r="CA36" s="200">
        <v>43.8</v>
      </c>
      <c r="CB36" s="200"/>
      <c r="CC36" s="208"/>
      <c r="CD36" s="208"/>
      <c r="CE36" s="209"/>
      <c r="CF36" s="199"/>
      <c r="CG36" s="197"/>
      <c r="CH36" s="197"/>
      <c r="CI36" s="230">
        <v>206.58</v>
      </c>
      <c r="CJ36" s="198"/>
      <c r="CK36" s="202"/>
      <c r="CL36" s="208"/>
      <c r="CM36" s="208"/>
      <c r="CN36" s="209"/>
      <c r="CP36" s="286">
        <f t="shared" si="20"/>
        <v>279.73064449999998</v>
      </c>
      <c r="CQ36" s="27">
        <f t="shared" si="20"/>
        <v>0</v>
      </c>
      <c r="CR36" s="28">
        <f t="shared" si="20"/>
        <v>71.37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206.58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8"/>
        <v>0</v>
      </c>
    </row>
    <row r="37" spans="1:110" ht="16.5" customHeight="1" thickBot="1">
      <c r="A37" s="172">
        <v>31</v>
      </c>
      <c r="B37" s="103">
        <f>'[1]март 20'!K36</f>
        <v>432.44799999999998</v>
      </c>
      <c r="C37" s="104">
        <f t="shared" si="0"/>
        <v>0.97612582322036401</v>
      </c>
      <c r="D37" s="173">
        <f t="shared" si="1"/>
        <v>428.22676340000004</v>
      </c>
      <c r="E37" s="104">
        <f t="shared" si="2"/>
        <v>38.247242998002072</v>
      </c>
      <c r="F37" s="174">
        <f t="shared" si="3"/>
        <v>2.3787732663037446</v>
      </c>
      <c r="G37" s="106"/>
      <c r="H37" s="107">
        <f t="shared" si="4"/>
        <v>1.8985766214865016</v>
      </c>
      <c r="I37" s="103">
        <f>'[1]сентябрь 20'!AE36</f>
        <v>0</v>
      </c>
      <c r="J37" s="328">
        <f>'[1]март 20'!AA36</f>
        <v>14.609</v>
      </c>
      <c r="K37" s="106"/>
      <c r="L37" s="328">
        <f>'[1]март 20'!AI36</f>
        <v>86.444999999999993</v>
      </c>
      <c r="M37" s="103">
        <f t="shared" si="5"/>
        <v>0.48019664481724256</v>
      </c>
      <c r="N37" s="103">
        <f>'[1]июль 20'!AM36</f>
        <v>6.7409999999999997</v>
      </c>
      <c r="O37" s="103">
        <f>'[1]март 20'!W36</f>
        <v>0</v>
      </c>
      <c r="P37" s="103">
        <f>'[1]март 20'!S36</f>
        <v>254.976</v>
      </c>
      <c r="Q37" s="108">
        <f t="shared" si="6"/>
        <v>2.649661144578308</v>
      </c>
      <c r="R37" s="175">
        <f t="shared" si="7"/>
        <v>248.22</v>
      </c>
      <c r="S37" s="176">
        <v>12.54</v>
      </c>
      <c r="T37" s="109">
        <f t="shared" si="8"/>
        <v>248.22</v>
      </c>
      <c r="U37" s="227">
        <f t="shared" si="9"/>
        <v>1.3788467948005778</v>
      </c>
      <c r="V37" s="177">
        <v>180.02</v>
      </c>
      <c r="W37" s="177">
        <v>142.19</v>
      </c>
      <c r="X37" s="176">
        <v>0.87</v>
      </c>
      <c r="Y37" s="178">
        <v>658</v>
      </c>
      <c r="Z37" s="178">
        <v>1223</v>
      </c>
      <c r="AA37" s="179" t="s">
        <v>129</v>
      </c>
      <c r="AB37" s="176">
        <v>75.930000000000007</v>
      </c>
      <c r="AC37" s="178">
        <v>144</v>
      </c>
      <c r="AD37" s="180">
        <v>5</v>
      </c>
      <c r="AE37" s="176">
        <v>2.65</v>
      </c>
      <c r="AF37" s="115">
        <f t="shared" si="10"/>
        <v>14.720586601488725</v>
      </c>
      <c r="AG37" s="176">
        <v>122.3</v>
      </c>
      <c r="AH37" s="181">
        <f t="shared" si="11"/>
        <v>679.36895900455511</v>
      </c>
      <c r="AI37" s="182">
        <v>22.11</v>
      </c>
      <c r="AJ37" s="176"/>
      <c r="AK37" s="177">
        <v>11.3</v>
      </c>
      <c r="AL37" s="177">
        <v>51.53</v>
      </c>
      <c r="AM37" s="227">
        <f t="shared" si="12"/>
        <v>0.21218859378217006</v>
      </c>
      <c r="AN37" s="183" t="s">
        <v>228</v>
      </c>
      <c r="AO37" s="406">
        <v>9.0299999999999994</v>
      </c>
      <c r="AP37" s="184">
        <v>7.16</v>
      </c>
      <c r="AQ37" s="180"/>
      <c r="AR37" s="176">
        <v>6.69</v>
      </c>
      <c r="AS37" s="176">
        <v>242.85</v>
      </c>
      <c r="AT37" s="131"/>
      <c r="AU37" s="176"/>
      <c r="AV37" s="176"/>
      <c r="AW37" s="185">
        <f t="shared" si="29"/>
        <v>0</v>
      </c>
      <c r="AX37" s="109">
        <f t="shared" si="13"/>
        <v>180.01999999999998</v>
      </c>
      <c r="AY37" s="115">
        <f t="shared" si="24"/>
        <v>188.31060789017198</v>
      </c>
      <c r="AZ37" s="186">
        <f t="shared" si="14"/>
        <v>6.338068309859155</v>
      </c>
      <c r="BA37" s="181">
        <f t="shared" si="30"/>
        <v>7.2007999999999992</v>
      </c>
      <c r="BB37" s="174">
        <f t="shared" si="16"/>
        <v>0.83456509307037352</v>
      </c>
      <c r="BC37" s="181">
        <f t="shared" si="17"/>
        <v>13.538868309859154</v>
      </c>
      <c r="BD37" s="187">
        <v>0.86399999999999999</v>
      </c>
      <c r="BE37" s="16">
        <f t="shared" si="25"/>
        <v>6083.9800000000014</v>
      </c>
      <c r="BF37" s="16">
        <f t="shared" si="18"/>
        <v>220.96774193548387</v>
      </c>
      <c r="BG37" s="16">
        <f t="shared" si="26"/>
        <v>6850</v>
      </c>
      <c r="BH37" s="17">
        <f t="shared" si="19"/>
        <v>1</v>
      </c>
      <c r="BI37" s="16">
        <f t="shared" si="27"/>
        <v>6850</v>
      </c>
      <c r="BJ37" s="256">
        <v>346.00299999999999</v>
      </c>
      <c r="BK37" s="257"/>
      <c r="BL37" s="257">
        <v>86.444999999999993</v>
      </c>
      <c r="BM37" s="257"/>
      <c r="BN37" s="261"/>
      <c r="BO37" s="261"/>
      <c r="BP37" s="262"/>
      <c r="BQ37" s="219"/>
      <c r="BR37" s="220">
        <v>1.22</v>
      </c>
      <c r="BS37" s="220"/>
      <c r="BT37" s="220"/>
      <c r="BU37" s="220"/>
      <c r="BV37" s="224"/>
      <c r="BW37" s="224"/>
      <c r="BX37" s="221"/>
      <c r="BY37" s="222">
        <v>36.78</v>
      </c>
      <c r="BZ37" s="220"/>
      <c r="CA37" s="220">
        <v>44.12</v>
      </c>
      <c r="CB37" s="220"/>
      <c r="CC37" s="224"/>
      <c r="CD37" s="224"/>
      <c r="CE37" s="221"/>
      <c r="CF37" s="219"/>
      <c r="CG37" s="217"/>
      <c r="CH37" s="217"/>
      <c r="CI37" s="234">
        <v>248.22</v>
      </c>
      <c r="CJ37" s="223"/>
      <c r="CK37" s="222"/>
      <c r="CL37" s="224"/>
      <c r="CM37" s="224"/>
      <c r="CN37" s="218"/>
      <c r="CP37" s="287">
        <f t="shared" si="20"/>
        <v>341.78176339999999</v>
      </c>
      <c r="CQ37" s="32">
        <f t="shared" si="20"/>
        <v>0</v>
      </c>
      <c r="CR37" s="30">
        <f t="shared" si="20"/>
        <v>86.444999999999993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248.22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8"/>
        <v>0</v>
      </c>
    </row>
    <row r="38" spans="1:110" ht="16.5" customHeight="1" thickBot="1">
      <c r="A38" s="55" t="s">
        <v>58</v>
      </c>
      <c r="B38" s="188">
        <f>SUM(B7:B37)</f>
        <v>13812.864999999998</v>
      </c>
      <c r="C38" s="326"/>
      <c r="D38" s="327">
        <f>SUM(D7:D37)</f>
        <v>13530.642576386586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310.43099999999998</v>
      </c>
      <c r="K38" s="188">
        <f>SUM(K7:K37)</f>
        <v>186.64999999999998</v>
      </c>
      <c r="L38" s="331">
        <f>SUM(L7:L37)</f>
        <v>3146.27</v>
      </c>
      <c r="M38" s="342"/>
      <c r="N38" s="342">
        <f>SUM(N7:N37)</f>
        <v>85.77</v>
      </c>
      <c r="O38" s="188">
        <f>SUM(O7:O37)</f>
        <v>38.503</v>
      </c>
      <c r="P38" s="188">
        <f>SUM(P7:P37)</f>
        <v>8568.0400000000009</v>
      </c>
      <c r="Q38" s="342"/>
      <c r="R38" s="341">
        <f>SUM(R7:R37)</f>
        <v>8291.4230001999986</v>
      </c>
      <c r="S38" s="343">
        <f>SUM(S7:S37)</f>
        <v>498.15999999999997</v>
      </c>
      <c r="T38" s="341">
        <f>SUM(T7:T37)</f>
        <v>8291.4230001999986</v>
      </c>
      <c r="U38" s="344"/>
      <c r="V38" s="194">
        <f>SUM(V7:V37)</f>
        <v>5127.9600000000009</v>
      </c>
      <c r="W38" s="194">
        <f>SUM(W7:W37)</f>
        <v>4156.9699999999993</v>
      </c>
      <c r="X38" s="345"/>
      <c r="Y38" s="346"/>
      <c r="Z38" s="347"/>
      <c r="AA38" s="348"/>
      <c r="AB38" s="345"/>
      <c r="AC38" s="345"/>
      <c r="AD38" s="347">
        <f>SUM(AD7:AD37)</f>
        <v>146</v>
      </c>
      <c r="AE38" s="194">
        <f>SUM(AE7:AE37)</f>
        <v>89.049999999999983</v>
      </c>
      <c r="AF38" s="349"/>
      <c r="AG38" s="194">
        <f>SUM(AG7:AG37)</f>
        <v>3683.05</v>
      </c>
      <c r="AH38" s="343"/>
      <c r="AI38" s="338">
        <f>SUM(AI7:AI37)</f>
        <v>821.20999999999992</v>
      </c>
      <c r="AJ38" s="343">
        <f>SUM(AJ7:AJ37)</f>
        <v>0</v>
      </c>
      <c r="AK38" s="337">
        <f>SUM(AK7:AK37)</f>
        <v>330.36999999999995</v>
      </c>
      <c r="AL38" s="395">
        <f>SUM(AL7:AL37)</f>
        <v>1559.5900000000006</v>
      </c>
      <c r="AM38" s="350"/>
      <c r="AN38" s="351"/>
      <c r="AO38" s="343"/>
      <c r="AP38" s="351"/>
      <c r="AQ38" s="351"/>
      <c r="AR38" s="352"/>
      <c r="AS38" s="337">
        <f>SUM(AS7:AS37)</f>
        <v>7875.2500000000018</v>
      </c>
      <c r="AT38" s="341">
        <f>SUM(AT7:AT37)</f>
        <v>98.69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6083.9800000000014</v>
      </c>
      <c r="AY38" s="252">
        <f>SUM(AY7:AY37)</f>
        <v>6151.990564215861</v>
      </c>
      <c r="AZ38" s="351">
        <f>SUM(AZ7:AZ36)</f>
        <v>225.09406514084509</v>
      </c>
      <c r="BA38" s="351">
        <f>SUM(BA7:BA36)</f>
        <v>226.73880000000003</v>
      </c>
      <c r="BB38" s="340"/>
      <c r="BC38" s="351">
        <f>SUM(BC7:BC37)</f>
        <v>465.37173345070426</v>
      </c>
      <c r="BD38" s="353"/>
      <c r="BE38" s="16"/>
      <c r="BF38" s="16">
        <f t="shared" si="18"/>
        <v>0</v>
      </c>
      <c r="BG38" s="16"/>
      <c r="BH38" s="17">
        <f>SUM(BH7:BH37)</f>
        <v>31</v>
      </c>
      <c r="BI38" s="33"/>
      <c r="BJ38" s="417">
        <f t="shared" ref="BJ38:BP38" si="31">SUM(BJ7:BJ37)</f>
        <v>10038.605000000001</v>
      </c>
      <c r="BK38" s="38">
        <f t="shared" si="31"/>
        <v>9.9999999999999995E-8</v>
      </c>
      <c r="BL38" s="38">
        <f t="shared" si="31"/>
        <v>3146.27</v>
      </c>
      <c r="BM38" s="38">
        <f t="shared" si="31"/>
        <v>489.66800009999997</v>
      </c>
      <c r="BN38" s="38">
        <f t="shared" si="31"/>
        <v>9.9999999999999995E-8</v>
      </c>
      <c r="BO38" s="38">
        <f t="shared" si="31"/>
        <v>9.9999999999999995E-8</v>
      </c>
      <c r="BP38" s="38">
        <f t="shared" si="31"/>
        <v>138.3220001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1402.2</v>
      </c>
      <c r="CH38" s="39">
        <f>SUM(CH7:CH37)</f>
        <v>9.9999999999999995E-8</v>
      </c>
      <c r="CI38" s="39">
        <f>SUM(CI7:CI37)</f>
        <v>6889.2230000000009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2">SUM(CP7:CP37)</f>
        <v>9814.9571319999995</v>
      </c>
      <c r="CQ38" s="190">
        <f t="shared" si="32"/>
        <v>9.99999999E-8</v>
      </c>
      <c r="CR38" s="191">
        <f t="shared" si="32"/>
        <v>3146.2699998865878</v>
      </c>
      <c r="CS38" s="192">
        <f t="shared" si="32"/>
        <v>435.58819519999997</v>
      </c>
      <c r="CT38" s="192">
        <f t="shared" si="32"/>
        <v>9.99999999E-8</v>
      </c>
      <c r="CU38" s="192">
        <f t="shared" si="32"/>
        <v>9.99999999E-8</v>
      </c>
      <c r="CV38" s="278">
        <f t="shared" si="32"/>
        <v>133.82724949999999</v>
      </c>
      <c r="CW38" s="278">
        <f t="shared" si="32"/>
        <v>1402.1999998451502</v>
      </c>
      <c r="CX38" s="192">
        <f t="shared" si="32"/>
        <v>9.99999999E-8</v>
      </c>
      <c r="CY38" s="192">
        <f t="shared" si="32"/>
        <v>6889.2229998449502</v>
      </c>
      <c r="CZ38" s="192">
        <f t="shared" si="32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445.57629032258058</v>
      </c>
      <c r="C39" s="84">
        <f>(BJ38*BR39+BK38*BS39+BM38*BU39+BP38*BX39+BL38*BT39+BO38*BW39+BN38*BV39)/B38</f>
        <v>2.0431852741151966</v>
      </c>
      <c r="D39" s="82"/>
      <c r="E39" s="354">
        <f>(BJ38*BY39+BK38*BZ39+BM38*CB39+BP38*CE39+BL38*CA39+BO38*CD39+BN38*CC39)/B38</f>
        <v>39.344835960533892</v>
      </c>
      <c r="F39" s="355">
        <f>IF(AX38=0,0,D38/AX38)</f>
        <v>2.2239788060425218</v>
      </c>
      <c r="G39" s="354">
        <f>G38/AS2</f>
        <v>0</v>
      </c>
      <c r="H39" s="355">
        <f>IF(AX38=0,0,(CV38+CS38+CU38+CP38+CT38)/AX38)</f>
        <v>1.7068387103343532</v>
      </c>
      <c r="I39" s="354">
        <f>I38/AS2</f>
        <v>0</v>
      </c>
      <c r="J39" s="354">
        <f>J38/AS2</f>
        <v>10.013903225806452</v>
      </c>
      <c r="K39" s="354">
        <f>K38/AS2</f>
        <v>6.0209677419354835</v>
      </c>
      <c r="L39" s="354">
        <f>L38/AS2</f>
        <v>101.49258064516128</v>
      </c>
      <c r="M39" s="355">
        <f>IF($AX$38=0,0,(CR38+CQ38)/$AX$38)</f>
        <v>0.51714009579035225</v>
      </c>
      <c r="N39" s="354">
        <f>N38/AS2</f>
        <v>2.7667741935483869</v>
      </c>
      <c r="O39" s="354">
        <f>O38/AS2</f>
        <v>1.2420322580645162</v>
      </c>
      <c r="P39" s="356">
        <f>P38/AS2</f>
        <v>276.38838709677424</v>
      </c>
      <c r="Q39" s="354">
        <f>(SUMPRODUCT(P7:P37,Q7:Q37))/P38</f>
        <v>3.2284746546468037</v>
      </c>
      <c r="R39" s="357"/>
      <c r="S39" s="354">
        <f>S38/AS2</f>
        <v>16.069677419354839</v>
      </c>
      <c r="T39" s="354">
        <f>T38/AS2:AS2</f>
        <v>267.46525807096771</v>
      </c>
      <c r="U39" s="358">
        <f>IF($AX$38=0,0,R38/$AX$38)</f>
        <v>1.3628287733030018</v>
      </c>
      <c r="V39" s="354">
        <f>V38/AS2</f>
        <v>165.41806451612905</v>
      </c>
      <c r="W39" s="354">
        <f>W38/AS2</f>
        <v>134.09580645161287</v>
      </c>
      <c r="X39" s="354">
        <f>(SUMPRODUCT(X7:X37,AX7:AX37))/AX38</f>
        <v>0.86355362772395694</v>
      </c>
      <c r="Y39" s="359">
        <f>AVERAGE(Y7:Y37)</f>
        <v>602.0322580645161</v>
      </c>
      <c r="Z39" s="359">
        <f>AVERAGE(Z7:Z37)</f>
        <v>1223.4193548387098</v>
      </c>
      <c r="AA39" s="359"/>
      <c r="AB39" s="354">
        <f>(SUMPRODUCT(AB7:AB37,AX7:AX37))/AX38</f>
        <v>75.614726659193479</v>
      </c>
      <c r="AC39" s="360">
        <f>AVERAGE(AC7:AC37)</f>
        <v>148.7741935483871</v>
      </c>
      <c r="AD39" s="360">
        <f>AVERAGE(AD7:AD37)</f>
        <v>4.709677419354839</v>
      </c>
      <c r="AE39" s="354">
        <f>AE38/AS2</f>
        <v>2.8725806451612899</v>
      </c>
      <c r="AF39" s="361">
        <f>IF(AX38=0,0,AE38/AX38*1000)</f>
        <v>14.636800252466307</v>
      </c>
      <c r="AG39" s="361">
        <f>AG38/AS2</f>
        <v>118.80806451612904</v>
      </c>
      <c r="AH39" s="361">
        <f>IF(AX38=0,0,AG38/AX38*1000)</f>
        <v>605.36852520882701</v>
      </c>
      <c r="AI39" s="354">
        <f>AI38/AS2</f>
        <v>26.49064516129032</v>
      </c>
      <c r="AJ39" s="359"/>
      <c r="AK39" s="354">
        <f>AK38/AS2</f>
        <v>10.657096774193546</v>
      </c>
      <c r="AL39" s="354">
        <f>AL38/AS2</f>
        <v>50.309354838709694</v>
      </c>
      <c r="AM39" s="346">
        <f>IF(AL39=0,0,AL39/AS39)</f>
        <v>0.19803688771785025</v>
      </c>
      <c r="AN39" s="361">
        <f>SUM(AN8:AN38)</f>
        <v>0</v>
      </c>
      <c r="AO39" s="354">
        <f>AVERAGE(AO7:AO37)</f>
        <v>9.7567741935483845</v>
      </c>
      <c r="AP39" s="354">
        <f>AVERAGE(AP7:AP37)</f>
        <v>6.8883870967741938</v>
      </c>
      <c r="AQ39" s="362"/>
      <c r="AR39" s="354">
        <f>AVERAGE(AR7:AR37)</f>
        <v>8.0232258064516131</v>
      </c>
      <c r="AS39" s="363">
        <f>AS38/AS2</f>
        <v>254.04032258064521</v>
      </c>
      <c r="AT39" s="363">
        <f>AT38/AS2</f>
        <v>3.1835483870967742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196.25741935483876</v>
      </c>
      <c r="AY39" s="354">
        <f>AY38/AS2</f>
        <v>198.45130852309228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0.86414774977717823</v>
      </c>
      <c r="BC39" s="354">
        <f>BC38/AS2</f>
        <v>15.011991401635621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2.2278779571464362</v>
      </c>
      <c r="BS39" s="42">
        <f t="shared" ref="BS39:BX39" si="33">(SUMPRODUCT(BK7:BK37,BS7:BS37))/BK38</f>
        <v>9.9999999999999982E-8</v>
      </c>
      <c r="BT39" s="42">
        <f t="shared" si="33"/>
        <v>3.604649314903044E-9</v>
      </c>
      <c r="BU39" s="42">
        <f t="shared" si="33"/>
        <v>11.044177869282008</v>
      </c>
      <c r="BV39" s="42">
        <f t="shared" si="33"/>
        <v>9.9999999999999982E-8</v>
      </c>
      <c r="BW39" s="46">
        <f t="shared" si="33"/>
        <v>9.9999999999999982E-8</v>
      </c>
      <c r="BX39" s="240">
        <f t="shared" si="33"/>
        <v>3.2494835216021429</v>
      </c>
      <c r="BY39" s="41">
        <f t="shared" ref="BY39:CE39" si="34">(SUMPRODUCT(BJ7:BJ37,BY7:BY37))/BJ38</f>
        <v>37.663136433797312</v>
      </c>
      <c r="BZ39" s="42">
        <f t="shared" si="34"/>
        <v>9.9999999999999982E-8</v>
      </c>
      <c r="CA39" s="42">
        <f t="shared" si="34"/>
        <v>44.253228527748725</v>
      </c>
      <c r="CB39" s="42">
        <f t="shared" si="34"/>
        <v>42.669015038215889</v>
      </c>
      <c r="CC39" s="42">
        <f t="shared" si="34"/>
        <v>9.9999999999999982E-8</v>
      </c>
      <c r="CD39" s="46">
        <f t="shared" si="34"/>
        <v>9.9999999999999982E-8</v>
      </c>
      <c r="CE39" s="240">
        <f t="shared" si="34"/>
        <v>37.978783318648674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1.1043360433604334E-8</v>
      </c>
      <c r="CL39" s="46">
        <f>(SUMPRODUCT(CH7:CH37,CL7:CL37))/CH38</f>
        <v>9.9999999999999982E-8</v>
      </c>
      <c r="CM39" s="46">
        <f>(SUMPRODUCT(CI7:CI37,CM7:CM37))/CI38</f>
        <v>2.2506166515440128E-9</v>
      </c>
      <c r="CN39" s="44">
        <f>(SUMPRODUCT(CJ7:CJ37,CN7:CN37))/CJ38</f>
        <v>9.9999999999999982E-8</v>
      </c>
      <c r="CP39" s="667">
        <f>CP38+CQ38</f>
        <v>9814.9571321000003</v>
      </c>
      <c r="CQ39" s="667"/>
      <c r="CR39" s="668">
        <f>CR38+CS38+CV38+CU38+CT38</f>
        <v>3715.6854447865876</v>
      </c>
      <c r="CS39" s="668"/>
      <c r="CT39" s="668"/>
      <c r="CU39" s="668"/>
      <c r="CV39" s="668"/>
      <c r="CW39" s="669">
        <f>CW38+CX38+CZ38+CY38</f>
        <v>8291.422999890101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39</v>
      </c>
      <c r="F40" s="366">
        <v>2.08</v>
      </c>
      <c r="G40" s="366"/>
      <c r="H40" s="366">
        <v>1.56</v>
      </c>
      <c r="I40" s="366"/>
      <c r="J40" s="408">
        <v>16.572600000000001</v>
      </c>
      <c r="K40" s="366"/>
      <c r="L40" s="366"/>
      <c r="M40" s="366">
        <v>0.52</v>
      </c>
      <c r="N40" s="365"/>
      <c r="O40" s="366"/>
      <c r="P40" s="367"/>
      <c r="Q40" s="368"/>
      <c r="R40" s="367"/>
      <c r="S40" s="369">
        <v>25.565997599999999</v>
      </c>
      <c r="T40" s="367"/>
      <c r="U40" s="369">
        <v>1.2849999999999999</v>
      </c>
      <c r="V40" s="370">
        <v>6850</v>
      </c>
      <c r="W40" s="370">
        <v>6850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590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6850</v>
      </c>
      <c r="AT40" s="379">
        <v>47.95</v>
      </c>
      <c r="AU40" s="380"/>
      <c r="AV40" s="381"/>
      <c r="AW40" s="382"/>
      <c r="AX40" s="365">
        <v>220.97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13530.642576886588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0.14397880604252178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3.2284746546468037</v>
      </c>
      <c r="R41" s="386"/>
      <c r="S41" s="388"/>
      <c r="T41" s="388"/>
      <c r="U41" s="385">
        <f>U39-U40</f>
        <v>7.7828773303001864E-2</v>
      </c>
      <c r="V41" s="385"/>
      <c r="W41" s="385"/>
      <c r="X41" s="385"/>
      <c r="Y41" s="385"/>
      <c r="Z41" s="389">
        <f>Z39-Z40</f>
        <v>-26.580645161290249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1025.2500000000018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220.96774193548387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31</v>
      </c>
      <c r="CP43" s="247">
        <f>CP38+CS38</f>
        <v>10250.5453272</v>
      </c>
      <c r="CS43">
        <v>13530.643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53.940068493150697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30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228.33333333333334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-766.01999999999862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-11.182773722627717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L3:AL6"/>
    <mergeCell ref="AM3:AM6"/>
    <mergeCell ref="AN3:AN6"/>
    <mergeCell ref="AO3:AO6"/>
    <mergeCell ref="AP3:AP6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V3:V6"/>
    <mergeCell ref="S4:S6"/>
    <mergeCell ref="T4:T6"/>
    <mergeCell ref="U4:U6"/>
    <mergeCell ref="AE5:AE6"/>
    <mergeCell ref="DB5:DF5"/>
    <mergeCell ref="CP39:CQ39"/>
    <mergeCell ref="CR39:CV39"/>
    <mergeCell ref="CW39:CZ39"/>
    <mergeCell ref="CG3:CJ5"/>
    <mergeCell ref="CK3:CN5"/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J88"/>
  <sheetViews>
    <sheetView showZeros="0" zoomScale="90" zoomScaleNormal="90" workbookViewId="0">
      <pane xSplit="1" ySplit="6" topLeftCell="X28" activePane="bottomRight" state="frozen"/>
      <selection pane="topRight" activeCell="B1" sqref="B1"/>
      <selection pane="bottomLeft" activeCell="A7" sqref="A7"/>
      <selection pane="bottomRight" activeCell="AI44" sqref="AI44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6.28515625" customWidth="1"/>
    <col min="16" max="16" width="9" customWidth="1"/>
    <col min="17" max="17" width="5.140625" customWidth="1"/>
    <col min="18" max="18" width="8.85546875" customWidth="1"/>
    <col min="19" max="19" width="8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  <col min="114" max="114" width="10.7109375" customWidth="1"/>
  </cols>
  <sheetData>
    <row r="1" spans="1:114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4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31</v>
      </c>
      <c r="AT2" s="321"/>
      <c r="AU2" s="321"/>
      <c r="AV2" s="322"/>
      <c r="AW2" s="321"/>
      <c r="AX2" s="323" t="s">
        <v>195</v>
      </c>
      <c r="AY2" s="323"/>
      <c r="AZ2" s="323"/>
      <c r="BA2" s="323"/>
      <c r="BB2" s="323" t="s">
        <v>107</v>
      </c>
      <c r="BC2" s="324"/>
      <c r="BD2" s="49"/>
      <c r="BL2" s="2"/>
    </row>
    <row r="3" spans="1:114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4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4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4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18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4" ht="16.5" customHeight="1">
      <c r="A7" s="102">
        <v>1</v>
      </c>
      <c r="B7" s="103">
        <f>BJ7+BK7+BL7+BM7+BN7+BO7+BP7</f>
        <v>468.99600050000015</v>
      </c>
      <c r="C7" s="104">
        <f t="shared" ref="C7:C37" si="0">IF(B7=0,0,(BJ7*BR7+BK7*BS7+BM7*BU7+BP7*BX7+BL7*BT7+BO7*BW7+BN7*BV7)/B7)</f>
        <v>1.8110434482867188</v>
      </c>
      <c r="D7" s="105">
        <f t="shared" ref="D7:D37" si="1">B7*((100-C7)/100)</f>
        <v>460.50227916021817</v>
      </c>
      <c r="E7" s="104">
        <f t="shared" ref="E7:E37" si="2">IF(B7=0,0,(BJ7*BY7+BK7*BZ7+BM7*CB7+BP7*CE7+BL7*CA7+BO7*CD7+BN7*CC7)/B7)</f>
        <v>40.534980894789093</v>
      </c>
      <c r="F7" s="103">
        <f t="shared" ref="F7:F37" si="3">IF(AX7=0,0,D7/AX7)</f>
        <v>2.1746424214215061</v>
      </c>
      <c r="G7" s="106"/>
      <c r="H7" s="107">
        <f t="shared" ref="H7:H37" si="4">IF(AX7=0,0,(CV7+CS7+CU7+CP7+CT7)/AX7)</f>
        <v>1.5145460861352475</v>
      </c>
      <c r="I7" s="103">
        <f>'[1]сентябрь 20'!AE6</f>
        <v>0</v>
      </c>
      <c r="J7" s="328">
        <f>'[1]март 20'!AA6</f>
        <v>11.224</v>
      </c>
      <c r="K7" s="106"/>
      <c r="L7" s="328">
        <f>BL7</f>
        <v>139.78200000000001</v>
      </c>
      <c r="M7" s="103">
        <f t="shared" ref="M7:M37" si="5">IF(AX7=0,0,(CR7+CQ7)/AX7)</f>
        <v>0.660096335286258</v>
      </c>
      <c r="N7" s="103">
        <f>'[1]июль 20'!AM6</f>
        <v>0</v>
      </c>
      <c r="O7" s="103">
        <f>'[1]март 20'!W6</f>
        <v>0</v>
      </c>
      <c r="P7" s="103">
        <f>'[1]март 20'!S6</f>
        <v>320.22000000000003</v>
      </c>
      <c r="Q7" s="108">
        <f t="shared" ref="Q7:Q37" si="6">IF(P7=0,0,(1-(T7/P7))*100)</f>
        <v>3.2227842733120959</v>
      </c>
      <c r="R7" s="109">
        <f t="shared" ref="R7:R37" si="7">P7*((100-Q7)/100)</f>
        <v>309.90000020000002</v>
      </c>
      <c r="S7" s="106">
        <v>12.11</v>
      </c>
      <c r="T7" s="109">
        <f t="shared" ref="T7:T37" si="8">CG7+CH7+CJ7+CI7</f>
        <v>309.90000020000002</v>
      </c>
      <c r="U7" s="110">
        <f t="shared" ref="U7:U37" si="9">IF(AX7=0,0,R7/AX7)</f>
        <v>1.4634491887041934</v>
      </c>
      <c r="V7" s="136">
        <v>211.76</v>
      </c>
      <c r="W7" s="111">
        <v>90.73</v>
      </c>
      <c r="X7" s="106">
        <v>1.44</v>
      </c>
      <c r="Y7" s="112">
        <v>638</v>
      </c>
      <c r="Z7" s="238">
        <v>1239</v>
      </c>
      <c r="AA7" s="113" t="s">
        <v>211</v>
      </c>
      <c r="AB7" s="106">
        <v>76.180000000000007</v>
      </c>
      <c r="AC7" s="112">
        <v>163</v>
      </c>
      <c r="AD7" s="114">
        <v>5</v>
      </c>
      <c r="AE7" s="106">
        <v>5.45</v>
      </c>
      <c r="AF7" s="115">
        <f t="shared" ref="AF7:AF37" si="10">IF(AX7=0,0,AE7/AX7*1000)</f>
        <v>25.73668303740083</v>
      </c>
      <c r="AG7" s="106">
        <v>111.45</v>
      </c>
      <c r="AH7" s="115">
        <f t="shared" ref="AH7:AH37" si="11">IF(AX7=0,0,AG7/AX7*1000)</f>
        <v>526.30336229693989</v>
      </c>
      <c r="AI7" s="106">
        <v>23.62</v>
      </c>
      <c r="AJ7" s="116"/>
      <c r="AK7" s="117">
        <v>9.33</v>
      </c>
      <c r="AL7" s="118">
        <v>57.63</v>
      </c>
      <c r="AM7" s="110">
        <f t="shared" ref="AM7:AM37" si="12">IF(AL7=0,0,AL7/AS7)</f>
        <v>0.21121495327102802</v>
      </c>
      <c r="AN7" s="119" t="s">
        <v>212</v>
      </c>
      <c r="AO7" s="403">
        <v>9.52</v>
      </c>
      <c r="AP7" s="120">
        <v>7.16</v>
      </c>
      <c r="AQ7" s="106"/>
      <c r="AR7" s="106">
        <v>5.92</v>
      </c>
      <c r="AS7" s="314">
        <v>272.85000000000002</v>
      </c>
      <c r="AT7" s="121">
        <v>5.87</v>
      </c>
      <c r="AU7" s="122"/>
      <c r="AV7" s="123"/>
      <c r="AW7" s="124"/>
      <c r="AX7" s="109">
        <f t="shared" ref="AX7:AX37" si="13">AS7-AL7-AK7+AV7+AT7</f>
        <v>211.76000000000002</v>
      </c>
      <c r="AY7" s="115">
        <f>IF(AB7=0,0,((D7*0.97)*(E7/100)*0.9)/(AB7/100))</f>
        <v>213.91194276214173</v>
      </c>
      <c r="AZ7" s="125">
        <f t="shared" ref="AZ7:AZ37" si="14">(AG7*AR7)/100*(55/71)</f>
        <v>5.1110028169014079</v>
      </c>
      <c r="BA7" s="115">
        <f t="shared" ref="BA7:BA23" si="15">AX7*$BA$6</f>
        <v>8.4704000000000015</v>
      </c>
      <c r="BB7" s="103">
        <f t="shared" ref="BB7:BB37" si="16">IF((D7*E7)=0,0,(AX7*AB7)/(D7*E7))</f>
        <v>0.86421766645147691</v>
      </c>
      <c r="BC7" s="115">
        <f t="shared" ref="BC7:BC37" si="17">AZ7+BA7</f>
        <v>13.581402816901409</v>
      </c>
      <c r="BD7" s="126">
        <v>0.86399999999999999</v>
      </c>
      <c r="BE7" s="16">
        <f>AX7</f>
        <v>211.76000000000002</v>
      </c>
      <c r="BF7" s="16">
        <f t="shared" ref="BF7:BF38" si="18">IF(A7&lt;=$BD$43,$AS$43,0)</f>
        <v>220.96774193548387</v>
      </c>
      <c r="BG7" s="16">
        <f>BF7</f>
        <v>220.96774193548387</v>
      </c>
      <c r="BH7" s="17">
        <f t="shared" ref="BH7:BH37" si="19">IF(AX7&lt;&gt;0,1,0)</f>
        <v>1</v>
      </c>
      <c r="BI7" s="16">
        <f>BF7*BH7</f>
        <v>220.96774193548387</v>
      </c>
      <c r="BJ7" s="336">
        <v>329.214</v>
      </c>
      <c r="BK7" s="336">
        <v>9.9999999999999995E-8</v>
      </c>
      <c r="BL7" s="336">
        <v>139.78200000000001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2.58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38.549999999999997</v>
      </c>
      <c r="BZ7" s="336">
        <v>9.9999999999999995E-8</v>
      </c>
      <c r="CA7" s="336">
        <v>45.21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154.85</v>
      </c>
      <c r="CH7" s="336">
        <v>9.9999999999999995E-8</v>
      </c>
      <c r="CI7" s="336">
        <v>155.05000000000001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320.72027880000002</v>
      </c>
      <c r="CQ7" s="22">
        <f t="shared" si="20"/>
        <v>9.99999999E-8</v>
      </c>
      <c r="CR7" s="22">
        <f t="shared" si="20"/>
        <v>139.78199986021801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154.84999984514999</v>
      </c>
      <c r="CX7" s="21">
        <f t="shared" si="21"/>
        <v>9.99999999E-8</v>
      </c>
      <c r="CY7" s="21">
        <f t="shared" si="21"/>
        <v>155.04999984495001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19"/>
      <c r="DI7" s="13"/>
      <c r="DJ7" s="420"/>
    </row>
    <row r="8" spans="1:114" ht="16.5" customHeight="1">
      <c r="A8" s="127">
        <v>2</v>
      </c>
      <c r="B8" s="103">
        <f t="shared" ref="B8:B37" si="24">BJ8+BK8+BL8+BM8+BN8+BO8+BP8</f>
        <v>398.34800000000001</v>
      </c>
      <c r="C8" s="104">
        <f t="shared" si="0"/>
        <v>2.2364611846927813</v>
      </c>
      <c r="D8" s="105">
        <f t="shared" si="1"/>
        <v>389.43910160000001</v>
      </c>
      <c r="E8" s="104">
        <f t="shared" si="2"/>
        <v>40.623272314659545</v>
      </c>
      <c r="F8" s="128">
        <f t="shared" si="3"/>
        <v>1.8604074982085703</v>
      </c>
      <c r="G8" s="106"/>
      <c r="H8" s="107">
        <f t="shared" si="4"/>
        <v>1.2709936540390772</v>
      </c>
      <c r="I8" s="103">
        <f>'[1]сентябрь 20'!AE7</f>
        <v>0</v>
      </c>
      <c r="J8" s="328">
        <f>'[1]март 20'!AA7</f>
        <v>15.044</v>
      </c>
      <c r="K8" s="106"/>
      <c r="L8" s="328">
        <f t="shared" ref="L8:L37" si="25">BL8</f>
        <v>123.38200000000001</v>
      </c>
      <c r="M8" s="103">
        <f t="shared" si="5"/>
        <v>0.58941384416949316</v>
      </c>
      <c r="N8" s="103">
        <f>'[1]июль 20'!AM7</f>
        <v>0</v>
      </c>
      <c r="O8" s="103">
        <f>'[1]март 20'!W7</f>
        <v>0</v>
      </c>
      <c r="P8" s="103">
        <f>'[1]март 20'!S7</f>
        <v>273.80599999999998</v>
      </c>
      <c r="Q8" s="108">
        <f t="shared" si="6"/>
        <v>3.3074512611118712</v>
      </c>
      <c r="R8" s="109">
        <f t="shared" si="7"/>
        <v>264.75000000000006</v>
      </c>
      <c r="S8" s="106">
        <v>18.18</v>
      </c>
      <c r="T8" s="109">
        <f t="shared" si="8"/>
        <v>264.75</v>
      </c>
      <c r="U8" s="110">
        <f t="shared" si="9"/>
        <v>1.2647494386853297</v>
      </c>
      <c r="V8" s="136">
        <v>209.33</v>
      </c>
      <c r="W8" s="130"/>
      <c r="X8" s="131">
        <v>1.51</v>
      </c>
      <c r="Y8" s="112">
        <v>663</v>
      </c>
      <c r="Z8" s="112">
        <v>1245</v>
      </c>
      <c r="AA8" s="132" t="s">
        <v>213</v>
      </c>
      <c r="AB8" s="131">
        <v>76.52</v>
      </c>
      <c r="AC8" s="133">
        <v>139</v>
      </c>
      <c r="AD8" s="134">
        <v>5</v>
      </c>
      <c r="AE8" s="131">
        <v>3.85</v>
      </c>
      <c r="AF8" s="115">
        <f t="shared" si="10"/>
        <v>18.392012611665795</v>
      </c>
      <c r="AG8" s="131">
        <v>110.75</v>
      </c>
      <c r="AH8" s="115">
        <f t="shared" si="11"/>
        <v>529.06893421869779</v>
      </c>
      <c r="AI8" s="131">
        <v>25.66</v>
      </c>
      <c r="AJ8" s="116"/>
      <c r="AK8" s="135">
        <v>9.9700000000000006</v>
      </c>
      <c r="AL8" s="136">
        <v>53.43</v>
      </c>
      <c r="AM8" s="110">
        <f t="shared" si="12"/>
        <v>0.19759615384615387</v>
      </c>
      <c r="AN8" s="137" t="s">
        <v>153</v>
      </c>
      <c r="AO8" s="150">
        <v>9.85</v>
      </c>
      <c r="AP8" s="138">
        <v>7.32</v>
      </c>
      <c r="AQ8" s="131"/>
      <c r="AR8" s="131">
        <v>5.59</v>
      </c>
      <c r="AS8" s="315">
        <v>270.39999999999998</v>
      </c>
      <c r="AT8" s="131">
        <v>2.33</v>
      </c>
      <c r="AU8" s="116"/>
      <c r="AV8" s="131"/>
      <c r="AW8" s="109"/>
      <c r="AX8" s="109">
        <f t="shared" si="13"/>
        <v>209.32999999999998</v>
      </c>
      <c r="AY8" s="115">
        <f t="shared" ref="AY8:AY37" si="26">IF(AB8=0,0,((D8*0.97)*(E8/100)*0.9)/(AB8/100))</f>
        <v>180.49024776059161</v>
      </c>
      <c r="AZ8" s="140">
        <f t="shared" si="14"/>
        <v>4.795786971830986</v>
      </c>
      <c r="BA8" s="141">
        <f t="shared" si="15"/>
        <v>8.3731999999999989</v>
      </c>
      <c r="BB8" s="128">
        <f t="shared" si="16"/>
        <v>1.0124928757502689</v>
      </c>
      <c r="BC8" s="141">
        <f t="shared" si="17"/>
        <v>13.168986971830986</v>
      </c>
      <c r="BD8" s="142">
        <v>0.93200000000000005</v>
      </c>
      <c r="BE8" s="16">
        <f t="shared" ref="BE8:BE37" si="27">BE7+AX8</f>
        <v>421.09000000000003</v>
      </c>
      <c r="BF8" s="16">
        <f t="shared" si="18"/>
        <v>220.96774193548387</v>
      </c>
      <c r="BG8" s="16">
        <f t="shared" ref="BG8:BG37" si="28">BF8+BG7</f>
        <v>441.93548387096774</v>
      </c>
      <c r="BH8" s="17">
        <f t="shared" si="19"/>
        <v>1</v>
      </c>
      <c r="BI8" s="16">
        <f t="shared" ref="BI8:BI37" si="29">BI7+BF8*BH8</f>
        <v>441.93548387096774</v>
      </c>
      <c r="BJ8" s="249">
        <v>274.96600000000001</v>
      </c>
      <c r="BK8" s="195"/>
      <c r="BL8" s="197">
        <v>123.38200000000001</v>
      </c>
      <c r="BM8" s="197"/>
      <c r="BN8" s="230"/>
      <c r="BO8" s="230"/>
      <c r="BP8" s="250"/>
      <c r="BQ8" s="199"/>
      <c r="BR8" s="200">
        <v>3.24</v>
      </c>
      <c r="BS8" s="200"/>
      <c r="BT8" s="200"/>
      <c r="BU8" s="200"/>
      <c r="BV8" s="208"/>
      <c r="BW8" s="208"/>
      <c r="BX8" s="198"/>
      <c r="BY8" s="202">
        <v>38.61</v>
      </c>
      <c r="BZ8" s="200"/>
      <c r="CA8" s="200">
        <v>45.11</v>
      </c>
      <c r="CB8" s="200"/>
      <c r="CC8" s="197"/>
      <c r="CD8" s="197"/>
      <c r="CE8" s="197"/>
      <c r="CF8" s="203"/>
      <c r="CG8" s="204">
        <v>132.05000000000001</v>
      </c>
      <c r="CH8" s="197"/>
      <c r="CI8" s="197">
        <v>132.69999999999999</v>
      </c>
      <c r="CJ8" s="198"/>
      <c r="CK8" s="205"/>
      <c r="CL8" s="206"/>
      <c r="CM8" s="269"/>
      <c r="CN8" s="207"/>
      <c r="CO8" s="284"/>
      <c r="CP8" s="286">
        <f t="shared" si="20"/>
        <v>266.05710160000001</v>
      </c>
      <c r="CQ8" s="24">
        <f t="shared" si="20"/>
        <v>0</v>
      </c>
      <c r="CR8" s="25">
        <f t="shared" si="20"/>
        <v>123.38200000000001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132.05000000000001</v>
      </c>
      <c r="CX8" s="26">
        <f t="shared" si="21"/>
        <v>0</v>
      </c>
      <c r="CY8" s="277">
        <f t="shared" si="21"/>
        <v>132.69999999999999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30">IF(I8=0,0,(DE8*DD8%)/(AB8/100))</f>
        <v>0</v>
      </c>
      <c r="DH8" s="419"/>
      <c r="DJ8" s="420"/>
    </row>
    <row r="9" spans="1:114" ht="16.5" customHeight="1">
      <c r="A9" s="127">
        <v>3</v>
      </c>
      <c r="B9" s="103">
        <f t="shared" si="24"/>
        <v>367.75700000000001</v>
      </c>
      <c r="C9" s="104">
        <f t="shared" si="0"/>
        <v>1.9391096838401443</v>
      </c>
      <c r="D9" s="143">
        <f t="shared" si="1"/>
        <v>360.62578839999998</v>
      </c>
      <c r="E9" s="104">
        <f t="shared" si="2"/>
        <v>40.676036105363053</v>
      </c>
      <c r="F9" s="128">
        <f t="shared" si="3"/>
        <v>2.2074174475117827</v>
      </c>
      <c r="G9" s="106"/>
      <c r="H9" s="107">
        <f t="shared" si="4"/>
        <v>1.493345096406929</v>
      </c>
      <c r="I9" s="103">
        <f>'[1]сентябрь 20'!AE8</f>
        <v>0</v>
      </c>
      <c r="J9" s="328">
        <f>'[1]март 20'!AA8</f>
        <v>13.404</v>
      </c>
      <c r="K9" s="106"/>
      <c r="L9" s="328">
        <f t="shared" si="25"/>
        <v>116.658</v>
      </c>
      <c r="M9" s="103">
        <f t="shared" si="5"/>
        <v>0.71407235110485401</v>
      </c>
      <c r="N9" s="103">
        <f>'[1]июль 20'!AM8</f>
        <v>0</v>
      </c>
      <c r="O9" s="103">
        <f>'[1]март 20'!W8</f>
        <v>0</v>
      </c>
      <c r="P9" s="103">
        <f>'[1]март 20'!S8</f>
        <v>247.33099999999999</v>
      </c>
      <c r="Q9" s="108">
        <f t="shared" si="6"/>
        <v>3.0570369262243768</v>
      </c>
      <c r="R9" s="109">
        <f t="shared" si="7"/>
        <v>239.77</v>
      </c>
      <c r="S9" s="106">
        <v>13.25</v>
      </c>
      <c r="T9" s="109">
        <f t="shared" si="8"/>
        <v>239.76999999999998</v>
      </c>
      <c r="U9" s="110">
        <f t="shared" si="9"/>
        <v>1.4676501193609599</v>
      </c>
      <c r="V9" s="136">
        <v>163.37</v>
      </c>
      <c r="W9" s="130"/>
      <c r="X9" s="131">
        <v>1.55</v>
      </c>
      <c r="Y9" s="112">
        <v>648</v>
      </c>
      <c r="Z9" s="112">
        <v>1243</v>
      </c>
      <c r="AA9" s="144" t="s">
        <v>214</v>
      </c>
      <c r="AB9" s="131">
        <v>76.02</v>
      </c>
      <c r="AC9" s="133">
        <v>129</v>
      </c>
      <c r="AD9" s="134">
        <v>5</v>
      </c>
      <c r="AE9" s="131">
        <v>6.45</v>
      </c>
      <c r="AF9" s="115">
        <f t="shared" si="10"/>
        <v>39.480932851808781</v>
      </c>
      <c r="AG9" s="131">
        <v>103.4</v>
      </c>
      <c r="AH9" s="115">
        <f t="shared" si="11"/>
        <v>632.91914060108957</v>
      </c>
      <c r="AI9" s="131">
        <v>24.35</v>
      </c>
      <c r="AJ9" s="116"/>
      <c r="AK9" s="135">
        <v>11.09</v>
      </c>
      <c r="AL9" s="136">
        <v>53.75</v>
      </c>
      <c r="AM9" s="110">
        <f t="shared" si="12"/>
        <v>0.23798981624972326</v>
      </c>
      <c r="AN9" s="137" t="s">
        <v>215</v>
      </c>
      <c r="AO9" s="150">
        <v>8.4600000000000009</v>
      </c>
      <c r="AP9" s="131">
        <v>7.35</v>
      </c>
      <c r="AQ9" s="131"/>
      <c r="AR9" s="131">
        <v>8.1999999999999993</v>
      </c>
      <c r="AS9" s="315">
        <v>225.85</v>
      </c>
      <c r="AT9" s="131">
        <v>2.36</v>
      </c>
      <c r="AU9" s="116"/>
      <c r="AV9" s="131"/>
      <c r="AW9" s="109"/>
      <c r="AX9" s="109">
        <f t="shared" si="13"/>
        <v>163.37</v>
      </c>
      <c r="AY9" s="115">
        <f t="shared" si="26"/>
        <v>168.45417634331784</v>
      </c>
      <c r="AZ9" s="140">
        <f t="shared" si="14"/>
        <v>6.5680845070422533</v>
      </c>
      <c r="BA9" s="141">
        <f t="shared" si="15"/>
        <v>6.5348000000000006</v>
      </c>
      <c r="BB9" s="128">
        <f t="shared" si="16"/>
        <v>0.84665167166487687</v>
      </c>
      <c r="BC9" s="141">
        <f t="shared" si="17"/>
        <v>13.102884507042255</v>
      </c>
      <c r="BD9" s="142">
        <v>0.90700000000000003</v>
      </c>
      <c r="BE9" s="16">
        <f t="shared" si="27"/>
        <v>584.46</v>
      </c>
      <c r="BF9" s="16">
        <f t="shared" si="18"/>
        <v>220.96774193548387</v>
      </c>
      <c r="BG9" s="16">
        <f t="shared" si="28"/>
        <v>662.90322580645159</v>
      </c>
      <c r="BH9" s="17">
        <f t="shared" si="19"/>
        <v>1</v>
      </c>
      <c r="BI9" s="16">
        <f t="shared" si="29"/>
        <v>662.90322580645159</v>
      </c>
      <c r="BJ9" s="249">
        <v>251.09899999999999</v>
      </c>
      <c r="BK9" s="195"/>
      <c r="BL9" s="197">
        <v>116.658</v>
      </c>
      <c r="BM9" s="197"/>
      <c r="BN9" s="230"/>
      <c r="BO9" s="230"/>
      <c r="BP9" s="250"/>
      <c r="BQ9" s="199"/>
      <c r="BR9" s="200">
        <v>2.84</v>
      </c>
      <c r="BS9" s="200"/>
      <c r="BT9" s="200"/>
      <c r="BU9" s="200"/>
      <c r="BV9" s="208"/>
      <c r="BW9" s="208"/>
      <c r="BX9" s="201"/>
      <c r="BY9" s="202">
        <v>38.630000000000003</v>
      </c>
      <c r="BZ9" s="200"/>
      <c r="CA9" s="200">
        <v>45.08</v>
      </c>
      <c r="CB9" s="200"/>
      <c r="CC9" s="200"/>
      <c r="CD9" s="200"/>
      <c r="CE9" s="200"/>
      <c r="CF9" s="203"/>
      <c r="CG9" s="204">
        <v>122.55</v>
      </c>
      <c r="CH9" s="197"/>
      <c r="CI9" s="197">
        <v>117.22</v>
      </c>
      <c r="CJ9" s="198"/>
      <c r="CK9" s="202"/>
      <c r="CL9" s="208"/>
      <c r="CM9" s="208"/>
      <c r="CN9" s="201"/>
      <c r="CO9" s="284"/>
      <c r="CP9" s="286">
        <f t="shared" si="20"/>
        <v>243.96778839999999</v>
      </c>
      <c r="CQ9" s="27">
        <f t="shared" si="20"/>
        <v>0</v>
      </c>
      <c r="CR9" s="28">
        <f t="shared" si="20"/>
        <v>116.658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122.55</v>
      </c>
      <c r="CX9" s="26">
        <f t="shared" si="21"/>
        <v>0</v>
      </c>
      <c r="CY9" s="277">
        <f t="shared" si="21"/>
        <v>117.22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30"/>
        <v>0</v>
      </c>
      <c r="DH9" s="419"/>
      <c r="DJ9" s="420"/>
    </row>
    <row r="10" spans="1:114" ht="16.5" customHeight="1">
      <c r="A10" s="127">
        <v>4</v>
      </c>
      <c r="B10" s="103">
        <f t="shared" si="24"/>
        <v>209.80900000000003</v>
      </c>
      <c r="C10" s="104">
        <f t="shared" si="0"/>
        <v>2.1493914941685057</v>
      </c>
      <c r="D10" s="143">
        <f t="shared" si="1"/>
        <v>205.29938320000002</v>
      </c>
      <c r="E10" s="104">
        <f t="shared" si="2"/>
        <v>41.022332121119689</v>
      </c>
      <c r="F10" s="128">
        <f t="shared" si="3"/>
        <v>2.0577266031873314</v>
      </c>
      <c r="G10" s="106"/>
      <c r="H10" s="107">
        <f t="shared" si="4"/>
        <v>1.1941203087100332</v>
      </c>
      <c r="I10" s="103">
        <f>'[1]сентябрь 20'!AE9</f>
        <v>0</v>
      </c>
      <c r="J10" s="328">
        <f>'[1]март 20'!AA9</f>
        <v>4.5430000000000001</v>
      </c>
      <c r="K10" s="106"/>
      <c r="L10" s="328">
        <f t="shared" si="25"/>
        <v>86.162000000000006</v>
      </c>
      <c r="M10" s="103">
        <f t="shared" si="5"/>
        <v>0.86360629447729786</v>
      </c>
      <c r="N10" s="103">
        <f>'[1]июль 20'!AM9</f>
        <v>0</v>
      </c>
      <c r="O10" s="103">
        <f>'[1]март 20'!W9</f>
        <v>0</v>
      </c>
      <c r="P10" s="103">
        <f>'[1]март 20'!S9</f>
        <v>148.733</v>
      </c>
      <c r="Q10" s="108">
        <f t="shared" si="6"/>
        <v>3.4040865174507218</v>
      </c>
      <c r="R10" s="109">
        <f t="shared" si="7"/>
        <v>143.67000000000002</v>
      </c>
      <c r="S10" s="106">
        <v>18.11</v>
      </c>
      <c r="T10" s="109">
        <f t="shared" si="8"/>
        <v>143.67000000000002</v>
      </c>
      <c r="U10" s="110">
        <f t="shared" si="9"/>
        <v>1.4400120276636266</v>
      </c>
      <c r="V10" s="136">
        <v>99.77</v>
      </c>
      <c r="W10" s="130">
        <v>69.53</v>
      </c>
      <c r="X10" s="131">
        <v>0.99</v>
      </c>
      <c r="Y10" s="112">
        <v>553</v>
      </c>
      <c r="Z10" s="112">
        <v>1172</v>
      </c>
      <c r="AA10" s="144" t="s">
        <v>216</v>
      </c>
      <c r="AB10" s="131">
        <v>76.66</v>
      </c>
      <c r="AC10" s="133">
        <v>77</v>
      </c>
      <c r="AD10" s="134">
        <v>3</v>
      </c>
      <c r="AE10" s="131"/>
      <c r="AF10" s="115">
        <f t="shared" si="10"/>
        <v>0</v>
      </c>
      <c r="AG10" s="131">
        <v>60.85</v>
      </c>
      <c r="AH10" s="115">
        <f t="shared" si="11"/>
        <v>609.90277638568716</v>
      </c>
      <c r="AI10" s="131">
        <v>16.39</v>
      </c>
      <c r="AJ10" s="116"/>
      <c r="AK10" s="135">
        <v>8.02</v>
      </c>
      <c r="AL10" s="136">
        <v>30.35</v>
      </c>
      <c r="AM10" s="110">
        <f t="shared" si="12"/>
        <v>0.22406792174234039</v>
      </c>
      <c r="AN10" s="137" t="s">
        <v>159</v>
      </c>
      <c r="AO10" s="150">
        <v>8.6199999999999992</v>
      </c>
      <c r="AP10" s="138">
        <v>7.17</v>
      </c>
      <c r="AQ10" s="131"/>
      <c r="AR10" s="131">
        <v>9.65</v>
      </c>
      <c r="AS10" s="315">
        <v>135.44999999999999</v>
      </c>
      <c r="AT10" s="131">
        <v>2.69</v>
      </c>
      <c r="AU10" s="116"/>
      <c r="AV10" s="131"/>
      <c r="AW10" s="109"/>
      <c r="AX10" s="109">
        <f t="shared" si="13"/>
        <v>99.77</v>
      </c>
      <c r="AY10" s="115">
        <f>IF(AB10=0,0,((D10*0.97)*(E10/100)*0.9)/(AB10/100))</f>
        <v>95.907687551411556</v>
      </c>
      <c r="AZ10" s="140">
        <f t="shared" si="14"/>
        <v>4.5487517605633796</v>
      </c>
      <c r="BA10" s="141">
        <f t="shared" si="15"/>
        <v>3.9908000000000001</v>
      </c>
      <c r="BB10" s="128">
        <f t="shared" si="16"/>
        <v>0.90815671010011823</v>
      </c>
      <c r="BC10" s="141">
        <f t="shared" si="17"/>
        <v>8.5395517605633806</v>
      </c>
      <c r="BD10" s="142">
        <v>0.90700000000000003</v>
      </c>
      <c r="BE10" s="16">
        <f t="shared" si="27"/>
        <v>684.23</v>
      </c>
      <c r="BF10" s="16">
        <f t="shared" si="18"/>
        <v>220.96774193548387</v>
      </c>
      <c r="BG10" s="16">
        <f t="shared" si="28"/>
        <v>883.87096774193549</v>
      </c>
      <c r="BH10" s="17">
        <f t="shared" si="19"/>
        <v>1</v>
      </c>
      <c r="BI10" s="16">
        <f t="shared" si="29"/>
        <v>883.87096774193549</v>
      </c>
      <c r="BJ10" s="249">
        <v>114.78100000000001</v>
      </c>
      <c r="BK10" s="195"/>
      <c r="BL10" s="197">
        <v>86.162000000000006</v>
      </c>
      <c r="BM10" s="195"/>
      <c r="BN10" s="195"/>
      <c r="BO10" s="230"/>
      <c r="BP10" s="250">
        <v>8.8659999999999997</v>
      </c>
      <c r="BQ10" s="199"/>
      <c r="BR10" s="200">
        <v>3.64</v>
      </c>
      <c r="BS10" s="200"/>
      <c r="BT10" s="200"/>
      <c r="BU10" s="200"/>
      <c r="BV10" s="208"/>
      <c r="BW10" s="208"/>
      <c r="BX10" s="201">
        <v>3.74</v>
      </c>
      <c r="BY10" s="202">
        <v>38.22</v>
      </c>
      <c r="BZ10" s="200"/>
      <c r="CA10" s="200">
        <v>45.05</v>
      </c>
      <c r="CB10" s="200"/>
      <c r="CC10" s="200"/>
      <c r="CD10" s="200"/>
      <c r="CE10" s="200">
        <v>38.159999999999997</v>
      </c>
      <c r="CF10" s="203"/>
      <c r="CG10" s="204">
        <v>72.2</v>
      </c>
      <c r="CH10" s="197"/>
      <c r="CI10" s="197">
        <v>71.47</v>
      </c>
      <c r="CJ10" s="198"/>
      <c r="CK10" s="202"/>
      <c r="CL10" s="208"/>
      <c r="CM10" s="208"/>
      <c r="CN10" s="201"/>
      <c r="CO10" s="284"/>
      <c r="CP10" s="286">
        <f t="shared" si="20"/>
        <v>110.6029716</v>
      </c>
      <c r="CQ10" s="29">
        <f t="shared" si="20"/>
        <v>0</v>
      </c>
      <c r="CR10" s="30">
        <f t="shared" si="20"/>
        <v>86.162000000000006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8.5344116000000003</v>
      </c>
      <c r="CW10" s="237">
        <f t="shared" si="21"/>
        <v>72.2</v>
      </c>
      <c r="CX10" s="26">
        <f t="shared" si="21"/>
        <v>0</v>
      </c>
      <c r="CY10" s="277">
        <f t="shared" si="21"/>
        <v>71.47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30"/>
        <v>0</v>
      </c>
      <c r="DH10" s="419"/>
      <c r="DJ10" s="420"/>
    </row>
    <row r="11" spans="1:114" ht="16.5" customHeight="1">
      <c r="A11" s="127">
        <v>5</v>
      </c>
      <c r="B11" s="103">
        <f t="shared" si="24"/>
        <v>319.81</v>
      </c>
      <c r="C11" s="104">
        <f t="shared" si="0"/>
        <v>1.8717125480754198</v>
      </c>
      <c r="D11" s="143">
        <f t="shared" si="1"/>
        <v>313.82407610000001</v>
      </c>
      <c r="E11" s="104">
        <f t="shared" si="2"/>
        <v>40.726524405115534</v>
      </c>
      <c r="F11" s="128">
        <f t="shared" si="3"/>
        <v>2.1001410432978651</v>
      </c>
      <c r="G11" s="106"/>
      <c r="H11" s="107">
        <f>IF(AX11=0,0,(CV11+CS11+CU11+CP11+CT11)/AX11)</f>
        <v>1.275333441076089</v>
      </c>
      <c r="I11" s="103">
        <f>'[1]сентябрь 20'!AE10</f>
        <v>0</v>
      </c>
      <c r="J11" s="328">
        <f>'[1]март 20'!AA10</f>
        <v>3.0179999999999998</v>
      </c>
      <c r="K11" s="106"/>
      <c r="L11" s="328">
        <f t="shared" si="25"/>
        <v>123.251</v>
      </c>
      <c r="M11" s="103">
        <f t="shared" si="5"/>
        <v>0.82480760222177607</v>
      </c>
      <c r="N11" s="103">
        <f>'[1]июль 20'!AM10</f>
        <v>0</v>
      </c>
      <c r="O11" s="103">
        <f>'[1]март 20'!W10</f>
        <v>0</v>
      </c>
      <c r="P11" s="103">
        <f>'[1]март 20'!S10</f>
        <v>217.554</v>
      </c>
      <c r="Q11" s="108">
        <f t="shared" si="6"/>
        <v>3.1904722505676775</v>
      </c>
      <c r="R11" s="109">
        <f t="shared" si="7"/>
        <v>210.613</v>
      </c>
      <c r="S11" s="106">
        <v>2.72</v>
      </c>
      <c r="T11" s="109">
        <f t="shared" si="8"/>
        <v>210.613</v>
      </c>
      <c r="U11" s="110">
        <f t="shared" si="9"/>
        <v>1.4094425483503981</v>
      </c>
      <c r="V11" s="136">
        <v>149.43</v>
      </c>
      <c r="W11" s="130">
        <v>149.43</v>
      </c>
      <c r="X11" s="131">
        <v>0.46</v>
      </c>
      <c r="Y11" s="112">
        <v>561</v>
      </c>
      <c r="Z11" s="112">
        <v>1160</v>
      </c>
      <c r="AA11" s="144" t="s">
        <v>142</v>
      </c>
      <c r="AB11" s="131">
        <v>76.39</v>
      </c>
      <c r="AC11" s="133">
        <v>113</v>
      </c>
      <c r="AD11" s="134">
        <v>4</v>
      </c>
      <c r="AE11" s="131">
        <v>4.9000000000000004</v>
      </c>
      <c r="AF11" s="115">
        <f t="shared" si="10"/>
        <v>32.791273505989423</v>
      </c>
      <c r="AG11" s="131">
        <v>88.7</v>
      </c>
      <c r="AH11" s="115">
        <f t="shared" si="11"/>
        <v>593.58897142474734</v>
      </c>
      <c r="AI11" s="131">
        <v>24.75</v>
      </c>
      <c r="AJ11" s="116"/>
      <c r="AK11" s="135">
        <v>6.92</v>
      </c>
      <c r="AL11" s="136">
        <v>46.89</v>
      </c>
      <c r="AM11" s="110">
        <f t="shared" si="12"/>
        <v>0.23398203592814371</v>
      </c>
      <c r="AN11" s="137" t="s">
        <v>117</v>
      </c>
      <c r="AO11" s="150">
        <v>8.6999999999999993</v>
      </c>
      <c r="AP11" s="138">
        <v>7.03</v>
      </c>
      <c r="AQ11" s="131"/>
      <c r="AR11" s="131">
        <v>11</v>
      </c>
      <c r="AS11" s="315">
        <v>200.4</v>
      </c>
      <c r="AT11" s="131">
        <v>2.84</v>
      </c>
      <c r="AU11" s="145"/>
      <c r="AV11" s="131"/>
      <c r="AW11" s="109"/>
      <c r="AX11" s="109">
        <f t="shared" si="13"/>
        <v>149.43</v>
      </c>
      <c r="AY11" s="115">
        <f t="shared" si="26"/>
        <v>146.063378447914</v>
      </c>
      <c r="AZ11" s="140">
        <f t="shared" si="14"/>
        <v>7.5582394366197176</v>
      </c>
      <c r="BA11" s="141">
        <f t="shared" si="15"/>
        <v>5.9772000000000007</v>
      </c>
      <c r="BB11" s="128">
        <f t="shared" si="16"/>
        <v>0.89312181729740803</v>
      </c>
      <c r="BC11" s="141">
        <f t="shared" si="17"/>
        <v>13.535439436619718</v>
      </c>
      <c r="BD11" s="142">
        <v>0.90400000000000003</v>
      </c>
      <c r="BE11" s="16">
        <f t="shared" si="27"/>
        <v>833.66000000000008</v>
      </c>
      <c r="BF11" s="16">
        <f t="shared" si="18"/>
        <v>220.96774193548387</v>
      </c>
      <c r="BG11" s="16">
        <f t="shared" si="28"/>
        <v>1104.8387096774193</v>
      </c>
      <c r="BH11" s="17">
        <f t="shared" si="19"/>
        <v>1</v>
      </c>
      <c r="BI11" s="16">
        <f t="shared" si="29"/>
        <v>1104.8387096774193</v>
      </c>
      <c r="BJ11" s="249">
        <v>173.83</v>
      </c>
      <c r="BK11" s="195"/>
      <c r="BL11" s="197">
        <v>123.251</v>
      </c>
      <c r="BM11" s="197"/>
      <c r="BN11" s="230"/>
      <c r="BO11" s="230"/>
      <c r="BP11" s="250">
        <v>22.728999999999999</v>
      </c>
      <c r="BQ11" s="199"/>
      <c r="BR11" s="200">
        <v>2.88</v>
      </c>
      <c r="BS11" s="200"/>
      <c r="BT11" s="200"/>
      <c r="BU11" s="200"/>
      <c r="BV11" s="208"/>
      <c r="BW11" s="208"/>
      <c r="BX11" s="201">
        <v>4.3099999999999996</v>
      </c>
      <c r="BY11" s="202">
        <v>38.229999999999997</v>
      </c>
      <c r="BZ11" s="200"/>
      <c r="CA11" s="200">
        <v>44.66</v>
      </c>
      <c r="CB11" s="200"/>
      <c r="CC11" s="200"/>
      <c r="CD11" s="200"/>
      <c r="CE11" s="200">
        <v>38.49</v>
      </c>
      <c r="CF11" s="203"/>
      <c r="CG11" s="204">
        <v>107.35</v>
      </c>
      <c r="CH11" s="197"/>
      <c r="CI11" s="230">
        <v>103.26300000000001</v>
      </c>
      <c r="CJ11" s="198"/>
      <c r="CK11" s="202"/>
      <c r="CL11" s="208"/>
      <c r="CM11" s="208"/>
      <c r="CN11" s="201"/>
      <c r="CO11" s="284"/>
      <c r="CP11" s="286">
        <f t="shared" si="20"/>
        <v>168.82369600000001</v>
      </c>
      <c r="CQ11" s="24">
        <f t="shared" si="20"/>
        <v>0</v>
      </c>
      <c r="CR11" s="25">
        <f t="shared" si="20"/>
        <v>123.251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21.7493801</v>
      </c>
      <c r="CW11" s="237">
        <f t="shared" si="21"/>
        <v>107.35</v>
      </c>
      <c r="CX11" s="26">
        <f t="shared" si="21"/>
        <v>0</v>
      </c>
      <c r="CY11" s="277">
        <f t="shared" si="21"/>
        <v>103.26300000000001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30"/>
        <v>0</v>
      </c>
      <c r="DH11" s="419"/>
      <c r="DJ11" s="420"/>
    </row>
    <row r="12" spans="1:114" ht="16.5" customHeight="1">
      <c r="A12" s="127">
        <v>6</v>
      </c>
      <c r="B12" s="103">
        <f t="shared" si="24"/>
        <v>461.899</v>
      </c>
      <c r="C12" s="104">
        <f t="shared" si="0"/>
        <v>1.2212278874818954</v>
      </c>
      <c r="D12" s="143">
        <f t="shared" si="1"/>
        <v>456.2581606</v>
      </c>
      <c r="E12" s="104">
        <f t="shared" si="2"/>
        <v>40.930148603915576</v>
      </c>
      <c r="F12" s="128">
        <f t="shared" si="3"/>
        <v>1.9396257305615781</v>
      </c>
      <c r="G12" s="106"/>
      <c r="H12" s="107">
        <f t="shared" si="4"/>
        <v>1.2492928648556734</v>
      </c>
      <c r="I12" s="103">
        <f>'[1]сентябрь 20'!AE11</f>
        <v>0</v>
      </c>
      <c r="J12" s="328">
        <f>'[1]март 20'!AA11</f>
        <v>4.649</v>
      </c>
      <c r="K12" s="106"/>
      <c r="L12" s="328">
        <f t="shared" si="25"/>
        <v>162.387</v>
      </c>
      <c r="M12" s="103">
        <f t="shared" si="5"/>
        <v>0.69033286570590491</v>
      </c>
      <c r="N12" s="103">
        <f>'[1]июль 20'!AM11</f>
        <v>0</v>
      </c>
      <c r="O12" s="103">
        <f>'[1]март 20'!W11</f>
        <v>0</v>
      </c>
      <c r="P12" s="103">
        <f>'[1]март 20'!S11</f>
        <v>309.33300000000003</v>
      </c>
      <c r="Q12" s="108">
        <f t="shared" si="6"/>
        <v>3.0623955413745074</v>
      </c>
      <c r="R12" s="109">
        <f t="shared" si="7"/>
        <v>299.86</v>
      </c>
      <c r="S12" s="106">
        <v>25.93</v>
      </c>
      <c r="T12" s="109">
        <f t="shared" si="8"/>
        <v>299.86</v>
      </c>
      <c r="U12" s="110">
        <f t="shared" si="9"/>
        <v>1.2747523700208307</v>
      </c>
      <c r="V12" s="136">
        <v>235.23</v>
      </c>
      <c r="W12" s="130">
        <v>235.23</v>
      </c>
      <c r="X12" s="131">
        <v>0.75</v>
      </c>
      <c r="Y12" s="112">
        <v>636</v>
      </c>
      <c r="Z12" s="133">
        <v>1213</v>
      </c>
      <c r="AA12" s="144" t="s">
        <v>217</v>
      </c>
      <c r="AB12" s="131">
        <v>76.09</v>
      </c>
      <c r="AC12" s="133">
        <v>160</v>
      </c>
      <c r="AD12" s="134">
        <v>5</v>
      </c>
      <c r="AE12" s="131">
        <v>2.1</v>
      </c>
      <c r="AF12" s="115">
        <f t="shared" si="10"/>
        <v>8.9274327254176757</v>
      </c>
      <c r="AG12" s="131">
        <v>116.55</v>
      </c>
      <c r="AH12" s="115">
        <f t="shared" si="11"/>
        <v>495.47251626068106</v>
      </c>
      <c r="AI12" s="131">
        <v>27.14</v>
      </c>
      <c r="AJ12" s="116"/>
      <c r="AK12" s="135">
        <v>9.08</v>
      </c>
      <c r="AL12" s="136">
        <v>53.83</v>
      </c>
      <c r="AM12" s="110">
        <f t="shared" si="12"/>
        <v>0.18204261075414271</v>
      </c>
      <c r="AN12" s="137" t="s">
        <v>218</v>
      </c>
      <c r="AO12" s="150">
        <v>10.69</v>
      </c>
      <c r="AP12" s="138">
        <v>6.78</v>
      </c>
      <c r="AQ12" s="131"/>
      <c r="AR12" s="131">
        <v>6.74</v>
      </c>
      <c r="AS12" s="315">
        <v>295.7</v>
      </c>
      <c r="AT12" s="131">
        <v>2.44</v>
      </c>
      <c r="AU12" s="116"/>
      <c r="AV12" s="131"/>
      <c r="AW12" s="109"/>
      <c r="AX12" s="109">
        <f t="shared" si="13"/>
        <v>235.23</v>
      </c>
      <c r="AY12" s="115">
        <f t="shared" si="26"/>
        <v>214.25976602823721</v>
      </c>
      <c r="AZ12" s="140">
        <f t="shared" si="14"/>
        <v>6.0852232394366199</v>
      </c>
      <c r="BA12" s="141">
        <f t="shared" si="15"/>
        <v>9.4092000000000002</v>
      </c>
      <c r="BB12" s="128">
        <f t="shared" si="16"/>
        <v>0.95844307966310505</v>
      </c>
      <c r="BC12" s="141">
        <f t="shared" si="17"/>
        <v>15.494423239436621</v>
      </c>
      <c r="BD12" s="142">
        <v>0.91600000000000004</v>
      </c>
      <c r="BE12" s="16">
        <f t="shared" si="27"/>
        <v>1068.8900000000001</v>
      </c>
      <c r="BF12" s="16">
        <f t="shared" si="18"/>
        <v>220.96774193548387</v>
      </c>
      <c r="BG12" s="16">
        <f t="shared" si="28"/>
        <v>1325.8064516129032</v>
      </c>
      <c r="BH12" s="17">
        <f t="shared" si="19"/>
        <v>1</v>
      </c>
      <c r="BI12" s="16">
        <f t="shared" si="29"/>
        <v>1325.8064516129032</v>
      </c>
      <c r="BJ12" s="249">
        <v>267.50900000000001</v>
      </c>
      <c r="BK12" s="195"/>
      <c r="BL12" s="271">
        <v>162.387</v>
      </c>
      <c r="BM12" s="197"/>
      <c r="BN12" s="230"/>
      <c r="BO12" s="230"/>
      <c r="BP12" s="250">
        <v>32.003</v>
      </c>
      <c r="BQ12" s="199"/>
      <c r="BR12" s="200">
        <v>1.8</v>
      </c>
      <c r="BS12" s="200"/>
      <c r="BT12" s="200"/>
      <c r="BU12" s="200"/>
      <c r="BV12" s="208"/>
      <c r="BW12" s="208"/>
      <c r="BX12" s="201">
        <v>2.58</v>
      </c>
      <c r="BY12" s="202">
        <v>38.57</v>
      </c>
      <c r="BZ12" s="200"/>
      <c r="CA12" s="200">
        <v>45.37</v>
      </c>
      <c r="CB12" s="200"/>
      <c r="CC12" s="200"/>
      <c r="CD12" s="200"/>
      <c r="CE12" s="200">
        <v>38.130000000000003</v>
      </c>
      <c r="CF12" s="203"/>
      <c r="CG12" s="204">
        <v>152</v>
      </c>
      <c r="CH12" s="197"/>
      <c r="CI12" s="230">
        <v>147.86000000000001</v>
      </c>
      <c r="CJ12" s="198"/>
      <c r="CK12" s="202"/>
      <c r="CL12" s="202"/>
      <c r="CM12" s="270"/>
      <c r="CN12" s="201"/>
      <c r="CO12" s="284"/>
      <c r="CP12" s="286">
        <f t="shared" si="20"/>
        <v>262.69383800000003</v>
      </c>
      <c r="CQ12" s="24">
        <f t="shared" si="20"/>
        <v>0</v>
      </c>
      <c r="CR12" s="25">
        <f t="shared" si="20"/>
        <v>162.387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31.177322600000004</v>
      </c>
      <c r="CW12" s="237">
        <f t="shared" si="21"/>
        <v>152</v>
      </c>
      <c r="CX12" s="26">
        <f t="shared" si="21"/>
        <v>0</v>
      </c>
      <c r="CY12" s="277">
        <f t="shared" si="21"/>
        <v>147.86000000000001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30"/>
        <v>0</v>
      </c>
      <c r="DH12" s="419"/>
      <c r="DJ12" s="420"/>
    </row>
    <row r="13" spans="1:114" ht="16.5" customHeight="1">
      <c r="A13" s="127">
        <v>7</v>
      </c>
      <c r="B13" s="103">
        <f t="shared" si="24"/>
        <v>485.84299999999996</v>
      </c>
      <c r="C13" s="104">
        <f t="shared" si="0"/>
        <v>1.705236732854029</v>
      </c>
      <c r="D13" s="143">
        <f t="shared" si="1"/>
        <v>477.55822669999992</v>
      </c>
      <c r="E13" s="104">
        <f t="shared" si="2"/>
        <v>40.642677634544498</v>
      </c>
      <c r="F13" s="128">
        <f t="shared" si="3"/>
        <v>2.0755279529749227</v>
      </c>
      <c r="G13" s="106"/>
      <c r="H13" s="107">
        <f t="shared" si="4"/>
        <v>1.3734678895214913</v>
      </c>
      <c r="I13" s="103">
        <f>'[1]сентябрь 20'!AE12</f>
        <v>0</v>
      </c>
      <c r="J13" s="328">
        <f>'[1]март 20'!AA12</f>
        <v>5.1710000000000003</v>
      </c>
      <c r="K13" s="106"/>
      <c r="L13" s="328">
        <f t="shared" si="25"/>
        <v>161.53700000000001</v>
      </c>
      <c r="M13" s="103">
        <f t="shared" si="5"/>
        <v>0.7020600634534313</v>
      </c>
      <c r="N13" s="103">
        <f>'[1]июль 20'!AM12</f>
        <v>0</v>
      </c>
      <c r="O13" s="103">
        <f>'[1]март 20'!W12</f>
        <v>0</v>
      </c>
      <c r="P13" s="103">
        <f>'[1]март 20'!S12</f>
        <v>318.33999999999997</v>
      </c>
      <c r="Q13" s="108">
        <f t="shared" si="6"/>
        <v>2.8051768549349765</v>
      </c>
      <c r="R13" s="109">
        <f t="shared" si="7"/>
        <v>309.41000000000003</v>
      </c>
      <c r="S13" s="106"/>
      <c r="T13" s="109">
        <f t="shared" si="8"/>
        <v>309.40999999999997</v>
      </c>
      <c r="U13" s="110">
        <f t="shared" si="9"/>
        <v>1.3447346690425486</v>
      </c>
      <c r="V13" s="136">
        <v>230.09</v>
      </c>
      <c r="W13" s="130">
        <v>49.55</v>
      </c>
      <c r="X13" s="131">
        <v>1.41</v>
      </c>
      <c r="Y13" s="146">
        <v>610</v>
      </c>
      <c r="Z13" s="147">
        <v>1243</v>
      </c>
      <c r="AA13" s="144" t="s">
        <v>219</v>
      </c>
      <c r="AB13" s="131">
        <v>75.37</v>
      </c>
      <c r="AC13" s="133">
        <v>168</v>
      </c>
      <c r="AD13" s="134">
        <v>5</v>
      </c>
      <c r="AE13" s="131">
        <v>3.3</v>
      </c>
      <c r="AF13" s="115">
        <f t="shared" si="10"/>
        <v>14.342213916293623</v>
      </c>
      <c r="AG13" s="131">
        <v>99.2</v>
      </c>
      <c r="AH13" s="115">
        <f t="shared" si="11"/>
        <v>431.13564257464469</v>
      </c>
      <c r="AI13" s="131">
        <v>25.92</v>
      </c>
      <c r="AJ13" s="116"/>
      <c r="AK13" s="135">
        <v>15.02</v>
      </c>
      <c r="AL13" s="136">
        <v>53.84</v>
      </c>
      <c r="AM13" s="110">
        <f t="shared" si="12"/>
        <v>0.18137106282634327</v>
      </c>
      <c r="AN13" s="137" t="s">
        <v>220</v>
      </c>
      <c r="AO13" s="150">
        <v>10.82</v>
      </c>
      <c r="AP13" s="138">
        <v>6.43</v>
      </c>
      <c r="AQ13" s="131"/>
      <c r="AR13" s="131">
        <v>5.4</v>
      </c>
      <c r="AS13" s="315">
        <v>296.85000000000002</v>
      </c>
      <c r="AT13" s="131">
        <v>2.1</v>
      </c>
      <c r="AU13" s="148"/>
      <c r="AV13" s="149"/>
      <c r="AW13" s="109"/>
      <c r="AX13" s="109">
        <f t="shared" si="13"/>
        <v>230.09</v>
      </c>
      <c r="AY13" s="115">
        <f t="shared" si="26"/>
        <v>224.81452749021133</v>
      </c>
      <c r="AZ13" s="140">
        <f t="shared" si="14"/>
        <v>4.1496338028169015</v>
      </c>
      <c r="BA13" s="141">
        <f t="shared" si="15"/>
        <v>9.2035999999999998</v>
      </c>
      <c r="BB13" s="128">
        <f t="shared" si="16"/>
        <v>0.89348572017324823</v>
      </c>
      <c r="BC13" s="141">
        <f t="shared" si="17"/>
        <v>13.353233802816902</v>
      </c>
      <c r="BD13" s="142">
        <v>0.91200000000000003</v>
      </c>
      <c r="BE13" s="16">
        <f t="shared" si="27"/>
        <v>1298.98</v>
      </c>
      <c r="BF13" s="16">
        <f t="shared" si="18"/>
        <v>220.96774193548387</v>
      </c>
      <c r="BG13" s="16">
        <f t="shared" si="28"/>
        <v>1546.7741935483871</v>
      </c>
      <c r="BH13" s="17">
        <f t="shared" si="19"/>
        <v>1</v>
      </c>
      <c r="BI13" s="16">
        <f t="shared" si="29"/>
        <v>1546.7741935483871</v>
      </c>
      <c r="BJ13" s="249">
        <v>291.14699999999999</v>
      </c>
      <c r="BK13" s="195"/>
      <c r="BL13" s="266">
        <v>161.53700000000001</v>
      </c>
      <c r="BM13" s="196"/>
      <c r="BN13" s="313"/>
      <c r="BO13" s="230"/>
      <c r="BP13" s="250">
        <v>33.158999999999999</v>
      </c>
      <c r="BQ13" s="199"/>
      <c r="BR13" s="200">
        <v>2.39</v>
      </c>
      <c r="BS13" s="200"/>
      <c r="BT13" s="200"/>
      <c r="BU13" s="200"/>
      <c r="BV13" s="208"/>
      <c r="BW13" s="208"/>
      <c r="BX13" s="201">
        <v>4</v>
      </c>
      <c r="BY13" s="202">
        <v>38.75</v>
      </c>
      <c r="BZ13" s="200"/>
      <c r="CA13" s="202">
        <v>44.58</v>
      </c>
      <c r="CB13" s="200"/>
      <c r="CC13" s="200"/>
      <c r="CD13" s="200"/>
      <c r="CE13" s="200">
        <v>38.08</v>
      </c>
      <c r="CF13" s="203"/>
      <c r="CG13" s="204">
        <v>159.6</v>
      </c>
      <c r="CH13" s="197"/>
      <c r="CI13" s="264">
        <v>149.81</v>
      </c>
      <c r="CJ13" s="265"/>
      <c r="CK13" s="202"/>
      <c r="CL13" s="202"/>
      <c r="CM13" s="270"/>
      <c r="CN13" s="201"/>
      <c r="CO13" s="284"/>
      <c r="CP13" s="286">
        <f t="shared" si="20"/>
        <v>284.18858669999997</v>
      </c>
      <c r="CQ13" s="24">
        <f t="shared" si="20"/>
        <v>0</v>
      </c>
      <c r="CR13" s="25">
        <f t="shared" si="20"/>
        <v>161.53700000000001</v>
      </c>
      <c r="CS13" s="24">
        <f t="shared" si="20"/>
        <v>0</v>
      </c>
      <c r="CT13" s="27">
        <f t="shared" si="20"/>
        <v>0</v>
      </c>
      <c r="CU13" s="24">
        <f t="shared" si="20"/>
        <v>0</v>
      </c>
      <c r="CV13" s="280">
        <f t="shared" si="20"/>
        <v>31.832639999999998</v>
      </c>
      <c r="CW13" s="237">
        <f t="shared" si="21"/>
        <v>159.6</v>
      </c>
      <c r="CX13" s="26">
        <f t="shared" si="21"/>
        <v>0</v>
      </c>
      <c r="CY13" s="277">
        <f t="shared" si="21"/>
        <v>149.81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30"/>
        <v>0</v>
      </c>
      <c r="DH13" s="419"/>
      <c r="DJ13" s="420"/>
    </row>
    <row r="14" spans="1:114" ht="16.5" customHeight="1">
      <c r="A14" s="127">
        <v>8</v>
      </c>
      <c r="B14" s="103">
        <f t="shared" si="24"/>
        <v>492.94099999999997</v>
      </c>
      <c r="C14" s="104">
        <f>IF(B14=0,0,(BJ14*BR14+BK14*BS14+BM14*BU14+BP14*BX14+BL14*BT14+BO14*BW14+BN14*BV14)/B14)</f>
        <v>1.5427955678265755</v>
      </c>
      <c r="D14" s="143">
        <f>B14*((100-C14)/100)</f>
        <v>485.33592809999999</v>
      </c>
      <c r="E14" s="104">
        <f>IF(B14=0,0,(BJ14*BY14+BK14*BZ14+BM14*CB14+BP14*CE14+BL14*CA14+BO14*CD14+BN14*CC14)/B14)</f>
        <v>39.73038564452947</v>
      </c>
      <c r="F14" s="128">
        <f>IF(AX14=0,0,D14/AX14)</f>
        <v>1.9440654039655518</v>
      </c>
      <c r="G14" s="106"/>
      <c r="H14" s="107">
        <f>IF(AX14=0,0,(CV14+CS14+CU14+CP14+CT14)/AX14)</f>
        <v>1.2941074628479872</v>
      </c>
      <c r="I14" s="103">
        <f>'[1]сентябрь 20'!AE13</f>
        <v>0</v>
      </c>
      <c r="J14" s="328">
        <f>'[1]март 20'!AA13</f>
        <v>5.1210000000000004</v>
      </c>
      <c r="K14" s="106"/>
      <c r="L14" s="328">
        <f t="shared" si="25"/>
        <v>162.262</v>
      </c>
      <c r="M14" s="103">
        <f>IF(AX14=0,0,(CR14+CQ14)/AX14)</f>
        <v>0.64995794111756466</v>
      </c>
      <c r="N14" s="103">
        <f>'[1]июль 20'!AM13</f>
        <v>0</v>
      </c>
      <c r="O14" s="103">
        <f>'[1]март 20'!W13</f>
        <v>0</v>
      </c>
      <c r="P14" s="103">
        <f>'[1]март 20'!S13</f>
        <v>319.23200000000003</v>
      </c>
      <c r="Q14" s="108">
        <f>IF(P14=0,0,(1-(T14/P14))*100)</f>
        <v>3.0798917401764436</v>
      </c>
      <c r="R14" s="109">
        <f>P14*((100-Q14)/100)</f>
        <v>309.39999999999992</v>
      </c>
      <c r="S14" s="106">
        <v>19.86</v>
      </c>
      <c r="T14" s="109">
        <f>CG14+CH14+CJ14+CI14</f>
        <v>309.39999999999998</v>
      </c>
      <c r="U14" s="110">
        <f>IF(AX14=0,0,R14/AX14)</f>
        <v>1.2393350690967353</v>
      </c>
      <c r="V14" s="136">
        <v>249.65</v>
      </c>
      <c r="W14" s="130">
        <v>201.63</v>
      </c>
      <c r="X14" s="131">
        <v>0.8</v>
      </c>
      <c r="Y14" s="146">
        <v>612</v>
      </c>
      <c r="Z14" s="147">
        <v>1231</v>
      </c>
      <c r="AA14" s="144" t="s">
        <v>221</v>
      </c>
      <c r="AB14" s="131">
        <v>75.739999999999995</v>
      </c>
      <c r="AC14" s="133">
        <v>170</v>
      </c>
      <c r="AD14" s="134">
        <v>5</v>
      </c>
      <c r="AE14" s="131">
        <v>4.95</v>
      </c>
      <c r="AF14" s="115">
        <f t="shared" si="10"/>
        <v>19.827758862407372</v>
      </c>
      <c r="AG14" s="131">
        <v>126.85</v>
      </c>
      <c r="AH14" s="115">
        <f>IF(AX14=0,0,AG14/AX14*1000)</f>
        <v>508.11135589825761</v>
      </c>
      <c r="AI14" s="131">
        <v>28.65</v>
      </c>
      <c r="AJ14" s="116"/>
      <c r="AK14" s="135">
        <v>11.91</v>
      </c>
      <c r="AL14" s="136">
        <v>48.29</v>
      </c>
      <c r="AM14" s="110">
        <f>IF(AL14=0,0,AL14/AS14)</f>
        <v>0.1579653254824992</v>
      </c>
      <c r="AN14" s="137" t="s">
        <v>115</v>
      </c>
      <c r="AO14" s="150">
        <v>10.64</v>
      </c>
      <c r="AP14" s="138">
        <v>7.19</v>
      </c>
      <c r="AQ14" s="131"/>
      <c r="AR14" s="131">
        <v>6.37</v>
      </c>
      <c r="AS14" s="315">
        <v>305.7</v>
      </c>
      <c r="AT14" s="131">
        <v>4.1500000000000004</v>
      </c>
      <c r="AU14" s="148"/>
      <c r="AV14" s="149"/>
      <c r="AW14" s="109"/>
      <c r="AX14" s="109">
        <f>AS14-AL14-AK14+AV14+AT14</f>
        <v>249.64999999999998</v>
      </c>
      <c r="AY14" s="115">
        <f>IF(AB14=0,0,((D14*0.97)*(E14/100)*0.9)/(AB14/100))</f>
        <v>222.25634373590816</v>
      </c>
      <c r="AZ14" s="140">
        <f>(AG14*AR14)/100*(55/71)</f>
        <v>6.2594221830985912</v>
      </c>
      <c r="BA14" s="141">
        <f>AX14*$BA$6</f>
        <v>9.9859999999999989</v>
      </c>
      <c r="BB14" s="128">
        <f>IF((D14*E14)=0,0,(AX14*AB14)/(D14*E14))</f>
        <v>0.98059945707992169</v>
      </c>
      <c r="BC14" s="141">
        <f>AZ14+BA14</f>
        <v>16.24542218309859</v>
      </c>
      <c r="BD14" s="142">
        <v>0.92200000000000004</v>
      </c>
      <c r="BE14" s="16">
        <f>BE13+AX14</f>
        <v>1548.63</v>
      </c>
      <c r="BF14" s="16">
        <f>IF(A14&lt;=$BD$43,$AS$43,0)</f>
        <v>220.96774193548387</v>
      </c>
      <c r="BG14" s="16">
        <f>BF14+BG13</f>
        <v>1767.741935483871</v>
      </c>
      <c r="BH14" s="17">
        <f>IF(AX14&lt;&gt;0,1,0)</f>
        <v>1</v>
      </c>
      <c r="BI14" s="16">
        <f>BI13+BF14*BH14</f>
        <v>1767.741935483871</v>
      </c>
      <c r="BJ14" s="249">
        <v>297.06599999999997</v>
      </c>
      <c r="BK14" s="195"/>
      <c r="BL14" s="266">
        <v>162.262</v>
      </c>
      <c r="BM14" s="196"/>
      <c r="BN14" s="313"/>
      <c r="BO14" s="230"/>
      <c r="BP14" s="250">
        <v>33.613</v>
      </c>
      <c r="BQ14" s="199"/>
      <c r="BR14" s="200">
        <v>2.31</v>
      </c>
      <c r="BS14" s="200"/>
      <c r="BT14" s="200"/>
      <c r="BU14" s="200"/>
      <c r="BV14" s="208"/>
      <c r="BW14" s="208"/>
      <c r="BX14" s="201">
        <v>2.21</v>
      </c>
      <c r="BY14" s="202">
        <v>37.49</v>
      </c>
      <c r="BZ14" s="200"/>
      <c r="CA14" s="202">
        <v>44.35</v>
      </c>
      <c r="CB14" s="200"/>
      <c r="CC14" s="200"/>
      <c r="CD14" s="200"/>
      <c r="CE14" s="200">
        <v>37.229999999999997</v>
      </c>
      <c r="CF14" s="203"/>
      <c r="CG14" s="204">
        <v>161.5</v>
      </c>
      <c r="CH14" s="197"/>
      <c r="CI14" s="264">
        <v>147.9</v>
      </c>
      <c r="CJ14" s="265"/>
      <c r="CK14" s="202"/>
      <c r="CL14" s="202"/>
      <c r="CM14" s="270"/>
      <c r="CN14" s="201"/>
      <c r="CO14" s="284"/>
      <c r="CP14" s="286">
        <f t="shared" si="20"/>
        <v>290.20377539999998</v>
      </c>
      <c r="CQ14" s="27">
        <f t="shared" si="20"/>
        <v>0</v>
      </c>
      <c r="CR14" s="28">
        <f t="shared" si="20"/>
        <v>162.262</v>
      </c>
      <c r="CS14" s="27">
        <f t="shared" si="20"/>
        <v>0</v>
      </c>
      <c r="CT14" s="27">
        <f t="shared" si="20"/>
        <v>0</v>
      </c>
      <c r="CU14" s="24">
        <f t="shared" si="20"/>
        <v>0</v>
      </c>
      <c r="CV14" s="282">
        <f t="shared" si="20"/>
        <v>32.870152700000006</v>
      </c>
      <c r="CW14" s="237">
        <f t="shared" si="21"/>
        <v>161.5</v>
      </c>
      <c r="CX14" s="26">
        <f t="shared" si="21"/>
        <v>0</v>
      </c>
      <c r="CY14" s="277">
        <f t="shared" si="21"/>
        <v>147.9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30"/>
        <v>0</v>
      </c>
      <c r="DH14" s="419"/>
      <c r="DI14" s="13"/>
      <c r="DJ14" s="420"/>
    </row>
    <row r="15" spans="1:114" ht="16.5" customHeight="1">
      <c r="A15" s="253">
        <v>9</v>
      </c>
      <c r="B15" s="103">
        <f t="shared" si="24"/>
        <v>478.48099999999999</v>
      </c>
      <c r="C15" s="104">
        <f t="shared" si="0"/>
        <v>2.4980143621167819</v>
      </c>
      <c r="D15" s="143">
        <f t="shared" si="1"/>
        <v>466.52847590000005</v>
      </c>
      <c r="E15" s="104">
        <f t="shared" si="2"/>
        <v>39.895433089297171</v>
      </c>
      <c r="F15" s="128">
        <f t="shared" si="3"/>
        <v>2.040271476865215</v>
      </c>
      <c r="G15" s="106"/>
      <c r="H15" s="107">
        <f t="shared" si="4"/>
        <v>1.3820146763754046</v>
      </c>
      <c r="I15" s="103">
        <f>'[1]сентябрь 20'!AE14</f>
        <v>0</v>
      </c>
      <c r="J15" s="328">
        <f>'[1]март 20'!AA14</f>
        <v>8.2200000000000006</v>
      </c>
      <c r="K15" s="106"/>
      <c r="L15" s="328">
        <f t="shared" si="25"/>
        <v>150.517</v>
      </c>
      <c r="M15" s="103">
        <f t="shared" si="5"/>
        <v>0.65825680048981028</v>
      </c>
      <c r="N15" s="103">
        <f>'[1]июль 20'!AM14</f>
        <v>0</v>
      </c>
      <c r="O15" s="103">
        <f>'[1]март 20'!W14</f>
        <v>0</v>
      </c>
      <c r="P15" s="103">
        <f>'[1]март 20'!S14</f>
        <v>313.64600000000002</v>
      </c>
      <c r="Q15" s="108">
        <f t="shared" si="6"/>
        <v>3.2157272849008156</v>
      </c>
      <c r="R15" s="109">
        <f t="shared" si="7"/>
        <v>303.55999999999995</v>
      </c>
      <c r="S15" s="106">
        <v>16.149999999999999</v>
      </c>
      <c r="T15" s="109">
        <f t="shared" si="8"/>
        <v>303.56</v>
      </c>
      <c r="U15" s="110">
        <f t="shared" si="9"/>
        <v>1.3275605702790167</v>
      </c>
      <c r="V15" s="136">
        <v>228.66</v>
      </c>
      <c r="W15" s="130">
        <v>188.24</v>
      </c>
      <c r="X15" s="131">
        <v>0.68</v>
      </c>
      <c r="Y15" s="112">
        <v>586</v>
      </c>
      <c r="Z15" s="133">
        <v>1237</v>
      </c>
      <c r="AA15" s="144" t="s">
        <v>222</v>
      </c>
      <c r="AB15" s="131">
        <v>75.84</v>
      </c>
      <c r="AC15" s="133">
        <v>165</v>
      </c>
      <c r="AD15" s="134">
        <v>5</v>
      </c>
      <c r="AE15" s="131">
        <v>4.4000000000000004</v>
      </c>
      <c r="AF15" s="115">
        <f t="shared" si="10"/>
        <v>19.242543514388178</v>
      </c>
      <c r="AG15" s="131">
        <v>118.8</v>
      </c>
      <c r="AH15" s="115">
        <f t="shared" si="11"/>
        <v>519.54867488848083</v>
      </c>
      <c r="AI15" s="131">
        <v>28.49</v>
      </c>
      <c r="AJ15" s="116"/>
      <c r="AK15" s="135">
        <v>10.77</v>
      </c>
      <c r="AL15" s="136">
        <v>55.88</v>
      </c>
      <c r="AM15" s="110">
        <f t="shared" si="12"/>
        <v>0.19159951997256988</v>
      </c>
      <c r="AN15" s="137" t="s">
        <v>223</v>
      </c>
      <c r="AO15" s="150">
        <v>9.9600000000000009</v>
      </c>
      <c r="AP15" s="138">
        <v>6.61</v>
      </c>
      <c r="AQ15" s="131"/>
      <c r="AR15" s="131">
        <v>6.93</v>
      </c>
      <c r="AS15" s="315">
        <v>291.64999999999998</v>
      </c>
      <c r="AT15" s="131">
        <v>3.66</v>
      </c>
      <c r="AU15" s="116"/>
      <c r="AV15" s="131"/>
      <c r="AW15" s="109"/>
      <c r="AX15" s="109">
        <f t="shared" si="13"/>
        <v>228.65999999999997</v>
      </c>
      <c r="AY15" s="115">
        <f t="shared" si="26"/>
        <v>214.2482388451499</v>
      </c>
      <c r="AZ15" s="140">
        <f t="shared" si="14"/>
        <v>6.3775521126760557</v>
      </c>
      <c r="BA15" s="141">
        <f t="shared" si="15"/>
        <v>9.1463999999999981</v>
      </c>
      <c r="BB15" s="128">
        <f t="shared" si="16"/>
        <v>0.9317237848768386</v>
      </c>
      <c r="BC15" s="141">
        <f t="shared" si="17"/>
        <v>15.523952112676053</v>
      </c>
      <c r="BD15" s="142">
        <v>0.92300000000000004</v>
      </c>
      <c r="BE15" s="16">
        <f t="shared" si="27"/>
        <v>1777.29</v>
      </c>
      <c r="BF15" s="16">
        <f t="shared" si="18"/>
        <v>220.96774193548387</v>
      </c>
      <c r="BG15" s="16">
        <f t="shared" si="28"/>
        <v>1988.7096774193549</v>
      </c>
      <c r="BH15" s="17">
        <f t="shared" si="19"/>
        <v>1</v>
      </c>
      <c r="BI15" s="16">
        <f t="shared" si="29"/>
        <v>1988.7096774193549</v>
      </c>
      <c r="BJ15" s="249">
        <v>291.05099999999999</v>
      </c>
      <c r="BK15" s="195"/>
      <c r="BL15" s="197">
        <v>150.517</v>
      </c>
      <c r="BM15" s="197">
        <v>28.960999999999999</v>
      </c>
      <c r="BN15" s="230"/>
      <c r="BO15" s="195"/>
      <c r="BP15" s="329">
        <v>7.952</v>
      </c>
      <c r="BQ15" s="199"/>
      <c r="BR15" s="200">
        <v>2.5</v>
      </c>
      <c r="BS15" s="200"/>
      <c r="BT15" s="200"/>
      <c r="BU15" s="200">
        <v>15.15</v>
      </c>
      <c r="BV15" s="208"/>
      <c r="BW15" s="208"/>
      <c r="BX15" s="330">
        <v>3.63</v>
      </c>
      <c r="BY15" s="202">
        <v>37.6</v>
      </c>
      <c r="BZ15" s="200"/>
      <c r="CA15" s="200">
        <v>44.55</v>
      </c>
      <c r="CB15" s="200">
        <v>39.17</v>
      </c>
      <c r="CC15" s="200"/>
      <c r="CD15" s="200"/>
      <c r="CE15" s="200">
        <v>38.450000000000003</v>
      </c>
      <c r="CF15" s="203"/>
      <c r="CG15" s="204">
        <v>156.75</v>
      </c>
      <c r="CH15" s="230"/>
      <c r="CI15" s="266">
        <v>146.81</v>
      </c>
      <c r="CJ15" s="265"/>
      <c r="CK15" s="202"/>
      <c r="CL15" s="208"/>
      <c r="CM15" s="208"/>
      <c r="CN15" s="201"/>
      <c r="CO15" s="284"/>
      <c r="CP15" s="286">
        <f t="shared" si="20"/>
        <v>283.77472499999999</v>
      </c>
      <c r="CQ15" s="29">
        <f t="shared" si="20"/>
        <v>0</v>
      </c>
      <c r="CR15" s="30">
        <f t="shared" si="20"/>
        <v>150.517</v>
      </c>
      <c r="CS15" s="29">
        <f t="shared" si="20"/>
        <v>24.573408499999996</v>
      </c>
      <c r="CT15" s="27">
        <f t="shared" si="20"/>
        <v>0</v>
      </c>
      <c r="CU15" s="24">
        <f t="shared" si="20"/>
        <v>0</v>
      </c>
      <c r="CV15" s="283">
        <f t="shared" si="20"/>
        <v>7.6633424000000003</v>
      </c>
      <c r="CW15" s="237">
        <f t="shared" si="21"/>
        <v>156.75</v>
      </c>
      <c r="CX15" s="24">
        <f t="shared" si="21"/>
        <v>0</v>
      </c>
      <c r="CY15" s="277">
        <f t="shared" si="21"/>
        <v>146.81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30"/>
        <v>0</v>
      </c>
      <c r="DH15" s="419"/>
      <c r="DJ15" s="420"/>
    </row>
    <row r="16" spans="1:114" ht="16.5" customHeight="1">
      <c r="A16" s="127">
        <v>10</v>
      </c>
      <c r="B16" s="103">
        <f t="shared" si="24"/>
        <v>480.42200000000003</v>
      </c>
      <c r="C16" s="104">
        <f t="shared" si="0"/>
        <v>3.2195359288292371</v>
      </c>
      <c r="D16" s="143">
        <f t="shared" si="1"/>
        <v>464.95464110000006</v>
      </c>
      <c r="E16" s="104">
        <f t="shared" si="2"/>
        <v>40.961805704151764</v>
      </c>
      <c r="F16" s="128">
        <f t="shared" si="3"/>
        <v>2.2908683538628303</v>
      </c>
      <c r="G16" s="106"/>
      <c r="H16" s="107">
        <f t="shared" si="4"/>
        <v>1.5341133282420181</v>
      </c>
      <c r="I16" s="103">
        <f>'[1]сентябрь 20'!AE15</f>
        <v>0</v>
      </c>
      <c r="J16" s="328">
        <f>'[1]март 20'!AA15</f>
        <v>0</v>
      </c>
      <c r="K16" s="106"/>
      <c r="L16" s="328">
        <f t="shared" si="25"/>
        <v>153.59100000000001</v>
      </c>
      <c r="M16" s="103">
        <f t="shared" si="5"/>
        <v>0.75675502562081198</v>
      </c>
      <c r="N16" s="103">
        <f>'[1]июль 20'!AM15</f>
        <v>0</v>
      </c>
      <c r="O16" s="103">
        <f>'[1]март 20'!W15</f>
        <v>0</v>
      </c>
      <c r="P16" s="103">
        <f>'[1]март 20'!S15</f>
        <v>316.69499999999999</v>
      </c>
      <c r="Q16" s="108">
        <f t="shared" si="6"/>
        <v>3.2002399785282298</v>
      </c>
      <c r="R16" s="109">
        <f t="shared" si="7"/>
        <v>306.56</v>
      </c>
      <c r="S16" s="106">
        <v>20.21</v>
      </c>
      <c r="T16" s="109">
        <f t="shared" si="8"/>
        <v>306.56</v>
      </c>
      <c r="U16" s="110">
        <f t="shared" si="9"/>
        <v>1.5104454079621601</v>
      </c>
      <c r="V16" s="136">
        <v>76.11</v>
      </c>
      <c r="W16" s="130">
        <v>78.19</v>
      </c>
      <c r="X16" s="131">
        <v>1.1200000000000001</v>
      </c>
      <c r="Y16" s="112">
        <v>598</v>
      </c>
      <c r="Z16" s="133">
        <v>1232</v>
      </c>
      <c r="AA16" s="144" t="s">
        <v>219</v>
      </c>
      <c r="AB16" s="131">
        <v>74.930000000000007</v>
      </c>
      <c r="AC16" s="133">
        <v>166</v>
      </c>
      <c r="AD16" s="134">
        <v>5</v>
      </c>
      <c r="AE16" s="131">
        <v>1.8</v>
      </c>
      <c r="AF16" s="115">
        <f t="shared" si="10"/>
        <v>8.8687426093811599</v>
      </c>
      <c r="AG16" s="131">
        <v>107.55</v>
      </c>
      <c r="AH16" s="115">
        <f t="shared" si="11"/>
        <v>529.90737091052415</v>
      </c>
      <c r="AI16" s="139">
        <v>31.95</v>
      </c>
      <c r="AJ16" s="131"/>
      <c r="AK16" s="136">
        <v>11.95</v>
      </c>
      <c r="AL16" s="136">
        <v>56.12</v>
      </c>
      <c r="AM16" s="110">
        <f t="shared" si="12"/>
        <v>0.20936392464092518</v>
      </c>
      <c r="AN16" s="137" t="s">
        <v>224</v>
      </c>
      <c r="AO16" s="150">
        <v>14.37</v>
      </c>
      <c r="AP16" s="138">
        <v>6.17</v>
      </c>
      <c r="AQ16" s="131"/>
      <c r="AR16" s="131">
        <v>8.48</v>
      </c>
      <c r="AS16" s="315">
        <v>268.05</v>
      </c>
      <c r="AT16" s="131">
        <v>2.98</v>
      </c>
      <c r="AU16" s="116"/>
      <c r="AV16" s="131"/>
      <c r="AW16" s="109"/>
      <c r="AX16" s="109">
        <f t="shared" si="13"/>
        <v>202.96</v>
      </c>
      <c r="AY16" s="115">
        <f t="shared" si="26"/>
        <v>221.89534496055154</v>
      </c>
      <c r="AZ16" s="140">
        <f t="shared" si="14"/>
        <v>7.0649746478873245</v>
      </c>
      <c r="BA16" s="141">
        <f t="shared" si="15"/>
        <v>8.1184000000000012</v>
      </c>
      <c r="BB16" s="128">
        <f t="shared" si="16"/>
        <v>0.79850291600979595</v>
      </c>
      <c r="BC16" s="141">
        <f t="shared" si="17"/>
        <v>15.183374647887327</v>
      </c>
      <c r="BD16" s="142">
        <v>0.90900000000000003</v>
      </c>
      <c r="BE16" s="16">
        <f t="shared" si="27"/>
        <v>1980.25</v>
      </c>
      <c r="BF16" s="16">
        <f t="shared" si="18"/>
        <v>220.96774193548387</v>
      </c>
      <c r="BG16" s="16">
        <f t="shared" si="28"/>
        <v>2209.6774193548385</v>
      </c>
      <c r="BH16" s="17">
        <f t="shared" si="19"/>
        <v>1</v>
      </c>
      <c r="BI16" s="16">
        <f t="shared" si="29"/>
        <v>2209.6774193548385</v>
      </c>
      <c r="BJ16" s="249">
        <v>226.84100000000001</v>
      </c>
      <c r="BK16" s="195"/>
      <c r="BL16" s="195">
        <v>153.59100000000001</v>
      </c>
      <c r="BM16" s="197">
        <v>99.99</v>
      </c>
      <c r="BN16" s="230"/>
      <c r="BO16" s="230"/>
      <c r="BP16" s="250"/>
      <c r="BQ16" s="199"/>
      <c r="BR16" s="200">
        <v>2.4900000000000002</v>
      </c>
      <c r="BS16" s="200"/>
      <c r="BT16" s="200"/>
      <c r="BU16" s="200">
        <v>9.82</v>
      </c>
      <c r="BV16" s="208"/>
      <c r="BW16" s="208"/>
      <c r="BX16" s="201"/>
      <c r="BY16" s="202">
        <v>37.64</v>
      </c>
      <c r="BZ16" s="200"/>
      <c r="CA16" s="200">
        <v>44.58</v>
      </c>
      <c r="CB16" s="200">
        <v>42.94</v>
      </c>
      <c r="CC16" s="200"/>
      <c r="CD16" s="200"/>
      <c r="CE16" s="200"/>
      <c r="CF16" s="203"/>
      <c r="CG16" s="204">
        <v>157.69999999999999</v>
      </c>
      <c r="CH16" s="230"/>
      <c r="CI16" s="266">
        <v>148.86000000000001</v>
      </c>
      <c r="CJ16" s="265"/>
      <c r="CK16" s="202"/>
      <c r="CL16" s="208"/>
      <c r="CM16" s="208"/>
      <c r="CN16" s="201"/>
      <c r="CO16" s="284"/>
      <c r="CP16" s="286">
        <f t="shared" si="20"/>
        <v>221.19265910000001</v>
      </c>
      <c r="CQ16" s="24">
        <f t="shared" si="20"/>
        <v>0</v>
      </c>
      <c r="CR16" s="25">
        <f t="shared" si="20"/>
        <v>153.59100000000001</v>
      </c>
      <c r="CS16" s="24">
        <f t="shared" si="20"/>
        <v>90.170981999999995</v>
      </c>
      <c r="CT16" s="27">
        <f t="shared" si="20"/>
        <v>0</v>
      </c>
      <c r="CU16" s="24">
        <f t="shared" si="20"/>
        <v>0</v>
      </c>
      <c r="CV16" s="280">
        <f t="shared" si="20"/>
        <v>0</v>
      </c>
      <c r="CW16" s="237">
        <f t="shared" si="21"/>
        <v>157.69999999999999</v>
      </c>
      <c r="CX16" s="29">
        <f t="shared" si="21"/>
        <v>0</v>
      </c>
      <c r="CY16" s="277">
        <f t="shared" si="21"/>
        <v>148.86000000000001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30"/>
        <v>0</v>
      </c>
      <c r="DH16" s="419"/>
      <c r="DJ16" s="420"/>
    </row>
    <row r="17" spans="1:114" ht="16.5" customHeight="1">
      <c r="A17" s="127">
        <v>11</v>
      </c>
      <c r="B17" s="103">
        <f t="shared" si="24"/>
        <v>406.79700000000003</v>
      </c>
      <c r="C17" s="104">
        <f t="shared" si="0"/>
        <v>3.6503591226090655</v>
      </c>
      <c r="D17" s="143">
        <f t="shared" si="1"/>
        <v>391.94744860000003</v>
      </c>
      <c r="E17" s="104">
        <f t="shared" si="2"/>
        <v>40.929933996563385</v>
      </c>
      <c r="F17" s="128">
        <f t="shared" si="3"/>
        <v>2.2356117305498517</v>
      </c>
      <c r="G17" s="106"/>
      <c r="H17" s="107">
        <f t="shared" si="4"/>
        <v>1.4776491478439424</v>
      </c>
      <c r="I17" s="103">
        <f>'[1]сентябрь 20'!AE16</f>
        <v>0</v>
      </c>
      <c r="J17" s="328">
        <f>'[1]март 20'!AA16</f>
        <v>0</v>
      </c>
      <c r="K17" s="106"/>
      <c r="L17" s="328">
        <f t="shared" si="25"/>
        <v>132.886</v>
      </c>
      <c r="M17" s="103">
        <f t="shared" si="5"/>
        <v>0.7579625827059091</v>
      </c>
      <c r="N17" s="103">
        <f>'[1]июль 20'!AM16</f>
        <v>0</v>
      </c>
      <c r="O17" s="103">
        <f>'[1]март 20'!W16</f>
        <v>0</v>
      </c>
      <c r="P17" s="103">
        <f>'[1]март 20'!S16</f>
        <v>273.94799999999998</v>
      </c>
      <c r="Q17" s="108">
        <f t="shared" si="6"/>
        <v>1.7550776059690132</v>
      </c>
      <c r="R17" s="109">
        <f t="shared" si="7"/>
        <v>269.14000000000004</v>
      </c>
      <c r="S17" s="106">
        <v>40.08</v>
      </c>
      <c r="T17" s="109">
        <f t="shared" si="8"/>
        <v>269.14</v>
      </c>
      <c r="U17" s="110">
        <f t="shared" si="9"/>
        <v>1.5351357517681954</v>
      </c>
      <c r="V17" s="136">
        <v>95.51</v>
      </c>
      <c r="W17" s="130">
        <v>78.06</v>
      </c>
      <c r="X17" s="131">
        <v>1.1499999999999999</v>
      </c>
      <c r="Y17" s="112">
        <v>644</v>
      </c>
      <c r="Z17" s="133">
        <v>1236</v>
      </c>
      <c r="AA17" s="144" t="s">
        <v>118</v>
      </c>
      <c r="AB17" s="131">
        <v>74.95</v>
      </c>
      <c r="AC17" s="133">
        <v>147</v>
      </c>
      <c r="AD17" s="134">
        <v>5</v>
      </c>
      <c r="AE17" s="131"/>
      <c r="AF17" s="115">
        <f t="shared" si="10"/>
        <v>0</v>
      </c>
      <c r="AG17" s="131">
        <v>94.2</v>
      </c>
      <c r="AH17" s="115">
        <f t="shared" si="11"/>
        <v>537.30321697467491</v>
      </c>
      <c r="AI17" s="139">
        <v>26.21</v>
      </c>
      <c r="AJ17" s="131"/>
      <c r="AK17" s="136">
        <v>13.25</v>
      </c>
      <c r="AL17" s="136">
        <v>66.97</v>
      </c>
      <c r="AM17" s="110">
        <f t="shared" si="12"/>
        <v>0.26809447558046434</v>
      </c>
      <c r="AN17" s="137" t="s">
        <v>225</v>
      </c>
      <c r="AO17" s="150">
        <v>14.89</v>
      </c>
      <c r="AP17" s="138">
        <v>6.34</v>
      </c>
      <c r="AQ17" s="131"/>
      <c r="AR17" s="131">
        <v>9.74</v>
      </c>
      <c r="AS17" s="315">
        <v>249.8</v>
      </c>
      <c r="AT17" s="131">
        <v>5.74</v>
      </c>
      <c r="AU17" s="116"/>
      <c r="AV17" s="131"/>
      <c r="AW17" s="109"/>
      <c r="AX17" s="109">
        <f t="shared" si="13"/>
        <v>175.32000000000002</v>
      </c>
      <c r="AY17" s="115">
        <f t="shared" si="26"/>
        <v>186.85791240496133</v>
      </c>
      <c r="AZ17" s="140">
        <f t="shared" si="14"/>
        <v>7.1074563380281699</v>
      </c>
      <c r="BA17" s="141">
        <f t="shared" si="15"/>
        <v>7.0128000000000013</v>
      </c>
      <c r="BB17" s="128">
        <f t="shared" si="16"/>
        <v>0.81909488354069937</v>
      </c>
      <c r="BC17" s="141">
        <f t="shared" si="17"/>
        <v>14.12025633802817</v>
      </c>
      <c r="BD17" s="142">
        <v>0.90100000000000002</v>
      </c>
      <c r="BE17" s="16">
        <f t="shared" si="27"/>
        <v>2155.5700000000002</v>
      </c>
      <c r="BF17" s="16">
        <f t="shared" si="18"/>
        <v>220.96774193548387</v>
      </c>
      <c r="BG17" s="16">
        <f t="shared" si="28"/>
        <v>2430.6451612903224</v>
      </c>
      <c r="BH17" s="17">
        <f t="shared" si="19"/>
        <v>1</v>
      </c>
      <c r="BI17" s="16">
        <f t="shared" si="29"/>
        <v>2430.6451612903224</v>
      </c>
      <c r="BJ17" s="249">
        <v>190.09</v>
      </c>
      <c r="BK17" s="195"/>
      <c r="BL17" s="195">
        <v>132.886</v>
      </c>
      <c r="BM17" s="197">
        <v>83.820999999999998</v>
      </c>
      <c r="BN17" s="230"/>
      <c r="BO17" s="230"/>
      <c r="BP17" s="250"/>
      <c r="BQ17" s="199"/>
      <c r="BR17" s="200">
        <v>2.15</v>
      </c>
      <c r="BS17" s="200"/>
      <c r="BT17" s="200"/>
      <c r="BU17" s="200">
        <v>12.84</v>
      </c>
      <c r="BV17" s="208"/>
      <c r="BW17" s="208"/>
      <c r="BX17" s="201"/>
      <c r="BY17" s="202">
        <v>37.979999999999997</v>
      </c>
      <c r="BZ17" s="200"/>
      <c r="CA17" s="200">
        <v>44.5</v>
      </c>
      <c r="CB17" s="200">
        <v>41.96</v>
      </c>
      <c r="CC17" s="208"/>
      <c r="CD17" s="208"/>
      <c r="CE17" s="201"/>
      <c r="CF17" s="199"/>
      <c r="CG17" s="197">
        <v>25.65</v>
      </c>
      <c r="CH17" s="244"/>
      <c r="CI17" s="266">
        <v>243.49</v>
      </c>
      <c r="CJ17" s="265"/>
      <c r="CK17" s="231"/>
      <c r="CL17" s="208"/>
      <c r="CM17" s="208"/>
      <c r="CN17" s="201"/>
      <c r="CO17" s="284"/>
      <c r="CP17" s="286">
        <f t="shared" si="20"/>
        <v>186.00306499999999</v>
      </c>
      <c r="CQ17" s="24">
        <f t="shared" si="20"/>
        <v>0</v>
      </c>
      <c r="CR17" s="25">
        <f t="shared" si="20"/>
        <v>132.886</v>
      </c>
      <c r="CS17" s="24">
        <f t="shared" si="20"/>
        <v>73.058383599999999</v>
      </c>
      <c r="CT17" s="27">
        <f t="shared" si="20"/>
        <v>0</v>
      </c>
      <c r="CU17" s="27">
        <f t="shared" si="20"/>
        <v>0</v>
      </c>
      <c r="CV17" s="280">
        <f t="shared" si="20"/>
        <v>0</v>
      </c>
      <c r="CW17" s="25">
        <f t="shared" si="21"/>
        <v>25.65</v>
      </c>
      <c r="CX17" s="26">
        <f t="shared" si="21"/>
        <v>0</v>
      </c>
      <c r="CY17" s="277">
        <f t="shared" si="21"/>
        <v>243.49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30"/>
        <v>0</v>
      </c>
      <c r="DH17" s="419"/>
      <c r="DJ17" s="420"/>
    </row>
    <row r="18" spans="1:114" ht="16.5" customHeight="1">
      <c r="A18" s="127">
        <v>12</v>
      </c>
      <c r="B18" s="103">
        <f t="shared" si="24"/>
        <v>122.742</v>
      </c>
      <c r="C18" s="104">
        <f t="shared" si="0"/>
        <v>4.2209968877808741</v>
      </c>
      <c r="D18" s="143">
        <f t="shared" si="1"/>
        <v>117.561064</v>
      </c>
      <c r="E18" s="104">
        <f t="shared" si="2"/>
        <v>42.315442798716006</v>
      </c>
      <c r="F18" s="128">
        <f t="shared" si="3"/>
        <v>1.3382022083096188</v>
      </c>
      <c r="G18" s="106"/>
      <c r="H18" s="107">
        <f t="shared" si="4"/>
        <v>0.63675656232213995</v>
      </c>
      <c r="I18" s="103">
        <f>'[1]сентябрь 20'!AE17</f>
        <v>0</v>
      </c>
      <c r="J18" s="328">
        <f>'[1]март 20'!AA17</f>
        <v>0</v>
      </c>
      <c r="K18" s="106"/>
      <c r="L18" s="328">
        <f t="shared" si="25"/>
        <v>61.622</v>
      </c>
      <c r="M18" s="103">
        <f t="shared" si="5"/>
        <v>0.70144564598747872</v>
      </c>
      <c r="N18" s="103">
        <f>'[1]июль 20'!AM17</f>
        <v>0</v>
      </c>
      <c r="O18" s="103">
        <f>'[1]март 20'!W17</f>
        <v>0</v>
      </c>
      <c r="P18" s="103">
        <f>'[1]март 20'!S17</f>
        <v>94.685000000000002</v>
      </c>
      <c r="Q18" s="108">
        <f t="shared" si="6"/>
        <v>1.5261129006706509</v>
      </c>
      <c r="R18" s="109">
        <f t="shared" si="7"/>
        <v>93.24</v>
      </c>
      <c r="S18" s="106">
        <v>20.18</v>
      </c>
      <c r="T18" s="109">
        <f t="shared" si="8"/>
        <v>93.24</v>
      </c>
      <c r="U18" s="110">
        <f t="shared" si="9"/>
        <v>1.0613545816733068</v>
      </c>
      <c r="V18" s="136"/>
      <c r="W18" s="130">
        <v>44.78</v>
      </c>
      <c r="X18" s="131">
        <v>1.41</v>
      </c>
      <c r="Y18" s="112">
        <v>651</v>
      </c>
      <c r="Z18" s="133">
        <v>1223</v>
      </c>
      <c r="AA18" s="144" t="s">
        <v>226</v>
      </c>
      <c r="AB18" s="131">
        <v>73.31</v>
      </c>
      <c r="AC18" s="133">
        <v>50</v>
      </c>
      <c r="AD18" s="134">
        <v>2</v>
      </c>
      <c r="AE18" s="131">
        <v>1.65</v>
      </c>
      <c r="AF18" s="115">
        <f t="shared" si="10"/>
        <v>18.782014797951053</v>
      </c>
      <c r="AG18" s="131">
        <v>30.15</v>
      </c>
      <c r="AH18" s="115">
        <f t="shared" si="11"/>
        <v>343.19863403528745</v>
      </c>
      <c r="AI18" s="139">
        <v>10.87</v>
      </c>
      <c r="AJ18" s="131"/>
      <c r="AK18" s="136">
        <v>6.9</v>
      </c>
      <c r="AL18" s="136"/>
      <c r="AM18" s="110">
        <f t="shared" si="12"/>
        <v>0</v>
      </c>
      <c r="AN18" s="137" t="s">
        <v>212</v>
      </c>
      <c r="AO18" s="150">
        <v>14.82</v>
      </c>
      <c r="AP18" s="138">
        <v>6.25</v>
      </c>
      <c r="AQ18" s="131"/>
      <c r="AR18" s="131">
        <v>8.6999999999999993</v>
      </c>
      <c r="AS18" s="315">
        <v>92.3</v>
      </c>
      <c r="AT18" s="131">
        <v>2.4500000000000002</v>
      </c>
      <c r="AU18" s="116"/>
      <c r="AV18" s="131"/>
      <c r="AW18" s="109">
        <f t="shared" ref="AW18:AW37" si="31">IF(AX18=0,0,AV18/AX18*100)</f>
        <v>0</v>
      </c>
      <c r="AX18" s="109">
        <f t="shared" si="13"/>
        <v>87.85</v>
      </c>
      <c r="AY18" s="115">
        <f>IF(AB18=0,0,((D18*0.97)*(E18/100)*0.9)/(AB18/100))</f>
        <v>59.239777959474438</v>
      </c>
      <c r="AZ18" s="140">
        <f t="shared" si="14"/>
        <v>2.0319401408450699</v>
      </c>
      <c r="BA18" s="141">
        <f t="shared" si="15"/>
        <v>3.5139999999999998</v>
      </c>
      <c r="BB18" s="128">
        <f t="shared" si="16"/>
        <v>1.2946208213755497</v>
      </c>
      <c r="BC18" s="141">
        <f t="shared" si="17"/>
        <v>5.5459401408450697</v>
      </c>
      <c r="BD18" s="142">
        <v>0.91200000000000003</v>
      </c>
      <c r="BE18" s="16">
        <f t="shared" si="27"/>
        <v>2243.42</v>
      </c>
      <c r="BF18" s="16">
        <f t="shared" si="18"/>
        <v>220.96774193548387</v>
      </c>
      <c r="BG18" s="16">
        <f t="shared" si="28"/>
        <v>2651.6129032258063</v>
      </c>
      <c r="BH18" s="17">
        <f t="shared" si="19"/>
        <v>1</v>
      </c>
      <c r="BI18" s="16">
        <f t="shared" si="29"/>
        <v>2651.6129032258063</v>
      </c>
      <c r="BJ18" s="249">
        <v>32.869</v>
      </c>
      <c r="BK18" s="195"/>
      <c r="BL18" s="195">
        <v>61.622</v>
      </c>
      <c r="BM18" s="197">
        <v>28.251000000000001</v>
      </c>
      <c r="BN18" s="230"/>
      <c r="BO18" s="230"/>
      <c r="BP18" s="250"/>
      <c r="BQ18" s="199"/>
      <c r="BR18" s="200">
        <v>2.93</v>
      </c>
      <c r="BS18" s="200"/>
      <c r="BT18" s="200"/>
      <c r="BU18" s="200">
        <v>14.93</v>
      </c>
      <c r="BV18" s="208"/>
      <c r="BW18" s="208"/>
      <c r="BX18" s="201"/>
      <c r="BY18" s="202">
        <v>37.380000000000003</v>
      </c>
      <c r="BZ18" s="200"/>
      <c r="CA18" s="200">
        <v>44.68</v>
      </c>
      <c r="CB18" s="200">
        <v>42.9</v>
      </c>
      <c r="CC18" s="208"/>
      <c r="CD18" s="208"/>
      <c r="CE18" s="209"/>
      <c r="CF18" s="199"/>
      <c r="CG18" s="197"/>
      <c r="CH18" s="268"/>
      <c r="CI18" s="289">
        <v>93.24</v>
      </c>
      <c r="CJ18" s="267"/>
      <c r="CK18" s="202"/>
      <c r="CL18" s="208"/>
      <c r="CM18" s="208"/>
      <c r="CN18" s="201"/>
      <c r="CO18" s="284"/>
      <c r="CP18" s="286">
        <f t="shared" si="20"/>
        <v>31.905938299999995</v>
      </c>
      <c r="CQ18" s="24">
        <f t="shared" si="20"/>
        <v>0</v>
      </c>
      <c r="CR18" s="25">
        <f t="shared" si="20"/>
        <v>61.622</v>
      </c>
      <c r="CS18" s="24">
        <f t="shared" si="20"/>
        <v>24.033125699999999</v>
      </c>
      <c r="CT18" s="27">
        <f t="shared" si="20"/>
        <v>0</v>
      </c>
      <c r="CU18" s="30">
        <f t="shared" si="20"/>
        <v>0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93.24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30"/>
        <v>0</v>
      </c>
      <c r="DH18" s="419"/>
      <c r="DJ18" s="420"/>
    </row>
    <row r="19" spans="1:114" ht="16.5" customHeight="1">
      <c r="A19" s="127">
        <v>13</v>
      </c>
      <c r="B19" s="103">
        <f t="shared" si="24"/>
        <v>200.66000000000003</v>
      </c>
      <c r="C19" s="104">
        <f t="shared" si="0"/>
        <v>4.1564289843516393</v>
      </c>
      <c r="D19" s="143">
        <f t="shared" si="1"/>
        <v>192.31970960000004</v>
      </c>
      <c r="E19" s="104">
        <f>IF(B19=0,0,(BJ19*BY19+BK19*BZ19+BM19*CB19+BP19*CE19+BL19*CA19+BO19*CD19+BN19*CC19)/B19)</f>
        <v>43.140435163958934</v>
      </c>
      <c r="F19" s="128">
        <f t="shared" si="3"/>
        <v>2.9975017082294273</v>
      </c>
      <c r="G19" s="106"/>
      <c r="H19" s="107">
        <f t="shared" si="4"/>
        <v>1.2214418578553616</v>
      </c>
      <c r="I19" s="103">
        <f>'[1]сентябрь 20'!AE18</f>
        <v>0</v>
      </c>
      <c r="J19" s="328">
        <f>'[1]март 20'!AA18</f>
        <v>0</v>
      </c>
      <c r="K19" s="106"/>
      <c r="L19" s="328">
        <f t="shared" si="25"/>
        <v>113.952</v>
      </c>
      <c r="M19" s="103">
        <f t="shared" si="5"/>
        <v>1.776059850374065</v>
      </c>
      <c r="N19" s="103">
        <f>'[1]июль 20'!AM18</f>
        <v>0</v>
      </c>
      <c r="O19" s="415">
        <f>'[1]март 20'!W18</f>
        <v>15.919</v>
      </c>
      <c r="P19" s="103">
        <f>'[1]март 20'!S18</f>
        <v>135.61699999999999</v>
      </c>
      <c r="Q19" s="108">
        <f t="shared" si="6"/>
        <v>1.494650375690354</v>
      </c>
      <c r="R19" s="109">
        <f t="shared" si="7"/>
        <v>133.59</v>
      </c>
      <c r="S19" s="106">
        <v>2.19</v>
      </c>
      <c r="T19" s="109">
        <f t="shared" si="8"/>
        <v>133.59</v>
      </c>
      <c r="U19" s="110">
        <f t="shared" si="9"/>
        <v>2.082138403990025</v>
      </c>
      <c r="V19" s="136"/>
      <c r="W19" s="130"/>
      <c r="X19" s="131">
        <v>1.53</v>
      </c>
      <c r="Y19" s="112">
        <v>585</v>
      </c>
      <c r="Z19" s="133">
        <v>1094</v>
      </c>
      <c r="AA19" s="144" t="s">
        <v>227</v>
      </c>
      <c r="AB19" s="131">
        <v>71.73</v>
      </c>
      <c r="AC19" s="133">
        <v>73</v>
      </c>
      <c r="AD19" s="134">
        <v>3</v>
      </c>
      <c r="AE19" s="131"/>
      <c r="AF19" s="115">
        <f t="shared" si="10"/>
        <v>0</v>
      </c>
      <c r="AG19" s="131">
        <v>30.4</v>
      </c>
      <c r="AH19" s="115">
        <f t="shared" si="11"/>
        <v>473.81546134663341</v>
      </c>
      <c r="AI19" s="139">
        <v>16.739999999999998</v>
      </c>
      <c r="AJ19" s="131"/>
      <c r="AK19" s="136">
        <v>7.93</v>
      </c>
      <c r="AL19" s="136">
        <v>34.11</v>
      </c>
      <c r="AM19" s="110">
        <f t="shared" si="12"/>
        <v>0.32766570605187323</v>
      </c>
      <c r="AN19" s="137" t="s">
        <v>228</v>
      </c>
      <c r="AO19" s="150">
        <v>15.18</v>
      </c>
      <c r="AP19" s="138">
        <v>6.29</v>
      </c>
      <c r="AQ19" s="134"/>
      <c r="AR19" s="131">
        <v>7.36</v>
      </c>
      <c r="AS19" s="315">
        <v>104.1</v>
      </c>
      <c r="AT19" s="131">
        <v>2.1</v>
      </c>
      <c r="AU19" s="116"/>
      <c r="AV19" s="131"/>
      <c r="AW19" s="109">
        <f t="shared" si="31"/>
        <v>0</v>
      </c>
      <c r="AX19" s="109">
        <f t="shared" si="13"/>
        <v>64.16</v>
      </c>
      <c r="AY19" s="115">
        <f t="shared" si="26"/>
        <v>100.97682915768763</v>
      </c>
      <c r="AZ19" s="140">
        <f t="shared" si="14"/>
        <v>1.7332281690140843</v>
      </c>
      <c r="BA19" s="141">
        <f t="shared" si="15"/>
        <v>2.5663999999999998</v>
      </c>
      <c r="BB19" s="128">
        <f t="shared" si="16"/>
        <v>0.55469834483048497</v>
      </c>
      <c r="BC19" s="141">
        <f t="shared" si="17"/>
        <v>4.2996281690140838</v>
      </c>
      <c r="BD19" s="142">
        <v>0.89600000000000002</v>
      </c>
      <c r="BE19" s="16">
        <f t="shared" si="27"/>
        <v>2307.58</v>
      </c>
      <c r="BF19" s="16">
        <f t="shared" si="18"/>
        <v>220.96774193548387</v>
      </c>
      <c r="BG19" s="16">
        <f t="shared" si="28"/>
        <v>2872.5806451612902</v>
      </c>
      <c r="BH19" s="17">
        <f t="shared" si="19"/>
        <v>1</v>
      </c>
      <c r="BI19" s="16">
        <f t="shared" si="29"/>
        <v>2872.5806451612902</v>
      </c>
      <c r="BJ19" s="254">
        <v>21.056000000000001</v>
      </c>
      <c r="BK19" s="197"/>
      <c r="BL19" s="197">
        <v>113.952</v>
      </c>
      <c r="BM19" s="197">
        <v>65.652000000000001</v>
      </c>
      <c r="BN19" s="230"/>
      <c r="BO19" s="230"/>
      <c r="BP19" s="258"/>
      <c r="BQ19" s="199"/>
      <c r="BR19" s="200">
        <v>5.25</v>
      </c>
      <c r="BS19" s="200"/>
      <c r="BT19" s="200"/>
      <c r="BU19" s="200">
        <v>11.02</v>
      </c>
      <c r="BV19" s="208"/>
      <c r="BW19" s="208"/>
      <c r="BX19" s="201"/>
      <c r="BY19" s="202">
        <v>37.9</v>
      </c>
      <c r="BZ19" s="200"/>
      <c r="CA19" s="200">
        <v>44.23</v>
      </c>
      <c r="CB19" s="200">
        <v>42.93</v>
      </c>
      <c r="CC19" s="208"/>
      <c r="CD19" s="208"/>
      <c r="CE19" s="209"/>
      <c r="CF19" s="199"/>
      <c r="CG19" s="197"/>
      <c r="CH19" s="197"/>
      <c r="CI19" s="197">
        <v>133.59</v>
      </c>
      <c r="CJ19" s="198"/>
      <c r="CK19" s="202"/>
      <c r="CL19" s="208"/>
      <c r="CM19" s="208"/>
      <c r="CN19" s="201"/>
      <c r="CO19" s="284"/>
      <c r="CP19" s="286">
        <f t="shared" si="20"/>
        <v>19.950559999999999</v>
      </c>
      <c r="CQ19" s="24">
        <f t="shared" si="20"/>
        <v>0</v>
      </c>
      <c r="CR19" s="25">
        <f t="shared" si="20"/>
        <v>113.952</v>
      </c>
      <c r="CS19" s="24">
        <f t="shared" si="20"/>
        <v>58.417149600000002</v>
      </c>
      <c r="CT19" s="27">
        <f t="shared" si="20"/>
        <v>0</v>
      </c>
      <c r="CU19" s="24">
        <f t="shared" si="20"/>
        <v>0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133.59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30"/>
        <v>0</v>
      </c>
      <c r="DH19" s="419"/>
      <c r="DJ19" s="420"/>
    </row>
    <row r="20" spans="1:114" ht="16.5" customHeight="1">
      <c r="A20" s="127">
        <v>14</v>
      </c>
      <c r="B20" s="103">
        <f t="shared" si="24"/>
        <v>284.61599999999999</v>
      </c>
      <c r="C20" s="104">
        <f t="shared" si="0"/>
        <v>3.0860495544874498</v>
      </c>
      <c r="D20" s="143">
        <f t="shared" si="1"/>
        <v>275.83260919999998</v>
      </c>
      <c r="E20" s="104">
        <f t="shared" si="2"/>
        <v>42.718815737695707</v>
      </c>
      <c r="F20" s="128">
        <f t="shared" si="3"/>
        <v>2.1792890037133601</v>
      </c>
      <c r="G20" s="106"/>
      <c r="H20" s="107">
        <f t="shared" si="4"/>
        <v>1.1558711321798212</v>
      </c>
      <c r="I20" s="103">
        <f>'[1]сентябрь 20'!AE19</f>
        <v>0</v>
      </c>
      <c r="J20" s="328">
        <f>'[1]март 20'!AA19</f>
        <v>0</v>
      </c>
      <c r="K20" s="106"/>
      <c r="L20" s="328">
        <f t="shared" si="25"/>
        <v>129.53399999999999</v>
      </c>
      <c r="M20" s="103">
        <f t="shared" si="5"/>
        <v>1.0234178715335387</v>
      </c>
      <c r="N20" s="103">
        <f>'[1]июль 20'!AM19</f>
        <v>0</v>
      </c>
      <c r="O20" s="415">
        <f>'[1]март 20'!W19</f>
        <v>13.23</v>
      </c>
      <c r="P20" s="103">
        <f>'[1]март 20'!S19</f>
        <v>187.73500000000001</v>
      </c>
      <c r="Q20" s="108">
        <f t="shared" si="6"/>
        <v>1.6752337070871204</v>
      </c>
      <c r="R20" s="109">
        <f t="shared" si="7"/>
        <v>184.59</v>
      </c>
      <c r="S20" s="106">
        <v>12.5</v>
      </c>
      <c r="T20" s="109">
        <f t="shared" si="8"/>
        <v>184.59</v>
      </c>
      <c r="U20" s="110">
        <f t="shared" si="9"/>
        <v>1.4584024650391088</v>
      </c>
      <c r="V20" s="136"/>
      <c r="W20" s="130"/>
      <c r="X20" s="131">
        <v>1.36</v>
      </c>
      <c r="Y20" s="112">
        <v>612</v>
      </c>
      <c r="Z20" s="133">
        <v>1192</v>
      </c>
      <c r="AA20" s="151" t="s">
        <v>229</v>
      </c>
      <c r="AB20" s="131">
        <v>70.03</v>
      </c>
      <c r="AC20" s="133">
        <v>101</v>
      </c>
      <c r="AD20" s="134">
        <v>4</v>
      </c>
      <c r="AE20" s="131">
        <v>4</v>
      </c>
      <c r="AF20" s="115">
        <f t="shared" si="10"/>
        <v>31.603065497353242</v>
      </c>
      <c r="AG20" s="131">
        <v>84.1</v>
      </c>
      <c r="AH20" s="115">
        <f t="shared" si="11"/>
        <v>664.45445208185185</v>
      </c>
      <c r="AI20" s="139">
        <v>21.81</v>
      </c>
      <c r="AJ20" s="131"/>
      <c r="AK20" s="136">
        <v>10.29</v>
      </c>
      <c r="AL20" s="136">
        <v>42.88</v>
      </c>
      <c r="AM20" s="110">
        <f t="shared" si="12"/>
        <v>0.24301501841881556</v>
      </c>
      <c r="AN20" s="137" t="s">
        <v>230</v>
      </c>
      <c r="AO20" s="150">
        <v>15.13</v>
      </c>
      <c r="AP20" s="138">
        <v>5.27</v>
      </c>
      <c r="AQ20" s="131"/>
      <c r="AR20" s="131">
        <v>9.4499999999999993</v>
      </c>
      <c r="AS20" s="315">
        <v>176.45</v>
      </c>
      <c r="AT20" s="131">
        <v>3.29</v>
      </c>
      <c r="AU20" s="148"/>
      <c r="AV20" s="131"/>
      <c r="AW20" s="109">
        <f t="shared" si="31"/>
        <v>0</v>
      </c>
      <c r="AX20" s="109">
        <f t="shared" si="13"/>
        <v>126.57000000000001</v>
      </c>
      <c r="AY20" s="115">
        <f t="shared" si="26"/>
        <v>146.89091276868592</v>
      </c>
      <c r="AZ20" s="140">
        <f t="shared" si="14"/>
        <v>6.1564753521126754</v>
      </c>
      <c r="BA20" s="141">
        <f t="shared" si="15"/>
        <v>5.0628000000000002</v>
      </c>
      <c r="BB20" s="128">
        <f t="shared" si="16"/>
        <v>0.75222903798004981</v>
      </c>
      <c r="BC20" s="141">
        <f t="shared" si="17"/>
        <v>11.219275352112675</v>
      </c>
      <c r="BD20" s="142">
        <v>0.88800000000000001</v>
      </c>
      <c r="BE20" s="16">
        <f t="shared" si="27"/>
        <v>2434.15</v>
      </c>
      <c r="BF20" s="16">
        <f t="shared" si="18"/>
        <v>220.96774193548387</v>
      </c>
      <c r="BG20" s="16">
        <f t="shared" si="28"/>
        <v>3093.5483870967741</v>
      </c>
      <c r="BH20" s="17">
        <f t="shared" si="19"/>
        <v>1</v>
      </c>
      <c r="BI20" s="16">
        <f t="shared" si="29"/>
        <v>3093.5483870967741</v>
      </c>
      <c r="BJ20" s="254">
        <v>59.767000000000003</v>
      </c>
      <c r="BK20" s="197"/>
      <c r="BL20" s="197">
        <v>129.53399999999999</v>
      </c>
      <c r="BM20" s="197">
        <v>95.314999999999998</v>
      </c>
      <c r="BN20" s="230"/>
      <c r="BO20" s="230"/>
      <c r="BP20" s="259"/>
      <c r="BQ20" s="199"/>
      <c r="BR20" s="200">
        <v>1.89</v>
      </c>
      <c r="BS20" s="200"/>
      <c r="BT20" s="200"/>
      <c r="BU20" s="200">
        <v>8.0299999999999994</v>
      </c>
      <c r="BV20" s="208"/>
      <c r="BW20" s="208"/>
      <c r="BX20" s="201"/>
      <c r="BY20" s="202">
        <v>38.630000000000003</v>
      </c>
      <c r="BZ20" s="200"/>
      <c r="CA20" s="200">
        <v>44.45</v>
      </c>
      <c r="CB20" s="200">
        <v>42.93</v>
      </c>
      <c r="CC20" s="208"/>
      <c r="CD20" s="208"/>
      <c r="CE20" s="209"/>
      <c r="CF20" s="199"/>
      <c r="CG20" s="197"/>
      <c r="CH20" s="197"/>
      <c r="CI20" s="197">
        <v>184.59</v>
      </c>
      <c r="CJ20" s="198"/>
      <c r="CK20" s="202"/>
      <c r="CL20" s="208"/>
      <c r="CM20" s="208"/>
      <c r="CN20" s="201"/>
      <c r="CO20" s="284"/>
      <c r="CP20" s="286">
        <f t="shared" si="20"/>
        <v>58.6374037</v>
      </c>
      <c r="CQ20" s="24">
        <f t="shared" si="20"/>
        <v>0</v>
      </c>
      <c r="CR20" s="25">
        <f t="shared" si="20"/>
        <v>129.53399999999999</v>
      </c>
      <c r="CS20" s="24">
        <f t="shared" si="20"/>
        <v>87.661205499999994</v>
      </c>
      <c r="CT20" s="27">
        <f t="shared" si="20"/>
        <v>0</v>
      </c>
      <c r="CU20" s="30">
        <f t="shared" si="20"/>
        <v>0</v>
      </c>
      <c r="CV20" s="280">
        <f t="shared" si="20"/>
        <v>0</v>
      </c>
      <c r="CW20" s="237">
        <f t="shared" si="21"/>
        <v>0</v>
      </c>
      <c r="CX20" s="29">
        <f t="shared" si="21"/>
        <v>0</v>
      </c>
      <c r="CY20" s="277">
        <f t="shared" si="21"/>
        <v>184.59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30"/>
        <v>0</v>
      </c>
      <c r="DH20" s="419"/>
      <c r="DJ20" s="420"/>
    </row>
    <row r="21" spans="1:114" ht="16.5" customHeight="1">
      <c r="A21" s="127">
        <v>15</v>
      </c>
      <c r="B21" s="103">
        <f t="shared" si="24"/>
        <v>437.51499999999999</v>
      </c>
      <c r="C21" s="104">
        <f t="shared" si="0"/>
        <v>3.174365747460087</v>
      </c>
      <c r="D21" s="143">
        <f t="shared" si="1"/>
        <v>423.62667370000003</v>
      </c>
      <c r="E21" s="104">
        <f t="shared" si="2"/>
        <v>40.718220381015506</v>
      </c>
      <c r="F21" s="128">
        <f t="shared" si="3"/>
        <v>2.3060787898747956</v>
      </c>
      <c r="G21" s="106"/>
      <c r="H21" s="107">
        <f t="shared" si="4"/>
        <v>1.5571294158954816</v>
      </c>
      <c r="I21" s="103">
        <f>'[1]сентябрь 20'!AE20</f>
        <v>0</v>
      </c>
      <c r="J21" s="328">
        <f>'[1]март 20'!AA20</f>
        <v>6.3609999999999998</v>
      </c>
      <c r="K21" s="106"/>
      <c r="L21" s="328">
        <f t="shared" si="25"/>
        <v>137.58199999999999</v>
      </c>
      <c r="M21" s="103">
        <f t="shared" si="5"/>
        <v>0.74894937397931405</v>
      </c>
      <c r="N21" s="103">
        <f>'[1]июль 20'!AM20</f>
        <v>0</v>
      </c>
      <c r="O21" s="103">
        <f>'[1]март 20'!W20</f>
        <v>9.3539999999999992</v>
      </c>
      <c r="P21" s="103">
        <f>'[1]март 20'!S20</f>
        <v>279.49299999999999</v>
      </c>
      <c r="Q21" s="108">
        <f t="shared" si="6"/>
        <v>1.6397548418028207</v>
      </c>
      <c r="R21" s="109">
        <f t="shared" si="7"/>
        <v>274.91000000000003</v>
      </c>
      <c r="S21" s="106">
        <v>13.71</v>
      </c>
      <c r="T21" s="109">
        <f t="shared" si="8"/>
        <v>274.91000000000003</v>
      </c>
      <c r="U21" s="110">
        <f t="shared" si="9"/>
        <v>1.4965160587915078</v>
      </c>
      <c r="V21" s="136"/>
      <c r="W21" s="130"/>
      <c r="X21" s="131">
        <v>1.56</v>
      </c>
      <c r="Y21" s="112">
        <v>674</v>
      </c>
      <c r="Z21" s="133">
        <v>1236</v>
      </c>
      <c r="AA21" s="151" t="s">
        <v>219</v>
      </c>
      <c r="AB21" s="131">
        <v>70.06</v>
      </c>
      <c r="AC21" s="133">
        <v>152</v>
      </c>
      <c r="AD21" s="134">
        <v>5</v>
      </c>
      <c r="AE21" s="131">
        <v>1.2</v>
      </c>
      <c r="AF21" s="115">
        <f t="shared" si="10"/>
        <v>6.5323897659226988</v>
      </c>
      <c r="AG21" s="131">
        <v>97.65</v>
      </c>
      <c r="AH21" s="115">
        <f t="shared" si="11"/>
        <v>531.57321720195966</v>
      </c>
      <c r="AI21" s="139">
        <v>25.84</v>
      </c>
      <c r="AJ21" s="131"/>
      <c r="AK21" s="136">
        <v>13</v>
      </c>
      <c r="AL21" s="136">
        <v>56.59</v>
      </c>
      <c r="AM21" s="110">
        <f t="shared" si="12"/>
        <v>0.22676818272891205</v>
      </c>
      <c r="AN21" s="137" t="s">
        <v>231</v>
      </c>
      <c r="AO21" s="150">
        <v>14.66</v>
      </c>
      <c r="AP21" s="138">
        <v>5.27</v>
      </c>
      <c r="AQ21" s="131"/>
      <c r="AR21" s="131">
        <v>8.65</v>
      </c>
      <c r="AS21" s="315">
        <v>249.55</v>
      </c>
      <c r="AT21" s="131">
        <v>3.74</v>
      </c>
      <c r="AU21" s="116"/>
      <c r="AV21" s="131"/>
      <c r="AW21" s="109">
        <f t="shared" si="31"/>
        <v>0</v>
      </c>
      <c r="AX21" s="109">
        <f t="shared" si="13"/>
        <v>183.70000000000002</v>
      </c>
      <c r="AY21" s="115">
        <f t="shared" si="26"/>
        <v>214.93948156010586</v>
      </c>
      <c r="AZ21" s="140">
        <f t="shared" si="14"/>
        <v>6.5432376760563384</v>
      </c>
      <c r="BA21" s="141">
        <f t="shared" si="15"/>
        <v>7.3480000000000008</v>
      </c>
      <c r="BB21" s="128">
        <f t="shared" si="16"/>
        <v>0.74611745983556754</v>
      </c>
      <c r="BC21" s="141">
        <f t="shared" si="17"/>
        <v>13.891237676056338</v>
      </c>
      <c r="BD21" s="142">
        <v>0.877</v>
      </c>
      <c r="BE21" s="16">
        <f t="shared" si="27"/>
        <v>2617.85</v>
      </c>
      <c r="BF21" s="16">
        <f t="shared" si="18"/>
        <v>220.96774193548387</v>
      </c>
      <c r="BG21" s="16">
        <f t="shared" si="28"/>
        <v>3314.516129032258</v>
      </c>
      <c r="BH21" s="17">
        <f t="shared" si="19"/>
        <v>1</v>
      </c>
      <c r="BI21" s="16">
        <f t="shared" si="29"/>
        <v>3314.516129032258</v>
      </c>
      <c r="BJ21" s="254">
        <v>212.255</v>
      </c>
      <c r="BK21" s="197"/>
      <c r="BL21" s="197">
        <v>137.58199999999999</v>
      </c>
      <c r="BM21" s="197">
        <v>87.677999999999997</v>
      </c>
      <c r="BN21" s="230"/>
      <c r="BO21" s="230"/>
      <c r="BP21" s="259"/>
      <c r="BQ21" s="199"/>
      <c r="BR21" s="200">
        <v>1.83</v>
      </c>
      <c r="BS21" s="200"/>
      <c r="BT21" s="200"/>
      <c r="BU21" s="200">
        <v>11.41</v>
      </c>
      <c r="BV21" s="208"/>
      <c r="BW21" s="208"/>
      <c r="BX21" s="201"/>
      <c r="BY21" s="202">
        <v>37.409999999999997</v>
      </c>
      <c r="BZ21" s="200"/>
      <c r="CA21" s="200">
        <v>43.96</v>
      </c>
      <c r="CB21" s="200">
        <v>43.64</v>
      </c>
      <c r="CC21" s="208"/>
      <c r="CD21" s="208"/>
      <c r="CE21" s="209"/>
      <c r="CF21" s="199"/>
      <c r="CG21" s="197"/>
      <c r="CH21" s="197"/>
      <c r="CI21" s="197">
        <v>274.91000000000003</v>
      </c>
      <c r="CJ21" s="198"/>
      <c r="CK21" s="202"/>
      <c r="CL21" s="208"/>
      <c r="CM21" s="208"/>
      <c r="CN21" s="201"/>
      <c r="CO21" s="284"/>
      <c r="CP21" s="286">
        <f t="shared" si="20"/>
        <v>208.3707335</v>
      </c>
      <c r="CQ21" s="27">
        <f t="shared" si="20"/>
        <v>0</v>
      </c>
      <c r="CR21" s="28">
        <f t="shared" si="20"/>
        <v>137.58199999999999</v>
      </c>
      <c r="CS21" s="27">
        <f t="shared" si="20"/>
        <v>77.673940200000004</v>
      </c>
      <c r="CT21" s="27">
        <f t="shared" si="20"/>
        <v>0</v>
      </c>
      <c r="CU21" s="24">
        <f t="shared" si="20"/>
        <v>0</v>
      </c>
      <c r="CV21" s="281">
        <f t="shared" si="20"/>
        <v>0</v>
      </c>
      <c r="CW21" s="237">
        <f t="shared" si="21"/>
        <v>0</v>
      </c>
      <c r="CX21" s="24">
        <f t="shared" si="21"/>
        <v>0</v>
      </c>
      <c r="CY21" s="277">
        <f t="shared" si="21"/>
        <v>274.91000000000003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30"/>
        <v>0</v>
      </c>
      <c r="DH21" s="419"/>
      <c r="DJ21" s="420"/>
    </row>
    <row r="22" spans="1:114" ht="16.5" customHeight="1">
      <c r="A22" s="127">
        <v>16</v>
      </c>
      <c r="B22" s="103">
        <f t="shared" si="24"/>
        <v>480.03700000000003</v>
      </c>
      <c r="C22" s="104">
        <f t="shared" si="0"/>
        <v>1.3553794395015384</v>
      </c>
      <c r="D22" s="143">
        <f t="shared" si="1"/>
        <v>473.53067720000007</v>
      </c>
      <c r="E22" s="104">
        <f t="shared" si="2"/>
        <v>39.515009822159541</v>
      </c>
      <c r="F22" s="128">
        <f t="shared" si="3"/>
        <v>1.9859531840295253</v>
      </c>
      <c r="G22" s="106"/>
      <c r="H22" s="107">
        <f t="shared" si="4"/>
        <v>1.4241514729072304</v>
      </c>
      <c r="I22" s="103">
        <f>'[1]сентябрь 20'!AE21</f>
        <v>0</v>
      </c>
      <c r="J22" s="328">
        <f>'[1]март 20'!AA21</f>
        <v>18.920000000000002</v>
      </c>
      <c r="K22" s="106"/>
      <c r="L22" s="328">
        <f t="shared" si="25"/>
        <v>133.95599999999999</v>
      </c>
      <c r="M22" s="103">
        <f t="shared" si="5"/>
        <v>0.56180171112229482</v>
      </c>
      <c r="N22" s="103">
        <f>'[1]июль 20'!AM21</f>
        <v>0</v>
      </c>
      <c r="O22" s="103">
        <f>'[1]март 20'!W21</f>
        <v>0</v>
      </c>
      <c r="P22" s="103">
        <f>'[1]март 20'!S21</f>
        <v>301.04300000000001</v>
      </c>
      <c r="Q22" s="108">
        <f t="shared" si="6"/>
        <v>1.5589135106944818</v>
      </c>
      <c r="R22" s="109">
        <f t="shared" si="7"/>
        <v>296.35000000000002</v>
      </c>
      <c r="S22" s="106">
        <v>9.8699999999999992</v>
      </c>
      <c r="T22" s="109">
        <f t="shared" si="8"/>
        <v>296.35000000000002</v>
      </c>
      <c r="U22" s="110">
        <f t="shared" si="9"/>
        <v>1.2428703237711793</v>
      </c>
      <c r="V22" s="136"/>
      <c r="W22" s="129">
        <v>189.52</v>
      </c>
      <c r="X22" s="131">
        <v>0.95</v>
      </c>
      <c r="Y22" s="112">
        <v>640</v>
      </c>
      <c r="Z22" s="152">
        <v>1220</v>
      </c>
      <c r="AA22" s="144" t="s">
        <v>232</v>
      </c>
      <c r="AB22" s="131">
        <v>74.09</v>
      </c>
      <c r="AC22" s="133">
        <v>166</v>
      </c>
      <c r="AD22" s="134">
        <v>5</v>
      </c>
      <c r="AE22" s="131">
        <v>2.0499999999999998</v>
      </c>
      <c r="AF22" s="115">
        <f t="shared" si="10"/>
        <v>8.5975507465190386</v>
      </c>
      <c r="AG22" s="131">
        <v>144.30000000000001</v>
      </c>
      <c r="AH22" s="115">
        <f t="shared" si="11"/>
        <v>605.18369401107202</v>
      </c>
      <c r="AI22" s="139">
        <v>32.57</v>
      </c>
      <c r="AJ22" s="131"/>
      <c r="AK22" s="136">
        <v>9.56</v>
      </c>
      <c r="AL22" s="136">
        <v>53.41</v>
      </c>
      <c r="AM22" s="110">
        <f t="shared" si="12"/>
        <v>0.17919812112061734</v>
      </c>
      <c r="AN22" s="137" t="s">
        <v>233</v>
      </c>
      <c r="AO22" s="150">
        <v>10.5</v>
      </c>
      <c r="AP22" s="138">
        <v>6.78</v>
      </c>
      <c r="AQ22" s="134"/>
      <c r="AR22" s="131">
        <v>8.09</v>
      </c>
      <c r="AS22" s="315">
        <v>298.05</v>
      </c>
      <c r="AT22" s="131">
        <v>3.36</v>
      </c>
      <c r="AU22" s="116"/>
      <c r="AV22" s="131"/>
      <c r="AW22" s="109">
        <f t="shared" si="31"/>
        <v>0</v>
      </c>
      <c r="AX22" s="109">
        <f t="shared" si="13"/>
        <v>238.44000000000003</v>
      </c>
      <c r="AY22" s="115">
        <f t="shared" si="26"/>
        <v>220.47779797339825</v>
      </c>
      <c r="AZ22" s="140">
        <f t="shared" si="14"/>
        <v>9.0431387323943664</v>
      </c>
      <c r="BA22" s="141">
        <f t="shared" si="15"/>
        <v>9.5376000000000012</v>
      </c>
      <c r="BB22" s="128">
        <f t="shared" si="16"/>
        <v>0.94412281832166778</v>
      </c>
      <c r="BC22" s="141">
        <f t="shared" si="17"/>
        <v>18.580738732394366</v>
      </c>
      <c r="BD22" s="142">
        <v>0.88200000000000001</v>
      </c>
      <c r="BE22" s="16">
        <f t="shared" si="27"/>
        <v>2856.29</v>
      </c>
      <c r="BF22" s="16">
        <f t="shared" si="18"/>
        <v>220.96774193548387</v>
      </c>
      <c r="BG22" s="16">
        <f t="shared" si="28"/>
        <v>3535.483870967742</v>
      </c>
      <c r="BH22" s="17">
        <f t="shared" si="19"/>
        <v>1</v>
      </c>
      <c r="BI22" s="16">
        <f t="shared" si="29"/>
        <v>3535.483870967742</v>
      </c>
      <c r="BJ22" s="254">
        <v>346.08100000000002</v>
      </c>
      <c r="BK22" s="197"/>
      <c r="BL22" s="197">
        <v>133.95599999999999</v>
      </c>
      <c r="BM22" s="197"/>
      <c r="BN22" s="230"/>
      <c r="BO22" s="230"/>
      <c r="BP22" s="258"/>
      <c r="BQ22" s="199"/>
      <c r="BR22" s="200">
        <v>1.88</v>
      </c>
      <c r="BS22" s="200"/>
      <c r="BT22" s="200"/>
      <c r="BU22" s="200"/>
      <c r="BV22" s="208"/>
      <c r="BW22" s="208"/>
      <c r="BX22" s="201"/>
      <c r="BY22" s="202">
        <v>37.69</v>
      </c>
      <c r="BZ22" s="200"/>
      <c r="CA22" s="200">
        <v>44.23</v>
      </c>
      <c r="CB22" s="200"/>
      <c r="CC22" s="208"/>
      <c r="CD22" s="208"/>
      <c r="CE22" s="201"/>
      <c r="CF22" s="199"/>
      <c r="CG22" s="197"/>
      <c r="CH22" s="197"/>
      <c r="CI22" s="197">
        <v>296.35000000000002</v>
      </c>
      <c r="CJ22" s="198"/>
      <c r="CK22" s="202"/>
      <c r="CL22" s="200"/>
      <c r="CM22" s="208"/>
      <c r="CN22" s="201"/>
      <c r="CO22" s="284"/>
      <c r="CP22" s="286">
        <f t="shared" si="20"/>
        <v>339.57467720000005</v>
      </c>
      <c r="CQ22" s="29">
        <f t="shared" si="20"/>
        <v>0</v>
      </c>
      <c r="CR22" s="30">
        <f t="shared" si="20"/>
        <v>133.95599999999999</v>
      </c>
      <c r="CS22" s="29">
        <f t="shared" si="20"/>
        <v>0</v>
      </c>
      <c r="CT22" s="27">
        <f t="shared" si="20"/>
        <v>0</v>
      </c>
      <c r="CU22" s="24">
        <f t="shared" si="20"/>
        <v>0</v>
      </c>
      <c r="CV22" s="282">
        <f t="shared" si="20"/>
        <v>0</v>
      </c>
      <c r="CW22" s="237">
        <f t="shared" si="21"/>
        <v>0</v>
      </c>
      <c r="CX22" s="24">
        <f t="shared" si="21"/>
        <v>0</v>
      </c>
      <c r="CY22" s="277">
        <f t="shared" si="21"/>
        <v>296.35000000000002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30"/>
        <v>0</v>
      </c>
      <c r="DH22" s="419"/>
      <c r="DJ22" s="420"/>
    </row>
    <row r="23" spans="1:114" ht="16.5" customHeight="1">
      <c r="A23" s="127">
        <v>17</v>
      </c>
      <c r="B23" s="103">
        <f t="shared" si="24"/>
        <v>490.74</v>
      </c>
      <c r="C23" s="104">
        <f t="shared" si="0"/>
        <v>1.1806561519338143</v>
      </c>
      <c r="D23" s="143">
        <f t="shared" si="1"/>
        <v>484.94604800000002</v>
      </c>
      <c r="E23" s="104">
        <f t="shared" si="2"/>
        <v>39.107578310306877</v>
      </c>
      <c r="F23" s="128">
        <f t="shared" si="3"/>
        <v>2.0829226355124133</v>
      </c>
      <c r="G23" s="106"/>
      <c r="H23" s="107">
        <f t="shared" si="4"/>
        <v>1.5304872777252814</v>
      </c>
      <c r="I23" s="103">
        <f>'[1]сентябрь 20'!AE22</f>
        <v>0</v>
      </c>
      <c r="J23" s="328">
        <f>'[1]март 20'!AA22</f>
        <v>18.306000000000001</v>
      </c>
      <c r="K23" s="106"/>
      <c r="L23" s="328">
        <f t="shared" si="25"/>
        <v>128.61799999999999</v>
      </c>
      <c r="M23" s="103">
        <f t="shared" si="5"/>
        <v>0.55243535778713171</v>
      </c>
      <c r="N23" s="103">
        <f>'[1]июль 20'!AM22</f>
        <v>0</v>
      </c>
      <c r="O23" s="103">
        <f>'[1]март 20'!W22</f>
        <v>0</v>
      </c>
      <c r="P23" s="103">
        <f>'[1]март 20'!S22</f>
        <v>310.923</v>
      </c>
      <c r="Q23" s="108">
        <f t="shared" si="6"/>
        <v>2.660787397522868</v>
      </c>
      <c r="R23" s="109">
        <f t="shared" si="7"/>
        <v>302.64999999999998</v>
      </c>
      <c r="S23" s="106">
        <v>6.69</v>
      </c>
      <c r="T23" s="109">
        <f t="shared" si="8"/>
        <v>302.64999999999998</v>
      </c>
      <c r="U23" s="110">
        <f t="shared" si="9"/>
        <v>1.2999312773816682</v>
      </c>
      <c r="V23" s="136">
        <v>184.18</v>
      </c>
      <c r="W23" s="129">
        <v>232.82</v>
      </c>
      <c r="X23" s="131">
        <v>0.69</v>
      </c>
      <c r="Y23" s="112">
        <v>628</v>
      </c>
      <c r="Z23" s="133">
        <v>1225</v>
      </c>
      <c r="AA23" s="144" t="s">
        <v>198</v>
      </c>
      <c r="AB23" s="131">
        <v>75.75</v>
      </c>
      <c r="AC23" s="133">
        <v>169</v>
      </c>
      <c r="AD23" s="134">
        <v>5</v>
      </c>
      <c r="AE23" s="131">
        <v>3.5</v>
      </c>
      <c r="AF23" s="115">
        <f t="shared" si="10"/>
        <v>15.033072760072159</v>
      </c>
      <c r="AG23" s="131">
        <v>146.55000000000001</v>
      </c>
      <c r="AH23" s="115">
        <f t="shared" si="11"/>
        <v>629.45623228245006</v>
      </c>
      <c r="AI23" s="139">
        <v>29.6</v>
      </c>
      <c r="AJ23" s="131"/>
      <c r="AK23" s="136">
        <v>9.86</v>
      </c>
      <c r="AL23" s="136">
        <v>56.38</v>
      </c>
      <c r="AM23" s="110">
        <f t="shared" si="12"/>
        <v>0.1901838421318941</v>
      </c>
      <c r="AN23" s="137" t="s">
        <v>225</v>
      </c>
      <c r="AO23" s="150">
        <v>8.64</v>
      </c>
      <c r="AP23" s="138">
        <v>7.32</v>
      </c>
      <c r="AQ23" s="134"/>
      <c r="AR23" s="131">
        <v>6.48</v>
      </c>
      <c r="AS23" s="315">
        <v>296.45</v>
      </c>
      <c r="AT23" s="131">
        <v>2.61</v>
      </c>
      <c r="AU23" s="116"/>
      <c r="AV23" s="131"/>
      <c r="AW23" s="109">
        <f t="shared" si="31"/>
        <v>0</v>
      </c>
      <c r="AX23" s="109">
        <f t="shared" si="13"/>
        <v>232.82</v>
      </c>
      <c r="AY23" s="115">
        <f t="shared" si="26"/>
        <v>218.56768612254447</v>
      </c>
      <c r="AZ23" s="140">
        <f t="shared" si="14"/>
        <v>7.3563971830985926</v>
      </c>
      <c r="BA23" s="141">
        <f t="shared" si="15"/>
        <v>9.3127999999999993</v>
      </c>
      <c r="BB23" s="128">
        <f t="shared" si="16"/>
        <v>0.92992639308100955</v>
      </c>
      <c r="BC23" s="141">
        <f t="shared" si="17"/>
        <v>16.669197183098593</v>
      </c>
      <c r="BD23" s="142">
        <v>0.88600000000000001</v>
      </c>
      <c r="BE23" s="16">
        <f t="shared" si="27"/>
        <v>3089.11</v>
      </c>
      <c r="BF23" s="16">
        <f t="shared" si="18"/>
        <v>220.96774193548387</v>
      </c>
      <c r="BG23" s="16">
        <f t="shared" si="28"/>
        <v>3756.4516129032259</v>
      </c>
      <c r="BH23" s="17">
        <f t="shared" si="19"/>
        <v>1</v>
      </c>
      <c r="BI23" s="16">
        <f t="shared" si="29"/>
        <v>3756.4516129032259</v>
      </c>
      <c r="BJ23" s="254">
        <v>362.12200000000001</v>
      </c>
      <c r="BK23" s="197"/>
      <c r="BL23" s="197">
        <v>128.61799999999999</v>
      </c>
      <c r="BM23" s="197"/>
      <c r="BN23" s="230"/>
      <c r="BO23" s="230"/>
      <c r="BP23" s="258"/>
      <c r="BQ23" s="199"/>
      <c r="BR23" s="200">
        <v>1.6</v>
      </c>
      <c r="BS23" s="200"/>
      <c r="BT23" s="200"/>
      <c r="BU23" s="200"/>
      <c r="BV23" s="208"/>
      <c r="BW23" s="208"/>
      <c r="BX23" s="201"/>
      <c r="BY23" s="202">
        <v>37.479999999999997</v>
      </c>
      <c r="BZ23" s="200"/>
      <c r="CA23" s="200">
        <v>43.69</v>
      </c>
      <c r="CB23" s="200"/>
      <c r="CC23" s="208"/>
      <c r="CD23" s="208"/>
      <c r="CE23" s="209"/>
      <c r="CF23" s="199"/>
      <c r="CG23" s="197"/>
      <c r="CH23" s="197"/>
      <c r="CI23" s="197">
        <v>302.64999999999998</v>
      </c>
      <c r="CJ23" s="198"/>
      <c r="CK23" s="202"/>
      <c r="CL23" s="208"/>
      <c r="CM23" s="208"/>
      <c r="CN23" s="201"/>
      <c r="CO23" s="284"/>
      <c r="CP23" s="286">
        <f t="shared" si="20"/>
        <v>356.32804800000002</v>
      </c>
      <c r="CQ23" s="24">
        <f t="shared" si="20"/>
        <v>0</v>
      </c>
      <c r="CR23" s="25">
        <f t="shared" si="20"/>
        <v>128.61799999999999</v>
      </c>
      <c r="CS23" s="24">
        <f t="shared" si="20"/>
        <v>0</v>
      </c>
      <c r="CT23" s="27">
        <f t="shared" si="20"/>
        <v>0</v>
      </c>
      <c r="CU23" s="24">
        <f t="shared" si="20"/>
        <v>0</v>
      </c>
      <c r="CV23" s="280">
        <f t="shared" si="20"/>
        <v>0</v>
      </c>
      <c r="CW23" s="237">
        <f t="shared" si="21"/>
        <v>0</v>
      </c>
      <c r="CX23" s="29">
        <f t="shared" si="21"/>
        <v>0</v>
      </c>
      <c r="CY23" s="277">
        <f t="shared" si="21"/>
        <v>302.64999999999998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30"/>
        <v>0</v>
      </c>
      <c r="DH23" s="419"/>
      <c r="DJ23" s="420"/>
    </row>
    <row r="24" spans="1:114" ht="16.5" customHeight="1">
      <c r="A24" s="127">
        <v>18</v>
      </c>
      <c r="B24" s="103">
        <f t="shared" si="24"/>
        <v>521.596</v>
      </c>
      <c r="C24" s="104">
        <f t="shared" si="0"/>
        <v>1.1441672098712414</v>
      </c>
      <c r="D24" s="143">
        <f t="shared" si="1"/>
        <v>515.6280696</v>
      </c>
      <c r="E24" s="104">
        <f t="shared" si="2"/>
        <v>38.661028228744087</v>
      </c>
      <c r="F24" s="128">
        <f t="shared" si="3"/>
        <v>2.1895964567497557</v>
      </c>
      <c r="G24" s="106"/>
      <c r="H24" s="107">
        <f t="shared" si="4"/>
        <v>1.6419341356320862</v>
      </c>
      <c r="I24" s="103">
        <f>'[1]сентябрь 20'!AE23</f>
        <v>0</v>
      </c>
      <c r="J24" s="328">
        <f>'[1]март 20'!AA23</f>
        <v>17.78</v>
      </c>
      <c r="K24" s="106"/>
      <c r="L24" s="328">
        <f t="shared" si="25"/>
        <v>128.96899999999999</v>
      </c>
      <c r="M24" s="103">
        <f t="shared" si="5"/>
        <v>0.54766232111766955</v>
      </c>
      <c r="N24" s="103">
        <f>'[1]июль 20'!AM23</f>
        <v>0</v>
      </c>
      <c r="O24" s="103">
        <f>'[1]март 20'!W23</f>
        <v>0</v>
      </c>
      <c r="P24" s="103">
        <f>'[1]март 20'!S23</f>
        <v>333.33100000000002</v>
      </c>
      <c r="Q24" s="108">
        <f t="shared" si="6"/>
        <v>4.0833285833000836</v>
      </c>
      <c r="R24" s="109">
        <f t="shared" si="7"/>
        <v>319.72000000000003</v>
      </c>
      <c r="S24" s="106">
        <v>33.61</v>
      </c>
      <c r="T24" s="109">
        <f t="shared" si="8"/>
        <v>319.72000000000003</v>
      </c>
      <c r="U24" s="110">
        <f t="shared" si="9"/>
        <v>1.3576797316234235</v>
      </c>
      <c r="V24" s="136">
        <v>235.49</v>
      </c>
      <c r="W24" s="129">
        <v>235.49</v>
      </c>
      <c r="X24" s="131">
        <v>0.56000000000000005</v>
      </c>
      <c r="Y24" s="133">
        <v>563</v>
      </c>
      <c r="Z24" s="133">
        <v>1229</v>
      </c>
      <c r="AA24" s="144" t="s">
        <v>234</v>
      </c>
      <c r="AB24" s="131">
        <v>76.05</v>
      </c>
      <c r="AC24" s="133">
        <v>180</v>
      </c>
      <c r="AD24" s="134">
        <v>5</v>
      </c>
      <c r="AE24" s="131"/>
      <c r="AF24" s="115">
        <f t="shared" si="10"/>
        <v>0</v>
      </c>
      <c r="AG24" s="131">
        <v>168.15</v>
      </c>
      <c r="AH24" s="115">
        <f t="shared" si="11"/>
        <v>714.04305915325494</v>
      </c>
      <c r="AI24" s="139">
        <v>30.46</v>
      </c>
      <c r="AJ24" s="131"/>
      <c r="AK24" s="136">
        <v>14.06</v>
      </c>
      <c r="AL24" s="136">
        <v>48.74</v>
      </c>
      <c r="AM24" s="110">
        <f t="shared" si="12"/>
        <v>0.16474564813249956</v>
      </c>
      <c r="AN24" s="137" t="s">
        <v>235</v>
      </c>
      <c r="AO24" s="150">
        <v>6.98</v>
      </c>
      <c r="AP24" s="138">
        <v>7.26</v>
      </c>
      <c r="AQ24" s="134"/>
      <c r="AR24" s="131">
        <v>8.76</v>
      </c>
      <c r="AS24" s="315">
        <v>295.85000000000002</v>
      </c>
      <c r="AT24" s="131">
        <v>2.44</v>
      </c>
      <c r="AU24" s="116"/>
      <c r="AV24" s="131"/>
      <c r="AW24" s="109">
        <f t="shared" si="31"/>
        <v>0</v>
      </c>
      <c r="AX24" s="109">
        <f t="shared" si="13"/>
        <v>235.49</v>
      </c>
      <c r="AY24" s="115">
        <f t="shared" si="26"/>
        <v>228.83633152317478</v>
      </c>
      <c r="AZ24" s="140">
        <f t="shared" si="14"/>
        <v>11.41051690140845</v>
      </c>
      <c r="BA24" s="141"/>
      <c r="BB24" s="128">
        <f t="shared" si="16"/>
        <v>0.89838343689398015</v>
      </c>
      <c r="BC24" s="141">
        <f t="shared" si="17"/>
        <v>11.41051690140845</v>
      </c>
      <c r="BD24" s="142">
        <v>0.88700000000000001</v>
      </c>
      <c r="BE24" s="16">
        <f t="shared" si="27"/>
        <v>3324.6000000000004</v>
      </c>
      <c r="BF24" s="16">
        <f t="shared" si="18"/>
        <v>220.96774193548387</v>
      </c>
      <c r="BG24" s="16">
        <f t="shared" si="28"/>
        <v>3977.4193548387098</v>
      </c>
      <c r="BH24" s="17">
        <f t="shared" si="19"/>
        <v>1</v>
      </c>
      <c r="BI24" s="16">
        <f t="shared" si="29"/>
        <v>3977.4193548387098</v>
      </c>
      <c r="BJ24" s="254">
        <v>392.62700000000001</v>
      </c>
      <c r="BK24" s="197"/>
      <c r="BL24" s="197">
        <v>128.96899999999999</v>
      </c>
      <c r="BM24" s="197"/>
      <c r="BN24" s="230"/>
      <c r="BO24" s="230"/>
      <c r="BP24" s="258"/>
      <c r="BQ24" s="199"/>
      <c r="BR24" s="200">
        <v>1.52</v>
      </c>
      <c r="BS24" s="200"/>
      <c r="BT24" s="200"/>
      <c r="BU24" s="200"/>
      <c r="BV24" s="208"/>
      <c r="BW24" s="208"/>
      <c r="BX24" s="201"/>
      <c r="BY24" s="202">
        <v>36.950000000000003</v>
      </c>
      <c r="BZ24" s="200"/>
      <c r="CA24" s="200">
        <v>43.87</v>
      </c>
      <c r="CB24" s="200"/>
      <c r="CC24" s="208"/>
      <c r="CD24" s="208"/>
      <c r="CE24" s="209"/>
      <c r="CF24" s="199"/>
      <c r="CG24" s="197"/>
      <c r="CH24" s="197"/>
      <c r="CI24" s="197">
        <v>319.72000000000003</v>
      </c>
      <c r="CJ24" s="198"/>
      <c r="CK24" s="202"/>
      <c r="CL24" s="208"/>
      <c r="CM24" s="208"/>
      <c r="CN24" s="201"/>
      <c r="CO24" s="284"/>
      <c r="CP24" s="286">
        <f t="shared" si="20"/>
        <v>386.65906960000001</v>
      </c>
      <c r="CQ24" s="29">
        <f t="shared" si="20"/>
        <v>0</v>
      </c>
      <c r="CR24" s="30">
        <f t="shared" si="20"/>
        <v>128.96899999999999</v>
      </c>
      <c r="CS24" s="29">
        <f t="shared" si="20"/>
        <v>0</v>
      </c>
      <c r="CT24" s="27">
        <f t="shared" si="20"/>
        <v>0</v>
      </c>
      <c r="CU24" s="27">
        <f t="shared" si="20"/>
        <v>0</v>
      </c>
      <c r="CV24" s="282">
        <f t="shared" si="20"/>
        <v>0</v>
      </c>
      <c r="CW24" s="25">
        <f t="shared" si="21"/>
        <v>0</v>
      </c>
      <c r="CX24" s="26">
        <f t="shared" si="21"/>
        <v>0</v>
      </c>
      <c r="CY24" s="277">
        <f t="shared" si="21"/>
        <v>319.72000000000003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30"/>
        <v>0</v>
      </c>
      <c r="DH24" s="419"/>
      <c r="DJ24" s="420"/>
    </row>
    <row r="25" spans="1:114" ht="16.5" customHeight="1">
      <c r="A25" s="127">
        <v>19</v>
      </c>
      <c r="B25" s="103">
        <f t="shared" si="24"/>
        <v>551.76499999999999</v>
      </c>
      <c r="C25" s="104">
        <f t="shared" si="0"/>
        <v>1.1557643199550534</v>
      </c>
      <c r="D25" s="143">
        <f t="shared" si="1"/>
        <v>545.38789699999995</v>
      </c>
      <c r="E25" s="104">
        <f t="shared" si="2"/>
        <v>39.42046521616993</v>
      </c>
      <c r="F25" s="128">
        <f t="shared" si="3"/>
        <v>2.3589441911764699</v>
      </c>
      <c r="G25" s="106"/>
      <c r="H25" s="107">
        <f t="shared" si="4"/>
        <v>1.7519415960207609</v>
      </c>
      <c r="I25" s="103">
        <f>'[1]сентябрь 20'!AE24</f>
        <v>0</v>
      </c>
      <c r="J25" s="328">
        <f>'[1]март 20'!AA24</f>
        <v>17.484000000000002</v>
      </c>
      <c r="K25" s="106">
        <v>59.93</v>
      </c>
      <c r="L25" s="328">
        <f t="shared" si="25"/>
        <v>140.339</v>
      </c>
      <c r="M25" s="103">
        <f t="shared" si="5"/>
        <v>0.6070025951557092</v>
      </c>
      <c r="N25" s="103">
        <f>'[1]июль 20'!AM24</f>
        <v>2.8069999999999999</v>
      </c>
      <c r="O25" s="103">
        <f>'[1]март 20'!W24</f>
        <v>0</v>
      </c>
      <c r="P25" s="103">
        <f>'[1]март 20'!S24</f>
        <v>343.65600000000001</v>
      </c>
      <c r="Q25" s="108">
        <f t="shared" si="6"/>
        <v>3.9621016365202322</v>
      </c>
      <c r="R25" s="109">
        <f t="shared" si="7"/>
        <v>330.04</v>
      </c>
      <c r="S25" s="106">
        <v>22.03</v>
      </c>
      <c r="T25" s="109">
        <f t="shared" si="8"/>
        <v>330.04</v>
      </c>
      <c r="U25" s="110">
        <f t="shared" si="9"/>
        <v>1.4275086505190309</v>
      </c>
      <c r="V25" s="136">
        <v>231.2</v>
      </c>
      <c r="W25" s="129">
        <v>132.46</v>
      </c>
      <c r="X25" s="131">
        <v>0.86</v>
      </c>
      <c r="Y25" s="133">
        <v>514</v>
      </c>
      <c r="Z25" s="133">
        <v>1237</v>
      </c>
      <c r="AA25" s="144" t="s">
        <v>178</v>
      </c>
      <c r="AB25" s="131">
        <v>76.489999999999995</v>
      </c>
      <c r="AC25" s="133">
        <v>190</v>
      </c>
      <c r="AD25" s="134">
        <v>5</v>
      </c>
      <c r="AE25" s="131">
        <v>2.8</v>
      </c>
      <c r="AF25" s="115">
        <f t="shared" si="10"/>
        <v>12.110726643598612</v>
      </c>
      <c r="AG25" s="131">
        <v>156.9</v>
      </c>
      <c r="AH25" s="115">
        <f t="shared" si="11"/>
        <v>678.63321799307948</v>
      </c>
      <c r="AI25" s="139">
        <v>25.55</v>
      </c>
      <c r="AJ25" s="131"/>
      <c r="AK25" s="136">
        <v>12.7</v>
      </c>
      <c r="AL25" s="136">
        <v>54.22</v>
      </c>
      <c r="AM25" s="110">
        <f t="shared" si="12"/>
        <v>0.1849880586830433</v>
      </c>
      <c r="AN25" s="137" t="s">
        <v>208</v>
      </c>
      <c r="AO25" s="150">
        <v>7.07</v>
      </c>
      <c r="AP25" s="138">
        <v>7.12</v>
      </c>
      <c r="AQ25" s="153"/>
      <c r="AR25" s="131">
        <v>8.32</v>
      </c>
      <c r="AS25" s="315">
        <v>293.10000000000002</v>
      </c>
      <c r="AT25" s="131">
        <v>5.0199999999999996</v>
      </c>
      <c r="AU25" s="148"/>
      <c r="AV25" s="131"/>
      <c r="AW25" s="109">
        <f t="shared" si="31"/>
        <v>0</v>
      </c>
      <c r="AX25" s="109">
        <f t="shared" si="13"/>
        <v>231.20000000000005</v>
      </c>
      <c r="AY25" s="115">
        <f t="shared" si="26"/>
        <v>245.37867898923363</v>
      </c>
      <c r="AZ25" s="140">
        <f t="shared" si="14"/>
        <v>10.112315492957746</v>
      </c>
      <c r="BA25" s="141">
        <f t="shared" ref="BA25:BA37" si="32">AX25*$BA$6</f>
        <v>9.2480000000000029</v>
      </c>
      <c r="BB25" s="128">
        <f t="shared" si="16"/>
        <v>0.82255557341579777</v>
      </c>
      <c r="BC25" s="141">
        <f t="shared" si="17"/>
        <v>19.360315492957749</v>
      </c>
      <c r="BD25" s="142">
        <v>0.88200000000000001</v>
      </c>
      <c r="BE25" s="16">
        <f t="shared" si="27"/>
        <v>3555.8</v>
      </c>
      <c r="BF25" s="16">
        <f t="shared" si="18"/>
        <v>220.96774193548387</v>
      </c>
      <c r="BG25" s="16">
        <f t="shared" si="28"/>
        <v>4198.3870967741932</v>
      </c>
      <c r="BH25" s="17">
        <f t="shared" si="19"/>
        <v>1</v>
      </c>
      <c r="BI25" s="16">
        <f t="shared" si="29"/>
        <v>4198.3870967741932</v>
      </c>
      <c r="BJ25" s="254">
        <v>411.42599999999999</v>
      </c>
      <c r="BK25" s="197"/>
      <c r="BL25" s="197">
        <v>140.339</v>
      </c>
      <c r="BM25" s="197"/>
      <c r="BN25" s="230"/>
      <c r="BO25" s="230"/>
      <c r="BP25" s="258"/>
      <c r="BQ25" s="199"/>
      <c r="BR25" s="200">
        <v>1.55</v>
      </c>
      <c r="BS25" s="200"/>
      <c r="BT25" s="200"/>
      <c r="BU25" s="200"/>
      <c r="BV25" s="208"/>
      <c r="BW25" s="208"/>
      <c r="BX25" s="201"/>
      <c r="BY25" s="202">
        <v>37.93</v>
      </c>
      <c r="BZ25" s="200"/>
      <c r="CA25" s="200">
        <v>43.79</v>
      </c>
      <c r="CB25" s="200"/>
      <c r="CC25" s="208"/>
      <c r="CD25" s="208"/>
      <c r="CE25" s="201"/>
      <c r="CF25" s="199"/>
      <c r="CG25" s="197"/>
      <c r="CH25" s="197"/>
      <c r="CI25" s="197">
        <v>330.04</v>
      </c>
      <c r="CJ25" s="198"/>
      <c r="CK25" s="202"/>
      <c r="CL25" s="208"/>
      <c r="CM25" s="208"/>
      <c r="CN25" s="201"/>
      <c r="CO25" s="284"/>
      <c r="CP25" s="286">
        <f t="shared" si="20"/>
        <v>405.04889700000001</v>
      </c>
      <c r="CQ25" s="24">
        <f t="shared" si="20"/>
        <v>0</v>
      </c>
      <c r="CR25" s="25">
        <f t="shared" si="20"/>
        <v>140.339</v>
      </c>
      <c r="CS25" s="24">
        <f t="shared" si="20"/>
        <v>0</v>
      </c>
      <c r="CT25" s="27">
        <f t="shared" si="20"/>
        <v>0</v>
      </c>
      <c r="CU25" s="30">
        <f t="shared" si="20"/>
        <v>0</v>
      </c>
      <c r="CV25" s="280">
        <f t="shared" si="20"/>
        <v>0</v>
      </c>
      <c r="CW25" s="25">
        <f t="shared" si="21"/>
        <v>0</v>
      </c>
      <c r="CX25" s="26">
        <f t="shared" si="21"/>
        <v>0</v>
      </c>
      <c r="CY25" s="277">
        <f t="shared" si="21"/>
        <v>330.04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30"/>
        <v>0</v>
      </c>
      <c r="DH25" s="419"/>
      <c r="DJ25" s="420"/>
    </row>
    <row r="26" spans="1:114" ht="16.5" customHeight="1">
      <c r="A26" s="127">
        <v>20</v>
      </c>
      <c r="B26" s="103">
        <f t="shared" si="24"/>
        <v>506.96799999999996</v>
      </c>
      <c r="C26" s="104">
        <f t="shared" si="0"/>
        <v>2.4519964573700905</v>
      </c>
      <c r="D26" s="143">
        <f t="shared" si="1"/>
        <v>494.53716259999999</v>
      </c>
      <c r="E26" s="104">
        <f t="shared" si="2"/>
        <v>39.368634627826602</v>
      </c>
      <c r="F26" s="128">
        <f t="shared" si="3"/>
        <v>2.187636745111917</v>
      </c>
      <c r="G26" s="106"/>
      <c r="H26" s="107">
        <f t="shared" si="4"/>
        <v>1.6063132026895512</v>
      </c>
      <c r="I26" s="103">
        <f>'[1]сентябрь 20'!AE25</f>
        <v>0</v>
      </c>
      <c r="J26" s="328">
        <f>'[1]март 20'!AA25</f>
        <v>15.284000000000001</v>
      </c>
      <c r="K26" s="106">
        <v>22.08</v>
      </c>
      <c r="L26" s="328">
        <f t="shared" si="25"/>
        <v>131.41399999999999</v>
      </c>
      <c r="M26" s="103">
        <f t="shared" si="5"/>
        <v>0.58132354242236572</v>
      </c>
      <c r="N26" s="103">
        <f>'[1]июль 20'!AM25</f>
        <v>7.1479999999999997</v>
      </c>
      <c r="O26" s="103">
        <f>'[1]март 20'!W25</f>
        <v>0</v>
      </c>
      <c r="P26" s="103">
        <f>'[1]март 20'!S25</f>
        <v>314.32400000000001</v>
      </c>
      <c r="Q26" s="108">
        <f t="shared" si="6"/>
        <v>3.9653351319021146</v>
      </c>
      <c r="R26" s="109">
        <f t="shared" si="7"/>
        <v>301.86000000000007</v>
      </c>
      <c r="S26" s="106">
        <v>13.33</v>
      </c>
      <c r="T26" s="109">
        <f t="shared" si="8"/>
        <v>301.86</v>
      </c>
      <c r="U26" s="110">
        <f t="shared" si="9"/>
        <v>1.3353092099442629</v>
      </c>
      <c r="V26" s="136">
        <v>226.06</v>
      </c>
      <c r="W26" s="154">
        <v>226.06</v>
      </c>
      <c r="X26" s="149">
        <v>0.3</v>
      </c>
      <c r="Y26" s="147">
        <v>583</v>
      </c>
      <c r="Z26" s="147">
        <v>1234</v>
      </c>
      <c r="AA26" s="144" t="s">
        <v>222</v>
      </c>
      <c r="AB26" s="149">
        <v>75.94</v>
      </c>
      <c r="AC26" s="147">
        <v>175</v>
      </c>
      <c r="AD26" s="155">
        <v>5</v>
      </c>
      <c r="AE26" s="149">
        <v>1.5</v>
      </c>
      <c r="AF26" s="115">
        <f t="shared" si="10"/>
        <v>6.6354065292400248</v>
      </c>
      <c r="AG26" s="149">
        <v>174.95</v>
      </c>
      <c r="AH26" s="115">
        <f t="shared" si="11"/>
        <v>773.90958152702819</v>
      </c>
      <c r="AI26" s="156">
        <v>29.97</v>
      </c>
      <c r="AJ26" s="149"/>
      <c r="AK26" s="157">
        <v>8.94</v>
      </c>
      <c r="AL26" s="157">
        <v>53.34</v>
      </c>
      <c r="AM26" s="110">
        <f t="shared" si="12"/>
        <v>0.18794926004228329</v>
      </c>
      <c r="AN26" s="158" t="s">
        <v>208</v>
      </c>
      <c r="AO26" s="404">
        <v>6.69</v>
      </c>
      <c r="AP26" s="159">
        <v>6.79</v>
      </c>
      <c r="AQ26" s="155"/>
      <c r="AR26" s="149">
        <v>11.81</v>
      </c>
      <c r="AS26" s="315">
        <v>283.8</v>
      </c>
      <c r="AT26" s="131">
        <v>4.54</v>
      </c>
      <c r="AU26" s="148"/>
      <c r="AV26" s="149"/>
      <c r="AW26" s="160">
        <f t="shared" si="31"/>
        <v>0</v>
      </c>
      <c r="AX26" s="109">
        <f t="shared" si="13"/>
        <v>226.06</v>
      </c>
      <c r="AY26" s="115">
        <f t="shared" si="26"/>
        <v>223.81693113665696</v>
      </c>
      <c r="AZ26" s="140">
        <f t="shared" si="14"/>
        <v>16.005460915492957</v>
      </c>
      <c r="BA26" s="140">
        <f t="shared" si="32"/>
        <v>9.0424000000000007</v>
      </c>
      <c r="BB26" s="161">
        <f t="shared" si="16"/>
        <v>0.88174911074758189</v>
      </c>
      <c r="BC26" s="140">
        <f t="shared" si="17"/>
        <v>25.047860915492958</v>
      </c>
      <c r="BD26" s="162">
        <v>0.88200000000000001</v>
      </c>
      <c r="BE26" s="16">
        <f t="shared" si="27"/>
        <v>3781.86</v>
      </c>
      <c r="BF26" s="16">
        <f t="shared" si="18"/>
        <v>220.96774193548387</v>
      </c>
      <c r="BG26" s="16">
        <f t="shared" si="28"/>
        <v>4419.3548387096771</v>
      </c>
      <c r="BH26" s="17">
        <f t="shared" si="19"/>
        <v>1</v>
      </c>
      <c r="BI26" s="16">
        <f t="shared" si="29"/>
        <v>4419.3548387096771</v>
      </c>
      <c r="BJ26" s="254">
        <v>375.55399999999997</v>
      </c>
      <c r="BK26" s="197"/>
      <c r="BL26" s="197">
        <v>131.41399999999999</v>
      </c>
      <c r="BM26" s="197"/>
      <c r="BN26" s="230"/>
      <c r="BO26" s="230"/>
      <c r="BP26" s="258"/>
      <c r="BQ26" s="199"/>
      <c r="BR26" s="200">
        <v>3.31</v>
      </c>
      <c r="BS26" s="200"/>
      <c r="BT26" s="200"/>
      <c r="BU26" s="200"/>
      <c r="BV26" s="208"/>
      <c r="BW26" s="208"/>
      <c r="BX26" s="201"/>
      <c r="BY26" s="202">
        <v>37.86</v>
      </c>
      <c r="BZ26" s="200"/>
      <c r="CA26" s="200">
        <v>43.68</v>
      </c>
      <c r="CB26" s="200"/>
      <c r="CC26" s="208"/>
      <c r="CD26" s="208"/>
      <c r="CE26" s="209"/>
      <c r="CF26" s="199"/>
      <c r="CG26" s="197"/>
      <c r="CH26" s="197"/>
      <c r="CI26" s="197">
        <v>301.86</v>
      </c>
      <c r="CJ26" s="198"/>
      <c r="CK26" s="202"/>
      <c r="CL26" s="208"/>
      <c r="CM26" s="208"/>
      <c r="CN26" s="201"/>
      <c r="CO26" s="284"/>
      <c r="CP26" s="286">
        <f t="shared" si="20"/>
        <v>363.12316259999994</v>
      </c>
      <c r="CQ26" s="24">
        <f t="shared" si="20"/>
        <v>0</v>
      </c>
      <c r="CR26" s="25">
        <f t="shared" si="20"/>
        <v>131.41399999999999</v>
      </c>
      <c r="CS26" s="24">
        <f t="shared" si="20"/>
        <v>0</v>
      </c>
      <c r="CT26" s="27">
        <f t="shared" si="20"/>
        <v>0</v>
      </c>
      <c r="CU26" s="24">
        <f t="shared" si="20"/>
        <v>0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301.86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30"/>
        <v>0</v>
      </c>
      <c r="DH26" s="419"/>
      <c r="DJ26" s="420"/>
    </row>
    <row r="27" spans="1:114" ht="16.5" customHeight="1">
      <c r="A27" s="127">
        <v>21</v>
      </c>
      <c r="B27" s="103">
        <f t="shared" si="24"/>
        <v>521.67100000000005</v>
      </c>
      <c r="C27" s="104">
        <f t="shared" si="0"/>
        <v>2.4132513595733709</v>
      </c>
      <c r="D27" s="143">
        <f t="shared" si="1"/>
        <v>509.08176750000007</v>
      </c>
      <c r="E27" s="104">
        <f t="shared" si="2"/>
        <v>39.740290048708857</v>
      </c>
      <c r="F27" s="128">
        <f t="shared" si="3"/>
        <v>2.3646326698871292</v>
      </c>
      <c r="G27" s="106"/>
      <c r="H27" s="107">
        <f t="shared" si="4"/>
        <v>1.7407764759162059</v>
      </c>
      <c r="I27" s="103">
        <f>'[1]сентябрь 20'!AE26</f>
        <v>0</v>
      </c>
      <c r="J27" s="328">
        <f>'[1]март 20'!AA26</f>
        <v>14.247999999999999</v>
      </c>
      <c r="K27" s="106">
        <v>26.07</v>
      </c>
      <c r="L27" s="328">
        <f t="shared" si="25"/>
        <v>134.31</v>
      </c>
      <c r="M27" s="103">
        <f t="shared" si="5"/>
        <v>0.62385619397092285</v>
      </c>
      <c r="N27" s="103">
        <f>'[1]июль 20'!AM26</f>
        <v>7.0339999999999998</v>
      </c>
      <c r="O27" s="103">
        <f>'[1]март 20'!W26</f>
        <v>0</v>
      </c>
      <c r="P27" s="103">
        <f>'[1]март 20'!S26</f>
        <v>324.78699999999998</v>
      </c>
      <c r="Q27" s="108">
        <f t="shared" si="6"/>
        <v>4.1217782731451713</v>
      </c>
      <c r="R27" s="109">
        <f t="shared" si="7"/>
        <v>311.39999999999998</v>
      </c>
      <c r="S27" s="106">
        <v>15.22</v>
      </c>
      <c r="T27" s="109">
        <f t="shared" si="8"/>
        <v>311.39999999999998</v>
      </c>
      <c r="U27" s="110">
        <f t="shared" si="9"/>
        <v>1.4464211064146033</v>
      </c>
      <c r="V27" s="129">
        <v>215.29</v>
      </c>
      <c r="W27" s="129">
        <v>215.29</v>
      </c>
      <c r="X27" s="131">
        <v>0.31</v>
      </c>
      <c r="Y27" s="133">
        <v>573</v>
      </c>
      <c r="Z27" s="133">
        <v>1235</v>
      </c>
      <c r="AA27" s="144" t="s">
        <v>236</v>
      </c>
      <c r="AB27" s="131">
        <v>76.28</v>
      </c>
      <c r="AC27" s="133">
        <v>180</v>
      </c>
      <c r="AD27" s="134">
        <v>5</v>
      </c>
      <c r="AE27" s="131">
        <v>4.55</v>
      </c>
      <c r="AF27" s="115">
        <f t="shared" si="10"/>
        <v>21.134283989038039</v>
      </c>
      <c r="AG27" s="131">
        <v>161.69999999999999</v>
      </c>
      <c r="AH27" s="115">
        <f t="shared" si="11"/>
        <v>751.07993868735184</v>
      </c>
      <c r="AI27" s="139">
        <v>32.56</v>
      </c>
      <c r="AJ27" s="131"/>
      <c r="AK27" s="136">
        <v>8.6999999999999993</v>
      </c>
      <c r="AL27" s="136">
        <v>63.19</v>
      </c>
      <c r="AM27" s="110">
        <f t="shared" si="12"/>
        <v>0.22285311232586844</v>
      </c>
      <c r="AN27" s="137" t="s">
        <v>189</v>
      </c>
      <c r="AO27" s="150">
        <v>6.88</v>
      </c>
      <c r="AP27" s="138">
        <v>6.97</v>
      </c>
      <c r="AQ27" s="134"/>
      <c r="AR27" s="131">
        <v>10.47</v>
      </c>
      <c r="AS27" s="139">
        <v>283.55</v>
      </c>
      <c r="AT27" s="131">
        <v>3.63</v>
      </c>
      <c r="AU27" s="148"/>
      <c r="AV27" s="131"/>
      <c r="AW27" s="109">
        <f t="shared" si="31"/>
        <v>0</v>
      </c>
      <c r="AX27" s="109">
        <f t="shared" si="13"/>
        <v>215.29000000000002</v>
      </c>
      <c r="AY27" s="115">
        <f t="shared" si="26"/>
        <v>231.53792406124185</v>
      </c>
      <c r="AZ27" s="140">
        <f t="shared" si="14"/>
        <v>13.114780985915493</v>
      </c>
      <c r="BA27" s="141">
        <f t="shared" si="32"/>
        <v>8.611600000000001</v>
      </c>
      <c r="BB27" s="128">
        <f t="shared" si="16"/>
        <v>0.81173816670433507</v>
      </c>
      <c r="BC27" s="141">
        <f t="shared" si="17"/>
        <v>21.726380985915494</v>
      </c>
      <c r="BD27" s="142">
        <v>0.878</v>
      </c>
      <c r="BE27" s="16">
        <f t="shared" si="27"/>
        <v>3997.15</v>
      </c>
      <c r="BF27" s="16">
        <f t="shared" si="18"/>
        <v>220.96774193548387</v>
      </c>
      <c r="BG27" s="16">
        <f t="shared" si="28"/>
        <v>4640.322580645161</v>
      </c>
      <c r="BH27" s="17">
        <f t="shared" si="19"/>
        <v>1</v>
      </c>
      <c r="BI27" s="16">
        <f t="shared" si="29"/>
        <v>4640.322580645161</v>
      </c>
      <c r="BJ27" s="254">
        <v>387.36099999999999</v>
      </c>
      <c r="BK27" s="197"/>
      <c r="BL27" s="197">
        <v>134.31</v>
      </c>
      <c r="BM27" s="197"/>
      <c r="BN27" s="230"/>
      <c r="BO27" s="230"/>
      <c r="BP27" s="258"/>
      <c r="BQ27" s="199"/>
      <c r="BR27" s="200">
        <v>3.25</v>
      </c>
      <c r="BS27" s="200"/>
      <c r="BT27" s="200"/>
      <c r="BU27" s="200"/>
      <c r="BV27" s="208"/>
      <c r="BW27" s="208"/>
      <c r="BX27" s="201"/>
      <c r="BY27" s="202">
        <v>38.35</v>
      </c>
      <c r="BZ27" s="200"/>
      <c r="CA27" s="200">
        <v>43.75</v>
      </c>
      <c r="CB27" s="200"/>
      <c r="CC27" s="208"/>
      <c r="CD27" s="208"/>
      <c r="CE27" s="209"/>
      <c r="CF27" s="199"/>
      <c r="CG27" s="197"/>
      <c r="CH27" s="197"/>
      <c r="CI27" s="197">
        <v>311.39999999999998</v>
      </c>
      <c r="CJ27" s="198"/>
      <c r="CK27" s="202"/>
      <c r="CL27" s="208"/>
      <c r="CM27" s="208"/>
      <c r="CN27" s="201"/>
      <c r="CO27" s="284"/>
      <c r="CP27" s="286">
        <f t="shared" si="20"/>
        <v>374.77176750000001</v>
      </c>
      <c r="CQ27" s="24">
        <f t="shared" si="20"/>
        <v>0</v>
      </c>
      <c r="CR27" s="25">
        <f t="shared" si="20"/>
        <v>134.31</v>
      </c>
      <c r="CS27" s="24">
        <f t="shared" si="20"/>
        <v>0</v>
      </c>
      <c r="CT27" s="27">
        <f t="shared" si="20"/>
        <v>0</v>
      </c>
      <c r="CU27" s="29">
        <f t="shared" si="20"/>
        <v>0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311.39999999999998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30"/>
        <v>0</v>
      </c>
      <c r="DH27" s="419"/>
      <c r="DJ27" s="420"/>
    </row>
    <row r="28" spans="1:114" ht="16.5" customHeight="1">
      <c r="A28" s="127">
        <v>22</v>
      </c>
      <c r="B28" s="103">
        <f t="shared" si="24"/>
        <v>524.76800000000003</v>
      </c>
      <c r="C28" s="104">
        <f t="shared" si="0"/>
        <v>2.4362423013598384</v>
      </c>
      <c r="D28" s="143">
        <f t="shared" si="1"/>
        <v>511.98338000000007</v>
      </c>
      <c r="E28" s="104">
        <f t="shared" si="2"/>
        <v>39.41230029270077</v>
      </c>
      <c r="F28" s="128">
        <f t="shared" si="3"/>
        <v>2.0848775501893555</v>
      </c>
      <c r="G28" s="106"/>
      <c r="H28" s="107">
        <f t="shared" si="4"/>
        <v>1.535164637374272</v>
      </c>
      <c r="I28" s="103">
        <f>'[1]сентябрь 20'!AE27</f>
        <v>0</v>
      </c>
      <c r="J28" s="328">
        <f>'[1]март 20'!AA27</f>
        <v>14.51</v>
      </c>
      <c r="K28" s="106">
        <v>26.13</v>
      </c>
      <c r="L28" s="328">
        <f t="shared" si="25"/>
        <v>134.99299999999999</v>
      </c>
      <c r="M28" s="103">
        <f t="shared" si="5"/>
        <v>0.54971291281508328</v>
      </c>
      <c r="N28" s="103">
        <f>'[1]июль 20'!AM27</f>
        <v>6.6520000000000001</v>
      </c>
      <c r="O28" s="103">
        <f>'[1]март 20'!W27</f>
        <v>0</v>
      </c>
      <c r="P28" s="103">
        <f>'[1]март 20'!S27</f>
        <v>326.49799999999999</v>
      </c>
      <c r="Q28" s="108">
        <f t="shared" si="6"/>
        <v>4.186243101029719</v>
      </c>
      <c r="R28" s="109">
        <f t="shared" si="7"/>
        <v>312.83</v>
      </c>
      <c r="S28" s="106">
        <v>14.53</v>
      </c>
      <c r="T28" s="109">
        <f t="shared" si="8"/>
        <v>312.83</v>
      </c>
      <c r="U28" s="110">
        <f t="shared" si="9"/>
        <v>1.2738933908865089</v>
      </c>
      <c r="V28" s="129">
        <v>245.57</v>
      </c>
      <c r="W28" s="136">
        <v>245.57</v>
      </c>
      <c r="X28" s="131">
        <v>0.43</v>
      </c>
      <c r="Y28" s="133">
        <v>570</v>
      </c>
      <c r="Z28" s="133">
        <v>1242</v>
      </c>
      <c r="AA28" s="144" t="s">
        <v>236</v>
      </c>
      <c r="AB28" s="131">
        <v>76.510000000000005</v>
      </c>
      <c r="AC28" s="133">
        <v>181</v>
      </c>
      <c r="AD28" s="134">
        <v>5</v>
      </c>
      <c r="AE28" s="131">
        <v>2.8</v>
      </c>
      <c r="AF28" s="115">
        <f t="shared" si="10"/>
        <v>11.402044223642953</v>
      </c>
      <c r="AG28" s="131">
        <v>142.44999999999999</v>
      </c>
      <c r="AH28" s="115">
        <f t="shared" si="11"/>
        <v>580.07899987783514</v>
      </c>
      <c r="AI28" s="139">
        <v>31.68</v>
      </c>
      <c r="AJ28" s="131"/>
      <c r="AK28" s="136">
        <v>8.74</v>
      </c>
      <c r="AL28" s="136">
        <v>53.4</v>
      </c>
      <c r="AM28" s="110">
        <f t="shared" si="12"/>
        <v>0.17490992466426464</v>
      </c>
      <c r="AN28" s="137" t="s">
        <v>201</v>
      </c>
      <c r="AO28" s="150">
        <v>7.24</v>
      </c>
      <c r="AP28" s="138">
        <v>7.37</v>
      </c>
      <c r="AQ28" s="134"/>
      <c r="AR28" s="131">
        <v>8.44</v>
      </c>
      <c r="AS28" s="139">
        <v>305.3</v>
      </c>
      <c r="AT28" s="131">
        <v>2.41</v>
      </c>
      <c r="AU28" s="148"/>
      <c r="AV28" s="131"/>
      <c r="AW28" s="109">
        <f t="shared" si="31"/>
        <v>0</v>
      </c>
      <c r="AX28" s="109">
        <f t="shared" si="13"/>
        <v>245.57</v>
      </c>
      <c r="AY28" s="115">
        <f t="shared" si="26"/>
        <v>230.24154348866915</v>
      </c>
      <c r="AZ28" s="140">
        <f t="shared" si="14"/>
        <v>9.3134211267605611</v>
      </c>
      <c r="BA28" s="141">
        <f t="shared" si="32"/>
        <v>9.8227999999999991</v>
      </c>
      <c r="BB28" s="128">
        <f t="shared" si="16"/>
        <v>0.93112045181607472</v>
      </c>
      <c r="BC28" s="141">
        <f t="shared" si="17"/>
        <v>19.13622112676056</v>
      </c>
      <c r="BD28" s="142">
        <v>0.88100000000000001</v>
      </c>
      <c r="BE28" s="16">
        <f t="shared" si="27"/>
        <v>4242.72</v>
      </c>
      <c r="BF28" s="16">
        <f t="shared" si="18"/>
        <v>220.96774193548387</v>
      </c>
      <c r="BG28" s="16">
        <f t="shared" si="28"/>
        <v>4861.2903225806449</v>
      </c>
      <c r="BH28" s="17">
        <f t="shared" si="19"/>
        <v>1</v>
      </c>
      <c r="BI28" s="16">
        <f t="shared" si="29"/>
        <v>4861.2903225806449</v>
      </c>
      <c r="BJ28" s="254">
        <v>389.77499999999998</v>
      </c>
      <c r="BK28" s="197"/>
      <c r="BL28" s="197">
        <v>134.99299999999999</v>
      </c>
      <c r="BM28" s="197"/>
      <c r="BN28" s="230"/>
      <c r="BO28" s="230"/>
      <c r="BP28" s="258"/>
      <c r="BQ28" s="199"/>
      <c r="BR28" s="200">
        <v>3.28</v>
      </c>
      <c r="BS28" s="200"/>
      <c r="BT28" s="200"/>
      <c r="BU28" s="200"/>
      <c r="BV28" s="208"/>
      <c r="BW28" s="208"/>
      <c r="BX28" s="201"/>
      <c r="BY28" s="202">
        <v>37.909999999999997</v>
      </c>
      <c r="BZ28" s="200"/>
      <c r="CA28" s="200">
        <v>43.75</v>
      </c>
      <c r="CB28" s="200"/>
      <c r="CC28" s="208"/>
      <c r="CD28" s="208"/>
      <c r="CE28" s="209"/>
      <c r="CF28" s="199"/>
      <c r="CG28" s="197"/>
      <c r="CH28" s="197"/>
      <c r="CI28" s="197">
        <v>312.83</v>
      </c>
      <c r="CJ28" s="198"/>
      <c r="CK28" s="202"/>
      <c r="CL28" s="208"/>
      <c r="CM28" s="208"/>
      <c r="CN28" s="201"/>
      <c r="CO28" s="284"/>
      <c r="CP28" s="286">
        <f t="shared" si="20"/>
        <v>376.99037999999996</v>
      </c>
      <c r="CQ28" s="29">
        <f t="shared" si="20"/>
        <v>0</v>
      </c>
      <c r="CR28" s="30">
        <f t="shared" si="20"/>
        <v>134.99299999999999</v>
      </c>
      <c r="CS28" s="29">
        <f t="shared" si="20"/>
        <v>0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312.83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30"/>
        <v>0</v>
      </c>
      <c r="DH28" s="419"/>
      <c r="DJ28" s="420"/>
    </row>
    <row r="29" spans="1:114" ht="16.5" customHeight="1">
      <c r="A29" s="127">
        <v>23</v>
      </c>
      <c r="B29" s="103">
        <f t="shared" si="24"/>
        <v>525.80400000000009</v>
      </c>
      <c r="C29" s="104">
        <f t="shared" si="0"/>
        <v>1.5532222843493009</v>
      </c>
      <c r="D29" s="143">
        <f t="shared" si="1"/>
        <v>517.63709510000012</v>
      </c>
      <c r="E29" s="104">
        <f t="shared" si="2"/>
        <v>39.26328371408357</v>
      </c>
      <c r="F29" s="128">
        <f t="shared" si="3"/>
        <v>2.1693855877792219</v>
      </c>
      <c r="G29" s="106"/>
      <c r="H29" s="107">
        <f t="shared" si="4"/>
        <v>1.6034285868153053</v>
      </c>
      <c r="I29" s="103">
        <f>'[1]сентябрь 20'!AE28</f>
        <v>0</v>
      </c>
      <c r="J29" s="328">
        <f>'[1]март 20'!AA28</f>
        <v>14.680999999999999</v>
      </c>
      <c r="K29" s="106">
        <v>31.3</v>
      </c>
      <c r="L29" s="328">
        <f t="shared" si="25"/>
        <v>135.04300000000001</v>
      </c>
      <c r="M29" s="103">
        <f t="shared" si="5"/>
        <v>0.56595700096391599</v>
      </c>
      <c r="N29" s="103">
        <f>'[1]июль 20'!AM28</f>
        <v>7.056</v>
      </c>
      <c r="O29" s="103">
        <f>'[1]март 20'!W28</f>
        <v>0</v>
      </c>
      <c r="P29" s="103">
        <f>'[1]март 20'!S28</f>
        <v>328.78500000000003</v>
      </c>
      <c r="Q29" s="108">
        <f t="shared" si="6"/>
        <v>4.0558419635932434</v>
      </c>
      <c r="R29" s="109">
        <f t="shared" si="7"/>
        <v>315.45</v>
      </c>
      <c r="S29" s="106">
        <v>7.8</v>
      </c>
      <c r="T29" s="109">
        <f t="shared" si="8"/>
        <v>315.45</v>
      </c>
      <c r="U29" s="110">
        <f t="shared" si="9"/>
        <v>1.322031767319056</v>
      </c>
      <c r="V29" s="129">
        <v>238.61</v>
      </c>
      <c r="W29" s="136">
        <v>238.61</v>
      </c>
      <c r="X29" s="131">
        <v>0.28999999999999998</v>
      </c>
      <c r="Y29" s="133">
        <v>581</v>
      </c>
      <c r="Z29" s="133">
        <v>1236</v>
      </c>
      <c r="AA29" s="144" t="s">
        <v>198</v>
      </c>
      <c r="AB29" s="131">
        <v>76.040000000000006</v>
      </c>
      <c r="AC29" s="133">
        <v>181</v>
      </c>
      <c r="AD29" s="134">
        <v>5</v>
      </c>
      <c r="AE29" s="131">
        <v>1.45</v>
      </c>
      <c r="AF29" s="115">
        <f t="shared" si="10"/>
        <v>6.0768618247349231</v>
      </c>
      <c r="AG29" s="131">
        <v>174.6</v>
      </c>
      <c r="AH29" s="115">
        <f t="shared" si="11"/>
        <v>731.73798248187416</v>
      </c>
      <c r="AI29" s="139">
        <v>26.37</v>
      </c>
      <c r="AJ29" s="131"/>
      <c r="AK29" s="136">
        <v>11.73</v>
      </c>
      <c r="AL29" s="136">
        <v>53.93</v>
      </c>
      <c r="AM29" s="110">
        <f t="shared" si="12"/>
        <v>0.17887230514096186</v>
      </c>
      <c r="AN29" s="137" t="s">
        <v>202</v>
      </c>
      <c r="AO29" s="150">
        <v>7.07</v>
      </c>
      <c r="AP29" s="138">
        <v>7.26</v>
      </c>
      <c r="AQ29" s="134"/>
      <c r="AR29" s="131">
        <v>9.84</v>
      </c>
      <c r="AS29" s="139">
        <v>301.5</v>
      </c>
      <c r="AT29" s="131">
        <v>2.77</v>
      </c>
      <c r="AU29" s="148"/>
      <c r="AV29" s="131"/>
      <c r="AW29" s="109">
        <f t="shared" si="31"/>
        <v>0</v>
      </c>
      <c r="AX29" s="109">
        <f t="shared" si="13"/>
        <v>238.61</v>
      </c>
      <c r="AY29" s="115">
        <f t="shared" si="26"/>
        <v>233.33728755737769</v>
      </c>
      <c r="AZ29" s="140">
        <f t="shared" si="14"/>
        <v>13.308946478873237</v>
      </c>
      <c r="BA29" s="141">
        <f t="shared" si="32"/>
        <v>9.5444000000000013</v>
      </c>
      <c r="BB29" s="128">
        <f t="shared" si="16"/>
        <v>0.89272714267228881</v>
      </c>
      <c r="BC29" s="141">
        <f t="shared" si="17"/>
        <v>22.853346478873238</v>
      </c>
      <c r="BD29" s="142">
        <v>0.88100000000000001</v>
      </c>
      <c r="BE29" s="16">
        <f t="shared" si="27"/>
        <v>4481.33</v>
      </c>
      <c r="BF29" s="16">
        <f t="shared" si="18"/>
        <v>220.96774193548387</v>
      </c>
      <c r="BG29" s="16">
        <f t="shared" si="28"/>
        <v>5082.2580645161288</v>
      </c>
      <c r="BH29" s="17">
        <f t="shared" si="19"/>
        <v>1</v>
      </c>
      <c r="BI29" s="16">
        <f t="shared" si="29"/>
        <v>5082.2580645161288</v>
      </c>
      <c r="BJ29" s="254">
        <v>390.76100000000002</v>
      </c>
      <c r="BK29" s="197"/>
      <c r="BL29" s="197">
        <v>135.04300000000001</v>
      </c>
      <c r="BM29" s="197"/>
      <c r="BN29" s="230"/>
      <c r="BO29" s="230"/>
      <c r="BP29" s="258"/>
      <c r="BQ29" s="199"/>
      <c r="BR29" s="200">
        <v>2.09</v>
      </c>
      <c r="BS29" s="200"/>
      <c r="BT29" s="200"/>
      <c r="BU29" s="200"/>
      <c r="BV29" s="208"/>
      <c r="BW29" s="208"/>
      <c r="BX29" s="201"/>
      <c r="BY29" s="202">
        <v>37.729999999999997</v>
      </c>
      <c r="BZ29" s="200"/>
      <c r="CA29" s="200">
        <v>43.7</v>
      </c>
      <c r="CB29" s="200"/>
      <c r="CC29" s="208"/>
      <c r="CD29" s="208"/>
      <c r="CE29" s="201"/>
      <c r="CF29" s="199"/>
      <c r="CG29" s="197"/>
      <c r="CH29" s="197"/>
      <c r="CI29" s="230">
        <v>315.45</v>
      </c>
      <c r="CJ29" s="198"/>
      <c r="CK29" s="202"/>
      <c r="CL29" s="208"/>
      <c r="CM29" s="208"/>
      <c r="CN29" s="201"/>
      <c r="CO29" s="284"/>
      <c r="CP29" s="286">
        <f t="shared" si="20"/>
        <v>382.5940951</v>
      </c>
      <c r="CQ29" s="24">
        <f t="shared" si="20"/>
        <v>0</v>
      </c>
      <c r="CR29" s="25">
        <f t="shared" si="20"/>
        <v>135.04300000000001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315.45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30"/>
        <v>0</v>
      </c>
      <c r="DH29" s="419"/>
      <c r="DJ29" s="420"/>
    </row>
    <row r="30" spans="1:114" ht="16.5" customHeight="1">
      <c r="A30" s="127">
        <v>24</v>
      </c>
      <c r="B30" s="103">
        <f t="shared" si="24"/>
        <v>506.399</v>
      </c>
      <c r="C30" s="104">
        <f t="shared" si="0"/>
        <v>1.7549641290760842</v>
      </c>
      <c r="D30" s="143">
        <f t="shared" si="1"/>
        <v>497.51187920000001</v>
      </c>
      <c r="E30" s="104">
        <f t="shared" si="2"/>
        <v>38.845666184174924</v>
      </c>
      <c r="F30" s="128">
        <f t="shared" si="3"/>
        <v>2.1853284687692169</v>
      </c>
      <c r="G30" s="106"/>
      <c r="H30" s="107">
        <f t="shared" si="4"/>
        <v>1.6080860897830094</v>
      </c>
      <c r="I30" s="103">
        <f>'[1]сентябрь 20'!AE29</f>
        <v>0</v>
      </c>
      <c r="J30" s="328">
        <f>'[1]март 20'!AA29</f>
        <v>13.372999999999999</v>
      </c>
      <c r="K30" s="106">
        <v>21.14</v>
      </c>
      <c r="L30" s="328">
        <f t="shared" si="25"/>
        <v>131.41499999999999</v>
      </c>
      <c r="M30" s="103">
        <f t="shared" si="5"/>
        <v>0.57724237898620745</v>
      </c>
      <c r="N30" s="103">
        <f>'[1]июль 20'!AM29</f>
        <v>6.6029999999999998</v>
      </c>
      <c r="O30" s="103">
        <f>'[1]март 20'!W29</f>
        <v>0</v>
      </c>
      <c r="P30" s="103">
        <f>'[1]март 20'!S29</f>
        <v>322.98500000000001</v>
      </c>
      <c r="Q30" s="108">
        <f t="shared" si="6"/>
        <v>4.3423069182779495</v>
      </c>
      <c r="R30" s="109">
        <f t="shared" si="7"/>
        <v>308.95999999999992</v>
      </c>
      <c r="S30" s="163">
        <v>18.84</v>
      </c>
      <c r="T30" s="109">
        <f t="shared" si="8"/>
        <v>308.95999999999998</v>
      </c>
      <c r="U30" s="110">
        <f t="shared" si="9"/>
        <v>1.3571114820346126</v>
      </c>
      <c r="V30" s="154">
        <v>227.66</v>
      </c>
      <c r="W30" s="157">
        <v>227.66</v>
      </c>
      <c r="X30" s="149">
        <v>0.32</v>
      </c>
      <c r="Y30" s="147">
        <v>564</v>
      </c>
      <c r="Z30" s="147">
        <v>1238</v>
      </c>
      <c r="AA30" s="144" t="s">
        <v>236</v>
      </c>
      <c r="AB30" s="149">
        <v>76.59</v>
      </c>
      <c r="AC30" s="147">
        <v>175</v>
      </c>
      <c r="AD30" s="155">
        <v>5</v>
      </c>
      <c r="AE30" s="149"/>
      <c r="AF30" s="115">
        <f t="shared" si="10"/>
        <v>0</v>
      </c>
      <c r="AG30" s="131">
        <v>163.85</v>
      </c>
      <c r="AH30" s="115">
        <f t="shared" si="11"/>
        <v>719.71360801194749</v>
      </c>
      <c r="AI30" s="139">
        <v>33.14</v>
      </c>
      <c r="AJ30" s="131"/>
      <c r="AK30" s="157">
        <v>12.31</v>
      </c>
      <c r="AL30" s="157">
        <v>53.4</v>
      </c>
      <c r="AM30" s="110">
        <f t="shared" si="12"/>
        <v>0.18439226519337015</v>
      </c>
      <c r="AN30" s="158" t="s">
        <v>238</v>
      </c>
      <c r="AO30" s="404">
        <v>6.94</v>
      </c>
      <c r="AP30" s="159">
        <v>7.19</v>
      </c>
      <c r="AQ30" s="155"/>
      <c r="AR30" s="149">
        <v>10.039999999999999</v>
      </c>
      <c r="AS30" s="156">
        <v>289.60000000000002</v>
      </c>
      <c r="AT30" s="131">
        <v>3.77</v>
      </c>
      <c r="AU30" s="164"/>
      <c r="AV30" s="149"/>
      <c r="AW30" s="109">
        <f t="shared" si="31"/>
        <v>0</v>
      </c>
      <c r="AX30" s="109">
        <f t="shared" si="13"/>
        <v>227.66000000000003</v>
      </c>
      <c r="AY30" s="115">
        <f t="shared" si="26"/>
        <v>220.28666240426344</v>
      </c>
      <c r="AZ30" s="140">
        <f t="shared" si="14"/>
        <v>12.743376056338027</v>
      </c>
      <c r="BA30" s="141">
        <f t="shared" si="32"/>
        <v>9.1064000000000007</v>
      </c>
      <c r="BB30" s="128">
        <f t="shared" si="16"/>
        <v>0.90222066933523759</v>
      </c>
      <c r="BC30" s="141">
        <f t="shared" si="17"/>
        <v>21.84977605633803</v>
      </c>
      <c r="BD30" s="162">
        <v>0.88200000000000001</v>
      </c>
      <c r="BE30" s="16">
        <f t="shared" si="27"/>
        <v>4708.99</v>
      </c>
      <c r="BF30" s="16">
        <f t="shared" si="18"/>
        <v>220.96774193548387</v>
      </c>
      <c r="BG30" s="16">
        <f t="shared" si="28"/>
        <v>5303.2258064516127</v>
      </c>
      <c r="BH30" s="17">
        <f t="shared" si="19"/>
        <v>1</v>
      </c>
      <c r="BI30" s="16">
        <f t="shared" si="29"/>
        <v>5303.2258064516127</v>
      </c>
      <c r="BJ30" s="255">
        <v>374.98399999999998</v>
      </c>
      <c r="BK30" s="210"/>
      <c r="BL30" s="210">
        <v>131.41499999999999</v>
      </c>
      <c r="BM30" s="210"/>
      <c r="BN30" s="233"/>
      <c r="BO30" s="233"/>
      <c r="BP30" s="260"/>
      <c r="BQ30" s="212"/>
      <c r="BR30" s="213">
        <v>2.37</v>
      </c>
      <c r="BS30" s="213"/>
      <c r="BT30" s="213"/>
      <c r="BU30" s="213"/>
      <c r="BV30" s="235"/>
      <c r="BW30" s="235"/>
      <c r="BX30" s="214"/>
      <c r="BY30" s="215">
        <v>37.19</v>
      </c>
      <c r="BZ30" s="213"/>
      <c r="CA30" s="216">
        <v>43.57</v>
      </c>
      <c r="CB30" s="213"/>
      <c r="CC30" s="235"/>
      <c r="CD30" s="235"/>
      <c r="CE30" s="214"/>
      <c r="CF30" s="212"/>
      <c r="CG30" s="210"/>
      <c r="CH30" s="210"/>
      <c r="CI30" s="233">
        <v>308.95999999999998</v>
      </c>
      <c r="CJ30" s="198"/>
      <c r="CK30" s="202"/>
      <c r="CL30" s="208"/>
      <c r="CM30" s="208"/>
      <c r="CN30" s="201"/>
      <c r="CO30" s="284"/>
      <c r="CP30" s="286">
        <f t="shared" si="20"/>
        <v>366.09687919999993</v>
      </c>
      <c r="CQ30" s="24">
        <f t="shared" si="20"/>
        <v>0</v>
      </c>
      <c r="CR30" s="25">
        <f t="shared" si="20"/>
        <v>131.41499999999999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308.95999999999998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30"/>
        <v>0</v>
      </c>
      <c r="DH30" s="421"/>
      <c r="DJ30" s="420"/>
    </row>
    <row r="31" spans="1:114" ht="16.5" customHeight="1">
      <c r="A31" s="127">
        <v>25</v>
      </c>
      <c r="B31" s="103">
        <f t="shared" si="24"/>
        <v>515.82899999999995</v>
      </c>
      <c r="C31" s="104">
        <f t="shared" si="0"/>
        <v>1.068301006728974</v>
      </c>
      <c r="D31" s="143">
        <f t="shared" si="1"/>
        <v>510.31839359999992</v>
      </c>
      <c r="E31" s="104">
        <f t="shared" si="2"/>
        <v>38.778132927772582</v>
      </c>
      <c r="F31" s="128">
        <f t="shared" si="3"/>
        <v>2.2319733799860044</v>
      </c>
      <c r="G31" s="106"/>
      <c r="H31" s="107">
        <f t="shared" si="4"/>
        <v>1.649625584324703</v>
      </c>
      <c r="I31" s="103">
        <f>'[1]сентябрь 20'!AE30</f>
        <v>0</v>
      </c>
      <c r="J31" s="328">
        <f>'[1]март 20'!AA30</f>
        <v>12.206</v>
      </c>
      <c r="K31" s="106"/>
      <c r="L31" s="328">
        <f t="shared" si="25"/>
        <v>133.148</v>
      </c>
      <c r="M31" s="103">
        <f t="shared" si="5"/>
        <v>0.58234779566130168</v>
      </c>
      <c r="N31" s="103">
        <f>'[1]июль 20'!AM30</f>
        <v>7.069</v>
      </c>
      <c r="O31" s="103">
        <f>'[1]март 20'!W30</f>
        <v>0</v>
      </c>
      <c r="P31" s="103">
        <f>'[1]март 20'!S30</f>
        <v>332.90199999999999</v>
      </c>
      <c r="Q31" s="108">
        <f t="shared" si="6"/>
        <v>4.1609843137019205</v>
      </c>
      <c r="R31" s="109">
        <f t="shared" si="7"/>
        <v>319.05</v>
      </c>
      <c r="S31" s="106">
        <v>3.77</v>
      </c>
      <c r="T31" s="109">
        <f t="shared" si="8"/>
        <v>319.05</v>
      </c>
      <c r="U31" s="110">
        <f t="shared" si="9"/>
        <v>1.3954251224632612</v>
      </c>
      <c r="V31" s="136">
        <v>228.64</v>
      </c>
      <c r="W31" s="136">
        <v>228.64</v>
      </c>
      <c r="X31" s="131">
        <v>0.47</v>
      </c>
      <c r="Y31" s="133">
        <v>532</v>
      </c>
      <c r="Z31" s="133">
        <v>1248</v>
      </c>
      <c r="AA31" s="144" t="s">
        <v>192</v>
      </c>
      <c r="AB31" s="131">
        <v>76.599999999999994</v>
      </c>
      <c r="AC31" s="133">
        <v>178</v>
      </c>
      <c r="AD31" s="134">
        <v>5</v>
      </c>
      <c r="AE31" s="131">
        <v>9.5500000000000007</v>
      </c>
      <c r="AF31" s="115">
        <f t="shared" si="10"/>
        <v>41.768719384184756</v>
      </c>
      <c r="AG31" s="131">
        <v>147.55000000000001</v>
      </c>
      <c r="AH31" s="115">
        <f t="shared" si="11"/>
        <v>645.33764870538857</v>
      </c>
      <c r="AI31" s="139">
        <v>30.73</v>
      </c>
      <c r="AJ31" s="131"/>
      <c r="AK31" s="136">
        <v>8.11</v>
      </c>
      <c r="AL31" s="136">
        <v>61.17</v>
      </c>
      <c r="AM31" s="110">
        <f t="shared" si="12"/>
        <v>0.20770797962648557</v>
      </c>
      <c r="AN31" s="137" t="s">
        <v>189</v>
      </c>
      <c r="AO31" s="150">
        <v>7.23</v>
      </c>
      <c r="AP31" s="138">
        <v>7.21</v>
      </c>
      <c r="AQ31" s="134"/>
      <c r="AR31" s="131">
        <v>7.94</v>
      </c>
      <c r="AS31" s="139">
        <v>294.5</v>
      </c>
      <c r="AT31" s="131">
        <v>3.42</v>
      </c>
      <c r="AU31" s="148"/>
      <c r="AV31" s="131"/>
      <c r="AW31" s="109">
        <f t="shared" si="31"/>
        <v>0</v>
      </c>
      <c r="AX31" s="109">
        <f t="shared" si="13"/>
        <v>228.63999999999996</v>
      </c>
      <c r="AY31" s="115">
        <f t="shared" si="26"/>
        <v>225.53481463041291</v>
      </c>
      <c r="AZ31" s="140">
        <f t="shared" si="14"/>
        <v>9.0753640845070453</v>
      </c>
      <c r="BA31" s="141">
        <f t="shared" si="32"/>
        <v>9.1455999999999982</v>
      </c>
      <c r="BB31" s="128">
        <f t="shared" si="16"/>
        <v>0.88501954931921156</v>
      </c>
      <c r="BC31" s="141">
        <f t="shared" si="17"/>
        <v>18.220964084507045</v>
      </c>
      <c r="BD31" s="142">
        <v>0.88300000000000001</v>
      </c>
      <c r="BE31" s="16">
        <f t="shared" si="27"/>
        <v>4937.63</v>
      </c>
      <c r="BF31" s="16">
        <f t="shared" si="18"/>
        <v>220.96774193548387</v>
      </c>
      <c r="BG31" s="16">
        <f t="shared" si="28"/>
        <v>5524.1935483870966</v>
      </c>
      <c r="BH31" s="17">
        <f t="shared" si="19"/>
        <v>1</v>
      </c>
      <c r="BI31" s="16">
        <f t="shared" si="29"/>
        <v>5524.1935483870966</v>
      </c>
      <c r="BJ31" s="254">
        <v>382.68099999999998</v>
      </c>
      <c r="BK31" s="197"/>
      <c r="BL31" s="197">
        <v>133.148</v>
      </c>
      <c r="BM31" s="197"/>
      <c r="BN31" s="230"/>
      <c r="BO31" s="230"/>
      <c r="BP31" s="259"/>
      <c r="BQ31" s="199"/>
      <c r="BR31" s="200">
        <v>1.44</v>
      </c>
      <c r="BS31" s="200"/>
      <c r="BT31" s="200"/>
      <c r="BU31" s="200"/>
      <c r="BV31" s="208"/>
      <c r="BW31" s="208"/>
      <c r="BX31" s="201"/>
      <c r="BY31" s="202">
        <v>37.090000000000003</v>
      </c>
      <c r="BZ31" s="200"/>
      <c r="CA31" s="200">
        <v>43.63</v>
      </c>
      <c r="CB31" s="200"/>
      <c r="CC31" s="208"/>
      <c r="CD31" s="208"/>
      <c r="CE31" s="209"/>
      <c r="CF31" s="199"/>
      <c r="CG31" s="197"/>
      <c r="CH31" s="197"/>
      <c r="CI31" s="230">
        <v>319.05</v>
      </c>
      <c r="CJ31" s="198"/>
      <c r="CK31" s="202"/>
      <c r="CL31" s="208"/>
      <c r="CM31" s="208"/>
      <c r="CN31" s="201"/>
      <c r="CO31" s="284"/>
      <c r="CP31" s="286">
        <f t="shared" si="20"/>
        <v>377.17039360000001</v>
      </c>
      <c r="CQ31" s="24">
        <f t="shared" si="20"/>
        <v>0</v>
      </c>
      <c r="CR31" s="25">
        <f t="shared" si="20"/>
        <v>133.148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319.05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30"/>
        <v>0</v>
      </c>
      <c r="DH31" s="419"/>
      <c r="DJ31" s="420"/>
    </row>
    <row r="32" spans="1:114" ht="16.5" customHeight="1">
      <c r="A32" s="127">
        <v>26</v>
      </c>
      <c r="B32" s="103">
        <f t="shared" si="24"/>
        <v>482.69899999999996</v>
      </c>
      <c r="C32" s="104">
        <f t="shared" si="0"/>
        <v>1.3870160079055478</v>
      </c>
      <c r="D32" s="143">
        <f t="shared" si="1"/>
        <v>476.00388759999998</v>
      </c>
      <c r="E32" s="104">
        <f t="shared" si="2"/>
        <v>38.729356141197734</v>
      </c>
      <c r="F32" s="128">
        <f t="shared" si="3"/>
        <v>2.0388224936822721</v>
      </c>
      <c r="G32" s="106"/>
      <c r="H32" s="107">
        <f t="shared" si="4"/>
        <v>1.4966714678545425</v>
      </c>
      <c r="I32" s="103">
        <f>'[1]сентябрь 20'!AE31</f>
        <v>0</v>
      </c>
      <c r="J32" s="328">
        <f>'[1]март 20'!AA31</f>
        <v>13.073</v>
      </c>
      <c r="K32" s="106"/>
      <c r="L32" s="328">
        <f t="shared" si="25"/>
        <v>126.57599999999999</v>
      </c>
      <c r="M32" s="103">
        <f t="shared" si="5"/>
        <v>0.54215102582772956</v>
      </c>
      <c r="N32" s="103">
        <f>'[1]июль 20'!AM31</f>
        <v>7.0679999999999996</v>
      </c>
      <c r="O32" s="103">
        <f>'[1]март 20'!W31</f>
        <v>0</v>
      </c>
      <c r="P32" s="103">
        <f>'[1]март 20'!S31</f>
        <v>311.44299999999998</v>
      </c>
      <c r="Q32" s="108">
        <f t="shared" si="6"/>
        <v>4.0177496363700493</v>
      </c>
      <c r="R32" s="109">
        <f t="shared" si="7"/>
        <v>298.92999999999995</v>
      </c>
      <c r="S32" s="106">
        <v>33.67</v>
      </c>
      <c r="T32" s="109">
        <f t="shared" si="8"/>
        <v>298.93</v>
      </c>
      <c r="U32" s="110">
        <f t="shared" si="9"/>
        <v>1.2803786353707114</v>
      </c>
      <c r="V32" s="136">
        <v>233.47</v>
      </c>
      <c r="W32" s="136">
        <v>233.47</v>
      </c>
      <c r="X32" s="131">
        <v>0.69</v>
      </c>
      <c r="Y32" s="133">
        <v>588</v>
      </c>
      <c r="Z32" s="133">
        <v>1240</v>
      </c>
      <c r="AA32" s="144" t="s">
        <v>239</v>
      </c>
      <c r="AB32" s="131">
        <v>76.92</v>
      </c>
      <c r="AC32" s="133">
        <v>167</v>
      </c>
      <c r="AD32" s="134">
        <v>5</v>
      </c>
      <c r="AE32" s="131">
        <v>2.6</v>
      </c>
      <c r="AF32" s="115">
        <f t="shared" si="10"/>
        <v>11.136334432689427</v>
      </c>
      <c r="AG32" s="131">
        <v>141.94999999999999</v>
      </c>
      <c r="AH32" s="115">
        <f t="shared" si="11"/>
        <v>608.00102796933231</v>
      </c>
      <c r="AI32" s="139">
        <v>28.35</v>
      </c>
      <c r="AJ32" s="131"/>
      <c r="AK32" s="136">
        <v>9.1300000000000008</v>
      </c>
      <c r="AL32" s="136">
        <v>53.46</v>
      </c>
      <c r="AM32" s="110">
        <f t="shared" si="12"/>
        <v>0.18220858895705525</v>
      </c>
      <c r="AN32" s="137" t="s">
        <v>240</v>
      </c>
      <c r="AO32" s="150">
        <v>7.96</v>
      </c>
      <c r="AP32" s="138">
        <v>7.35</v>
      </c>
      <c r="AQ32" s="134"/>
      <c r="AR32" s="131">
        <v>7.62</v>
      </c>
      <c r="AS32" s="139">
        <v>293.39999999999998</v>
      </c>
      <c r="AT32" s="131">
        <v>2.66</v>
      </c>
      <c r="AU32" s="148"/>
      <c r="AV32" s="131"/>
      <c r="AW32" s="109">
        <f t="shared" si="31"/>
        <v>0</v>
      </c>
      <c r="AX32" s="109">
        <f t="shared" si="13"/>
        <v>233.46999999999997</v>
      </c>
      <c r="AY32" s="115">
        <f t="shared" si="26"/>
        <v>209.23086230301953</v>
      </c>
      <c r="AZ32" s="140">
        <f t="shared" si="14"/>
        <v>8.379048591549294</v>
      </c>
      <c r="BA32" s="141">
        <f t="shared" si="32"/>
        <v>9.3387999999999991</v>
      </c>
      <c r="BB32" s="128">
        <f t="shared" si="16"/>
        <v>0.97413597476273728</v>
      </c>
      <c r="BC32" s="141">
        <f t="shared" si="17"/>
        <v>17.717848591549291</v>
      </c>
      <c r="BD32" s="142">
        <v>0.88600000000000001</v>
      </c>
      <c r="BE32" s="16">
        <f t="shared" si="27"/>
        <v>5171.1000000000004</v>
      </c>
      <c r="BF32" s="16">
        <f t="shared" si="18"/>
        <v>220.96774193548387</v>
      </c>
      <c r="BG32" s="16">
        <f t="shared" si="28"/>
        <v>5745.1612903225805</v>
      </c>
      <c r="BH32" s="17">
        <f t="shared" si="19"/>
        <v>1</v>
      </c>
      <c r="BI32" s="16">
        <f t="shared" si="29"/>
        <v>5745.1612903225805</v>
      </c>
      <c r="BJ32" s="254">
        <v>356.12299999999999</v>
      </c>
      <c r="BK32" s="197"/>
      <c r="BL32" s="197">
        <v>126.57599999999999</v>
      </c>
      <c r="BM32" s="197"/>
      <c r="BN32" s="230"/>
      <c r="BO32" s="230"/>
      <c r="BP32" s="258"/>
      <c r="BQ32" s="199"/>
      <c r="BR32" s="200">
        <v>1.88</v>
      </c>
      <c r="BS32" s="200"/>
      <c r="BT32" s="200"/>
      <c r="BU32" s="200"/>
      <c r="BV32" s="208"/>
      <c r="BW32" s="208"/>
      <c r="BX32" s="201"/>
      <c r="BY32" s="202">
        <v>36.92</v>
      </c>
      <c r="BZ32" s="200"/>
      <c r="CA32" s="200">
        <v>43.82</v>
      </c>
      <c r="CB32" s="200"/>
      <c r="CC32" s="208"/>
      <c r="CD32" s="208"/>
      <c r="CE32" s="209"/>
      <c r="CF32" s="199"/>
      <c r="CG32" s="197"/>
      <c r="CH32" s="197"/>
      <c r="CI32" s="230">
        <v>298.93</v>
      </c>
      <c r="CJ32" s="198"/>
      <c r="CK32" s="202"/>
      <c r="CL32" s="208"/>
      <c r="CM32" s="208"/>
      <c r="CN32" s="201"/>
      <c r="CO32" s="284"/>
      <c r="CP32" s="286">
        <f t="shared" si="20"/>
        <v>349.42788760000002</v>
      </c>
      <c r="CQ32" s="24">
        <f t="shared" si="20"/>
        <v>0</v>
      </c>
      <c r="CR32" s="25">
        <f t="shared" si="20"/>
        <v>126.57599999999999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298.93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30"/>
        <v>0</v>
      </c>
      <c r="DH32" s="419"/>
      <c r="DJ32" s="420"/>
    </row>
    <row r="33" spans="1:114" ht="16.5" customHeight="1">
      <c r="A33" s="127">
        <v>27</v>
      </c>
      <c r="B33" s="103">
        <f t="shared" si="24"/>
        <v>441.01400000000001</v>
      </c>
      <c r="C33" s="104">
        <f t="shared" si="0"/>
        <v>1.2518508709474074</v>
      </c>
      <c r="D33" s="143">
        <f t="shared" si="1"/>
        <v>435.49316239999996</v>
      </c>
      <c r="E33" s="104">
        <f t="shared" si="2"/>
        <v>38.967426566957052</v>
      </c>
      <c r="F33" s="128">
        <f t="shared" si="3"/>
        <v>2.1770304059188161</v>
      </c>
      <c r="G33" s="106"/>
      <c r="H33" s="107">
        <f t="shared" si="4"/>
        <v>1.5863585402919418</v>
      </c>
      <c r="I33" s="103">
        <f>'[1]сентябрь 20'!AE32</f>
        <v>0</v>
      </c>
      <c r="J33" s="328">
        <f>'[1]март 20'!AA32</f>
        <v>12.185</v>
      </c>
      <c r="K33" s="106"/>
      <c r="L33" s="328">
        <f t="shared" si="25"/>
        <v>118.158</v>
      </c>
      <c r="M33" s="103">
        <f t="shared" si="5"/>
        <v>0.59067186562687468</v>
      </c>
      <c r="N33" s="103">
        <f>'[1]июль 20'!AM32</f>
        <v>6.9580000000000002</v>
      </c>
      <c r="O33" s="103">
        <f>'[1]март 20'!W32</f>
        <v>0</v>
      </c>
      <c r="P33" s="103">
        <f>'[1]март 20'!S32</f>
        <v>287.85000000000002</v>
      </c>
      <c r="Q33" s="108">
        <f t="shared" si="6"/>
        <v>4.6169880145909392</v>
      </c>
      <c r="R33" s="109">
        <f t="shared" si="7"/>
        <v>274.56</v>
      </c>
      <c r="S33" s="131">
        <v>19.64</v>
      </c>
      <c r="T33" s="109">
        <f t="shared" si="8"/>
        <v>274.56</v>
      </c>
      <c r="U33" s="110">
        <f t="shared" si="9"/>
        <v>1.3725254949010199</v>
      </c>
      <c r="V33" s="136">
        <v>200.04</v>
      </c>
      <c r="W33" s="136">
        <v>166.27</v>
      </c>
      <c r="X33" s="131">
        <v>0.7</v>
      </c>
      <c r="Y33" s="133">
        <v>592</v>
      </c>
      <c r="Z33" s="133">
        <v>1247</v>
      </c>
      <c r="AA33" s="144" t="s">
        <v>241</v>
      </c>
      <c r="AB33" s="131">
        <v>76.3</v>
      </c>
      <c r="AC33" s="133">
        <v>153</v>
      </c>
      <c r="AD33" s="134">
        <v>5</v>
      </c>
      <c r="AE33" s="131">
        <v>2.25</v>
      </c>
      <c r="AF33" s="115">
        <f t="shared" si="10"/>
        <v>11.247750449910018</v>
      </c>
      <c r="AG33" s="131">
        <v>134.15</v>
      </c>
      <c r="AH33" s="115">
        <f t="shared" si="11"/>
        <v>670.61587682463505</v>
      </c>
      <c r="AI33" s="139">
        <v>25</v>
      </c>
      <c r="AJ33" s="131"/>
      <c r="AK33" s="136">
        <v>8.26</v>
      </c>
      <c r="AL33" s="136">
        <v>56.6</v>
      </c>
      <c r="AM33" s="110">
        <f t="shared" si="12"/>
        <v>0.21607176942164535</v>
      </c>
      <c r="AN33" s="137" t="s">
        <v>242</v>
      </c>
      <c r="AO33" s="150">
        <v>7.49</v>
      </c>
      <c r="AP33" s="138">
        <v>7.49</v>
      </c>
      <c r="AQ33" s="134"/>
      <c r="AR33" s="131">
        <v>6.77</v>
      </c>
      <c r="AS33" s="139">
        <v>261.95</v>
      </c>
      <c r="AT33" s="131">
        <v>2.95</v>
      </c>
      <c r="AU33" s="116"/>
      <c r="AV33" s="131"/>
      <c r="AW33" s="109">
        <f t="shared" si="31"/>
        <v>0</v>
      </c>
      <c r="AX33" s="109">
        <f t="shared" si="13"/>
        <v>200.04</v>
      </c>
      <c r="AY33" s="115">
        <f t="shared" si="26"/>
        <v>194.16581588862644</v>
      </c>
      <c r="AZ33" s="140">
        <f t="shared" si="14"/>
        <v>7.0353172535211259</v>
      </c>
      <c r="BA33" s="141">
        <f t="shared" si="32"/>
        <v>8.0015999999999998</v>
      </c>
      <c r="BB33" s="128">
        <f t="shared" si="16"/>
        <v>0.8994112542455498</v>
      </c>
      <c r="BC33" s="141">
        <f t="shared" si="17"/>
        <v>15.036917253521125</v>
      </c>
      <c r="BD33" s="142">
        <v>0.88700000000000001</v>
      </c>
      <c r="BE33" s="16">
        <f t="shared" si="27"/>
        <v>5371.14</v>
      </c>
      <c r="BF33" s="16">
        <f t="shared" si="18"/>
        <v>220.96774193548387</v>
      </c>
      <c r="BG33" s="16">
        <f t="shared" si="28"/>
        <v>5966.1290322580644</v>
      </c>
      <c r="BH33" s="17">
        <f t="shared" si="19"/>
        <v>1</v>
      </c>
      <c r="BI33" s="16">
        <f t="shared" si="29"/>
        <v>5966.1290322580644</v>
      </c>
      <c r="BJ33" s="254">
        <v>322.85599999999999</v>
      </c>
      <c r="BK33" s="197"/>
      <c r="BL33" s="197">
        <v>118.158</v>
      </c>
      <c r="BM33" s="197"/>
      <c r="BN33" s="230"/>
      <c r="BO33" s="230"/>
      <c r="BP33" s="258"/>
      <c r="BQ33" s="199"/>
      <c r="BR33" s="200">
        <v>1.71</v>
      </c>
      <c r="BS33" s="200"/>
      <c r="BT33" s="200"/>
      <c r="BU33" s="200"/>
      <c r="BV33" s="208"/>
      <c r="BW33" s="208"/>
      <c r="BX33" s="201"/>
      <c r="BY33" s="202">
        <v>37.1</v>
      </c>
      <c r="BZ33" s="200"/>
      <c r="CA33" s="200">
        <v>44.07</v>
      </c>
      <c r="CB33" s="200"/>
      <c r="CC33" s="208"/>
      <c r="CD33" s="208"/>
      <c r="CE33" s="209"/>
      <c r="CF33" s="199"/>
      <c r="CG33" s="197"/>
      <c r="CH33" s="197"/>
      <c r="CI33" s="230">
        <v>274.56</v>
      </c>
      <c r="CJ33" s="198"/>
      <c r="CK33" s="202"/>
      <c r="CL33" s="208"/>
      <c r="CM33" s="208"/>
      <c r="CN33" s="209"/>
      <c r="CO33" s="284"/>
      <c r="CP33" s="286">
        <f t="shared" si="20"/>
        <v>317.3351624</v>
      </c>
      <c r="CQ33" s="24">
        <f t="shared" si="20"/>
        <v>0</v>
      </c>
      <c r="CR33" s="25">
        <f t="shared" si="20"/>
        <v>118.158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274.56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30"/>
        <v>0</v>
      </c>
      <c r="DH33" s="419"/>
      <c r="DJ33" s="420"/>
    </row>
    <row r="34" spans="1:114" ht="16.5" customHeight="1">
      <c r="A34" s="127">
        <v>28</v>
      </c>
      <c r="B34" s="103">
        <f t="shared" si="24"/>
        <v>395.78000000000003</v>
      </c>
      <c r="C34" s="104">
        <f t="shared" si="0"/>
        <v>1.0718538582040527</v>
      </c>
      <c r="D34" s="143">
        <f t="shared" si="1"/>
        <v>391.53781680000003</v>
      </c>
      <c r="E34" s="104">
        <f t="shared" si="2"/>
        <v>38.723513871342668</v>
      </c>
      <c r="F34" s="128">
        <f t="shared" si="3"/>
        <v>2.0445838997389036</v>
      </c>
      <c r="G34" s="106"/>
      <c r="H34" s="107">
        <f t="shared" si="4"/>
        <v>1.4746308971279374</v>
      </c>
      <c r="I34" s="103">
        <f>'[1]сентябрь 20'!AE33</f>
        <v>0</v>
      </c>
      <c r="J34" s="328">
        <f>'[1]март 20'!AA33</f>
        <v>11.721</v>
      </c>
      <c r="K34" s="106"/>
      <c r="L34" s="328">
        <f t="shared" si="25"/>
        <v>109.146</v>
      </c>
      <c r="M34" s="103">
        <f t="shared" si="5"/>
        <v>0.56995300261096604</v>
      </c>
      <c r="N34" s="103">
        <f>'[1]июль 20'!AM33</f>
        <v>7.2119999999999997</v>
      </c>
      <c r="O34" s="103">
        <f>'[1]март 20'!W33</f>
        <v>0</v>
      </c>
      <c r="P34" s="103">
        <f>'[1]март 20'!S33</f>
        <v>250.053</v>
      </c>
      <c r="Q34" s="108">
        <f t="shared" si="6"/>
        <v>2.8565944019867784</v>
      </c>
      <c r="R34" s="109">
        <f t="shared" si="7"/>
        <v>242.91</v>
      </c>
      <c r="S34" s="149">
        <v>16.48</v>
      </c>
      <c r="T34" s="109">
        <f t="shared" si="8"/>
        <v>242.91</v>
      </c>
      <c r="U34" s="110">
        <f t="shared" si="9"/>
        <v>1.2684595300261097</v>
      </c>
      <c r="V34" s="157">
        <v>191.5</v>
      </c>
      <c r="W34" s="157">
        <v>44.15</v>
      </c>
      <c r="X34" s="149">
        <v>1.23</v>
      </c>
      <c r="Y34" s="147">
        <v>631</v>
      </c>
      <c r="Z34" s="147">
        <v>1234</v>
      </c>
      <c r="AA34" s="144" t="s">
        <v>243</v>
      </c>
      <c r="AB34" s="149">
        <v>76.099999999999994</v>
      </c>
      <c r="AC34" s="147">
        <v>138</v>
      </c>
      <c r="AD34" s="155">
        <v>5</v>
      </c>
      <c r="AE34" s="149">
        <v>2</v>
      </c>
      <c r="AF34" s="115">
        <f t="shared" si="10"/>
        <v>10.443864229765014</v>
      </c>
      <c r="AG34" s="149">
        <v>99.55</v>
      </c>
      <c r="AH34" s="115">
        <f t="shared" si="11"/>
        <v>519.84334203655351</v>
      </c>
      <c r="AI34" s="156">
        <v>27.73</v>
      </c>
      <c r="AJ34" s="149"/>
      <c r="AK34" s="157">
        <v>15.3</v>
      </c>
      <c r="AL34" s="157">
        <v>34.93</v>
      </c>
      <c r="AM34" s="110">
        <f t="shared" si="12"/>
        <v>0.14575422491132903</v>
      </c>
      <c r="AN34" s="158" t="s">
        <v>244</v>
      </c>
      <c r="AO34" s="404">
        <v>8.98</v>
      </c>
      <c r="AP34" s="159">
        <v>7.12</v>
      </c>
      <c r="AQ34" s="155"/>
      <c r="AR34" s="149">
        <v>5.74</v>
      </c>
      <c r="AS34" s="156">
        <v>239.65</v>
      </c>
      <c r="AT34" s="131">
        <v>2.08</v>
      </c>
      <c r="AU34" s="148"/>
      <c r="AV34" s="149"/>
      <c r="AW34" s="109">
        <f t="shared" si="31"/>
        <v>0</v>
      </c>
      <c r="AX34" s="109">
        <f t="shared" si="13"/>
        <v>191.5</v>
      </c>
      <c r="AY34" s="115">
        <f t="shared" si="26"/>
        <v>173.93142746187587</v>
      </c>
      <c r="AZ34" s="140">
        <f t="shared" si="14"/>
        <v>4.4264697183098587</v>
      </c>
      <c r="BA34" s="141">
        <f t="shared" si="32"/>
        <v>7.66</v>
      </c>
      <c r="BB34" s="128">
        <f t="shared" si="16"/>
        <v>0.96118052062008275</v>
      </c>
      <c r="BC34" s="141">
        <f t="shared" si="17"/>
        <v>12.086469718309859</v>
      </c>
      <c r="BD34" s="165">
        <v>0.88900000000000001</v>
      </c>
      <c r="BE34" s="16">
        <f t="shared" si="27"/>
        <v>5562.64</v>
      </c>
      <c r="BF34" s="16">
        <f t="shared" si="18"/>
        <v>220.96774193548387</v>
      </c>
      <c r="BG34" s="16">
        <f t="shared" si="28"/>
        <v>6187.0967741935483</v>
      </c>
      <c r="BH34" s="17">
        <f t="shared" si="19"/>
        <v>1</v>
      </c>
      <c r="BI34" s="16">
        <f t="shared" si="29"/>
        <v>6187.0967741935483</v>
      </c>
      <c r="BJ34" s="255">
        <v>286.63400000000001</v>
      </c>
      <c r="BK34" s="210"/>
      <c r="BL34" s="210">
        <v>109.146</v>
      </c>
      <c r="BM34" s="210"/>
      <c r="BN34" s="233"/>
      <c r="BO34" s="233"/>
      <c r="BP34" s="260"/>
      <c r="BQ34" s="212"/>
      <c r="BR34" s="213">
        <v>1.48</v>
      </c>
      <c r="BS34" s="213"/>
      <c r="BT34" s="213"/>
      <c r="BU34" s="213"/>
      <c r="BV34" s="235"/>
      <c r="BW34" s="235"/>
      <c r="BX34" s="214"/>
      <c r="BY34" s="215">
        <v>36.76</v>
      </c>
      <c r="BZ34" s="213"/>
      <c r="CA34" s="213">
        <v>43.88</v>
      </c>
      <c r="CB34" s="213"/>
      <c r="CC34" s="235"/>
      <c r="CD34" s="235"/>
      <c r="CE34" s="211"/>
      <c r="CF34" s="212"/>
      <c r="CG34" s="210"/>
      <c r="CH34" s="210"/>
      <c r="CI34" s="233">
        <v>242.91</v>
      </c>
      <c r="CJ34" s="198"/>
      <c r="CK34" s="202"/>
      <c r="CL34" s="208"/>
      <c r="CM34" s="208"/>
      <c r="CN34" s="209"/>
      <c r="CO34" s="284"/>
      <c r="CP34" s="286">
        <f t="shared" si="20"/>
        <v>282.39181680000002</v>
      </c>
      <c r="CQ34" s="24">
        <f t="shared" si="20"/>
        <v>0</v>
      </c>
      <c r="CR34" s="25">
        <f t="shared" si="20"/>
        <v>109.146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242.91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30"/>
        <v>0</v>
      </c>
      <c r="DH34" s="421"/>
      <c r="DJ34" s="420"/>
    </row>
    <row r="35" spans="1:114" ht="16.5" customHeight="1">
      <c r="A35" s="127">
        <v>29</v>
      </c>
      <c r="B35" s="103">
        <f t="shared" si="24"/>
        <v>410.47399999999999</v>
      </c>
      <c r="C35" s="104">
        <f t="shared" si="0"/>
        <v>1.0471059311917441</v>
      </c>
      <c r="D35" s="143">
        <f t="shared" si="1"/>
        <v>406.17590240000004</v>
      </c>
      <c r="E35" s="104">
        <f t="shared" si="2"/>
        <v>38.922642895774153</v>
      </c>
      <c r="F35" s="128">
        <f t="shared" si="3"/>
        <v>2.2480401948195707</v>
      </c>
      <c r="G35" s="106"/>
      <c r="H35" s="107">
        <f t="shared" si="4"/>
        <v>1.6281874164268317</v>
      </c>
      <c r="I35" s="103">
        <f>'[1]сентябрь 20'!AE34</f>
        <v>0</v>
      </c>
      <c r="J35" s="328">
        <f>'[1]март 20'!AA34</f>
        <v>13.500999999999999</v>
      </c>
      <c r="K35" s="106"/>
      <c r="L35" s="328">
        <f t="shared" si="25"/>
        <v>111.995</v>
      </c>
      <c r="M35" s="103">
        <f t="shared" si="5"/>
        <v>0.61985277839273856</v>
      </c>
      <c r="N35" s="103">
        <f>'[1]июль 20'!AM34</f>
        <v>6.298</v>
      </c>
      <c r="O35" s="103">
        <f>'[1]март 20'!W34</f>
        <v>0</v>
      </c>
      <c r="P35" s="103">
        <f>'[1]март 20'!S34</f>
        <v>255.803</v>
      </c>
      <c r="Q35" s="108">
        <f t="shared" si="6"/>
        <v>2.6790147105389739</v>
      </c>
      <c r="R35" s="109">
        <f t="shared" si="7"/>
        <v>248.95</v>
      </c>
      <c r="S35" s="131">
        <v>21.5</v>
      </c>
      <c r="T35" s="109">
        <f t="shared" si="8"/>
        <v>248.95</v>
      </c>
      <c r="U35" s="110">
        <f t="shared" si="9"/>
        <v>1.3778503431481071</v>
      </c>
      <c r="V35" s="136">
        <v>180.68</v>
      </c>
      <c r="W35" s="136">
        <v>148.57</v>
      </c>
      <c r="X35" s="131">
        <v>0.97</v>
      </c>
      <c r="Y35" s="133">
        <v>625</v>
      </c>
      <c r="Z35" s="133">
        <v>1226</v>
      </c>
      <c r="AA35" s="144" t="s">
        <v>245</v>
      </c>
      <c r="AB35" s="131">
        <v>76.41</v>
      </c>
      <c r="AC35" s="133">
        <v>143</v>
      </c>
      <c r="AD35" s="134">
        <v>5</v>
      </c>
      <c r="AE35" s="166">
        <v>5</v>
      </c>
      <c r="AF35" s="115">
        <f t="shared" si="10"/>
        <v>27.67323444764224</v>
      </c>
      <c r="AG35" s="166">
        <v>113.65</v>
      </c>
      <c r="AH35" s="115">
        <f t="shared" si="11"/>
        <v>629.01261899490817</v>
      </c>
      <c r="AI35" s="139">
        <v>27.3</v>
      </c>
      <c r="AJ35" s="131"/>
      <c r="AK35" s="167">
        <v>15.52</v>
      </c>
      <c r="AL35" s="167">
        <v>54.63</v>
      </c>
      <c r="AM35" s="110">
        <f t="shared" si="12"/>
        <v>0.22180267965895251</v>
      </c>
      <c r="AN35" s="168" t="s">
        <v>204</v>
      </c>
      <c r="AO35" s="405">
        <v>9.14</v>
      </c>
      <c r="AP35" s="169">
        <v>7.4</v>
      </c>
      <c r="AQ35" s="170"/>
      <c r="AR35" s="166">
        <v>5.61</v>
      </c>
      <c r="AS35" s="171">
        <v>246.3</v>
      </c>
      <c r="AT35" s="131">
        <v>4.53</v>
      </c>
      <c r="AU35" s="116"/>
      <c r="AV35" s="131"/>
      <c r="AW35" s="109">
        <f t="shared" si="31"/>
        <v>0</v>
      </c>
      <c r="AX35" s="109">
        <f t="shared" si="13"/>
        <v>180.68</v>
      </c>
      <c r="AY35" s="115">
        <f t="shared" si="26"/>
        <v>180.62610617107768</v>
      </c>
      <c r="AZ35" s="140">
        <f t="shared" si="14"/>
        <v>4.9389728873239447</v>
      </c>
      <c r="BA35" s="141">
        <f t="shared" si="32"/>
        <v>7.2272000000000007</v>
      </c>
      <c r="BB35" s="128">
        <f t="shared" si="16"/>
        <v>0.87326047902845561</v>
      </c>
      <c r="BC35" s="141">
        <f t="shared" si="17"/>
        <v>12.166172887323945</v>
      </c>
      <c r="BD35" s="165">
        <v>0.88900000000000001</v>
      </c>
      <c r="BE35" s="16">
        <f t="shared" si="27"/>
        <v>5743.3200000000006</v>
      </c>
      <c r="BF35" s="16">
        <f t="shared" si="18"/>
        <v>220.96774193548387</v>
      </c>
      <c r="BG35" s="16">
        <f t="shared" si="28"/>
        <v>6408.0645161290322</v>
      </c>
      <c r="BH35" s="17">
        <f t="shared" si="19"/>
        <v>1</v>
      </c>
      <c r="BI35" s="16">
        <f t="shared" si="29"/>
        <v>6408.0645161290322</v>
      </c>
      <c r="BJ35" s="254">
        <v>298.47899999999998</v>
      </c>
      <c r="BK35" s="197"/>
      <c r="BL35" s="197">
        <v>111.995</v>
      </c>
      <c r="BM35" s="197"/>
      <c r="BN35" s="230"/>
      <c r="BO35" s="230"/>
      <c r="BP35" s="259"/>
      <c r="BQ35" s="199"/>
      <c r="BR35" s="200">
        <v>1.44</v>
      </c>
      <c r="BS35" s="200"/>
      <c r="BT35" s="200"/>
      <c r="BU35" s="200"/>
      <c r="BV35" s="208"/>
      <c r="BW35" s="208"/>
      <c r="BX35" s="201"/>
      <c r="BY35" s="202">
        <v>36.979999999999997</v>
      </c>
      <c r="BZ35" s="200"/>
      <c r="CA35" s="200">
        <v>44.1</v>
      </c>
      <c r="CB35" s="200"/>
      <c r="CC35" s="208"/>
      <c r="CD35" s="208"/>
      <c r="CE35" s="209"/>
      <c r="CF35" s="199"/>
      <c r="CG35" s="197"/>
      <c r="CH35" s="197"/>
      <c r="CI35" s="230">
        <v>248.95</v>
      </c>
      <c r="CJ35" s="198"/>
      <c r="CK35" s="202"/>
      <c r="CL35" s="208"/>
      <c r="CM35" s="208"/>
      <c r="CN35" s="209"/>
      <c r="CP35" s="286">
        <f t="shared" si="20"/>
        <v>294.18090239999998</v>
      </c>
      <c r="CQ35" s="24">
        <f t="shared" si="20"/>
        <v>0</v>
      </c>
      <c r="CR35" s="24">
        <f t="shared" si="20"/>
        <v>111.995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248.95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30"/>
        <v>0</v>
      </c>
      <c r="DH35" s="419"/>
      <c r="DJ35" s="420"/>
    </row>
    <row r="36" spans="1:114" ht="16.5" customHeight="1">
      <c r="A36" s="127">
        <v>30</v>
      </c>
      <c r="B36" s="103">
        <f t="shared" si="24"/>
        <v>338.93099999999998</v>
      </c>
      <c r="C36" s="104">
        <f t="shared" si="0"/>
        <v>1.5299888472875012</v>
      </c>
      <c r="D36" s="143">
        <f t="shared" si="1"/>
        <v>333.74539349999998</v>
      </c>
      <c r="E36" s="104">
        <f t="shared" si="2"/>
        <v>38.754594917549596</v>
      </c>
      <c r="F36" s="128">
        <f t="shared" si="3"/>
        <v>2.0775983161105573</v>
      </c>
      <c r="G36" s="106"/>
      <c r="H36" s="107">
        <f t="shared" si="4"/>
        <v>1.4691570810507966</v>
      </c>
      <c r="I36" s="103">
        <f>'[1]сентябрь 20'!AE35</f>
        <v>0</v>
      </c>
      <c r="J36" s="328">
        <f>'[1]март 20'!AA35</f>
        <v>11.795</v>
      </c>
      <c r="K36" s="106"/>
      <c r="L36" s="328">
        <f t="shared" si="25"/>
        <v>97.74</v>
      </c>
      <c r="M36" s="103">
        <f t="shared" si="5"/>
        <v>0.60844123505976089</v>
      </c>
      <c r="N36" s="103">
        <f>'[1]июль 20'!AM35</f>
        <v>7.1239999999999997</v>
      </c>
      <c r="O36" s="103">
        <f>'[1]март 20'!W35</f>
        <v>0</v>
      </c>
      <c r="P36" s="103">
        <f>'[1]март 20'!S35</f>
        <v>212.31299999999999</v>
      </c>
      <c r="Q36" s="108">
        <f t="shared" si="6"/>
        <v>2.7002585804919987</v>
      </c>
      <c r="R36" s="109">
        <f t="shared" si="7"/>
        <v>206.57999999999998</v>
      </c>
      <c r="S36" s="131">
        <v>13.46</v>
      </c>
      <c r="T36" s="109">
        <f t="shared" si="8"/>
        <v>206.58</v>
      </c>
      <c r="U36" s="110">
        <f t="shared" si="9"/>
        <v>1.285981075697211</v>
      </c>
      <c r="V36" s="136">
        <v>160.63999999999999</v>
      </c>
      <c r="W36" s="136">
        <v>64.83</v>
      </c>
      <c r="X36" s="131">
        <v>1.06</v>
      </c>
      <c r="Y36" s="133">
        <v>550</v>
      </c>
      <c r="Z36" s="133">
        <v>1216</v>
      </c>
      <c r="AA36" s="144" t="s">
        <v>246</v>
      </c>
      <c r="AB36" s="131">
        <v>75.66</v>
      </c>
      <c r="AC36" s="133">
        <v>119</v>
      </c>
      <c r="AD36" s="134">
        <v>5</v>
      </c>
      <c r="AE36" s="131">
        <v>2.2999999999999998</v>
      </c>
      <c r="AF36" s="115">
        <f t="shared" si="10"/>
        <v>14.317729083665336</v>
      </c>
      <c r="AG36" s="131">
        <v>109.85</v>
      </c>
      <c r="AH36" s="115">
        <f t="shared" si="11"/>
        <v>683.82719123505967</v>
      </c>
      <c r="AI36" s="139">
        <v>29.7</v>
      </c>
      <c r="AJ36" s="131"/>
      <c r="AK36" s="136">
        <v>10.72</v>
      </c>
      <c r="AL36" s="136">
        <v>46.7</v>
      </c>
      <c r="AM36" s="110">
        <f t="shared" si="12"/>
        <v>0.21791880541297248</v>
      </c>
      <c r="AN36" s="137" t="s">
        <v>247</v>
      </c>
      <c r="AO36" s="150">
        <v>8.31</v>
      </c>
      <c r="AP36" s="138">
        <v>7.12</v>
      </c>
      <c r="AQ36" s="134"/>
      <c r="AR36" s="131">
        <v>7.92</v>
      </c>
      <c r="AS36" s="139">
        <v>214.3</v>
      </c>
      <c r="AT36" s="131">
        <v>3.76</v>
      </c>
      <c r="AU36" s="116"/>
      <c r="AV36" s="131"/>
      <c r="AW36" s="109">
        <f t="shared" si="31"/>
        <v>0</v>
      </c>
      <c r="AX36" s="109">
        <f t="shared" si="13"/>
        <v>160.64000000000001</v>
      </c>
      <c r="AY36" s="115">
        <f t="shared" si="26"/>
        <v>149.24039458489258</v>
      </c>
      <c r="AZ36" s="140">
        <f t="shared" si="14"/>
        <v>6.7395295774647881</v>
      </c>
      <c r="BA36" s="141">
        <f t="shared" si="32"/>
        <v>6.4256000000000011</v>
      </c>
      <c r="BB36" s="128">
        <f t="shared" si="16"/>
        <v>0.93968339061330919</v>
      </c>
      <c r="BC36" s="141">
        <f t="shared" si="17"/>
        <v>13.165129577464789</v>
      </c>
      <c r="BD36" s="165">
        <v>0.89</v>
      </c>
      <c r="BE36" s="16">
        <f t="shared" si="27"/>
        <v>5903.9600000000009</v>
      </c>
      <c r="BF36" s="16">
        <f t="shared" si="18"/>
        <v>220.96774193548387</v>
      </c>
      <c r="BG36" s="16">
        <f t="shared" si="28"/>
        <v>6629.0322580645161</v>
      </c>
      <c r="BH36" s="17">
        <f t="shared" si="19"/>
        <v>1</v>
      </c>
      <c r="BI36" s="16">
        <f t="shared" si="29"/>
        <v>6629.0322580645161</v>
      </c>
      <c r="BJ36" s="254">
        <v>241.191</v>
      </c>
      <c r="BK36" s="197"/>
      <c r="BL36" s="197">
        <v>97.74</v>
      </c>
      <c r="BM36" s="197"/>
      <c r="BN36" s="230"/>
      <c r="BO36" s="230"/>
      <c r="BP36" s="258"/>
      <c r="BQ36" s="199"/>
      <c r="BR36" s="200">
        <v>2.15</v>
      </c>
      <c r="BS36" s="200"/>
      <c r="BT36" s="200"/>
      <c r="BU36" s="200"/>
      <c r="BV36" s="208"/>
      <c r="BW36" s="208"/>
      <c r="BX36" s="201"/>
      <c r="BY36" s="202">
        <v>36.71</v>
      </c>
      <c r="BZ36" s="200"/>
      <c r="CA36" s="200">
        <v>43.8</v>
      </c>
      <c r="CB36" s="200"/>
      <c r="CC36" s="208"/>
      <c r="CD36" s="208"/>
      <c r="CE36" s="209"/>
      <c r="CF36" s="199"/>
      <c r="CG36" s="197"/>
      <c r="CH36" s="197"/>
      <c r="CI36" s="230">
        <v>206.58</v>
      </c>
      <c r="CJ36" s="198"/>
      <c r="CK36" s="202"/>
      <c r="CL36" s="208"/>
      <c r="CM36" s="208"/>
      <c r="CN36" s="209"/>
      <c r="CP36" s="286">
        <f t="shared" si="20"/>
        <v>236.0053935</v>
      </c>
      <c r="CQ36" s="27">
        <f t="shared" si="20"/>
        <v>0</v>
      </c>
      <c r="CR36" s="28">
        <f t="shared" si="20"/>
        <v>97.74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206.58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30"/>
        <v>0</v>
      </c>
      <c r="DH36" s="419"/>
      <c r="DJ36" s="420"/>
    </row>
    <row r="37" spans="1:114" ht="16.5" customHeight="1" thickBot="1">
      <c r="A37" s="172">
        <v>31</v>
      </c>
      <c r="B37" s="103">
        <f t="shared" si="24"/>
        <v>412.65099999999995</v>
      </c>
      <c r="C37" s="104">
        <f t="shared" si="0"/>
        <v>0.88494650443110523</v>
      </c>
      <c r="D37" s="173">
        <f t="shared" si="1"/>
        <v>408.99925939999997</v>
      </c>
      <c r="E37" s="104">
        <f t="shared" si="2"/>
        <v>38.795813653668603</v>
      </c>
      <c r="F37" s="174">
        <f t="shared" si="3"/>
        <v>2.2719656671480948</v>
      </c>
      <c r="G37" s="106"/>
      <c r="H37" s="107">
        <f t="shared" si="4"/>
        <v>1.6424356149316743</v>
      </c>
      <c r="I37" s="103">
        <f>'[1]сентябрь 20'!AE36</f>
        <v>0</v>
      </c>
      <c r="J37" s="328">
        <f>'[1]март 20'!AA36</f>
        <v>14.609</v>
      </c>
      <c r="K37" s="106"/>
      <c r="L37" s="328">
        <f t="shared" si="25"/>
        <v>113.328</v>
      </c>
      <c r="M37" s="103">
        <f t="shared" si="5"/>
        <v>0.62953005221642044</v>
      </c>
      <c r="N37" s="103">
        <f>'[1]июль 20'!AM36</f>
        <v>6.7409999999999997</v>
      </c>
      <c r="O37" s="103">
        <f>'[1]март 20'!W36</f>
        <v>0</v>
      </c>
      <c r="P37" s="103">
        <f>'[1]март 20'!S36</f>
        <v>254.976</v>
      </c>
      <c r="Q37" s="108">
        <f t="shared" si="6"/>
        <v>2.649661144578308</v>
      </c>
      <c r="R37" s="175">
        <f t="shared" si="7"/>
        <v>248.22</v>
      </c>
      <c r="S37" s="176">
        <v>12.54</v>
      </c>
      <c r="T37" s="109">
        <f t="shared" si="8"/>
        <v>248.22</v>
      </c>
      <c r="U37" s="227">
        <f t="shared" si="9"/>
        <v>1.3788467948005778</v>
      </c>
      <c r="V37" s="177">
        <v>180.02</v>
      </c>
      <c r="W37" s="177">
        <v>142.19</v>
      </c>
      <c r="X37" s="176">
        <v>0.87</v>
      </c>
      <c r="Y37" s="178">
        <v>658</v>
      </c>
      <c r="Z37" s="178">
        <v>1223</v>
      </c>
      <c r="AA37" s="179" t="s">
        <v>129</v>
      </c>
      <c r="AB37" s="176">
        <v>75.930000000000007</v>
      </c>
      <c r="AC37" s="178">
        <v>144</v>
      </c>
      <c r="AD37" s="180">
        <v>5</v>
      </c>
      <c r="AE37" s="176">
        <v>2.65</v>
      </c>
      <c r="AF37" s="115">
        <f t="shared" si="10"/>
        <v>14.720586601488725</v>
      </c>
      <c r="AG37" s="176">
        <v>122.3</v>
      </c>
      <c r="AH37" s="181">
        <f t="shared" si="11"/>
        <v>679.36895900455511</v>
      </c>
      <c r="AI37" s="182">
        <v>22.11</v>
      </c>
      <c r="AJ37" s="176"/>
      <c r="AK37" s="177">
        <v>11.3</v>
      </c>
      <c r="AL37" s="177">
        <v>51.53</v>
      </c>
      <c r="AM37" s="227">
        <f t="shared" si="12"/>
        <v>0.21218859378217006</v>
      </c>
      <c r="AN37" s="183" t="s">
        <v>228</v>
      </c>
      <c r="AO37" s="406">
        <v>9.0299999999999994</v>
      </c>
      <c r="AP37" s="184">
        <v>7.16</v>
      </c>
      <c r="AQ37" s="180"/>
      <c r="AR37" s="176">
        <v>6.69</v>
      </c>
      <c r="AS37" s="176">
        <v>242.85</v>
      </c>
      <c r="AT37" s="131"/>
      <c r="AU37" s="176"/>
      <c r="AV37" s="176"/>
      <c r="AW37" s="185">
        <f t="shared" si="31"/>
        <v>0</v>
      </c>
      <c r="AX37" s="109">
        <f t="shared" si="13"/>
        <v>180.01999999999998</v>
      </c>
      <c r="AY37" s="115">
        <f t="shared" si="26"/>
        <v>182.43502900757491</v>
      </c>
      <c r="AZ37" s="186">
        <f t="shared" si="14"/>
        <v>6.338068309859155</v>
      </c>
      <c r="BA37" s="181">
        <f t="shared" si="32"/>
        <v>7.2007999999999992</v>
      </c>
      <c r="BB37" s="174">
        <f t="shared" si="16"/>
        <v>0.86144344567443021</v>
      </c>
      <c r="BC37" s="181">
        <f t="shared" si="17"/>
        <v>13.538868309859154</v>
      </c>
      <c r="BD37" s="187">
        <v>0.88900000000000001</v>
      </c>
      <c r="BE37" s="16">
        <f t="shared" si="27"/>
        <v>6083.9800000000014</v>
      </c>
      <c r="BF37" s="16">
        <f t="shared" si="18"/>
        <v>220.96774193548387</v>
      </c>
      <c r="BG37" s="16">
        <f t="shared" si="28"/>
        <v>6850</v>
      </c>
      <c r="BH37" s="17">
        <f t="shared" si="19"/>
        <v>1</v>
      </c>
      <c r="BI37" s="16">
        <f t="shared" si="29"/>
        <v>6850</v>
      </c>
      <c r="BJ37" s="256">
        <v>299.32299999999998</v>
      </c>
      <c r="BK37" s="257"/>
      <c r="BL37" s="257">
        <v>113.328</v>
      </c>
      <c r="BM37" s="257"/>
      <c r="BN37" s="261"/>
      <c r="BO37" s="261"/>
      <c r="BP37" s="262"/>
      <c r="BQ37" s="219"/>
      <c r="BR37" s="220">
        <v>1.22</v>
      </c>
      <c r="BS37" s="220"/>
      <c r="BT37" s="220"/>
      <c r="BU37" s="220"/>
      <c r="BV37" s="224"/>
      <c r="BW37" s="224"/>
      <c r="BX37" s="221"/>
      <c r="BY37" s="222">
        <v>36.78</v>
      </c>
      <c r="BZ37" s="220"/>
      <c r="CA37" s="220">
        <v>44.12</v>
      </c>
      <c r="CB37" s="220"/>
      <c r="CC37" s="224"/>
      <c r="CD37" s="224"/>
      <c r="CE37" s="221"/>
      <c r="CF37" s="219"/>
      <c r="CG37" s="217"/>
      <c r="CH37" s="217"/>
      <c r="CI37" s="234">
        <v>248.22</v>
      </c>
      <c r="CJ37" s="223"/>
      <c r="CK37" s="222"/>
      <c r="CL37" s="224"/>
      <c r="CM37" s="224"/>
      <c r="CN37" s="218"/>
      <c r="CP37" s="287">
        <f t="shared" si="20"/>
        <v>295.6712594</v>
      </c>
      <c r="CQ37" s="32">
        <f t="shared" si="20"/>
        <v>0</v>
      </c>
      <c r="CR37" s="30">
        <f t="shared" si="20"/>
        <v>113.328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248.22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30"/>
        <v>0</v>
      </c>
      <c r="DH37" s="419"/>
      <c r="DJ37" s="420"/>
    </row>
    <row r="38" spans="1:114" ht="16.5" customHeight="1" thickBot="1">
      <c r="A38" s="55" t="s">
        <v>58</v>
      </c>
      <c r="B38" s="188">
        <f>SUM(B7:B37)</f>
        <v>13243.762000500003</v>
      </c>
      <c r="C38" s="326"/>
      <c r="D38" s="327">
        <f>SUM(D7:D37)</f>
        <v>12994.131357860218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310.43099999999998</v>
      </c>
      <c r="K38" s="188">
        <f>SUM(K7:K37)</f>
        <v>186.64999999999998</v>
      </c>
      <c r="L38" s="331">
        <f>SUM(L7:L37)</f>
        <v>3964.2529999999997</v>
      </c>
      <c r="M38" s="342"/>
      <c r="N38" s="342">
        <f>SUM(N7:N37)</f>
        <v>85.77</v>
      </c>
      <c r="O38" s="188">
        <f>SUM(O7:O37)</f>
        <v>38.503</v>
      </c>
      <c r="P38" s="188">
        <f>SUM(P7:P37)</f>
        <v>8568.0400000000009</v>
      </c>
      <c r="Q38" s="342"/>
      <c r="R38" s="341">
        <f>SUM(R7:R37)</f>
        <v>8291.4230001999986</v>
      </c>
      <c r="S38" s="343">
        <f>SUM(S7:S37)</f>
        <v>498.15999999999997</v>
      </c>
      <c r="T38" s="341">
        <f>SUM(T7:T37)</f>
        <v>8291.4230001999986</v>
      </c>
      <c r="U38" s="344"/>
      <c r="V38" s="194">
        <f>SUM(V7:V37)</f>
        <v>5127.9600000000009</v>
      </c>
      <c r="W38" s="194">
        <f>SUM(W7:W37)</f>
        <v>4156.9699999999993</v>
      </c>
      <c r="X38" s="345"/>
      <c r="Y38" s="346"/>
      <c r="Z38" s="347"/>
      <c r="AA38" s="348"/>
      <c r="AB38" s="345"/>
      <c r="AC38" s="345"/>
      <c r="AD38" s="347">
        <f>SUM(AD7:AD37)</f>
        <v>146</v>
      </c>
      <c r="AE38" s="194">
        <f>SUM(AE7:AE37)</f>
        <v>89.049999999999983</v>
      </c>
      <c r="AF38" s="349"/>
      <c r="AG38" s="194">
        <f>SUM(AG7:AG37)</f>
        <v>3683.05</v>
      </c>
      <c r="AH38" s="343"/>
      <c r="AI38" s="338">
        <f>SUM(AI7:AI37)</f>
        <v>821.20999999999992</v>
      </c>
      <c r="AJ38" s="343">
        <f>SUM(AJ7:AJ37)</f>
        <v>0</v>
      </c>
      <c r="AK38" s="337">
        <f>SUM(AK7:AK37)</f>
        <v>330.36999999999995</v>
      </c>
      <c r="AL38" s="395">
        <f>SUM(AL7:AL37)</f>
        <v>1559.5900000000006</v>
      </c>
      <c r="AM38" s="350"/>
      <c r="AN38" s="351"/>
      <c r="AO38" s="343"/>
      <c r="AP38" s="351"/>
      <c r="AQ38" s="351"/>
      <c r="AR38" s="352"/>
      <c r="AS38" s="337">
        <f>SUM(AS7:AS37)</f>
        <v>7875.2500000000018</v>
      </c>
      <c r="AT38" s="341">
        <f>SUM(AT7:AT37)</f>
        <v>98.69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6083.9800000000014</v>
      </c>
      <c r="AY38" s="252">
        <f>SUM(AY7:AY37)</f>
        <v>5978.8518610803894</v>
      </c>
      <c r="AZ38" s="351">
        <f>SUM(AZ7:AZ36)</f>
        <v>225.09406514084509</v>
      </c>
      <c r="BA38" s="351">
        <f>SUM(BA7:BA36)</f>
        <v>226.73880000000003</v>
      </c>
      <c r="BB38" s="340"/>
      <c r="BC38" s="351">
        <f>SUM(BC7:BC37)</f>
        <v>465.37173345070426</v>
      </c>
      <c r="BD38" s="353"/>
      <c r="BE38" s="16"/>
      <c r="BF38" s="16">
        <f t="shared" si="18"/>
        <v>0</v>
      </c>
      <c r="BG38" s="16"/>
      <c r="BH38" s="17">
        <f>SUM(BH7:BH37)</f>
        <v>31</v>
      </c>
      <c r="BI38" s="33"/>
      <c r="BJ38" s="417">
        <f t="shared" ref="BJ38:BP38" si="33">SUM(BJ7:BJ37)</f>
        <v>8651.5190000000002</v>
      </c>
      <c r="BK38" s="38">
        <f t="shared" si="33"/>
        <v>9.9999999999999995E-8</v>
      </c>
      <c r="BL38" s="38">
        <f t="shared" si="33"/>
        <v>3964.2529999999997</v>
      </c>
      <c r="BM38" s="38">
        <f t="shared" si="33"/>
        <v>489.66800009999997</v>
      </c>
      <c r="BN38" s="38">
        <f t="shared" si="33"/>
        <v>9.9999999999999995E-8</v>
      </c>
      <c r="BO38" s="38">
        <f t="shared" si="33"/>
        <v>9.9999999999999995E-8</v>
      </c>
      <c r="BP38" s="38">
        <f t="shared" si="33"/>
        <v>138.3220001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1402.2</v>
      </c>
      <c r="CH38" s="39">
        <f>SUM(CH7:CH37)</f>
        <v>9.9999999999999995E-8</v>
      </c>
      <c r="CI38" s="39">
        <f>SUM(CI7:CI37)</f>
        <v>6889.2230000000009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4">SUM(CP7:CP37)</f>
        <v>8460.4629130000012</v>
      </c>
      <c r="CQ38" s="190">
        <f t="shared" si="34"/>
        <v>9.99999999E-8</v>
      </c>
      <c r="CR38" s="191">
        <f t="shared" si="34"/>
        <v>3964.2529998602176</v>
      </c>
      <c r="CS38" s="192">
        <f t="shared" si="34"/>
        <v>435.58819519999997</v>
      </c>
      <c r="CT38" s="192">
        <f t="shared" si="34"/>
        <v>9.99999999E-8</v>
      </c>
      <c r="CU38" s="192">
        <f t="shared" si="34"/>
        <v>9.99999999E-8</v>
      </c>
      <c r="CV38" s="278">
        <f t="shared" si="34"/>
        <v>133.82724949999999</v>
      </c>
      <c r="CW38" s="278">
        <f t="shared" si="34"/>
        <v>1402.1999998451502</v>
      </c>
      <c r="CX38" s="192">
        <f t="shared" si="34"/>
        <v>9.99999999E-8</v>
      </c>
      <c r="CY38" s="192">
        <f t="shared" si="34"/>
        <v>6889.2229998449502</v>
      </c>
      <c r="CZ38" s="192">
        <f t="shared" si="34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  <c r="DH38" s="13"/>
      <c r="DJ38" s="422"/>
    </row>
    <row r="39" spans="1:114" ht="16.5" customHeight="1" thickBot="1">
      <c r="A39" s="56" t="s">
        <v>59</v>
      </c>
      <c r="B39" s="84">
        <f>B38/AS2</f>
        <v>427.2181290483872</v>
      </c>
      <c r="C39" s="84">
        <f>(BJ38*BR39+BK38*BS39+BM38*BU39+BP38*BX39+BL38*BT39+BO38*BW39+BN38*BV39)/B38</f>
        <v>1.8848922430828758</v>
      </c>
      <c r="D39" s="82"/>
      <c r="E39" s="354">
        <f>(BJ38*BY39+BK38*BZ39+BM38*CB39+BP38*CE39+BL38*CA39+BO38*CD39+BN38*CC39)/B38</f>
        <v>39.819242972660653</v>
      </c>
      <c r="F39" s="355">
        <f>IF(AX38=0,0,D38/AX38)</f>
        <v>2.1357945551859499</v>
      </c>
      <c r="G39" s="354">
        <f>G38/AS2</f>
        <v>0</v>
      </c>
      <c r="H39" s="355">
        <f>IF(AX38=0,0,(CV38+CS38+CU38+CP38+CT38)/AX38)</f>
        <v>1.4842057925732826</v>
      </c>
      <c r="I39" s="354">
        <f>I38/AS2</f>
        <v>0</v>
      </c>
      <c r="J39" s="354">
        <f>J38/AS2</f>
        <v>10.013903225806452</v>
      </c>
      <c r="K39" s="354">
        <f>K38/AS2</f>
        <v>6.0209677419354835</v>
      </c>
      <c r="L39" s="354">
        <f>L38/AS2</f>
        <v>127.87912903225805</v>
      </c>
      <c r="M39" s="355">
        <f>IF($AX$38=0,0,(CR38+CQ38)/$AX$38)</f>
        <v>0.65158876261266752</v>
      </c>
      <c r="N39" s="354">
        <f>N38/AS2</f>
        <v>2.7667741935483869</v>
      </c>
      <c r="O39" s="354">
        <f>O38/AS2</f>
        <v>1.2420322580645162</v>
      </c>
      <c r="P39" s="356">
        <f>P38/AS2</f>
        <v>276.38838709677424</v>
      </c>
      <c r="Q39" s="354">
        <f>(SUMPRODUCT(P7:P37,Q7:Q37))/P38</f>
        <v>3.2284746546468037</v>
      </c>
      <c r="R39" s="357"/>
      <c r="S39" s="354">
        <f>S38/AS2</f>
        <v>16.069677419354839</v>
      </c>
      <c r="T39" s="354">
        <f>T38/AS2:AS2</f>
        <v>267.46525807096771</v>
      </c>
      <c r="U39" s="358">
        <f>IF($AX$38=0,0,R38/$AX$38)</f>
        <v>1.3628287733030018</v>
      </c>
      <c r="V39" s="354">
        <f>V38/AS2</f>
        <v>165.41806451612905</v>
      </c>
      <c r="W39" s="354">
        <f>W38/AS2</f>
        <v>134.09580645161287</v>
      </c>
      <c r="X39" s="354">
        <f>(SUMPRODUCT(X7:X37,AX7:AX37))/AX38</f>
        <v>0.86355362772395694</v>
      </c>
      <c r="Y39" s="359">
        <f>AVERAGE(Y7:Y37)</f>
        <v>602.0322580645161</v>
      </c>
      <c r="Z39" s="359">
        <f>AVERAGE(Z7:Z37)</f>
        <v>1223.4193548387098</v>
      </c>
      <c r="AA39" s="359"/>
      <c r="AB39" s="354">
        <f>(SUMPRODUCT(AB7:AB37,AX7:AX37))/AX38</f>
        <v>75.614726659193479</v>
      </c>
      <c r="AC39" s="360">
        <f>AVERAGE(AC7:AC37)</f>
        <v>148.7741935483871</v>
      </c>
      <c r="AD39" s="360">
        <f>AVERAGE(AD7:AD37)</f>
        <v>4.709677419354839</v>
      </c>
      <c r="AE39" s="354">
        <f>AE38/AS2</f>
        <v>2.8725806451612899</v>
      </c>
      <c r="AF39" s="361">
        <f>IF(AX38=0,0,AE38/AX38*1000)</f>
        <v>14.636800252466307</v>
      </c>
      <c r="AG39" s="361">
        <f>AG38/AS2</f>
        <v>118.80806451612904</v>
      </c>
      <c r="AH39" s="361">
        <f>IF(AX38=0,0,AG38/AX38*1000)</f>
        <v>605.36852520882701</v>
      </c>
      <c r="AI39" s="354">
        <f>AI38/AS2</f>
        <v>26.49064516129032</v>
      </c>
      <c r="AJ39" s="359"/>
      <c r="AK39" s="354">
        <f>AK38/AS2</f>
        <v>10.657096774193546</v>
      </c>
      <c r="AL39" s="354">
        <f>AL38/AS2</f>
        <v>50.309354838709694</v>
      </c>
      <c r="AM39" s="346">
        <f>IF(AL39=0,0,AL39/AS39)</f>
        <v>0.19803688771785025</v>
      </c>
      <c r="AN39" s="361">
        <f>SUM(AN8:AN38)</f>
        <v>0</v>
      </c>
      <c r="AO39" s="354">
        <f>AVERAGE(AO7:AO37)</f>
        <v>9.7567741935483845</v>
      </c>
      <c r="AP39" s="354">
        <f>AVERAGE(AP7:AP37)</f>
        <v>6.8883870967741938</v>
      </c>
      <c r="AQ39" s="362"/>
      <c r="AR39" s="354">
        <f>AVERAGE(AR7:AR37)</f>
        <v>8.0232258064516131</v>
      </c>
      <c r="AS39" s="363">
        <f>AS38/AS2</f>
        <v>254.04032258064521</v>
      </c>
      <c r="AT39" s="363">
        <f>AT38/AS2</f>
        <v>3.1835483870967742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196.25741935483876</v>
      </c>
      <c r="AY39" s="354">
        <f>AY38/AS2</f>
        <v>192.86618906710933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0.88910676028413782</v>
      </c>
      <c r="BC39" s="354">
        <f>BC38/AS2</f>
        <v>15.011991401635621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2.2083530880530926</v>
      </c>
      <c r="BS39" s="42">
        <f t="shared" ref="BS39:BX39" si="35">(SUMPRODUCT(BK7:BK37,BS7:BS37))/BK38</f>
        <v>9.9999999999999982E-8</v>
      </c>
      <c r="BT39" s="42">
        <f t="shared" si="35"/>
        <v>3.5260615303816385E-9</v>
      </c>
      <c r="BU39" s="42">
        <f t="shared" si="35"/>
        <v>11.044177869282008</v>
      </c>
      <c r="BV39" s="42">
        <f t="shared" si="35"/>
        <v>9.9999999999999982E-8</v>
      </c>
      <c r="BW39" s="46">
        <f t="shared" si="35"/>
        <v>9.9999999999999982E-8</v>
      </c>
      <c r="BX39" s="240">
        <f t="shared" si="35"/>
        <v>3.2494835216021429</v>
      </c>
      <c r="BY39" s="41">
        <f t="shared" ref="BY39:CE39" si="36">(SUMPRODUCT(BJ7:BJ37,BY7:BY37))/BJ38</f>
        <v>37.655786904010725</v>
      </c>
      <c r="BZ39" s="42">
        <f t="shared" si="36"/>
        <v>9.9999999999999982E-8</v>
      </c>
      <c r="CA39" s="42">
        <f t="shared" si="36"/>
        <v>44.252944648083748</v>
      </c>
      <c r="CB39" s="42">
        <f t="shared" si="36"/>
        <v>42.669015038215889</v>
      </c>
      <c r="CC39" s="42">
        <f t="shared" si="36"/>
        <v>9.9999999999999982E-8</v>
      </c>
      <c r="CD39" s="46">
        <f t="shared" si="36"/>
        <v>9.9999999999999982E-8</v>
      </c>
      <c r="CE39" s="240">
        <f t="shared" si="36"/>
        <v>37.978783318648674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1.1043360433604334E-8</v>
      </c>
      <c r="CL39" s="46">
        <f>(SUMPRODUCT(CH7:CH37,CL7:CL37))/CH38</f>
        <v>9.9999999999999982E-8</v>
      </c>
      <c r="CM39" s="46">
        <f>(SUMPRODUCT(CI7:CI37,CM7:CM37))/CI38</f>
        <v>2.2506166515440128E-9</v>
      </c>
      <c r="CN39" s="44">
        <f>(SUMPRODUCT(CJ7:CJ37,CN7:CN37))/CJ38</f>
        <v>9.9999999999999982E-8</v>
      </c>
      <c r="CP39" s="667">
        <f>CP38+CQ38</f>
        <v>8460.462913100002</v>
      </c>
      <c r="CQ39" s="667"/>
      <c r="CR39" s="668">
        <f>CR38+CS38+CV38+CU38+CT38</f>
        <v>4533.6684447602174</v>
      </c>
      <c r="CS39" s="668"/>
      <c r="CT39" s="668"/>
      <c r="CU39" s="668"/>
      <c r="CV39" s="668"/>
      <c r="CW39" s="669">
        <f>CW38+CX38+CZ38+CY38</f>
        <v>8291.422999890101</v>
      </c>
      <c r="CX39" s="668"/>
      <c r="CY39" s="668"/>
      <c r="CZ39" s="668"/>
      <c r="DB39" s="302"/>
      <c r="DC39" s="303"/>
      <c r="DD39" s="303"/>
      <c r="DE39" s="304"/>
      <c r="DF39" s="305"/>
      <c r="DH39" s="13"/>
      <c r="DJ39" s="420"/>
    </row>
    <row r="40" spans="1:114" ht="16.5" customHeight="1" thickBot="1">
      <c r="A40" s="57" t="s">
        <v>60</v>
      </c>
      <c r="B40" s="85"/>
      <c r="C40" s="86"/>
      <c r="D40" s="87"/>
      <c r="E40" s="365">
        <v>39</v>
      </c>
      <c r="F40" s="366">
        <v>2.08</v>
      </c>
      <c r="G40" s="366"/>
      <c r="H40" s="366">
        <v>1.56</v>
      </c>
      <c r="I40" s="366"/>
      <c r="J40" s="408">
        <v>16.572600000000001</v>
      </c>
      <c r="K40" s="366"/>
      <c r="L40" s="366"/>
      <c r="M40" s="366">
        <v>0.52</v>
      </c>
      <c r="N40" s="365"/>
      <c r="O40" s="366"/>
      <c r="P40" s="367"/>
      <c r="Q40" s="368"/>
      <c r="R40" s="367"/>
      <c r="S40" s="369">
        <v>25.565997599999999</v>
      </c>
      <c r="T40" s="367"/>
      <c r="U40" s="369">
        <v>1.2849999999999999</v>
      </c>
      <c r="V40" s="370">
        <v>6850</v>
      </c>
      <c r="W40" s="370">
        <v>6850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590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6850</v>
      </c>
      <c r="AT40" s="379">
        <v>47.95</v>
      </c>
      <c r="AU40" s="380"/>
      <c r="AV40" s="381"/>
      <c r="AW40" s="382"/>
      <c r="AX40" s="365">
        <v>220.97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12994.13135786022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  <c r="DH40" s="13"/>
    </row>
    <row r="41" spans="1:114" ht="16.5" customHeight="1" thickBot="1">
      <c r="A41" s="58" t="s">
        <v>61</v>
      </c>
      <c r="B41" s="88"/>
      <c r="C41" s="88"/>
      <c r="D41" s="88"/>
      <c r="E41" s="384"/>
      <c r="F41" s="385">
        <f>F39-F40</f>
        <v>5.5794555185949779E-2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3.2284746546468037</v>
      </c>
      <c r="R41" s="386"/>
      <c r="S41" s="388"/>
      <c r="T41" s="388"/>
      <c r="U41" s="385">
        <f>U39-U40</f>
        <v>7.7828773303001864E-2</v>
      </c>
      <c r="V41" s="385"/>
      <c r="W41" s="385"/>
      <c r="X41" s="385"/>
      <c r="Y41" s="385"/>
      <c r="Z41" s="389">
        <f>Z39-Z40</f>
        <v>-26.580645161290249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1025.2500000000018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  <c r="DH41" s="13"/>
    </row>
    <row r="42" spans="1:114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  <c r="DH42" s="13"/>
    </row>
    <row r="43" spans="1:114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220.96774193548387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31</v>
      </c>
      <c r="CP43" s="247"/>
      <c r="DH43" s="13"/>
    </row>
    <row r="44" spans="1:114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  <c r="DH44" s="13"/>
    </row>
    <row r="45" spans="1:114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53.940068493150697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30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  <c r="DH45" s="13"/>
    </row>
    <row r="46" spans="1:114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228.33333333333334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  <c r="DH46" s="13"/>
    </row>
    <row r="47" spans="1:11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  <c r="DH47" s="13"/>
    </row>
    <row r="48" spans="1:11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-766.01999999999862</v>
      </c>
      <c r="AZ48" s="681"/>
      <c r="BA48" s="681"/>
      <c r="BB48" s="681"/>
      <c r="BC48" s="682" t="s">
        <v>72</v>
      </c>
      <c r="BD48" s="99"/>
      <c r="BE48" s="13"/>
      <c r="DH48" s="13"/>
    </row>
    <row r="49" spans="1:112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  <c r="DH49" s="13"/>
    </row>
    <row r="50" spans="1:112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  <c r="DH50" s="13"/>
    </row>
    <row r="51" spans="1:112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-11.182773722627717</v>
      </c>
      <c r="AZ51" s="672"/>
      <c r="BA51" s="672"/>
      <c r="BB51" s="672"/>
      <c r="BC51" s="673" t="s">
        <v>73</v>
      </c>
      <c r="BD51" s="99"/>
      <c r="DH51" s="13"/>
    </row>
    <row r="52" spans="1:112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  <c r="DH52" s="13"/>
    </row>
    <row r="53" spans="1:112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112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112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112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112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112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112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112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112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112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112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112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  <mergeCell ref="DB5:DF5"/>
    <mergeCell ref="CP39:CQ39"/>
    <mergeCell ref="CR39:CV39"/>
    <mergeCell ref="CW39:CZ39"/>
    <mergeCell ref="CG3:CJ5"/>
    <mergeCell ref="CK3:CN5"/>
    <mergeCell ref="V3:V6"/>
    <mergeCell ref="S4:S6"/>
    <mergeCell ref="T4:T6"/>
    <mergeCell ref="U4:U6"/>
    <mergeCell ref="AE5:AE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L3:AL6"/>
    <mergeCell ref="AM3:AM6"/>
    <mergeCell ref="AN3:AN6"/>
    <mergeCell ref="AO3:AO6"/>
    <mergeCell ref="AP3:AP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CL22" activePane="bottomRight" state="frozen"/>
      <selection pane="topRight" activeCell="B1" sqref="B1"/>
      <selection pane="bottomLeft" activeCell="A7" sqref="A7"/>
      <selection pane="bottomRight" activeCell="CQ44" sqref="CQ44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6.28515625" customWidth="1"/>
    <col min="16" max="16" width="9" customWidth="1"/>
    <col min="17" max="17" width="5.140625" customWidth="1"/>
    <col min="18" max="18" width="8.85546875" customWidth="1"/>
    <col min="19" max="19" width="8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30</v>
      </c>
      <c r="AT2" s="321"/>
      <c r="AU2" s="321"/>
      <c r="AV2" s="322"/>
      <c r="AW2" s="321"/>
      <c r="AX2" s="323" t="s">
        <v>237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16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99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'[1]апрель 20'!K6</f>
        <v>425.88600000000002</v>
      </c>
      <c r="C7" s="104">
        <f t="shared" ref="C7:C37" si="0">IF(B7=0,0,(BJ7*BR7+BK7*BS7+BM7*BU7+BP7*BX7+BL7*BT7+BO7*BW7+BN7*BV7)/B7)</f>
        <v>1.2634034660303461</v>
      </c>
      <c r="D7" s="105">
        <f t="shared" ref="D7:D37" si="1">B7*((100-C7)/100)</f>
        <v>420.50534151466201</v>
      </c>
      <c r="E7" s="104">
        <f t="shared" ref="E7:E37" si="2">IF(B7=0,0,(BJ7*BY7+BK7*BZ7+BM7*CB7+BP7*CE7+BL7*CA7+BO7*CD7+BN7*CC7)/B7)</f>
        <v>38.260601428551304</v>
      </c>
      <c r="F7" s="103">
        <f t="shared" ref="F7:F37" si="3">IF(AX7=0,0,D7/AX7)</f>
        <v>2.3795005744378792</v>
      </c>
      <c r="G7" s="106"/>
      <c r="H7" s="107">
        <f t="shared" ref="H7:H37" si="4">IF(AX7=0,0,(CV7+CS7+CU7+CP7+CT7)/AX7)</f>
        <v>1.8966010751471256</v>
      </c>
      <c r="I7" s="103">
        <f>'[1]сентябрь 20'!AE6</f>
        <v>0</v>
      </c>
      <c r="J7" s="328">
        <f>'[1]апрель 20'!AA6</f>
        <v>15.132</v>
      </c>
      <c r="K7" s="106"/>
      <c r="L7" s="328">
        <f>'[1]апрель 20'!AI6</f>
        <v>85.337999999999994</v>
      </c>
      <c r="M7" s="103">
        <f t="shared" ref="M7:M37" si="5">IF(AX7=0,0,(CR7+CQ7)/AX7)</f>
        <v>0.4828995021200882</v>
      </c>
      <c r="N7" s="103">
        <f>'[1]июль 20'!AM6</f>
        <v>0</v>
      </c>
      <c r="O7" s="103">
        <f>'[1]апрель 20'!W6</f>
        <v>0</v>
      </c>
      <c r="P7" s="103">
        <f>'[1]апрель 20'!S6</f>
        <v>252.05199999999999</v>
      </c>
      <c r="Q7" s="108">
        <f t="shared" ref="Q7:Q37" si="6">IF(P7=0,0,(1-(T7/P7))*100)</f>
        <v>2.7065842365860959</v>
      </c>
      <c r="R7" s="109">
        <f t="shared" ref="R7:R37" si="7">P7*((100-Q7)/100)</f>
        <v>245.2300003</v>
      </c>
      <c r="S7" s="106">
        <v>11.97</v>
      </c>
      <c r="T7" s="109">
        <f t="shared" ref="T7:T37" si="8">CG7+CH7+CJ7+CI7</f>
        <v>245.2300003</v>
      </c>
      <c r="U7" s="110">
        <f t="shared" ref="U7:U37" si="9">IF(AX7=0,0,R7/AX7)</f>
        <v>1.3876754204391126</v>
      </c>
      <c r="V7" s="136">
        <v>176.72</v>
      </c>
      <c r="W7" s="111">
        <v>176.72</v>
      </c>
      <c r="X7" s="106">
        <v>0.56000000000000005</v>
      </c>
      <c r="Y7" s="112">
        <v>623</v>
      </c>
      <c r="Z7" s="238">
        <v>1231</v>
      </c>
      <c r="AA7" s="113" t="s">
        <v>248</v>
      </c>
      <c r="AB7" s="106">
        <v>77.069999999999993</v>
      </c>
      <c r="AC7" s="112">
        <v>142</v>
      </c>
      <c r="AD7" s="114">
        <v>5</v>
      </c>
      <c r="AE7" s="106">
        <v>2.85</v>
      </c>
      <c r="AF7" s="115">
        <f t="shared" ref="AF7:AF37" si="10">IF(AX7=0,0,AE7/AX7*1000)</f>
        <v>16.127206880941603</v>
      </c>
      <c r="AG7" s="106">
        <v>124.25</v>
      </c>
      <c r="AH7" s="115">
        <f t="shared" ref="AH7:AH37" si="11">IF(AX7=0,0,AG7/AX7*1000)</f>
        <v>703.08963331824361</v>
      </c>
      <c r="AI7" s="106">
        <v>24.78</v>
      </c>
      <c r="AJ7" s="116"/>
      <c r="AK7" s="117">
        <v>18.11</v>
      </c>
      <c r="AL7" s="118">
        <v>54.48</v>
      </c>
      <c r="AM7" s="110">
        <f t="shared" ref="AM7:AM37" si="12">IF(AL7=0,0,AL7/AS7)</f>
        <v>0.22314151136596352</v>
      </c>
      <c r="AN7" s="119" t="s">
        <v>249</v>
      </c>
      <c r="AO7" s="403">
        <v>8.31</v>
      </c>
      <c r="AP7" s="120">
        <v>7.7</v>
      </c>
      <c r="AQ7" s="106"/>
      <c r="AR7" s="106">
        <v>7.31</v>
      </c>
      <c r="AS7" s="314">
        <v>244.15</v>
      </c>
      <c r="AT7" s="121">
        <v>5.16</v>
      </c>
      <c r="AU7" s="122"/>
      <c r="AV7" s="123"/>
      <c r="AW7" s="124"/>
      <c r="AX7" s="109">
        <f t="shared" ref="AX7:AX37" si="13">AS7-AL7-AK7+AV7+AT7</f>
        <v>176.72</v>
      </c>
      <c r="AY7" s="115">
        <f>IF(AB7=0,0,((D7*0.97)*(E7/100)*0.9)/(AB7/100))</f>
        <v>182.24356152776861</v>
      </c>
      <c r="AZ7" s="125">
        <f t="shared" ref="AZ7:AZ37" si="14">(AG7*AR7)/100*(55/71)</f>
        <v>7.0358749999999999</v>
      </c>
      <c r="BA7" s="115">
        <f t="shared" ref="BA7:BA23" si="15">AX7*$BA$6</f>
        <v>7.0688000000000004</v>
      </c>
      <c r="BB7" s="103">
        <f t="shared" ref="BB7:BB37" si="16">IF((D7*E7)=0,0,(AX7*AB7)/(D7*E7))</f>
        <v>0.84654052360852672</v>
      </c>
      <c r="BC7" s="115">
        <f t="shared" ref="BC7:BC37" si="17">AZ7+BA7</f>
        <v>14.104675</v>
      </c>
      <c r="BD7" s="126">
        <v>0.84699999999999998</v>
      </c>
      <c r="BE7" s="16">
        <f>AX7</f>
        <v>176.72</v>
      </c>
      <c r="BF7" s="16">
        <f t="shared" ref="BF7:BF38" si="18">IF(A7&lt;=$BD$43,$AS$43,0)</f>
        <v>223.33333333333334</v>
      </c>
      <c r="BG7" s="16">
        <f>BF7</f>
        <v>223.33333333333334</v>
      </c>
      <c r="BH7" s="17">
        <f t="shared" ref="BH7:BH37" si="19">IF(AX7&lt;&gt;0,1,0)</f>
        <v>1</v>
      </c>
      <c r="BI7" s="16">
        <f>BF7*BH7</f>
        <v>223.33333333333334</v>
      </c>
      <c r="BJ7" s="336">
        <v>340.548</v>
      </c>
      <c r="BK7" s="336">
        <v>9.9999999999999995E-8</v>
      </c>
      <c r="BL7" s="336">
        <v>85.337999999999994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1.58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36.880000000000003</v>
      </c>
      <c r="BZ7" s="336">
        <v>9.9999999999999995E-8</v>
      </c>
      <c r="CA7" s="336">
        <v>43.77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245.23</v>
      </c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335.16734159999999</v>
      </c>
      <c r="CQ7" s="22">
        <f t="shared" si="20"/>
        <v>9.99999999E-8</v>
      </c>
      <c r="CR7" s="22">
        <f t="shared" si="20"/>
        <v>85.337999914661992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245.22999975477001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02"/>
    </row>
    <row r="8" spans="1:112" ht="16.5" customHeight="1">
      <c r="A8" s="127">
        <v>2</v>
      </c>
      <c r="B8" s="103">
        <f>'[1]апрель 20'!K7</f>
        <v>453.517</v>
      </c>
      <c r="C8" s="104">
        <f t="shared" si="0"/>
        <v>2.3815191051272606</v>
      </c>
      <c r="D8" s="105">
        <f t="shared" si="1"/>
        <v>442.71640599999995</v>
      </c>
      <c r="E8" s="104">
        <f t="shared" si="2"/>
        <v>39.462344234063998</v>
      </c>
      <c r="F8" s="128">
        <f t="shared" si="3"/>
        <v>2.3251912079831931</v>
      </c>
      <c r="G8" s="106"/>
      <c r="H8" s="107">
        <f t="shared" si="4"/>
        <v>1.6755956197478992</v>
      </c>
      <c r="I8" s="103">
        <f>'[1]сентябрь 20'!AE7</f>
        <v>0</v>
      </c>
      <c r="J8" s="328">
        <f>'[1]апрель 20'!AA7</f>
        <v>4.7960000000000003</v>
      </c>
      <c r="K8" s="106"/>
      <c r="L8" s="328">
        <f>'[1]апрель 20'!AI7</f>
        <v>123.68300000000001</v>
      </c>
      <c r="M8" s="103">
        <f t="shared" si="5"/>
        <v>0.64959558823529417</v>
      </c>
      <c r="N8" s="103">
        <f>'[1]июль 20'!AM7</f>
        <v>0</v>
      </c>
      <c r="O8" s="103">
        <f>'[1]апрель 20'!W7</f>
        <v>0</v>
      </c>
      <c r="P8" s="103">
        <f>'[1]апрель 20'!S7</f>
        <v>268.86700000000002</v>
      </c>
      <c r="Q8" s="108">
        <f t="shared" si="6"/>
        <v>2.6544722855538216</v>
      </c>
      <c r="R8" s="109">
        <f t="shared" si="7"/>
        <v>261.73</v>
      </c>
      <c r="S8" s="106">
        <v>15.13</v>
      </c>
      <c r="T8" s="109">
        <f t="shared" si="8"/>
        <v>261.73</v>
      </c>
      <c r="U8" s="110">
        <f t="shared" si="9"/>
        <v>1.3746323529411766</v>
      </c>
      <c r="V8" s="136">
        <v>151.77000000000001</v>
      </c>
      <c r="W8" s="130">
        <v>35.93</v>
      </c>
      <c r="X8" s="131">
        <v>1.22</v>
      </c>
      <c r="Y8" s="112">
        <v>620</v>
      </c>
      <c r="Z8" s="112">
        <v>1228</v>
      </c>
      <c r="AA8" s="132" t="s">
        <v>129</v>
      </c>
      <c r="AB8" s="131">
        <v>76.33</v>
      </c>
      <c r="AC8" s="133">
        <v>151</v>
      </c>
      <c r="AD8" s="134">
        <v>5</v>
      </c>
      <c r="AE8" s="131">
        <v>4.1500000000000004</v>
      </c>
      <c r="AF8" s="115">
        <f t="shared" si="10"/>
        <v>21.79621848739496</v>
      </c>
      <c r="AG8" s="131">
        <v>104.05</v>
      </c>
      <c r="AH8" s="115">
        <f t="shared" si="11"/>
        <v>546.48109243697479</v>
      </c>
      <c r="AI8" s="131">
        <v>27.33</v>
      </c>
      <c r="AJ8" s="116"/>
      <c r="AK8" s="135">
        <v>11.89</v>
      </c>
      <c r="AL8" s="136">
        <v>55.26</v>
      </c>
      <c r="AM8" s="110">
        <f t="shared" si="12"/>
        <v>0.21959070137095171</v>
      </c>
      <c r="AN8" s="137" t="s">
        <v>250</v>
      </c>
      <c r="AO8" s="150">
        <v>9.02</v>
      </c>
      <c r="AP8" s="138">
        <v>7.51</v>
      </c>
      <c r="AQ8" s="131"/>
      <c r="AR8" s="131">
        <v>6.02</v>
      </c>
      <c r="AS8" s="315">
        <v>251.65</v>
      </c>
      <c r="AT8" s="131">
        <v>5.9</v>
      </c>
      <c r="AU8" s="116"/>
      <c r="AV8" s="131"/>
      <c r="AW8" s="109"/>
      <c r="AX8" s="109">
        <f t="shared" si="13"/>
        <v>190.4</v>
      </c>
      <c r="AY8" s="115">
        <f t="shared" ref="AY8:AY37" si="24">IF(AB8=0,0,((D8*0.97)*(E8/100)*0.9)/(AB8/100))</f>
        <v>199.81471971389237</v>
      </c>
      <c r="AZ8" s="140">
        <f t="shared" si="14"/>
        <v>4.8522471830985907</v>
      </c>
      <c r="BA8" s="141">
        <f t="shared" si="15"/>
        <v>7.6160000000000005</v>
      </c>
      <c r="BB8" s="128">
        <f t="shared" si="16"/>
        <v>0.83186664244758057</v>
      </c>
      <c r="BC8" s="141">
        <f t="shared" si="17"/>
        <v>12.46824718309859</v>
      </c>
      <c r="BD8" s="142">
        <v>0.83899999999999997</v>
      </c>
      <c r="BE8" s="16">
        <f t="shared" ref="BE8:BE37" si="25">BE7+AX8</f>
        <v>367.12</v>
      </c>
      <c r="BF8" s="16">
        <f t="shared" si="18"/>
        <v>223.33333333333334</v>
      </c>
      <c r="BG8" s="16">
        <f t="shared" ref="BG8:BG37" si="26">BF8+BG7</f>
        <v>446.66666666666669</v>
      </c>
      <c r="BH8" s="17">
        <f t="shared" si="19"/>
        <v>1</v>
      </c>
      <c r="BI8" s="16">
        <f t="shared" ref="BI8:BI37" si="27">BI7+BF8*BH8</f>
        <v>446.66666666666669</v>
      </c>
      <c r="BJ8" s="249">
        <v>281.91500000000002</v>
      </c>
      <c r="BK8" s="195"/>
      <c r="BL8" s="197">
        <v>123.68300000000001</v>
      </c>
      <c r="BM8" s="197">
        <v>47.918999999999997</v>
      </c>
      <c r="BN8" s="230"/>
      <c r="BO8" s="230"/>
      <c r="BP8" s="250"/>
      <c r="BQ8" s="199"/>
      <c r="BR8" s="200">
        <v>1.29</v>
      </c>
      <c r="BS8" s="200"/>
      <c r="BT8" s="200"/>
      <c r="BU8" s="200">
        <v>14.95</v>
      </c>
      <c r="BV8" s="208"/>
      <c r="BW8" s="208"/>
      <c r="BX8" s="198"/>
      <c r="BY8" s="202">
        <v>36.86</v>
      </c>
      <c r="BZ8" s="200"/>
      <c r="CA8" s="200">
        <v>43.88</v>
      </c>
      <c r="CB8" s="200">
        <v>43.37</v>
      </c>
      <c r="CC8" s="197"/>
      <c r="CD8" s="197"/>
      <c r="CE8" s="197"/>
      <c r="CF8" s="203"/>
      <c r="CG8" s="204"/>
      <c r="CH8" s="197"/>
      <c r="CI8" s="197">
        <v>261.73</v>
      </c>
      <c r="CJ8" s="198"/>
      <c r="CK8" s="205"/>
      <c r="CL8" s="206"/>
      <c r="CM8" s="269"/>
      <c r="CN8" s="207"/>
      <c r="CO8" s="284"/>
      <c r="CP8" s="286">
        <f t="shared" si="20"/>
        <v>278.27829650000001</v>
      </c>
      <c r="CQ8" s="24">
        <f t="shared" si="20"/>
        <v>0</v>
      </c>
      <c r="CR8" s="25">
        <f t="shared" si="20"/>
        <v>123.68300000000001</v>
      </c>
      <c r="CS8" s="24">
        <f t="shared" si="20"/>
        <v>40.755109499999996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261.73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8">IF(I8=0,0,(DE8*DD8%)/(AB8/100))</f>
        <v>0</v>
      </c>
      <c r="DH8" s="402"/>
    </row>
    <row r="9" spans="1:112" ht="16.5" customHeight="1">
      <c r="A9" s="127">
        <v>3</v>
      </c>
      <c r="B9" s="103">
        <f>'[1]апрель 20'!K8</f>
        <v>432.29899999999998</v>
      </c>
      <c r="C9" s="104">
        <f t="shared" si="0"/>
        <v>2.9229062292533641</v>
      </c>
      <c r="D9" s="143">
        <f t="shared" si="1"/>
        <v>419.6633056</v>
      </c>
      <c r="E9" s="104">
        <f t="shared" si="2"/>
        <v>39.275129366480144</v>
      </c>
      <c r="F9" s="128">
        <f t="shared" si="3"/>
        <v>2.0275548632718139</v>
      </c>
      <c r="G9" s="106"/>
      <c r="H9" s="107">
        <f t="shared" si="4"/>
        <v>1.3680273726930139</v>
      </c>
      <c r="I9" s="103">
        <f>'[1]сентябрь 20'!AE8</f>
        <v>0</v>
      </c>
      <c r="J9" s="328">
        <f>'[1]апрель 20'!AA8</f>
        <v>4.7880000000000003</v>
      </c>
      <c r="K9" s="106"/>
      <c r="L9" s="328">
        <f>'[1]апрель 20'!AI8</f>
        <v>136.50899999999999</v>
      </c>
      <c r="M9" s="103">
        <f t="shared" si="5"/>
        <v>0.65952749057879989</v>
      </c>
      <c r="N9" s="103">
        <f>'[1]июль 20'!AM8</f>
        <v>0</v>
      </c>
      <c r="O9" s="103">
        <f>'[1]апрель 20'!W8</f>
        <v>0</v>
      </c>
      <c r="P9" s="103">
        <f>'[1]апрель 20'!S8</f>
        <v>256.048</v>
      </c>
      <c r="Q9" s="108">
        <f t="shared" si="6"/>
        <v>2.7057426732487677</v>
      </c>
      <c r="R9" s="109">
        <f t="shared" si="7"/>
        <v>249.12</v>
      </c>
      <c r="S9" s="106">
        <v>14.35</v>
      </c>
      <c r="T9" s="109">
        <f t="shared" si="8"/>
        <v>249.12</v>
      </c>
      <c r="U9" s="110">
        <f t="shared" si="9"/>
        <v>1.2035945501980869</v>
      </c>
      <c r="V9" s="136"/>
      <c r="W9" s="130">
        <v>81.86</v>
      </c>
      <c r="X9" s="131">
        <v>1.23</v>
      </c>
      <c r="Y9" s="112">
        <v>687</v>
      </c>
      <c r="Z9" s="112">
        <v>1233</v>
      </c>
      <c r="AA9" s="144" t="s">
        <v>251</v>
      </c>
      <c r="AB9" s="131">
        <v>72.12</v>
      </c>
      <c r="AC9" s="133">
        <v>144</v>
      </c>
      <c r="AD9" s="134">
        <v>5</v>
      </c>
      <c r="AE9" s="131">
        <v>2.2999999999999998</v>
      </c>
      <c r="AF9" s="115">
        <f t="shared" si="10"/>
        <v>11.112184752149966</v>
      </c>
      <c r="AG9" s="131">
        <v>105.7</v>
      </c>
      <c r="AH9" s="115">
        <f t="shared" si="11"/>
        <v>510.67736013141376</v>
      </c>
      <c r="AI9" s="131">
        <v>28.06</v>
      </c>
      <c r="AJ9" s="116"/>
      <c r="AK9" s="135">
        <v>9.83</v>
      </c>
      <c r="AL9" s="136">
        <v>53.15</v>
      </c>
      <c r="AM9" s="110">
        <f t="shared" si="12"/>
        <v>0.19962441314553991</v>
      </c>
      <c r="AN9" s="137" t="s">
        <v>113</v>
      </c>
      <c r="AO9" s="150">
        <v>11.76</v>
      </c>
      <c r="AP9" s="131">
        <v>7.27</v>
      </c>
      <c r="AQ9" s="131"/>
      <c r="AR9" s="131">
        <v>6.43</v>
      </c>
      <c r="AS9" s="315">
        <v>266.25</v>
      </c>
      <c r="AT9" s="131">
        <v>3.71</v>
      </c>
      <c r="AU9" s="116"/>
      <c r="AV9" s="131"/>
      <c r="AW9" s="109"/>
      <c r="AX9" s="109">
        <f t="shared" si="13"/>
        <v>206.98</v>
      </c>
      <c r="AY9" s="115">
        <f t="shared" si="24"/>
        <v>199.51573252001515</v>
      </c>
      <c r="AZ9" s="140">
        <f t="shared" si="14"/>
        <v>5.2649021126760562</v>
      </c>
      <c r="BA9" s="141">
        <f t="shared" si="15"/>
        <v>8.2791999999999994</v>
      </c>
      <c r="BB9" s="128">
        <f t="shared" si="16"/>
        <v>0.9056606099064044</v>
      </c>
      <c r="BC9" s="141">
        <f t="shared" si="17"/>
        <v>13.544102112676056</v>
      </c>
      <c r="BD9" s="142">
        <v>0.86099999999999999</v>
      </c>
      <c r="BE9" s="16">
        <f t="shared" si="25"/>
        <v>574.1</v>
      </c>
      <c r="BF9" s="16">
        <f t="shared" si="18"/>
        <v>223.33333333333334</v>
      </c>
      <c r="BG9" s="16">
        <f t="shared" si="26"/>
        <v>670</v>
      </c>
      <c r="BH9" s="17">
        <f t="shared" si="19"/>
        <v>1</v>
      </c>
      <c r="BI9" s="16">
        <f t="shared" si="27"/>
        <v>670</v>
      </c>
      <c r="BJ9" s="249">
        <v>263.64699999999999</v>
      </c>
      <c r="BK9" s="195"/>
      <c r="BL9" s="197">
        <v>136.50899999999999</v>
      </c>
      <c r="BM9" s="197">
        <v>32.143000000000001</v>
      </c>
      <c r="BN9" s="230"/>
      <c r="BO9" s="230"/>
      <c r="BP9" s="250"/>
      <c r="BQ9" s="199"/>
      <c r="BR9" s="200">
        <v>2.97</v>
      </c>
      <c r="BS9" s="200"/>
      <c r="BT9" s="200"/>
      <c r="BU9" s="200">
        <v>14.95</v>
      </c>
      <c r="BV9" s="208"/>
      <c r="BW9" s="208"/>
      <c r="BX9" s="201"/>
      <c r="BY9" s="202">
        <v>36.49</v>
      </c>
      <c r="BZ9" s="200"/>
      <c r="CA9" s="200">
        <v>43.69</v>
      </c>
      <c r="CB9" s="200">
        <v>43.37</v>
      </c>
      <c r="CC9" s="200"/>
      <c r="CD9" s="200"/>
      <c r="CE9" s="200"/>
      <c r="CF9" s="203"/>
      <c r="CG9" s="204"/>
      <c r="CH9" s="197"/>
      <c r="CI9" s="197">
        <v>249.12</v>
      </c>
      <c r="CJ9" s="198"/>
      <c r="CK9" s="202"/>
      <c r="CL9" s="208"/>
      <c r="CM9" s="208"/>
      <c r="CN9" s="201"/>
      <c r="CO9" s="284"/>
      <c r="CP9" s="286">
        <f t="shared" si="20"/>
        <v>255.8166841</v>
      </c>
      <c r="CQ9" s="27">
        <f t="shared" si="20"/>
        <v>0</v>
      </c>
      <c r="CR9" s="28">
        <f t="shared" si="20"/>
        <v>136.50899999999999</v>
      </c>
      <c r="CS9" s="27">
        <f t="shared" si="20"/>
        <v>27.337621499999997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249.12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8"/>
        <v>0</v>
      </c>
      <c r="DH9" s="402"/>
    </row>
    <row r="10" spans="1:112" ht="16.5" customHeight="1">
      <c r="A10" s="127">
        <v>4</v>
      </c>
      <c r="B10" s="103">
        <f>'[1]апрель 20'!K9</f>
        <v>497.75200000000001</v>
      </c>
      <c r="C10" s="104">
        <f t="shared" si="0"/>
        <v>1.6001462575740528</v>
      </c>
      <c r="D10" s="143">
        <f t="shared" si="1"/>
        <v>489.78724</v>
      </c>
      <c r="E10" s="104">
        <f t="shared" si="2"/>
        <v>38.3654932175059</v>
      </c>
      <c r="F10" s="128">
        <f t="shared" si="3"/>
        <v>2.1370358218072343</v>
      </c>
      <c r="G10" s="106"/>
      <c r="H10" s="107">
        <f t="shared" si="4"/>
        <v>1.7028371220384833</v>
      </c>
      <c r="I10" s="103">
        <f>'[1]сентябрь 20'!AE9</f>
        <v>0</v>
      </c>
      <c r="J10" s="328">
        <f>'[1]апрель 20'!AA9</f>
        <v>19.533000000000001</v>
      </c>
      <c r="K10" s="106"/>
      <c r="L10" s="328">
        <f>'[1]апрель 20'!AI9</f>
        <v>99.513999999999996</v>
      </c>
      <c r="M10" s="103">
        <f t="shared" si="5"/>
        <v>0.43419869976875081</v>
      </c>
      <c r="N10" s="103">
        <f>'[1]июль 20'!AM9</f>
        <v>0</v>
      </c>
      <c r="O10" s="103">
        <f>'[1]апрель 20'!W9</f>
        <v>0</v>
      </c>
      <c r="P10" s="103">
        <f>'[1]апрель 20'!S9</f>
        <v>293.363</v>
      </c>
      <c r="Q10" s="108">
        <f t="shared" si="6"/>
        <v>2.1348977205714381</v>
      </c>
      <c r="R10" s="109">
        <f t="shared" si="7"/>
        <v>287.09999999999997</v>
      </c>
      <c r="S10" s="106"/>
      <c r="T10" s="109">
        <f t="shared" si="8"/>
        <v>287.10000000000002</v>
      </c>
      <c r="U10" s="110">
        <f t="shared" si="9"/>
        <v>1.2526724551682009</v>
      </c>
      <c r="V10" s="136">
        <v>183.21</v>
      </c>
      <c r="W10" s="130">
        <v>187.21</v>
      </c>
      <c r="X10" s="131">
        <v>0.81</v>
      </c>
      <c r="Y10" s="112">
        <v>638</v>
      </c>
      <c r="Z10" s="112">
        <v>1239</v>
      </c>
      <c r="AA10" s="144" t="s">
        <v>109</v>
      </c>
      <c r="AB10" s="131">
        <v>76.31</v>
      </c>
      <c r="AC10" s="133">
        <v>166</v>
      </c>
      <c r="AD10" s="134">
        <v>5</v>
      </c>
      <c r="AE10" s="131">
        <v>1.75</v>
      </c>
      <c r="AF10" s="115">
        <f t="shared" si="10"/>
        <v>7.63558619486016</v>
      </c>
      <c r="AG10" s="131">
        <v>138.44999999999999</v>
      </c>
      <c r="AH10" s="115">
        <f t="shared" si="11"/>
        <v>604.08394781622235</v>
      </c>
      <c r="AI10" s="131">
        <v>22.46</v>
      </c>
      <c r="AJ10" s="116"/>
      <c r="AK10" s="135">
        <v>10.6</v>
      </c>
      <c r="AL10" s="136">
        <v>61.36</v>
      </c>
      <c r="AM10" s="110">
        <f t="shared" si="12"/>
        <v>0.20604432505036938</v>
      </c>
      <c r="AN10" s="137" t="s">
        <v>113</v>
      </c>
      <c r="AO10" s="150">
        <v>9.76</v>
      </c>
      <c r="AP10" s="138">
        <v>7.96</v>
      </c>
      <c r="AQ10" s="131"/>
      <c r="AR10" s="131">
        <v>5.74</v>
      </c>
      <c r="AS10" s="315">
        <v>297.8</v>
      </c>
      <c r="AT10" s="131">
        <v>3.35</v>
      </c>
      <c r="AU10" s="116"/>
      <c r="AV10" s="131"/>
      <c r="AW10" s="109"/>
      <c r="AX10" s="109">
        <f t="shared" si="13"/>
        <v>229.19</v>
      </c>
      <c r="AY10" s="115">
        <f>IF(AB10=0,0,((D10*0.97)*(E10/100)*0.9)/(AB10/100))</f>
        <v>214.97157707891938</v>
      </c>
      <c r="AZ10" s="140">
        <f t="shared" si="14"/>
        <v>6.1561499999999993</v>
      </c>
      <c r="BA10" s="141">
        <f t="shared" si="15"/>
        <v>9.1676000000000002</v>
      </c>
      <c r="BB10" s="128">
        <f t="shared" si="16"/>
        <v>0.93074104362432308</v>
      </c>
      <c r="BC10" s="141">
        <f t="shared" si="17"/>
        <v>15.32375</v>
      </c>
      <c r="BD10" s="142">
        <v>0.88</v>
      </c>
      <c r="BE10" s="16">
        <f t="shared" si="25"/>
        <v>803.29</v>
      </c>
      <c r="BF10" s="16">
        <f t="shared" si="18"/>
        <v>223.33333333333334</v>
      </c>
      <c r="BG10" s="16">
        <f t="shared" si="26"/>
        <v>893.33333333333337</v>
      </c>
      <c r="BH10" s="17">
        <f t="shared" si="19"/>
        <v>1</v>
      </c>
      <c r="BI10" s="16">
        <f t="shared" si="27"/>
        <v>893.33333333333337</v>
      </c>
      <c r="BJ10" s="249">
        <v>398.238</v>
      </c>
      <c r="BK10" s="195"/>
      <c r="BL10" s="197">
        <v>99.513999999999996</v>
      </c>
      <c r="BM10" s="195"/>
      <c r="BN10" s="195"/>
      <c r="BO10" s="230"/>
      <c r="BP10" s="250"/>
      <c r="BQ10" s="199"/>
      <c r="BR10" s="200">
        <v>2</v>
      </c>
      <c r="BS10" s="200"/>
      <c r="BT10" s="200"/>
      <c r="BU10" s="200"/>
      <c r="BV10" s="208"/>
      <c r="BW10" s="208"/>
      <c r="BX10" s="201"/>
      <c r="BY10" s="202">
        <v>36.979999999999997</v>
      </c>
      <c r="BZ10" s="200"/>
      <c r="CA10" s="200">
        <v>43.91</v>
      </c>
      <c r="CB10" s="200"/>
      <c r="CC10" s="200"/>
      <c r="CD10" s="200"/>
      <c r="CE10" s="200"/>
      <c r="CF10" s="203"/>
      <c r="CG10" s="204"/>
      <c r="CH10" s="197"/>
      <c r="CI10" s="197">
        <v>287.10000000000002</v>
      </c>
      <c r="CJ10" s="198"/>
      <c r="CK10" s="202"/>
      <c r="CL10" s="208"/>
      <c r="CM10" s="208"/>
      <c r="CN10" s="201"/>
      <c r="CO10" s="284"/>
      <c r="CP10" s="286">
        <f t="shared" si="20"/>
        <v>390.27323999999999</v>
      </c>
      <c r="CQ10" s="29">
        <f t="shared" si="20"/>
        <v>0</v>
      </c>
      <c r="CR10" s="30">
        <f t="shared" si="20"/>
        <v>99.513999999999996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0</v>
      </c>
      <c r="CX10" s="26">
        <f t="shared" si="21"/>
        <v>0</v>
      </c>
      <c r="CY10" s="277">
        <f t="shared" si="21"/>
        <v>287.10000000000002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8"/>
        <v>0</v>
      </c>
      <c r="DH10" s="402"/>
    </row>
    <row r="11" spans="1:112" ht="16.5" customHeight="1">
      <c r="A11" s="127">
        <v>5</v>
      </c>
      <c r="B11" s="103">
        <f>'[1]апрель 20'!K10</f>
        <v>504.52499999999998</v>
      </c>
      <c r="C11" s="104">
        <f t="shared" si="0"/>
        <v>1.3586926316832666</v>
      </c>
      <c r="D11" s="143">
        <f t="shared" si="1"/>
        <v>497.67005599999999</v>
      </c>
      <c r="E11" s="104">
        <f t="shared" si="2"/>
        <v>38.283414042911645</v>
      </c>
      <c r="F11" s="128">
        <f t="shared" si="3"/>
        <v>2.2484415650131018</v>
      </c>
      <c r="G11" s="106"/>
      <c r="H11" s="107">
        <f>IF(AX11=0,0,(CV11+CS11+CU11+CP11+CT11)/AX11)</f>
        <v>1.7908062528237101</v>
      </c>
      <c r="I11" s="103">
        <f>'[1]сентябрь 20'!AE10</f>
        <v>0</v>
      </c>
      <c r="J11" s="328">
        <f>'[1]апрель 20'!AA10</f>
        <v>19.323</v>
      </c>
      <c r="K11" s="106"/>
      <c r="L11" s="328">
        <f>'[1]апрель 20'!AI10</f>
        <v>101.29300000000001</v>
      </c>
      <c r="M11" s="103">
        <f t="shared" si="5"/>
        <v>0.45763531218939185</v>
      </c>
      <c r="N11" s="103">
        <f>'[1]июль 20'!AM10</f>
        <v>0</v>
      </c>
      <c r="O11" s="103">
        <f>'[1]апрель 20'!W10</f>
        <v>0</v>
      </c>
      <c r="P11" s="103">
        <f>'[1]апрель 20'!S10</f>
        <v>299.36</v>
      </c>
      <c r="Q11" s="108">
        <f t="shared" si="6"/>
        <v>2.7491982896846623</v>
      </c>
      <c r="R11" s="109">
        <f t="shared" si="7"/>
        <v>291.13000000000005</v>
      </c>
      <c r="S11" s="106">
        <v>15.54</v>
      </c>
      <c r="T11" s="109">
        <f t="shared" si="8"/>
        <v>291.13</v>
      </c>
      <c r="U11" s="110">
        <f t="shared" si="9"/>
        <v>1.3153067678684378</v>
      </c>
      <c r="V11" s="136">
        <v>221.34</v>
      </c>
      <c r="W11" s="130">
        <v>221.34</v>
      </c>
      <c r="X11" s="131">
        <v>0.47</v>
      </c>
      <c r="Y11" s="112">
        <v>649</v>
      </c>
      <c r="Z11" s="112">
        <v>1226</v>
      </c>
      <c r="AA11" s="144" t="s">
        <v>144</v>
      </c>
      <c r="AB11" s="131">
        <v>76.08</v>
      </c>
      <c r="AC11" s="133">
        <v>168</v>
      </c>
      <c r="AD11" s="134">
        <v>5</v>
      </c>
      <c r="AE11" s="131">
        <v>2.1</v>
      </c>
      <c r="AF11" s="115">
        <f t="shared" si="10"/>
        <v>9.4876660341555965</v>
      </c>
      <c r="AG11" s="131">
        <v>152.94999999999999</v>
      </c>
      <c r="AH11" s="115">
        <f t="shared" si="11"/>
        <v>691.01834282099912</v>
      </c>
      <c r="AI11" s="131">
        <v>26.05</v>
      </c>
      <c r="AJ11" s="116"/>
      <c r="AK11" s="135">
        <v>11.63</v>
      </c>
      <c r="AL11" s="136">
        <v>54.32</v>
      </c>
      <c r="AM11" s="110">
        <f t="shared" si="12"/>
        <v>0.1913686806411837</v>
      </c>
      <c r="AN11" s="137" t="s">
        <v>202</v>
      </c>
      <c r="AO11" s="150">
        <v>8.17</v>
      </c>
      <c r="AP11" s="138">
        <v>7.34</v>
      </c>
      <c r="AQ11" s="131"/>
      <c r="AR11" s="131">
        <v>7.49</v>
      </c>
      <c r="AS11" s="315">
        <v>283.85000000000002</v>
      </c>
      <c r="AT11" s="131">
        <v>3.44</v>
      </c>
      <c r="AU11" s="145"/>
      <c r="AV11" s="131"/>
      <c r="AW11" s="109"/>
      <c r="AX11" s="109">
        <f t="shared" si="13"/>
        <v>221.34000000000003</v>
      </c>
      <c r="AY11" s="115">
        <f t="shared" si="24"/>
        <v>218.62303091035662</v>
      </c>
      <c r="AZ11" s="140">
        <f t="shared" si="14"/>
        <v>8.8743313380281688</v>
      </c>
      <c r="BA11" s="141">
        <f t="shared" si="15"/>
        <v>8.8536000000000019</v>
      </c>
      <c r="BB11" s="128">
        <f t="shared" si="16"/>
        <v>0.88384933277789579</v>
      </c>
      <c r="BC11" s="141">
        <f t="shared" si="17"/>
        <v>17.727931338028171</v>
      </c>
      <c r="BD11" s="142">
        <v>0.88100000000000001</v>
      </c>
      <c r="BE11" s="16">
        <f t="shared" si="25"/>
        <v>1024.6300000000001</v>
      </c>
      <c r="BF11" s="16">
        <f t="shared" si="18"/>
        <v>223.33333333333334</v>
      </c>
      <c r="BG11" s="16">
        <f t="shared" si="26"/>
        <v>1116.6666666666667</v>
      </c>
      <c r="BH11" s="17">
        <f t="shared" si="19"/>
        <v>1</v>
      </c>
      <c r="BI11" s="16">
        <f t="shared" si="27"/>
        <v>1116.6666666666667</v>
      </c>
      <c r="BJ11" s="249">
        <v>403.23200000000003</v>
      </c>
      <c r="BK11" s="195"/>
      <c r="BL11" s="197">
        <v>101.29300000000001</v>
      </c>
      <c r="BM11" s="197"/>
      <c r="BN11" s="230"/>
      <c r="BO11" s="230"/>
      <c r="BP11" s="250"/>
      <c r="BQ11" s="199"/>
      <c r="BR11" s="200">
        <v>1.7</v>
      </c>
      <c r="BS11" s="200"/>
      <c r="BT11" s="200"/>
      <c r="BU11" s="200"/>
      <c r="BV11" s="208"/>
      <c r="BW11" s="208"/>
      <c r="BX11" s="201"/>
      <c r="BY11" s="202">
        <v>36.869999999999997</v>
      </c>
      <c r="BZ11" s="200"/>
      <c r="CA11" s="200">
        <v>43.91</v>
      </c>
      <c r="CB11" s="200"/>
      <c r="CC11" s="200"/>
      <c r="CD11" s="200"/>
      <c r="CE11" s="200"/>
      <c r="CF11" s="203"/>
      <c r="CG11" s="204"/>
      <c r="CH11" s="197"/>
      <c r="CI11" s="230">
        <v>291.13</v>
      </c>
      <c r="CJ11" s="198"/>
      <c r="CK11" s="202"/>
      <c r="CL11" s="208"/>
      <c r="CM11" s="208"/>
      <c r="CN11" s="201"/>
      <c r="CO11" s="284"/>
      <c r="CP11" s="286">
        <f t="shared" si="20"/>
        <v>396.37705600000004</v>
      </c>
      <c r="CQ11" s="24">
        <f t="shared" si="20"/>
        <v>0</v>
      </c>
      <c r="CR11" s="25">
        <f t="shared" si="20"/>
        <v>101.29300000000001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0</v>
      </c>
      <c r="CX11" s="26">
        <f t="shared" si="21"/>
        <v>0</v>
      </c>
      <c r="CY11" s="277">
        <f t="shared" si="21"/>
        <v>291.13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8"/>
        <v>0</v>
      </c>
      <c r="DH11" s="402"/>
    </row>
    <row r="12" spans="1:112" ht="16.5" customHeight="1">
      <c r="A12" s="127">
        <v>6</v>
      </c>
      <c r="B12" s="103">
        <f>'[1]апрель 20'!K11</f>
        <v>503.83600000000001</v>
      </c>
      <c r="C12" s="104">
        <f t="shared" si="0"/>
        <v>1.6822675632547095</v>
      </c>
      <c r="D12" s="143">
        <f t="shared" si="1"/>
        <v>495.3601304</v>
      </c>
      <c r="E12" s="104">
        <f t="shared" si="2"/>
        <v>38.125611032161252</v>
      </c>
      <c r="F12" s="128">
        <f t="shared" si="3"/>
        <v>2.1494408157597849</v>
      </c>
      <c r="G12" s="106"/>
      <c r="H12" s="107">
        <f t="shared" si="4"/>
        <v>1.7229373010500735</v>
      </c>
      <c r="I12" s="103">
        <f>'[1]сентябрь 20'!AE11</f>
        <v>0</v>
      </c>
      <c r="J12" s="328">
        <f>'[1]апрель 20'!AA11</f>
        <v>20.012</v>
      </c>
      <c r="K12" s="106"/>
      <c r="L12" s="328">
        <f>'[1]апрель 20'!AI11</f>
        <v>98.292000000000002</v>
      </c>
      <c r="M12" s="103">
        <f t="shared" si="5"/>
        <v>0.42650351470971098</v>
      </c>
      <c r="N12" s="103">
        <f>'[1]июль 20'!AM11</f>
        <v>0</v>
      </c>
      <c r="O12" s="103">
        <f>'[1]апрель 20'!W11</f>
        <v>0</v>
      </c>
      <c r="P12" s="103">
        <f>'[1]апрель 20'!S11</f>
        <v>301.60899999999998</v>
      </c>
      <c r="Q12" s="108">
        <f t="shared" si="6"/>
        <v>2.9339310166473731</v>
      </c>
      <c r="R12" s="109">
        <f t="shared" si="7"/>
        <v>292.76</v>
      </c>
      <c r="S12" s="106">
        <v>38.25</v>
      </c>
      <c r="T12" s="109">
        <f t="shared" si="8"/>
        <v>292.76</v>
      </c>
      <c r="U12" s="110">
        <f t="shared" si="9"/>
        <v>1.2703289074025861</v>
      </c>
      <c r="V12" s="136">
        <v>190.84</v>
      </c>
      <c r="W12" s="130">
        <v>230.46</v>
      </c>
      <c r="X12" s="131">
        <v>0.48</v>
      </c>
      <c r="Y12" s="112">
        <v>659</v>
      </c>
      <c r="Z12" s="133">
        <v>1230</v>
      </c>
      <c r="AA12" s="144" t="s">
        <v>252</v>
      </c>
      <c r="AB12" s="131">
        <v>75.55</v>
      </c>
      <c r="AC12" s="133">
        <v>168</v>
      </c>
      <c r="AD12" s="134">
        <v>5</v>
      </c>
      <c r="AE12" s="131">
        <v>3.55</v>
      </c>
      <c r="AF12" s="115">
        <f t="shared" si="10"/>
        <v>15.403974659376898</v>
      </c>
      <c r="AG12" s="131">
        <v>153.80000000000001</v>
      </c>
      <c r="AH12" s="115">
        <f t="shared" si="11"/>
        <v>667.36093031328642</v>
      </c>
      <c r="AI12" s="131">
        <v>25.87</v>
      </c>
      <c r="AJ12" s="116"/>
      <c r="AK12" s="135">
        <v>6.96</v>
      </c>
      <c r="AL12" s="136">
        <v>58.75</v>
      </c>
      <c r="AM12" s="110">
        <f t="shared" si="12"/>
        <v>0.20061464913778385</v>
      </c>
      <c r="AN12" s="137" t="s">
        <v>215</v>
      </c>
      <c r="AO12" s="150">
        <v>7.84</v>
      </c>
      <c r="AP12" s="138">
        <v>7.2</v>
      </c>
      <c r="AQ12" s="131"/>
      <c r="AR12" s="131">
        <v>7.16</v>
      </c>
      <c r="AS12" s="315">
        <v>292.85000000000002</v>
      </c>
      <c r="AT12" s="131">
        <v>3.32</v>
      </c>
      <c r="AU12" s="116"/>
      <c r="AV12" s="131"/>
      <c r="AW12" s="109"/>
      <c r="AX12" s="109">
        <f t="shared" si="13"/>
        <v>230.46</v>
      </c>
      <c r="AY12" s="115">
        <f t="shared" si="24"/>
        <v>218.23160000803776</v>
      </c>
      <c r="AZ12" s="140">
        <f t="shared" si="14"/>
        <v>8.5304845070422548</v>
      </c>
      <c r="BA12" s="141">
        <f t="shared" si="15"/>
        <v>9.2184000000000008</v>
      </c>
      <c r="BB12" s="128">
        <f t="shared" si="16"/>
        <v>0.92191772407199457</v>
      </c>
      <c r="BC12" s="141">
        <f t="shared" si="17"/>
        <v>17.748884507042256</v>
      </c>
      <c r="BD12" s="142">
        <v>0.88800000000000001</v>
      </c>
      <c r="BE12" s="16">
        <f t="shared" si="25"/>
        <v>1255.0900000000001</v>
      </c>
      <c r="BF12" s="16">
        <f t="shared" si="18"/>
        <v>223.33333333333334</v>
      </c>
      <c r="BG12" s="16">
        <f t="shared" si="26"/>
        <v>1340</v>
      </c>
      <c r="BH12" s="17">
        <f t="shared" si="19"/>
        <v>1</v>
      </c>
      <c r="BI12" s="16">
        <f t="shared" si="27"/>
        <v>1340</v>
      </c>
      <c r="BJ12" s="249">
        <v>405.54399999999998</v>
      </c>
      <c r="BK12" s="195"/>
      <c r="BL12" s="271">
        <v>98.292000000000002</v>
      </c>
      <c r="BM12" s="197"/>
      <c r="BN12" s="230"/>
      <c r="BO12" s="230"/>
      <c r="BP12" s="250"/>
      <c r="BQ12" s="199"/>
      <c r="BR12" s="200">
        <v>2.09</v>
      </c>
      <c r="BS12" s="200"/>
      <c r="BT12" s="200"/>
      <c r="BU12" s="200"/>
      <c r="BV12" s="208"/>
      <c r="BW12" s="208"/>
      <c r="BX12" s="201"/>
      <c r="BY12" s="202">
        <v>36.76</v>
      </c>
      <c r="BZ12" s="200"/>
      <c r="CA12" s="200">
        <v>43.76</v>
      </c>
      <c r="CB12" s="200"/>
      <c r="CC12" s="200"/>
      <c r="CD12" s="200"/>
      <c r="CE12" s="200"/>
      <c r="CF12" s="203"/>
      <c r="CG12" s="204"/>
      <c r="CH12" s="197"/>
      <c r="CI12" s="230">
        <v>292.76</v>
      </c>
      <c r="CJ12" s="198"/>
      <c r="CK12" s="202"/>
      <c r="CL12" s="202"/>
      <c r="CM12" s="270"/>
      <c r="CN12" s="201"/>
      <c r="CO12" s="284"/>
      <c r="CP12" s="286">
        <f t="shared" si="20"/>
        <v>397.06813039999997</v>
      </c>
      <c r="CQ12" s="24">
        <f t="shared" si="20"/>
        <v>0</v>
      </c>
      <c r="CR12" s="25">
        <f t="shared" si="20"/>
        <v>98.292000000000002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0</v>
      </c>
      <c r="CW12" s="237">
        <f t="shared" si="21"/>
        <v>0</v>
      </c>
      <c r="CX12" s="26">
        <f t="shared" si="21"/>
        <v>0</v>
      </c>
      <c r="CY12" s="277">
        <f t="shared" si="21"/>
        <v>292.76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8"/>
        <v>0</v>
      </c>
    </row>
    <row r="13" spans="1:112" ht="16.5" customHeight="1">
      <c r="A13" s="127">
        <v>7</v>
      </c>
      <c r="B13" s="103">
        <f>'[1]апрель 20'!K12</f>
        <v>525.22799999999995</v>
      </c>
      <c r="C13" s="104">
        <f t="shared" si="0"/>
        <v>1.4366967488405036</v>
      </c>
      <c r="D13" s="143">
        <f t="shared" si="1"/>
        <v>517.68206639999994</v>
      </c>
      <c r="E13" s="104">
        <f t="shared" si="2"/>
        <v>38.148085231556585</v>
      </c>
      <c r="F13" s="128">
        <f t="shared" si="3"/>
        <v>2.1209524188790558</v>
      </c>
      <c r="G13" s="106"/>
      <c r="H13" s="107">
        <f t="shared" si="4"/>
        <v>1.6807811635529335</v>
      </c>
      <c r="I13" s="103">
        <f>'[1]сентябрь 20'!AE12</f>
        <v>0</v>
      </c>
      <c r="J13" s="328">
        <f>'[1]апрель 20'!AA12</f>
        <v>13.968</v>
      </c>
      <c r="K13" s="106"/>
      <c r="L13" s="328">
        <f>'[1]апрель 20'!AI12</f>
        <v>107.437</v>
      </c>
      <c r="M13" s="103">
        <f t="shared" si="5"/>
        <v>0.44017125532612261</v>
      </c>
      <c r="N13" s="103">
        <f>'[1]июль 20'!AM12</f>
        <v>0</v>
      </c>
      <c r="O13" s="103">
        <f>'[1]апрель 20'!W12</f>
        <v>0</v>
      </c>
      <c r="P13" s="103">
        <f>'[1]апрель 20'!S12</f>
        <v>314.69400000000002</v>
      </c>
      <c r="Q13" s="108">
        <f t="shared" si="6"/>
        <v>2.9501674642668729</v>
      </c>
      <c r="R13" s="109">
        <f t="shared" si="7"/>
        <v>305.41000000000003</v>
      </c>
      <c r="S13" s="106">
        <v>12.7</v>
      </c>
      <c r="T13" s="109">
        <f t="shared" si="8"/>
        <v>305.41000000000003</v>
      </c>
      <c r="U13" s="110">
        <f t="shared" si="9"/>
        <v>1.2512700753851198</v>
      </c>
      <c r="V13" s="136">
        <v>244.08</v>
      </c>
      <c r="W13" s="130">
        <v>151.68</v>
      </c>
      <c r="X13" s="131">
        <v>0.84</v>
      </c>
      <c r="Y13" s="146">
        <v>624</v>
      </c>
      <c r="Z13" s="147">
        <v>1222</v>
      </c>
      <c r="AA13" s="144" t="s">
        <v>219</v>
      </c>
      <c r="AB13" s="131">
        <v>75.989999999999995</v>
      </c>
      <c r="AC13" s="133">
        <v>175</v>
      </c>
      <c r="AD13" s="134">
        <v>5</v>
      </c>
      <c r="AE13" s="131">
        <v>1.55</v>
      </c>
      <c r="AF13" s="115">
        <f t="shared" si="10"/>
        <v>6.350376925598165</v>
      </c>
      <c r="AG13" s="131">
        <v>143.15</v>
      </c>
      <c r="AH13" s="115">
        <f t="shared" si="11"/>
        <v>586.48803670927578</v>
      </c>
      <c r="AI13" s="131">
        <v>34.369999999999997</v>
      </c>
      <c r="AJ13" s="116"/>
      <c r="AK13" s="135">
        <v>8.9700000000000006</v>
      </c>
      <c r="AL13" s="136">
        <v>52.7</v>
      </c>
      <c r="AM13" s="110">
        <f t="shared" si="12"/>
        <v>0.17355507986168289</v>
      </c>
      <c r="AN13" s="137" t="s">
        <v>218</v>
      </c>
      <c r="AO13" s="150">
        <v>8.31</v>
      </c>
      <c r="AP13" s="138">
        <v>7.46</v>
      </c>
      <c r="AQ13" s="131"/>
      <c r="AR13" s="131">
        <v>6.45</v>
      </c>
      <c r="AS13" s="315">
        <v>303.64999999999998</v>
      </c>
      <c r="AT13" s="131">
        <v>2.1</v>
      </c>
      <c r="AU13" s="148"/>
      <c r="AV13" s="149"/>
      <c r="AW13" s="109"/>
      <c r="AX13" s="109">
        <f t="shared" si="13"/>
        <v>244.07999999999998</v>
      </c>
      <c r="AY13" s="115">
        <f t="shared" si="24"/>
        <v>226.87866803141651</v>
      </c>
      <c r="AZ13" s="140">
        <f t="shared" si="14"/>
        <v>7.1524595070422539</v>
      </c>
      <c r="BA13" s="141">
        <f t="shared" si="15"/>
        <v>9.7631999999999994</v>
      </c>
      <c r="BB13" s="128">
        <f t="shared" si="16"/>
        <v>0.93918851802538772</v>
      </c>
      <c r="BC13" s="141">
        <f t="shared" si="17"/>
        <v>16.915659507042253</v>
      </c>
      <c r="BD13" s="142">
        <v>0.89600000000000002</v>
      </c>
      <c r="BE13" s="16">
        <f t="shared" si="25"/>
        <v>1499.17</v>
      </c>
      <c r="BF13" s="16">
        <f t="shared" si="18"/>
        <v>223.33333333333334</v>
      </c>
      <c r="BG13" s="16">
        <f t="shared" si="26"/>
        <v>1563.3333333333333</v>
      </c>
      <c r="BH13" s="17">
        <f t="shared" si="19"/>
        <v>1</v>
      </c>
      <c r="BI13" s="16">
        <f t="shared" si="27"/>
        <v>1563.3333333333333</v>
      </c>
      <c r="BJ13" s="249">
        <v>395.37099999999998</v>
      </c>
      <c r="BK13" s="195">
        <v>79.783000000000001</v>
      </c>
      <c r="BL13" s="266">
        <v>27.654</v>
      </c>
      <c r="BM13" s="196"/>
      <c r="BN13" s="313"/>
      <c r="BO13" s="230">
        <v>22.42</v>
      </c>
      <c r="BP13" s="250"/>
      <c r="BQ13" s="199"/>
      <c r="BR13" s="200">
        <v>1.76</v>
      </c>
      <c r="BS13" s="200"/>
      <c r="BT13" s="200"/>
      <c r="BU13" s="200"/>
      <c r="BV13" s="208"/>
      <c r="BW13" s="208">
        <v>2.62</v>
      </c>
      <c r="BX13" s="201"/>
      <c r="BY13" s="202">
        <v>36.64</v>
      </c>
      <c r="BZ13" s="200">
        <v>43.71</v>
      </c>
      <c r="CA13" s="202">
        <v>43.71</v>
      </c>
      <c r="CB13" s="200"/>
      <c r="CC13" s="200"/>
      <c r="CD13" s="200">
        <v>38.090000000000003</v>
      </c>
      <c r="CE13" s="200"/>
      <c r="CF13" s="203"/>
      <c r="CG13" s="204"/>
      <c r="CH13" s="197"/>
      <c r="CI13" s="264">
        <v>305.41000000000003</v>
      </c>
      <c r="CJ13" s="265"/>
      <c r="CK13" s="202"/>
      <c r="CL13" s="202"/>
      <c r="CM13" s="270"/>
      <c r="CN13" s="201"/>
      <c r="CO13" s="284"/>
      <c r="CP13" s="286">
        <f t="shared" si="20"/>
        <v>388.41247039999996</v>
      </c>
      <c r="CQ13" s="24">
        <f t="shared" si="20"/>
        <v>79.783000000000001</v>
      </c>
      <c r="CR13" s="25">
        <f t="shared" si="20"/>
        <v>27.654</v>
      </c>
      <c r="CS13" s="24">
        <f t="shared" si="20"/>
        <v>0</v>
      </c>
      <c r="CT13" s="27">
        <f t="shared" si="20"/>
        <v>0</v>
      </c>
      <c r="CU13" s="24">
        <f t="shared" si="20"/>
        <v>21.832596000000002</v>
      </c>
      <c r="CV13" s="280">
        <f t="shared" si="20"/>
        <v>0</v>
      </c>
      <c r="CW13" s="237">
        <f t="shared" si="21"/>
        <v>0</v>
      </c>
      <c r="CX13" s="26">
        <f t="shared" si="21"/>
        <v>0</v>
      </c>
      <c r="CY13" s="277">
        <f t="shared" si="21"/>
        <v>305.41000000000003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8"/>
        <v>0</v>
      </c>
    </row>
    <row r="14" spans="1:112" ht="16.5" customHeight="1">
      <c r="A14" s="127">
        <v>8</v>
      </c>
      <c r="B14" s="103">
        <f>'[1]апрель 20'!K13</f>
        <v>515.41</v>
      </c>
      <c r="C14" s="104">
        <f>IF(B14=0,0,(BJ14*BR14+BK14*BS14+BM14*BU14+BP14*BX14+BL14*BT14+BO14*BW14+BN14*BV14)/B14)</f>
        <v>1.8222627034787839</v>
      </c>
      <c r="D14" s="143">
        <f>B14*((100-C14)/100)</f>
        <v>506.01787579999996</v>
      </c>
      <c r="E14" s="104">
        <f>IF(B14=0,0,(BJ14*BY14+BK14*BZ14+BM14*CB14+BP14*CE14+BL14*CA14+BO14*CD14+BN14*CC14)/B14)</f>
        <v>38.485442346869483</v>
      </c>
      <c r="F14" s="128">
        <f>IF(AX14=0,0,D14/AX14)</f>
        <v>2.344846505097312</v>
      </c>
      <c r="G14" s="106"/>
      <c r="H14" s="107">
        <f>IF(AX14=0,0,(CV14+CS14+CU14+CP14+CT14)/AX14)</f>
        <v>1.7661486367006487</v>
      </c>
      <c r="I14" s="103">
        <f>'[1]сентябрь 20'!AE13</f>
        <v>0</v>
      </c>
      <c r="J14" s="328">
        <f>'[1]апрель 20'!AA13</f>
        <v>1.4039999999999999</v>
      </c>
      <c r="K14" s="106"/>
      <c r="L14" s="328">
        <f>'[1]апрель 20'!AI13</f>
        <v>124.883</v>
      </c>
      <c r="M14" s="103">
        <f>IF(AX14=0,0,(CR14+CQ14)/AX14)</f>
        <v>0.57869786839666348</v>
      </c>
      <c r="N14" s="103">
        <f>'[1]июль 20'!AM13</f>
        <v>0</v>
      </c>
      <c r="O14" s="103">
        <f>'[1]апрель 20'!W13</f>
        <v>0</v>
      </c>
      <c r="P14" s="103">
        <f>'[1]апрель 20'!S13</f>
        <v>307.298</v>
      </c>
      <c r="Q14" s="108">
        <f>IF(P14=0,0,(1-(T14/P14))*100)</f>
        <v>2.950881554712359</v>
      </c>
      <c r="R14" s="109">
        <f>P14*((100-Q14)/100)</f>
        <v>298.23000000000008</v>
      </c>
      <c r="S14" s="106">
        <v>12.39</v>
      </c>
      <c r="T14" s="109">
        <f>CG14+CH14+CJ14+CI14</f>
        <v>298.23</v>
      </c>
      <c r="U14" s="110">
        <f>IF(AX14=0,0,R14/AX14)</f>
        <v>1.3819740500463396</v>
      </c>
      <c r="V14" s="136">
        <v>95.78</v>
      </c>
      <c r="W14" s="130">
        <v>165.36</v>
      </c>
      <c r="X14" s="131">
        <v>0.82</v>
      </c>
      <c r="Y14" s="146">
        <v>632</v>
      </c>
      <c r="Z14" s="147">
        <v>1222</v>
      </c>
      <c r="AA14" s="144" t="s">
        <v>253</v>
      </c>
      <c r="AB14" s="131">
        <v>74.989999999999995</v>
      </c>
      <c r="AC14" s="133">
        <v>172</v>
      </c>
      <c r="AD14" s="134">
        <v>5</v>
      </c>
      <c r="AE14" s="131">
        <v>0.95</v>
      </c>
      <c r="AF14" s="115">
        <f t="shared" si="10"/>
        <v>4.4022242817423543</v>
      </c>
      <c r="AG14" s="131">
        <v>131.55000000000001</v>
      </c>
      <c r="AH14" s="115">
        <f>IF(AX14=0,0,AG14/AX14*1000)</f>
        <v>609.59221501390186</v>
      </c>
      <c r="AI14" s="131">
        <v>25.34</v>
      </c>
      <c r="AJ14" s="116"/>
      <c r="AK14" s="135">
        <v>9.8800000000000008</v>
      </c>
      <c r="AL14" s="136">
        <v>61.55</v>
      </c>
      <c r="AM14" s="110">
        <f>IF(AL14=0,0,AL14/AS14)</f>
        <v>0.21645858976613325</v>
      </c>
      <c r="AN14" s="137" t="s">
        <v>247</v>
      </c>
      <c r="AO14" s="150">
        <v>9.86</v>
      </c>
      <c r="AP14" s="138">
        <v>6.9</v>
      </c>
      <c r="AQ14" s="131"/>
      <c r="AR14" s="131">
        <v>6.42</v>
      </c>
      <c r="AS14" s="315">
        <v>284.35000000000002</v>
      </c>
      <c r="AT14" s="131">
        <v>2.88</v>
      </c>
      <c r="AU14" s="148"/>
      <c r="AV14" s="149"/>
      <c r="AW14" s="109"/>
      <c r="AX14" s="109">
        <f>AS14-AL14-AK14+AV14+AT14</f>
        <v>215.8</v>
      </c>
      <c r="AY14" s="115">
        <f>IF(AB14=0,0,((D14*0.97)*(E14/100)*0.9)/(AB14/100))</f>
        <v>226.71133376205901</v>
      </c>
      <c r="AZ14" s="140">
        <f>(AG14*AR14)/100*(55/71)</f>
        <v>6.5422964788732392</v>
      </c>
      <c r="BA14" s="141">
        <f>AX14*$BA$6</f>
        <v>8.6320000000000014</v>
      </c>
      <c r="BB14" s="128">
        <f>IF((D14*E14)=0,0,(AX14*AB14)/(D14*E14))</f>
        <v>0.83098359871908767</v>
      </c>
      <c r="BC14" s="141">
        <f>AZ14+BA14</f>
        <v>15.174296478873242</v>
      </c>
      <c r="BD14" s="142">
        <v>0.88700000000000001</v>
      </c>
      <c r="BE14" s="16">
        <f>BE13+AX14</f>
        <v>1714.97</v>
      </c>
      <c r="BF14" s="16">
        <f>IF(A14&lt;=$BD$43,$AS$43,0)</f>
        <v>223.33333333333334</v>
      </c>
      <c r="BG14" s="16">
        <f>BF14+BG13</f>
        <v>1786.6666666666665</v>
      </c>
      <c r="BH14" s="17">
        <f>IF(AX14&lt;&gt;0,1,0)</f>
        <v>1</v>
      </c>
      <c r="BI14" s="16">
        <f>BI13+BF14*BH14</f>
        <v>1786.6666666666665</v>
      </c>
      <c r="BJ14" s="249">
        <v>326.464</v>
      </c>
      <c r="BK14" s="195">
        <v>124.883</v>
      </c>
      <c r="BL14" s="266"/>
      <c r="BM14" s="196"/>
      <c r="BN14" s="313"/>
      <c r="BO14" s="230">
        <v>64.063000000000002</v>
      </c>
      <c r="BP14" s="250"/>
      <c r="BQ14" s="199"/>
      <c r="BR14" s="200">
        <v>2.2999999999999998</v>
      </c>
      <c r="BS14" s="200"/>
      <c r="BT14" s="200"/>
      <c r="BU14" s="200"/>
      <c r="BV14" s="208"/>
      <c r="BW14" s="208">
        <v>2.94</v>
      </c>
      <c r="BX14" s="201"/>
      <c r="BY14" s="202">
        <v>36.479999999999997</v>
      </c>
      <c r="BZ14" s="200">
        <v>43.7</v>
      </c>
      <c r="CA14" s="202"/>
      <c r="CB14" s="200"/>
      <c r="CC14" s="200"/>
      <c r="CD14" s="200">
        <v>38.54</v>
      </c>
      <c r="CE14" s="200"/>
      <c r="CF14" s="203"/>
      <c r="CG14" s="204"/>
      <c r="CH14" s="197"/>
      <c r="CI14" s="264">
        <v>298.23</v>
      </c>
      <c r="CJ14" s="265"/>
      <c r="CK14" s="202"/>
      <c r="CL14" s="202"/>
      <c r="CM14" s="270"/>
      <c r="CN14" s="201"/>
      <c r="CO14" s="284"/>
      <c r="CP14" s="286">
        <f t="shared" si="20"/>
        <v>318.95532800000001</v>
      </c>
      <c r="CQ14" s="27">
        <f t="shared" si="20"/>
        <v>124.883</v>
      </c>
      <c r="CR14" s="28">
        <f t="shared" si="20"/>
        <v>0</v>
      </c>
      <c r="CS14" s="27">
        <f t="shared" si="20"/>
        <v>0</v>
      </c>
      <c r="CT14" s="27">
        <f t="shared" si="20"/>
        <v>0</v>
      </c>
      <c r="CU14" s="24">
        <f t="shared" si="20"/>
        <v>62.179547800000002</v>
      </c>
      <c r="CV14" s="282">
        <f t="shared" si="20"/>
        <v>0</v>
      </c>
      <c r="CW14" s="237">
        <f t="shared" si="21"/>
        <v>0</v>
      </c>
      <c r="CX14" s="26">
        <f t="shared" si="21"/>
        <v>0</v>
      </c>
      <c r="CY14" s="277">
        <f t="shared" si="21"/>
        <v>298.23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8"/>
        <v>0</v>
      </c>
    </row>
    <row r="15" spans="1:112" ht="16.5" customHeight="1">
      <c r="A15" s="253">
        <v>9</v>
      </c>
      <c r="B15" s="103">
        <f>'[1]апрель 20'!K14</f>
        <v>488.97399999999999</v>
      </c>
      <c r="C15" s="104">
        <f t="shared" si="0"/>
        <v>1.7410602608727663</v>
      </c>
      <c r="D15" s="143">
        <f t="shared" si="1"/>
        <v>480.46066799999994</v>
      </c>
      <c r="E15" s="104">
        <f t="shared" si="2"/>
        <v>38.171222314478889</v>
      </c>
      <c r="F15" s="128">
        <f t="shared" si="3"/>
        <v>2.1649198756364618</v>
      </c>
      <c r="G15" s="106"/>
      <c r="H15" s="107">
        <f t="shared" si="4"/>
        <v>1.6704080926418241</v>
      </c>
      <c r="I15" s="103">
        <f>'[1]сентябрь 20'!AE14</f>
        <v>0</v>
      </c>
      <c r="J15" s="328">
        <f>'[1]апрель 20'!AA14</f>
        <v>4.9180000000000001</v>
      </c>
      <c r="K15" s="106"/>
      <c r="L15" s="328">
        <f>'[1]апрель 20'!AI14</f>
        <v>109.747</v>
      </c>
      <c r="M15" s="103">
        <f t="shared" si="5"/>
        <v>0.49451178299463799</v>
      </c>
      <c r="N15" s="103">
        <f>'[1]июль 20'!AM14</f>
        <v>0</v>
      </c>
      <c r="O15" s="103">
        <f>'[1]апрель 20'!W14</f>
        <v>0</v>
      </c>
      <c r="P15" s="103">
        <f>'[1]апрель 20'!S14</f>
        <v>288.685</v>
      </c>
      <c r="Q15" s="108">
        <f t="shared" si="6"/>
        <v>2.9184058749155639</v>
      </c>
      <c r="R15" s="109">
        <f t="shared" si="7"/>
        <v>280.26</v>
      </c>
      <c r="S15" s="106">
        <v>23.47</v>
      </c>
      <c r="T15" s="109">
        <f t="shared" si="8"/>
        <v>280.26</v>
      </c>
      <c r="U15" s="110">
        <f t="shared" si="9"/>
        <v>1.2628306222682828</v>
      </c>
      <c r="V15" s="136">
        <v>221.93</v>
      </c>
      <c r="W15" s="130">
        <v>221.93</v>
      </c>
      <c r="X15" s="131">
        <v>0.65</v>
      </c>
      <c r="Y15" s="112">
        <v>646</v>
      </c>
      <c r="Z15" s="133">
        <v>1220</v>
      </c>
      <c r="AA15" s="144" t="s">
        <v>254</v>
      </c>
      <c r="AB15" s="131">
        <v>75.489999999999995</v>
      </c>
      <c r="AC15" s="133">
        <v>162</v>
      </c>
      <c r="AD15" s="134">
        <v>5</v>
      </c>
      <c r="AE15" s="131">
        <v>1.85</v>
      </c>
      <c r="AF15" s="115">
        <f t="shared" si="10"/>
        <v>8.3359617897535276</v>
      </c>
      <c r="AG15" s="131">
        <v>142.75</v>
      </c>
      <c r="AH15" s="115">
        <f t="shared" si="11"/>
        <v>643.22083539854918</v>
      </c>
      <c r="AI15" s="131">
        <v>29.07</v>
      </c>
      <c r="AJ15" s="116"/>
      <c r="AK15" s="135">
        <v>14.03</v>
      </c>
      <c r="AL15" s="136">
        <v>52.3</v>
      </c>
      <c r="AM15" s="110">
        <f t="shared" si="12"/>
        <v>0.18386359641413252</v>
      </c>
      <c r="AN15" s="137" t="s">
        <v>206</v>
      </c>
      <c r="AO15" s="150">
        <v>9.27</v>
      </c>
      <c r="AP15" s="138">
        <v>7.03</v>
      </c>
      <c r="AQ15" s="131"/>
      <c r="AR15" s="131">
        <v>7.86</v>
      </c>
      <c r="AS15" s="315">
        <v>284.45</v>
      </c>
      <c r="AT15" s="131">
        <v>3.81</v>
      </c>
      <c r="AU15" s="116"/>
      <c r="AV15" s="131"/>
      <c r="AW15" s="109"/>
      <c r="AX15" s="109">
        <f t="shared" si="13"/>
        <v>221.92999999999998</v>
      </c>
      <c r="AY15" s="115">
        <f t="shared" si="24"/>
        <v>212.08928411973739</v>
      </c>
      <c r="AZ15" s="140">
        <f t="shared" si="14"/>
        <v>8.6916654929577462</v>
      </c>
      <c r="BA15" s="141">
        <f t="shared" si="15"/>
        <v>8.8772000000000002</v>
      </c>
      <c r="BB15" s="128">
        <f t="shared" si="16"/>
        <v>0.91350626602435581</v>
      </c>
      <c r="BC15" s="141">
        <f t="shared" si="17"/>
        <v>17.568865492957748</v>
      </c>
      <c r="BD15" s="142">
        <v>0.89</v>
      </c>
      <c r="BE15" s="16">
        <f t="shared" si="25"/>
        <v>1936.9</v>
      </c>
      <c r="BF15" s="16">
        <f t="shared" si="18"/>
        <v>223.33333333333334</v>
      </c>
      <c r="BG15" s="16">
        <f t="shared" si="26"/>
        <v>2009.9999999999998</v>
      </c>
      <c r="BH15" s="17">
        <f t="shared" si="19"/>
        <v>1</v>
      </c>
      <c r="BI15" s="16">
        <f t="shared" si="27"/>
        <v>2009.9999999999998</v>
      </c>
      <c r="BJ15" s="249">
        <v>330.55900000000003</v>
      </c>
      <c r="BK15" s="195">
        <v>109.747</v>
      </c>
      <c r="BL15" s="197"/>
      <c r="BM15" s="197"/>
      <c r="BN15" s="230"/>
      <c r="BO15" s="195">
        <v>48.667999999999999</v>
      </c>
      <c r="BP15" s="329"/>
      <c r="BQ15" s="199"/>
      <c r="BR15" s="200">
        <v>2.2000000000000002</v>
      </c>
      <c r="BS15" s="200"/>
      <c r="BT15" s="200"/>
      <c r="BU15" s="200"/>
      <c r="BV15" s="208"/>
      <c r="BW15" s="208">
        <v>2.5499999999999998</v>
      </c>
      <c r="BX15" s="330"/>
      <c r="BY15" s="202">
        <v>36.5</v>
      </c>
      <c r="BZ15" s="200">
        <v>43.68</v>
      </c>
      <c r="CA15" s="200"/>
      <c r="CB15" s="200"/>
      <c r="CC15" s="200"/>
      <c r="CD15" s="200">
        <v>37.1</v>
      </c>
      <c r="CE15" s="200"/>
      <c r="CF15" s="203"/>
      <c r="CG15" s="204"/>
      <c r="CH15" s="230"/>
      <c r="CI15" s="266">
        <v>280.26</v>
      </c>
      <c r="CJ15" s="265"/>
      <c r="CK15" s="202"/>
      <c r="CL15" s="208"/>
      <c r="CM15" s="208"/>
      <c r="CN15" s="201"/>
      <c r="CO15" s="284"/>
      <c r="CP15" s="286">
        <f t="shared" si="20"/>
        <v>323.28670199999999</v>
      </c>
      <c r="CQ15" s="29">
        <f t="shared" si="20"/>
        <v>109.747</v>
      </c>
      <c r="CR15" s="30">
        <f t="shared" si="20"/>
        <v>0</v>
      </c>
      <c r="CS15" s="29">
        <f t="shared" si="20"/>
        <v>0</v>
      </c>
      <c r="CT15" s="27">
        <f t="shared" si="20"/>
        <v>0</v>
      </c>
      <c r="CU15" s="24">
        <f t="shared" si="20"/>
        <v>47.426966</v>
      </c>
      <c r="CV15" s="283">
        <f t="shared" si="20"/>
        <v>0</v>
      </c>
      <c r="CW15" s="237">
        <f t="shared" si="21"/>
        <v>0</v>
      </c>
      <c r="CX15" s="24">
        <f t="shared" si="21"/>
        <v>0</v>
      </c>
      <c r="CY15" s="277">
        <f t="shared" si="21"/>
        <v>280.26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8"/>
        <v>0</v>
      </c>
    </row>
    <row r="16" spans="1:112" ht="16.5" customHeight="1">
      <c r="A16" s="127">
        <v>10</v>
      </c>
      <c r="B16" s="103">
        <f>'[1]апрель 20'!K15</f>
        <v>498.63200000000001</v>
      </c>
      <c r="C16" s="104">
        <f t="shared" si="0"/>
        <v>1.4332842256413549</v>
      </c>
      <c r="D16" s="143">
        <f t="shared" si="1"/>
        <v>491.48518619999999</v>
      </c>
      <c r="E16" s="104">
        <f t="shared" si="2"/>
        <v>38.83030974746908</v>
      </c>
      <c r="F16" s="128">
        <f t="shared" si="3"/>
        <v>2.4803693474640425</v>
      </c>
      <c r="G16" s="106"/>
      <c r="H16" s="107">
        <f t="shared" si="4"/>
        <v>1.9347221105223318</v>
      </c>
      <c r="I16" s="103">
        <f>'[1]сентябрь 20'!AE15</f>
        <v>0</v>
      </c>
      <c r="J16" s="328">
        <f>'[1]апрель 20'!AA15</f>
        <v>3.5470000000000002</v>
      </c>
      <c r="K16" s="106"/>
      <c r="L16" s="328">
        <f>'[1]апрель 20'!AI15</f>
        <v>108.12</v>
      </c>
      <c r="M16" s="103">
        <f t="shared" si="5"/>
        <v>0.5456472369417108</v>
      </c>
      <c r="N16" s="103">
        <f>'[1]июль 20'!AM15</f>
        <v>0</v>
      </c>
      <c r="O16" s="103">
        <f>'[1]апрель 20'!W15</f>
        <v>0</v>
      </c>
      <c r="P16" s="103">
        <f>'[1]апрель 20'!S15</f>
        <v>301.79199999999997</v>
      </c>
      <c r="Q16" s="108">
        <f t="shared" si="6"/>
        <v>3.5494645318630003</v>
      </c>
      <c r="R16" s="109">
        <f t="shared" si="7"/>
        <v>291.08</v>
      </c>
      <c r="S16" s="106">
        <v>48.37</v>
      </c>
      <c r="T16" s="109">
        <f t="shared" si="8"/>
        <v>291.08</v>
      </c>
      <c r="U16" s="110">
        <f t="shared" si="9"/>
        <v>1.468988140297754</v>
      </c>
      <c r="V16" s="136">
        <v>198.15</v>
      </c>
      <c r="W16" s="130">
        <v>198.15</v>
      </c>
      <c r="X16" s="131">
        <v>0.57999999999999996</v>
      </c>
      <c r="Y16" s="112">
        <v>597</v>
      </c>
      <c r="Z16" s="133">
        <v>1226</v>
      </c>
      <c r="AA16" s="144" t="s">
        <v>255</v>
      </c>
      <c r="AB16" s="131">
        <v>76.239999999999995</v>
      </c>
      <c r="AC16" s="133">
        <v>166</v>
      </c>
      <c r="AD16" s="134">
        <v>5</v>
      </c>
      <c r="AE16" s="131">
        <v>3.15</v>
      </c>
      <c r="AF16" s="115">
        <f t="shared" si="10"/>
        <v>15.89704769114307</v>
      </c>
      <c r="AG16" s="131">
        <v>144.85</v>
      </c>
      <c r="AH16" s="115">
        <f t="shared" si="11"/>
        <v>731.01185970224572</v>
      </c>
      <c r="AI16" s="139">
        <v>28.21</v>
      </c>
      <c r="AJ16" s="131"/>
      <c r="AK16" s="136">
        <v>11.78</v>
      </c>
      <c r="AL16" s="136">
        <v>72.680000000000007</v>
      </c>
      <c r="AM16" s="110">
        <f t="shared" si="12"/>
        <v>0.26115702479338843</v>
      </c>
      <c r="AN16" s="137" t="s">
        <v>238</v>
      </c>
      <c r="AO16" s="150">
        <v>8.66</v>
      </c>
      <c r="AP16" s="138">
        <v>6.86</v>
      </c>
      <c r="AQ16" s="131"/>
      <c r="AR16" s="131">
        <v>9.57</v>
      </c>
      <c r="AS16" s="315">
        <v>278.3</v>
      </c>
      <c r="AT16" s="131">
        <v>4.3099999999999996</v>
      </c>
      <c r="AU16" s="116"/>
      <c r="AV16" s="131"/>
      <c r="AW16" s="109"/>
      <c r="AX16" s="109">
        <f t="shared" si="13"/>
        <v>198.15</v>
      </c>
      <c r="AY16" s="115">
        <f t="shared" si="24"/>
        <v>218.53079381362573</v>
      </c>
      <c r="AZ16" s="140">
        <f t="shared" si="14"/>
        <v>10.738281338028168</v>
      </c>
      <c r="BA16" s="141">
        <f t="shared" si="15"/>
        <v>7.9260000000000002</v>
      </c>
      <c r="BB16" s="128">
        <f t="shared" si="16"/>
        <v>0.79158157521511807</v>
      </c>
      <c r="BC16" s="141">
        <f t="shared" si="17"/>
        <v>18.664281338028168</v>
      </c>
      <c r="BD16" s="142">
        <v>0.88</v>
      </c>
      <c r="BE16" s="16">
        <f t="shared" si="25"/>
        <v>2135.0500000000002</v>
      </c>
      <c r="BF16" s="16">
        <f t="shared" si="18"/>
        <v>223.33333333333334</v>
      </c>
      <c r="BG16" s="16">
        <f t="shared" si="26"/>
        <v>2233.333333333333</v>
      </c>
      <c r="BH16" s="17">
        <f t="shared" si="19"/>
        <v>1</v>
      </c>
      <c r="BI16" s="16">
        <f t="shared" si="27"/>
        <v>2233.333333333333</v>
      </c>
      <c r="BJ16" s="249">
        <v>340.83300000000003</v>
      </c>
      <c r="BK16" s="195">
        <v>108.12</v>
      </c>
      <c r="BL16" s="195"/>
      <c r="BM16" s="197"/>
      <c r="BN16" s="230"/>
      <c r="BO16" s="230">
        <v>49.679000000000002</v>
      </c>
      <c r="BP16" s="250"/>
      <c r="BQ16" s="199"/>
      <c r="BR16" s="200">
        <v>1.68</v>
      </c>
      <c r="BS16" s="200"/>
      <c r="BT16" s="200"/>
      <c r="BU16" s="200"/>
      <c r="BV16" s="208"/>
      <c r="BW16" s="208">
        <v>2.86</v>
      </c>
      <c r="BX16" s="201"/>
      <c r="BY16" s="202">
        <v>37.28</v>
      </c>
      <c r="BZ16" s="200">
        <v>43.35</v>
      </c>
      <c r="CA16" s="200"/>
      <c r="CB16" s="200"/>
      <c r="CC16" s="200"/>
      <c r="CD16" s="200">
        <v>39.630000000000003</v>
      </c>
      <c r="CE16" s="200"/>
      <c r="CF16" s="203"/>
      <c r="CG16" s="204"/>
      <c r="CH16" s="230"/>
      <c r="CI16" s="266">
        <v>291.08</v>
      </c>
      <c r="CJ16" s="265"/>
      <c r="CK16" s="202"/>
      <c r="CL16" s="208"/>
      <c r="CM16" s="208"/>
      <c r="CN16" s="201"/>
      <c r="CO16" s="284"/>
      <c r="CP16" s="286">
        <f t="shared" si="20"/>
        <v>335.10700560000004</v>
      </c>
      <c r="CQ16" s="24">
        <f t="shared" si="20"/>
        <v>108.12</v>
      </c>
      <c r="CR16" s="25">
        <f t="shared" si="20"/>
        <v>0</v>
      </c>
      <c r="CS16" s="24">
        <f t="shared" si="20"/>
        <v>0</v>
      </c>
      <c r="CT16" s="27">
        <f t="shared" si="20"/>
        <v>0</v>
      </c>
      <c r="CU16" s="24">
        <f t="shared" si="20"/>
        <v>48.258180600000003</v>
      </c>
      <c r="CV16" s="280">
        <f t="shared" si="20"/>
        <v>0</v>
      </c>
      <c r="CW16" s="237">
        <f t="shared" si="21"/>
        <v>0</v>
      </c>
      <c r="CX16" s="29">
        <f t="shared" si="21"/>
        <v>0</v>
      </c>
      <c r="CY16" s="277">
        <f t="shared" si="21"/>
        <v>291.08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8"/>
        <v>0</v>
      </c>
    </row>
    <row r="17" spans="1:110" ht="16.5" customHeight="1">
      <c r="A17" s="127">
        <v>11</v>
      </c>
      <c r="B17" s="103">
        <f>'[1]апрель 20'!K16</f>
        <v>507.65199999999999</v>
      </c>
      <c r="C17" s="104">
        <f t="shared" si="0"/>
        <v>1.3154922663556927</v>
      </c>
      <c r="D17" s="143">
        <f t="shared" si="1"/>
        <v>500.9738772</v>
      </c>
      <c r="E17" s="104">
        <f t="shared" si="2"/>
        <v>39.280817528543174</v>
      </c>
      <c r="F17" s="128">
        <f t="shared" si="3"/>
        <v>2.3767619185881013</v>
      </c>
      <c r="G17" s="106"/>
      <c r="H17" s="107">
        <f t="shared" si="4"/>
        <v>1.8948423816301356</v>
      </c>
      <c r="I17" s="103">
        <f>'[1]сентябрь 20'!AE16</f>
        <v>0</v>
      </c>
      <c r="J17" s="328">
        <f>'[1]апрель 20'!AA16</f>
        <v>3.3079999999999998</v>
      </c>
      <c r="K17" s="106"/>
      <c r="L17" s="328">
        <f>'[1]апрель 20'!AI16</f>
        <v>101.57899999999999</v>
      </c>
      <c r="M17" s="103">
        <f t="shared" si="5"/>
        <v>0.48191953695796563</v>
      </c>
      <c r="N17" s="103">
        <f>'[1]июль 20'!AM16</f>
        <v>0</v>
      </c>
      <c r="O17" s="103">
        <f>'[1]апрель 20'!W16</f>
        <v>0</v>
      </c>
      <c r="P17" s="103">
        <f>'[1]апрель 20'!S16</f>
        <v>313.48399999999998</v>
      </c>
      <c r="Q17" s="108">
        <f t="shared" si="6"/>
        <v>4.0939888479156856</v>
      </c>
      <c r="R17" s="109">
        <f t="shared" si="7"/>
        <v>300.64999999999998</v>
      </c>
      <c r="S17" s="106">
        <v>15.39</v>
      </c>
      <c r="T17" s="109">
        <f t="shared" si="8"/>
        <v>300.64999999999998</v>
      </c>
      <c r="U17" s="110">
        <f t="shared" si="9"/>
        <v>1.4263687256855488</v>
      </c>
      <c r="V17" s="136">
        <v>210.78</v>
      </c>
      <c r="W17" s="130">
        <v>210.78</v>
      </c>
      <c r="X17" s="131">
        <v>0.64</v>
      </c>
      <c r="Y17" s="112">
        <v>609</v>
      </c>
      <c r="Z17" s="133">
        <v>1229</v>
      </c>
      <c r="AA17" s="144" t="s">
        <v>256</v>
      </c>
      <c r="AB17" s="131">
        <v>76.33</v>
      </c>
      <c r="AC17" s="133">
        <v>169</v>
      </c>
      <c r="AD17" s="134">
        <v>5</v>
      </c>
      <c r="AE17" s="131">
        <v>2</v>
      </c>
      <c r="AF17" s="115">
        <f t="shared" si="10"/>
        <v>9.4885662776354494</v>
      </c>
      <c r="AG17" s="131">
        <v>120.05</v>
      </c>
      <c r="AH17" s="115">
        <f t="shared" si="11"/>
        <v>569.5511908150678</v>
      </c>
      <c r="AI17" s="139">
        <v>30.7</v>
      </c>
      <c r="AJ17" s="131"/>
      <c r="AK17" s="136">
        <v>7.95</v>
      </c>
      <c r="AL17" s="136">
        <v>59.35</v>
      </c>
      <c r="AM17" s="110">
        <f t="shared" si="12"/>
        <v>0.21550472040668123</v>
      </c>
      <c r="AN17" s="137" t="s">
        <v>189</v>
      </c>
      <c r="AO17" s="150">
        <v>8.6300000000000008</v>
      </c>
      <c r="AP17" s="138">
        <v>6.84</v>
      </c>
      <c r="AQ17" s="131"/>
      <c r="AR17" s="131">
        <v>7.07</v>
      </c>
      <c r="AS17" s="315">
        <v>275.39999999999998</v>
      </c>
      <c r="AT17" s="131">
        <v>2.68</v>
      </c>
      <c r="AU17" s="116"/>
      <c r="AV17" s="131"/>
      <c r="AW17" s="109"/>
      <c r="AX17" s="109">
        <f t="shared" si="13"/>
        <v>210.78</v>
      </c>
      <c r="AY17" s="115">
        <f t="shared" si="24"/>
        <v>225.06842916073336</v>
      </c>
      <c r="AZ17" s="140">
        <f t="shared" si="14"/>
        <v>6.5748510563380291</v>
      </c>
      <c r="BA17" s="141">
        <f t="shared" si="15"/>
        <v>8.4312000000000005</v>
      </c>
      <c r="BB17" s="128">
        <f t="shared" si="16"/>
        <v>0.81757775040313629</v>
      </c>
      <c r="BC17" s="141">
        <f t="shared" si="17"/>
        <v>15.00605105633803</v>
      </c>
      <c r="BD17" s="142">
        <v>0.874</v>
      </c>
      <c r="BE17" s="16">
        <f t="shared" si="25"/>
        <v>2345.8300000000004</v>
      </c>
      <c r="BF17" s="16">
        <f t="shared" si="18"/>
        <v>223.33333333333334</v>
      </c>
      <c r="BG17" s="16">
        <f t="shared" si="26"/>
        <v>2456.6666666666665</v>
      </c>
      <c r="BH17" s="17">
        <f t="shared" si="19"/>
        <v>1</v>
      </c>
      <c r="BI17" s="16">
        <f t="shared" si="27"/>
        <v>2456.6666666666665</v>
      </c>
      <c r="BJ17" s="249">
        <v>356.20400000000001</v>
      </c>
      <c r="BK17" s="195">
        <v>101.57899999999999</v>
      </c>
      <c r="BL17" s="195"/>
      <c r="BM17" s="197"/>
      <c r="BN17" s="230"/>
      <c r="BO17" s="230">
        <v>49.869</v>
      </c>
      <c r="BP17" s="250"/>
      <c r="BQ17" s="199"/>
      <c r="BR17" s="200">
        <v>1.55</v>
      </c>
      <c r="BS17" s="200"/>
      <c r="BT17" s="200"/>
      <c r="BU17" s="200"/>
      <c r="BV17" s="208"/>
      <c r="BW17" s="208">
        <v>2.3199999999999998</v>
      </c>
      <c r="BX17" s="201"/>
      <c r="BY17" s="202">
        <v>38.04</v>
      </c>
      <c r="BZ17" s="200">
        <v>43.76</v>
      </c>
      <c r="CA17" s="200"/>
      <c r="CB17" s="200"/>
      <c r="CC17" s="208"/>
      <c r="CD17" s="208">
        <v>39.020000000000003</v>
      </c>
      <c r="CE17" s="201"/>
      <c r="CF17" s="199"/>
      <c r="CG17" s="197"/>
      <c r="CH17" s="244"/>
      <c r="CI17" s="266">
        <v>300.64999999999998</v>
      </c>
      <c r="CJ17" s="265"/>
      <c r="CK17" s="231"/>
      <c r="CL17" s="208"/>
      <c r="CM17" s="208"/>
      <c r="CN17" s="201"/>
      <c r="CO17" s="284"/>
      <c r="CP17" s="286">
        <f t="shared" si="20"/>
        <v>350.682838</v>
      </c>
      <c r="CQ17" s="24">
        <f t="shared" si="20"/>
        <v>101.57899999999999</v>
      </c>
      <c r="CR17" s="25">
        <f t="shared" si="20"/>
        <v>0</v>
      </c>
      <c r="CS17" s="24">
        <f t="shared" si="20"/>
        <v>0</v>
      </c>
      <c r="CT17" s="27">
        <f t="shared" si="20"/>
        <v>0</v>
      </c>
      <c r="CU17" s="27">
        <f t="shared" si="20"/>
        <v>48.712039200000007</v>
      </c>
      <c r="CV17" s="280">
        <f t="shared" si="20"/>
        <v>0</v>
      </c>
      <c r="CW17" s="25">
        <f t="shared" si="21"/>
        <v>0</v>
      </c>
      <c r="CX17" s="26">
        <f t="shared" si="21"/>
        <v>0</v>
      </c>
      <c r="CY17" s="277">
        <f t="shared" si="21"/>
        <v>300.64999999999998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8"/>
        <v>0</v>
      </c>
    </row>
    <row r="18" spans="1:110" ht="16.5" customHeight="1">
      <c r="A18" s="127">
        <v>12</v>
      </c>
      <c r="B18" s="103">
        <f>'[1]апрель 20'!K17</f>
        <v>471.93400000000003</v>
      </c>
      <c r="C18" s="104">
        <f t="shared" si="0"/>
        <v>1.4272071730369076</v>
      </c>
      <c r="D18" s="143">
        <f t="shared" si="1"/>
        <v>465.19852410000004</v>
      </c>
      <c r="E18" s="104">
        <f t="shared" si="2"/>
        <v>38.726030716159457</v>
      </c>
      <c r="F18" s="128">
        <f t="shared" si="3"/>
        <v>2.2850895181255528</v>
      </c>
      <c r="G18" s="106"/>
      <c r="H18" s="107">
        <f t="shared" si="4"/>
        <v>1.8416324005305038</v>
      </c>
      <c r="I18" s="103">
        <f>'[1]сентябрь 20'!AE17</f>
        <v>0</v>
      </c>
      <c r="J18" s="328">
        <f>'[1]апрель 20'!AA17</f>
        <v>3.14</v>
      </c>
      <c r="K18" s="106"/>
      <c r="L18" s="328">
        <f>'[1]апрель 20'!AI17</f>
        <v>90.278999999999996</v>
      </c>
      <c r="M18" s="103">
        <f t="shared" si="5"/>
        <v>0.44345711759504858</v>
      </c>
      <c r="N18" s="103">
        <f>'[1]июль 20'!AM17</f>
        <v>0</v>
      </c>
      <c r="O18" s="103">
        <f>'[1]апрель 20'!W17</f>
        <v>0</v>
      </c>
      <c r="P18" s="103">
        <f>'[1]апрель 20'!S17</f>
        <v>292.83800000000002</v>
      </c>
      <c r="Q18" s="108">
        <f t="shared" si="6"/>
        <v>4.3054521612632239</v>
      </c>
      <c r="R18" s="109">
        <f t="shared" si="7"/>
        <v>280.23</v>
      </c>
      <c r="S18" s="106"/>
      <c r="T18" s="109">
        <f t="shared" si="8"/>
        <v>280.23</v>
      </c>
      <c r="U18" s="110">
        <f t="shared" si="9"/>
        <v>1.3765104627173592</v>
      </c>
      <c r="V18" s="136">
        <v>203.58</v>
      </c>
      <c r="W18" s="130">
        <v>203.58</v>
      </c>
      <c r="X18" s="131">
        <v>0.51</v>
      </c>
      <c r="Y18" s="112">
        <v>615</v>
      </c>
      <c r="Z18" s="133">
        <v>1243</v>
      </c>
      <c r="AA18" s="144" t="s">
        <v>257</v>
      </c>
      <c r="AB18" s="131">
        <v>75.88</v>
      </c>
      <c r="AC18" s="133">
        <v>157</v>
      </c>
      <c r="AD18" s="134">
        <v>5</v>
      </c>
      <c r="AE18" s="131">
        <v>1.1000000000000001</v>
      </c>
      <c r="AF18" s="115">
        <f t="shared" si="10"/>
        <v>5.4032812653502305</v>
      </c>
      <c r="AG18" s="131">
        <v>143.85</v>
      </c>
      <c r="AH18" s="115">
        <f t="shared" si="11"/>
        <v>706.60182729148232</v>
      </c>
      <c r="AI18" s="139">
        <v>25.56</v>
      </c>
      <c r="AJ18" s="131"/>
      <c r="AK18" s="136">
        <v>13.6</v>
      </c>
      <c r="AL18" s="136">
        <v>59.89</v>
      </c>
      <c r="AM18" s="110">
        <f t="shared" si="12"/>
        <v>0.21817850637522768</v>
      </c>
      <c r="AN18" s="137" t="s">
        <v>215</v>
      </c>
      <c r="AO18" s="150">
        <v>7.72</v>
      </c>
      <c r="AP18" s="138">
        <v>6.9</v>
      </c>
      <c r="AQ18" s="131"/>
      <c r="AR18" s="131">
        <v>9.08</v>
      </c>
      <c r="AS18" s="315">
        <v>274.5</v>
      </c>
      <c r="AT18" s="131">
        <v>2.57</v>
      </c>
      <c r="AU18" s="116"/>
      <c r="AV18" s="131"/>
      <c r="AW18" s="109">
        <f t="shared" ref="AW18:AW37" si="29">IF(AX18=0,0,AV18/AX18*100)</f>
        <v>0</v>
      </c>
      <c r="AX18" s="109">
        <f t="shared" si="13"/>
        <v>203.58</v>
      </c>
      <c r="AY18" s="115">
        <f>IF(AB18=0,0,((D18*0.97)*(E18/100)*0.9)/(AB18/100))</f>
        <v>207.26608074678111</v>
      </c>
      <c r="AZ18" s="140">
        <f t="shared" si="14"/>
        <v>10.118125352112676</v>
      </c>
      <c r="BA18" s="141">
        <f t="shared" si="15"/>
        <v>8.1432000000000002</v>
      </c>
      <c r="BB18" s="128">
        <f t="shared" si="16"/>
        <v>0.85747431205170854</v>
      </c>
      <c r="BC18" s="141">
        <f t="shared" si="17"/>
        <v>18.261325352112678</v>
      </c>
      <c r="BD18" s="142">
        <v>0.873</v>
      </c>
      <c r="BE18" s="16">
        <f t="shared" si="25"/>
        <v>2549.4100000000003</v>
      </c>
      <c r="BF18" s="16">
        <f t="shared" si="18"/>
        <v>223.33333333333334</v>
      </c>
      <c r="BG18" s="16">
        <f t="shared" si="26"/>
        <v>2680</v>
      </c>
      <c r="BH18" s="17">
        <f t="shared" si="19"/>
        <v>1</v>
      </c>
      <c r="BI18" s="16">
        <f t="shared" si="27"/>
        <v>2680</v>
      </c>
      <c r="BJ18" s="249">
        <v>334.02800000000002</v>
      </c>
      <c r="BK18" s="195">
        <v>90.278999999999996</v>
      </c>
      <c r="BL18" s="195"/>
      <c r="BM18" s="197"/>
      <c r="BN18" s="230"/>
      <c r="BO18" s="230">
        <v>47.627000000000002</v>
      </c>
      <c r="BP18" s="250"/>
      <c r="BQ18" s="199"/>
      <c r="BR18" s="200">
        <v>1.65</v>
      </c>
      <c r="BS18" s="200"/>
      <c r="BT18" s="200"/>
      <c r="BU18" s="200"/>
      <c r="BV18" s="208"/>
      <c r="BW18" s="208">
        <v>2.57</v>
      </c>
      <c r="BX18" s="201"/>
      <c r="BY18" s="202">
        <v>37.36</v>
      </c>
      <c r="BZ18" s="200">
        <v>43.43</v>
      </c>
      <c r="CA18" s="200"/>
      <c r="CB18" s="200"/>
      <c r="CC18" s="208"/>
      <c r="CD18" s="208">
        <v>39.39</v>
      </c>
      <c r="CE18" s="209"/>
      <c r="CF18" s="199"/>
      <c r="CG18" s="197"/>
      <c r="CH18" s="268"/>
      <c r="CI18" s="289">
        <v>280.23</v>
      </c>
      <c r="CJ18" s="267"/>
      <c r="CK18" s="202"/>
      <c r="CL18" s="208"/>
      <c r="CM18" s="208"/>
      <c r="CN18" s="201"/>
      <c r="CO18" s="284"/>
      <c r="CP18" s="286">
        <f t="shared" si="20"/>
        <v>328.51653799999997</v>
      </c>
      <c r="CQ18" s="24">
        <f t="shared" si="20"/>
        <v>90.278999999999996</v>
      </c>
      <c r="CR18" s="25">
        <f t="shared" si="20"/>
        <v>0</v>
      </c>
      <c r="CS18" s="24">
        <f t="shared" si="20"/>
        <v>0</v>
      </c>
      <c r="CT18" s="27">
        <f t="shared" si="20"/>
        <v>0</v>
      </c>
      <c r="CU18" s="30">
        <f t="shared" si="20"/>
        <v>46.402986100000007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280.23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8"/>
        <v>0</v>
      </c>
    </row>
    <row r="19" spans="1:110" ht="16.5" customHeight="1">
      <c r="A19" s="127">
        <v>13</v>
      </c>
      <c r="B19" s="103">
        <f>'[1]апрель 20'!K18</f>
        <v>485.37599999999998</v>
      </c>
      <c r="C19" s="104">
        <f t="shared" si="0"/>
        <v>1.9983894135680385</v>
      </c>
      <c r="D19" s="143">
        <f t="shared" si="1"/>
        <v>475.67629740000001</v>
      </c>
      <c r="E19" s="104">
        <f>IF(B19=0,0,(BJ19*BY19+BK19*BZ19+BM19*CB19+BP19*CE19+BL19*CA19+BO19*CD19+BN19*CC19)/B19)</f>
        <v>38.881267635812236</v>
      </c>
      <c r="F19" s="128">
        <f t="shared" si="3"/>
        <v>2.3631392389090364</v>
      </c>
      <c r="G19" s="106"/>
      <c r="H19" s="107">
        <f t="shared" si="4"/>
        <v>1.9206483054299763</v>
      </c>
      <c r="I19" s="103">
        <f>'[1]сентябрь 20'!AE18</f>
        <v>0</v>
      </c>
      <c r="J19" s="328">
        <f>'[1]апрель 20'!AA18</f>
        <v>3.24</v>
      </c>
      <c r="K19" s="106"/>
      <c r="L19" s="328">
        <f>'[1]апрель 20'!AI18</f>
        <v>89.069000000000003</v>
      </c>
      <c r="M19" s="103">
        <f t="shared" si="5"/>
        <v>0.44249093347906004</v>
      </c>
      <c r="N19" s="103">
        <f>'[1]июль 20'!AM18</f>
        <v>0</v>
      </c>
      <c r="O19" s="103">
        <f>'[1]апрель 20'!W18</f>
        <v>0</v>
      </c>
      <c r="P19" s="103">
        <f>'[1]апрель 20'!S18</f>
        <v>301.166</v>
      </c>
      <c r="Q19" s="108">
        <f t="shared" si="6"/>
        <v>4.4148409847061032</v>
      </c>
      <c r="R19" s="109">
        <f t="shared" si="7"/>
        <v>287.87</v>
      </c>
      <c r="S19" s="106">
        <v>17.72</v>
      </c>
      <c r="T19" s="109">
        <f t="shared" si="8"/>
        <v>287.87</v>
      </c>
      <c r="U19" s="110">
        <f t="shared" si="9"/>
        <v>1.4301256893039891</v>
      </c>
      <c r="V19" s="136">
        <v>172.22</v>
      </c>
      <c r="W19" s="130">
        <v>133.62</v>
      </c>
      <c r="X19" s="131">
        <v>0.98</v>
      </c>
      <c r="Y19" s="112">
        <v>588</v>
      </c>
      <c r="Z19" s="133">
        <v>1234</v>
      </c>
      <c r="AA19" s="144" t="s">
        <v>258</v>
      </c>
      <c r="AB19" s="131">
        <v>76.31</v>
      </c>
      <c r="AC19" s="133">
        <v>162</v>
      </c>
      <c r="AD19" s="134">
        <v>5</v>
      </c>
      <c r="AE19" s="131">
        <v>2</v>
      </c>
      <c r="AF19" s="115">
        <f t="shared" si="10"/>
        <v>9.93591335883551</v>
      </c>
      <c r="AG19" s="131">
        <v>122.6</v>
      </c>
      <c r="AH19" s="115">
        <f t="shared" si="11"/>
        <v>609.07148889661676</v>
      </c>
      <c r="AI19" s="139">
        <v>24.96</v>
      </c>
      <c r="AJ19" s="131"/>
      <c r="AK19" s="136">
        <v>12.88</v>
      </c>
      <c r="AL19" s="136">
        <v>61.82</v>
      </c>
      <c r="AM19" s="110">
        <f t="shared" si="12"/>
        <v>0.22744665194996319</v>
      </c>
      <c r="AN19" s="137" t="s">
        <v>259</v>
      </c>
      <c r="AO19" s="150">
        <v>8.57</v>
      </c>
      <c r="AP19" s="138">
        <v>7.06</v>
      </c>
      <c r="AQ19" s="134"/>
      <c r="AR19" s="131">
        <v>7.13</v>
      </c>
      <c r="AS19" s="315">
        <v>271.8</v>
      </c>
      <c r="AT19" s="131">
        <v>4.1900000000000004</v>
      </c>
      <c r="AU19" s="116"/>
      <c r="AV19" s="131"/>
      <c r="AW19" s="109">
        <f t="shared" si="29"/>
        <v>0</v>
      </c>
      <c r="AX19" s="109">
        <f t="shared" si="13"/>
        <v>201.29000000000002</v>
      </c>
      <c r="AY19" s="115">
        <f t="shared" si="24"/>
        <v>211.58492273574197</v>
      </c>
      <c r="AZ19" s="140">
        <f t="shared" si="14"/>
        <v>6.7714915492957743</v>
      </c>
      <c r="BA19" s="141">
        <f t="shared" si="15"/>
        <v>8.0516000000000005</v>
      </c>
      <c r="BB19" s="128">
        <f t="shared" si="16"/>
        <v>0.83052311917079469</v>
      </c>
      <c r="BC19" s="141">
        <f t="shared" si="17"/>
        <v>14.823091549295775</v>
      </c>
      <c r="BD19" s="142">
        <v>0.86899999999999999</v>
      </c>
      <c r="BE19" s="16">
        <f t="shared" si="25"/>
        <v>2750.7000000000003</v>
      </c>
      <c r="BF19" s="16">
        <f t="shared" si="18"/>
        <v>223.33333333333334</v>
      </c>
      <c r="BG19" s="16">
        <f t="shared" si="26"/>
        <v>2903.3333333333335</v>
      </c>
      <c r="BH19" s="17">
        <f t="shared" si="19"/>
        <v>1</v>
      </c>
      <c r="BI19" s="16">
        <f t="shared" si="27"/>
        <v>2903.3333333333335</v>
      </c>
      <c r="BJ19" s="254">
        <v>348.33800000000002</v>
      </c>
      <c r="BK19" s="197">
        <v>89.069000000000003</v>
      </c>
      <c r="BL19" s="197"/>
      <c r="BM19" s="197"/>
      <c r="BN19" s="230"/>
      <c r="BO19" s="230">
        <v>47.969000000000001</v>
      </c>
      <c r="BP19" s="258"/>
      <c r="BQ19" s="199"/>
      <c r="BR19" s="200">
        <v>2.41</v>
      </c>
      <c r="BS19" s="200"/>
      <c r="BT19" s="200"/>
      <c r="BU19" s="200"/>
      <c r="BV19" s="208"/>
      <c r="BW19" s="208">
        <v>2.72</v>
      </c>
      <c r="BX19" s="201"/>
      <c r="BY19" s="202">
        <v>37.68</v>
      </c>
      <c r="BZ19" s="200">
        <v>43.79</v>
      </c>
      <c r="CA19" s="200"/>
      <c r="CB19" s="200"/>
      <c r="CC19" s="208"/>
      <c r="CD19" s="208">
        <v>38.49</v>
      </c>
      <c r="CE19" s="209"/>
      <c r="CF19" s="199"/>
      <c r="CG19" s="197"/>
      <c r="CH19" s="197"/>
      <c r="CI19" s="197">
        <v>287.87</v>
      </c>
      <c r="CJ19" s="198"/>
      <c r="CK19" s="202"/>
      <c r="CL19" s="208"/>
      <c r="CM19" s="208"/>
      <c r="CN19" s="201"/>
      <c r="CO19" s="284"/>
      <c r="CP19" s="286">
        <f t="shared" si="20"/>
        <v>339.94305420000001</v>
      </c>
      <c r="CQ19" s="24">
        <f t="shared" si="20"/>
        <v>89.069000000000003</v>
      </c>
      <c r="CR19" s="25">
        <f t="shared" si="20"/>
        <v>0</v>
      </c>
      <c r="CS19" s="24">
        <f t="shared" si="20"/>
        <v>0</v>
      </c>
      <c r="CT19" s="27">
        <f t="shared" si="20"/>
        <v>0</v>
      </c>
      <c r="CU19" s="24">
        <f t="shared" si="20"/>
        <v>46.664243200000001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287.87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8"/>
        <v>0</v>
      </c>
    </row>
    <row r="20" spans="1:110" ht="16.5" customHeight="1">
      <c r="A20" s="127">
        <v>14</v>
      </c>
      <c r="B20" s="103">
        <f>'[1]апрель 20'!K19</f>
        <v>482.78100000000001</v>
      </c>
      <c r="C20" s="104">
        <f t="shared" si="0"/>
        <v>1.8887948365822183</v>
      </c>
      <c r="D20" s="143">
        <f t="shared" si="1"/>
        <v>473.66225739999999</v>
      </c>
      <c r="E20" s="104">
        <f t="shared" si="2"/>
        <v>39.023654804145146</v>
      </c>
      <c r="F20" s="128">
        <f t="shared" si="3"/>
        <v>2.3894579902133883</v>
      </c>
      <c r="G20" s="106"/>
      <c r="H20" s="107">
        <f t="shared" si="4"/>
        <v>1.9431632820461084</v>
      </c>
      <c r="I20" s="103">
        <f>'[1]сентябрь 20'!AE19</f>
        <v>0</v>
      </c>
      <c r="J20" s="328">
        <f>'[1]апрель 20'!AA19</f>
        <v>3.246</v>
      </c>
      <c r="K20" s="106"/>
      <c r="L20" s="328">
        <f>'[1]апрель 20'!AI19</f>
        <v>88.468999999999994</v>
      </c>
      <c r="M20" s="103">
        <f t="shared" si="5"/>
        <v>0.44629470816728045</v>
      </c>
      <c r="N20" s="103">
        <f>'[1]июль 20'!AM19</f>
        <v>0</v>
      </c>
      <c r="O20" s="103">
        <f>'[1]апрель 20'!W19</f>
        <v>0</v>
      </c>
      <c r="P20" s="103">
        <f>'[1]апрель 20'!S19</f>
        <v>300.94299999999998</v>
      </c>
      <c r="Q20" s="108">
        <f t="shared" si="6"/>
        <v>4.516802185131386</v>
      </c>
      <c r="R20" s="109">
        <f t="shared" si="7"/>
        <v>287.35000000000002</v>
      </c>
      <c r="S20" s="106">
        <v>32.49</v>
      </c>
      <c r="T20" s="109">
        <f t="shared" si="8"/>
        <v>287.35000000000002</v>
      </c>
      <c r="U20" s="110">
        <f t="shared" si="9"/>
        <v>1.4495787721333806</v>
      </c>
      <c r="V20" s="136">
        <v>198.23</v>
      </c>
      <c r="W20" s="130">
        <v>198.23</v>
      </c>
      <c r="X20" s="131">
        <v>0.44</v>
      </c>
      <c r="Y20" s="112">
        <v>625</v>
      </c>
      <c r="Z20" s="133">
        <v>1237</v>
      </c>
      <c r="AA20" s="151" t="s">
        <v>260</v>
      </c>
      <c r="AB20" s="131">
        <v>76.760000000000005</v>
      </c>
      <c r="AC20" s="133">
        <v>161</v>
      </c>
      <c r="AD20" s="134">
        <v>5</v>
      </c>
      <c r="AE20" s="131">
        <v>2.5499999999999998</v>
      </c>
      <c r="AF20" s="115">
        <f t="shared" si="10"/>
        <v>12.863845028502244</v>
      </c>
      <c r="AG20" s="131">
        <v>138.25</v>
      </c>
      <c r="AH20" s="115">
        <f t="shared" si="11"/>
        <v>697.42218634919038</v>
      </c>
      <c r="AI20" s="139">
        <v>31.7</v>
      </c>
      <c r="AJ20" s="131"/>
      <c r="AK20" s="136">
        <v>14.46</v>
      </c>
      <c r="AL20" s="136">
        <v>55.6</v>
      </c>
      <c r="AM20" s="110">
        <f t="shared" si="12"/>
        <v>0.21080568720379148</v>
      </c>
      <c r="AN20" s="137" t="s">
        <v>208</v>
      </c>
      <c r="AO20" s="150">
        <v>7.97</v>
      </c>
      <c r="AP20" s="138">
        <v>7.11</v>
      </c>
      <c r="AQ20" s="131"/>
      <c r="AR20" s="131">
        <v>9.15</v>
      </c>
      <c r="AS20" s="315">
        <v>263.75</v>
      </c>
      <c r="AT20" s="131">
        <v>4.54</v>
      </c>
      <c r="AU20" s="148"/>
      <c r="AV20" s="131"/>
      <c r="AW20" s="109">
        <f t="shared" si="29"/>
        <v>0</v>
      </c>
      <c r="AX20" s="109">
        <f t="shared" si="13"/>
        <v>198.23</v>
      </c>
      <c r="AY20" s="115">
        <f t="shared" si="24"/>
        <v>210.22095242783305</v>
      </c>
      <c r="AZ20" s="140">
        <f t="shared" si="14"/>
        <v>9.7991989436619704</v>
      </c>
      <c r="BA20" s="141">
        <f t="shared" si="15"/>
        <v>7.9291999999999998</v>
      </c>
      <c r="BB20" s="128">
        <f t="shared" si="16"/>
        <v>0.82320429054001221</v>
      </c>
      <c r="BC20" s="141">
        <f t="shared" si="17"/>
        <v>17.728398943661972</v>
      </c>
      <c r="BD20" s="142">
        <v>0.86599999999999999</v>
      </c>
      <c r="BE20" s="16">
        <f t="shared" si="25"/>
        <v>2948.9300000000003</v>
      </c>
      <c r="BF20" s="16">
        <f t="shared" si="18"/>
        <v>223.33333333333334</v>
      </c>
      <c r="BG20" s="16">
        <f t="shared" si="26"/>
        <v>3126.666666666667</v>
      </c>
      <c r="BH20" s="17">
        <f t="shared" si="19"/>
        <v>1</v>
      </c>
      <c r="BI20" s="16">
        <f t="shared" si="27"/>
        <v>3126.666666666667</v>
      </c>
      <c r="BJ20" s="254">
        <v>346.358</v>
      </c>
      <c r="BK20" s="197">
        <v>88.468999999999994</v>
      </c>
      <c r="BL20" s="197"/>
      <c r="BM20" s="197"/>
      <c r="BN20" s="230"/>
      <c r="BO20" s="230">
        <v>47.954000000000001</v>
      </c>
      <c r="BP20" s="259"/>
      <c r="BQ20" s="199"/>
      <c r="BR20" s="200">
        <v>2.36</v>
      </c>
      <c r="BS20" s="200"/>
      <c r="BT20" s="200"/>
      <c r="BU20" s="200"/>
      <c r="BV20" s="208"/>
      <c r="BW20" s="208">
        <v>1.97</v>
      </c>
      <c r="BX20" s="201"/>
      <c r="BY20" s="202">
        <v>37.79</v>
      </c>
      <c r="BZ20" s="200">
        <v>43.85</v>
      </c>
      <c r="CA20" s="200"/>
      <c r="CB20" s="200"/>
      <c r="CC20" s="208"/>
      <c r="CD20" s="208">
        <v>39.03</v>
      </c>
      <c r="CE20" s="209"/>
      <c r="CF20" s="199"/>
      <c r="CG20" s="197"/>
      <c r="CH20" s="197"/>
      <c r="CI20" s="197">
        <v>287.35000000000002</v>
      </c>
      <c r="CJ20" s="198"/>
      <c r="CK20" s="202"/>
      <c r="CL20" s="208"/>
      <c r="CM20" s="208"/>
      <c r="CN20" s="201"/>
      <c r="CO20" s="284"/>
      <c r="CP20" s="286">
        <f t="shared" si="20"/>
        <v>338.18395120000002</v>
      </c>
      <c r="CQ20" s="24">
        <f t="shared" si="20"/>
        <v>88.468999999999994</v>
      </c>
      <c r="CR20" s="25">
        <f t="shared" si="20"/>
        <v>0</v>
      </c>
      <c r="CS20" s="24">
        <f t="shared" si="20"/>
        <v>0</v>
      </c>
      <c r="CT20" s="27">
        <f t="shared" si="20"/>
        <v>0</v>
      </c>
      <c r="CU20" s="30">
        <f t="shared" si="20"/>
        <v>47.009306200000005</v>
      </c>
      <c r="CV20" s="280">
        <f t="shared" si="20"/>
        <v>0</v>
      </c>
      <c r="CW20" s="237">
        <f t="shared" si="21"/>
        <v>0</v>
      </c>
      <c r="CX20" s="29">
        <f t="shared" si="21"/>
        <v>0</v>
      </c>
      <c r="CY20" s="277">
        <f t="shared" si="21"/>
        <v>287.35000000000002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8"/>
        <v>0</v>
      </c>
    </row>
    <row r="21" spans="1:110" ht="16.5" customHeight="1">
      <c r="A21" s="127">
        <v>15</v>
      </c>
      <c r="B21" s="103">
        <f>'[1]апрель 20'!K20</f>
        <v>414.65199999999999</v>
      </c>
      <c r="C21" s="104">
        <f t="shared" si="0"/>
        <v>1.2871076951274805</v>
      </c>
      <c r="D21" s="143">
        <f t="shared" si="1"/>
        <v>409.31498220000003</v>
      </c>
      <c r="E21" s="104">
        <f t="shared" si="2"/>
        <v>38.587238117746921</v>
      </c>
      <c r="F21" s="128">
        <f t="shared" si="3"/>
        <v>2.3513038959099268</v>
      </c>
      <c r="G21" s="106"/>
      <c r="H21" s="107">
        <f t="shared" si="4"/>
        <v>1.915728298483456</v>
      </c>
      <c r="I21" s="103">
        <f>'[1]сентябрь 20'!AE20</f>
        <v>0</v>
      </c>
      <c r="J21" s="328">
        <f>'[1]апрель 20'!AA20</f>
        <v>2.85</v>
      </c>
      <c r="K21" s="106"/>
      <c r="L21" s="328">
        <f>'[1]апрель 20'!AI20</f>
        <v>75.825000000000003</v>
      </c>
      <c r="M21" s="103">
        <f t="shared" si="5"/>
        <v>0.43557559742647062</v>
      </c>
      <c r="N21" s="103">
        <f>'[1]июль 20'!AM20</f>
        <v>0</v>
      </c>
      <c r="O21" s="103">
        <f>'[1]апрель 20'!W20</f>
        <v>0</v>
      </c>
      <c r="P21" s="103">
        <f>'[1]апрель 20'!S20</f>
        <v>257.36700000000002</v>
      </c>
      <c r="Q21" s="108">
        <f t="shared" si="6"/>
        <v>4.257344570205202</v>
      </c>
      <c r="R21" s="109">
        <f t="shared" si="7"/>
        <v>246.41</v>
      </c>
      <c r="S21" s="106">
        <v>18.22</v>
      </c>
      <c r="T21" s="109">
        <f t="shared" si="8"/>
        <v>246.41</v>
      </c>
      <c r="U21" s="110">
        <f t="shared" si="9"/>
        <v>1.4154986213235294</v>
      </c>
      <c r="V21" s="136">
        <v>174.08</v>
      </c>
      <c r="W21" s="130">
        <v>128.46</v>
      </c>
      <c r="X21" s="131">
        <v>0.75</v>
      </c>
      <c r="Y21" s="112">
        <v>623</v>
      </c>
      <c r="Z21" s="133">
        <v>1215</v>
      </c>
      <c r="AA21" s="151" t="s">
        <v>262</v>
      </c>
      <c r="AB21" s="131">
        <v>76.650000000000006</v>
      </c>
      <c r="AC21" s="133">
        <v>138</v>
      </c>
      <c r="AD21" s="134">
        <v>5</v>
      </c>
      <c r="AE21" s="131">
        <v>1.35</v>
      </c>
      <c r="AF21" s="115">
        <f t="shared" si="10"/>
        <v>7.7550551470588243</v>
      </c>
      <c r="AG21" s="131">
        <v>120.95</v>
      </c>
      <c r="AH21" s="115">
        <f t="shared" si="11"/>
        <v>694.79549632352939</v>
      </c>
      <c r="AI21" s="139">
        <v>24.72</v>
      </c>
      <c r="AJ21" s="131"/>
      <c r="AK21" s="136">
        <v>8.85</v>
      </c>
      <c r="AL21" s="136">
        <v>48.24</v>
      </c>
      <c r="AM21" s="110">
        <f t="shared" si="12"/>
        <v>0.2122772277227723</v>
      </c>
      <c r="AN21" s="137" t="s">
        <v>189</v>
      </c>
      <c r="AO21" s="150">
        <v>7.83</v>
      </c>
      <c r="AP21" s="138">
        <v>6.76</v>
      </c>
      <c r="AQ21" s="131"/>
      <c r="AR21" s="131">
        <v>10.7</v>
      </c>
      <c r="AS21" s="315">
        <v>227.25</v>
      </c>
      <c r="AT21" s="131">
        <v>3.92</v>
      </c>
      <c r="AU21" s="116"/>
      <c r="AV21" s="131"/>
      <c r="AW21" s="109">
        <f t="shared" si="29"/>
        <v>0</v>
      </c>
      <c r="AX21" s="109">
        <f t="shared" si="13"/>
        <v>174.07999999999998</v>
      </c>
      <c r="AY21" s="115">
        <f t="shared" si="24"/>
        <v>179.8885085261843</v>
      </c>
      <c r="AZ21" s="140">
        <f t="shared" si="14"/>
        <v>10.025221830985915</v>
      </c>
      <c r="BA21" s="141">
        <f t="shared" si="15"/>
        <v>6.9631999999999996</v>
      </c>
      <c r="BB21" s="128">
        <f t="shared" si="16"/>
        <v>0.84481127363329733</v>
      </c>
      <c r="BC21" s="141">
        <f t="shared" si="17"/>
        <v>16.988421830985914</v>
      </c>
      <c r="BD21" s="142">
        <v>0.86499999999999999</v>
      </c>
      <c r="BE21" s="16">
        <f t="shared" si="25"/>
        <v>3123.01</v>
      </c>
      <c r="BF21" s="16">
        <f t="shared" si="18"/>
        <v>223.33333333333334</v>
      </c>
      <c r="BG21" s="16">
        <f t="shared" si="26"/>
        <v>3350.0000000000005</v>
      </c>
      <c r="BH21" s="17">
        <f t="shared" si="19"/>
        <v>1</v>
      </c>
      <c r="BI21" s="16">
        <f t="shared" si="27"/>
        <v>3350.0000000000005</v>
      </c>
      <c r="BJ21" s="254">
        <v>296.81700000000001</v>
      </c>
      <c r="BK21" s="197">
        <v>75.825000000000003</v>
      </c>
      <c r="BL21" s="197"/>
      <c r="BM21" s="197"/>
      <c r="BN21" s="230"/>
      <c r="BO21" s="230">
        <v>42.01</v>
      </c>
      <c r="BP21" s="259"/>
      <c r="BQ21" s="199"/>
      <c r="BR21" s="200">
        <v>1.44</v>
      </c>
      <c r="BS21" s="200"/>
      <c r="BT21" s="200"/>
      <c r="BU21" s="200"/>
      <c r="BV21" s="208"/>
      <c r="BW21" s="208">
        <v>2.5299999999999998</v>
      </c>
      <c r="BX21" s="201"/>
      <c r="BY21" s="202">
        <v>37.33</v>
      </c>
      <c r="BZ21" s="200">
        <v>43.69</v>
      </c>
      <c r="CA21" s="200"/>
      <c r="CB21" s="200"/>
      <c r="CC21" s="208"/>
      <c r="CD21" s="208">
        <v>38.26</v>
      </c>
      <c r="CE21" s="209"/>
      <c r="CF21" s="199"/>
      <c r="CG21" s="197"/>
      <c r="CH21" s="197"/>
      <c r="CI21" s="197">
        <v>246.41</v>
      </c>
      <c r="CJ21" s="198"/>
      <c r="CK21" s="202"/>
      <c r="CL21" s="208"/>
      <c r="CM21" s="208"/>
      <c r="CN21" s="201"/>
      <c r="CO21" s="284"/>
      <c r="CP21" s="286">
        <f t="shared" si="20"/>
        <v>292.54283520000001</v>
      </c>
      <c r="CQ21" s="27">
        <f t="shared" si="20"/>
        <v>75.825000000000003</v>
      </c>
      <c r="CR21" s="28">
        <f t="shared" si="20"/>
        <v>0</v>
      </c>
      <c r="CS21" s="27">
        <f t="shared" si="20"/>
        <v>0</v>
      </c>
      <c r="CT21" s="27">
        <f t="shared" si="20"/>
        <v>0</v>
      </c>
      <c r="CU21" s="24">
        <f t="shared" si="20"/>
        <v>40.947147000000001</v>
      </c>
      <c r="CV21" s="281">
        <f t="shared" si="20"/>
        <v>0</v>
      </c>
      <c r="CW21" s="237">
        <f t="shared" si="21"/>
        <v>0</v>
      </c>
      <c r="CX21" s="24">
        <f t="shared" si="21"/>
        <v>0</v>
      </c>
      <c r="CY21" s="277">
        <f t="shared" si="21"/>
        <v>246.41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8"/>
        <v>0</v>
      </c>
    </row>
    <row r="22" spans="1:110" ht="16.5" customHeight="1">
      <c r="A22" s="127">
        <v>16</v>
      </c>
      <c r="B22" s="103">
        <f>'[1]апрель 20'!K21</f>
        <v>481.63</v>
      </c>
      <c r="C22" s="104">
        <f t="shared" si="0"/>
        <v>0.91034489130660479</v>
      </c>
      <c r="D22" s="143">
        <f t="shared" si="1"/>
        <v>477.24550590000001</v>
      </c>
      <c r="E22" s="104">
        <f t="shared" si="2"/>
        <v>38.926436164690735</v>
      </c>
      <c r="F22" s="128">
        <f t="shared" si="3"/>
        <v>2.1983762766594501</v>
      </c>
      <c r="G22" s="106"/>
      <c r="H22" s="107">
        <f t="shared" si="4"/>
        <v>1.7739624390805657</v>
      </c>
      <c r="I22" s="103">
        <f>'[1]сентябрь 20'!AE21</f>
        <v>0</v>
      </c>
      <c r="J22" s="328">
        <f>'[1]апрель 20'!AA21</f>
        <v>3.2010000000000001</v>
      </c>
      <c r="K22" s="106"/>
      <c r="L22" s="328">
        <f>'[1]апрель 20'!AI21</f>
        <v>92.135999999999996</v>
      </c>
      <c r="M22" s="103">
        <f t="shared" si="5"/>
        <v>0.42441383757888435</v>
      </c>
      <c r="N22" s="103">
        <f>'[1]июль 20'!AM21</f>
        <v>0</v>
      </c>
      <c r="O22" s="103">
        <f>'[1]апрель 20'!W21</f>
        <v>0</v>
      </c>
      <c r="P22" s="103">
        <f>'[1]апрель 20'!S21</f>
        <v>297.09899999999999</v>
      </c>
      <c r="Q22" s="108">
        <f t="shared" si="6"/>
        <v>4.2676010353451144</v>
      </c>
      <c r="R22" s="109">
        <f t="shared" si="7"/>
        <v>284.42</v>
      </c>
      <c r="S22" s="106">
        <v>15.18</v>
      </c>
      <c r="T22" s="109">
        <f t="shared" si="8"/>
        <v>284.42</v>
      </c>
      <c r="U22" s="110">
        <f t="shared" si="9"/>
        <v>1.3101478649408083</v>
      </c>
      <c r="V22" s="136">
        <v>217.09</v>
      </c>
      <c r="W22" s="129">
        <v>73.17</v>
      </c>
      <c r="X22" s="131">
        <v>0.96</v>
      </c>
      <c r="Y22" s="112">
        <v>592</v>
      </c>
      <c r="Z22" s="152">
        <v>1240</v>
      </c>
      <c r="AA22" s="144" t="s">
        <v>263</v>
      </c>
      <c r="AB22" s="131">
        <v>77</v>
      </c>
      <c r="AC22" s="133">
        <v>161</v>
      </c>
      <c r="AD22" s="134">
        <v>5</v>
      </c>
      <c r="AE22" s="131">
        <v>1.3</v>
      </c>
      <c r="AF22" s="115">
        <f t="shared" si="10"/>
        <v>5.9882997834999312</v>
      </c>
      <c r="AG22" s="131">
        <v>135.69999999999999</v>
      </c>
      <c r="AH22" s="115">
        <f t="shared" si="11"/>
        <v>625.08636970841587</v>
      </c>
      <c r="AI22" s="139">
        <v>19.28</v>
      </c>
      <c r="AJ22" s="131"/>
      <c r="AK22" s="136">
        <v>10.64</v>
      </c>
      <c r="AL22" s="136">
        <v>53.17</v>
      </c>
      <c r="AM22" s="110">
        <f t="shared" si="12"/>
        <v>0.19115585115944636</v>
      </c>
      <c r="AN22" s="137" t="s">
        <v>249</v>
      </c>
      <c r="AO22" s="150">
        <v>8.5399999999999991</v>
      </c>
      <c r="AP22" s="138">
        <v>7.33</v>
      </c>
      <c r="AQ22" s="134"/>
      <c r="AR22" s="131">
        <v>6.91</v>
      </c>
      <c r="AS22" s="315">
        <v>278.14999999999998</v>
      </c>
      <c r="AT22" s="131">
        <v>2.75</v>
      </c>
      <c r="AU22" s="116"/>
      <c r="AV22" s="131"/>
      <c r="AW22" s="109">
        <f t="shared" si="29"/>
        <v>0</v>
      </c>
      <c r="AX22" s="109">
        <f t="shared" si="13"/>
        <v>217.08999999999997</v>
      </c>
      <c r="AY22" s="115">
        <f t="shared" si="24"/>
        <v>210.62504476394216</v>
      </c>
      <c r="AZ22" s="140">
        <f t="shared" si="14"/>
        <v>7.2637725352112659</v>
      </c>
      <c r="BA22" s="141">
        <f t="shared" si="15"/>
        <v>8.6835999999999984</v>
      </c>
      <c r="BB22" s="128">
        <f t="shared" si="16"/>
        <v>0.89979598680870954</v>
      </c>
      <c r="BC22" s="141">
        <f t="shared" si="17"/>
        <v>15.947372535211265</v>
      </c>
      <c r="BD22" s="142">
        <v>0.86699999999999999</v>
      </c>
      <c r="BE22" s="16">
        <f t="shared" si="25"/>
        <v>3340.1000000000004</v>
      </c>
      <c r="BF22" s="16">
        <f t="shared" si="18"/>
        <v>223.33333333333334</v>
      </c>
      <c r="BG22" s="16">
        <f t="shared" si="26"/>
        <v>3573.3333333333339</v>
      </c>
      <c r="BH22" s="17">
        <f t="shared" si="19"/>
        <v>1</v>
      </c>
      <c r="BI22" s="16">
        <f t="shared" si="27"/>
        <v>3573.3333333333339</v>
      </c>
      <c r="BJ22" s="254">
        <v>341.39699999999999</v>
      </c>
      <c r="BK22" s="197">
        <v>92.135999999999996</v>
      </c>
      <c r="BL22" s="197"/>
      <c r="BM22" s="197"/>
      <c r="BN22" s="230"/>
      <c r="BO22" s="230">
        <v>48.097000000000001</v>
      </c>
      <c r="BP22" s="258"/>
      <c r="BQ22" s="199"/>
      <c r="BR22" s="200">
        <v>1.08</v>
      </c>
      <c r="BS22" s="200"/>
      <c r="BT22" s="200"/>
      <c r="BU22" s="200"/>
      <c r="BV22" s="208"/>
      <c r="BW22" s="208">
        <v>1.45</v>
      </c>
      <c r="BX22" s="201"/>
      <c r="BY22" s="202">
        <v>37.53</v>
      </c>
      <c r="BZ22" s="200">
        <v>43.77</v>
      </c>
      <c r="CA22" s="200"/>
      <c r="CB22" s="200"/>
      <c r="CC22" s="208"/>
      <c r="CD22" s="208">
        <v>39.56</v>
      </c>
      <c r="CE22" s="201"/>
      <c r="CF22" s="199"/>
      <c r="CG22" s="197"/>
      <c r="CH22" s="197"/>
      <c r="CI22" s="197">
        <v>284.42</v>
      </c>
      <c r="CJ22" s="198"/>
      <c r="CK22" s="202"/>
      <c r="CL22" s="200"/>
      <c r="CM22" s="208"/>
      <c r="CN22" s="201"/>
      <c r="CO22" s="284"/>
      <c r="CP22" s="286">
        <f t="shared" si="20"/>
        <v>337.70991240000001</v>
      </c>
      <c r="CQ22" s="29">
        <f t="shared" si="20"/>
        <v>92.135999999999996</v>
      </c>
      <c r="CR22" s="30">
        <f t="shared" si="20"/>
        <v>0</v>
      </c>
      <c r="CS22" s="29">
        <f t="shared" si="20"/>
        <v>0</v>
      </c>
      <c r="CT22" s="27">
        <f t="shared" si="20"/>
        <v>0</v>
      </c>
      <c r="CU22" s="24">
        <f t="shared" si="20"/>
        <v>47.399593499999995</v>
      </c>
      <c r="CV22" s="282">
        <f t="shared" si="20"/>
        <v>0</v>
      </c>
      <c r="CW22" s="237">
        <f t="shared" si="21"/>
        <v>0</v>
      </c>
      <c r="CX22" s="24">
        <f t="shared" si="21"/>
        <v>0</v>
      </c>
      <c r="CY22" s="277">
        <f t="shared" si="21"/>
        <v>284.42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8"/>
        <v>0</v>
      </c>
    </row>
    <row r="23" spans="1:110" ht="16.5" customHeight="1">
      <c r="A23" s="127">
        <v>17</v>
      </c>
      <c r="B23" s="103">
        <f>'[1]апрель 20'!K22</f>
        <v>508.93200000000002</v>
      </c>
      <c r="C23" s="104">
        <f t="shared" si="0"/>
        <v>1.1996208334315783</v>
      </c>
      <c r="D23" s="143">
        <f t="shared" si="1"/>
        <v>502.8267457</v>
      </c>
      <c r="E23" s="104">
        <f t="shared" si="2"/>
        <v>38.858502137810156</v>
      </c>
      <c r="F23" s="128">
        <f t="shared" si="3"/>
        <v>2.417668745552457</v>
      </c>
      <c r="G23" s="106"/>
      <c r="H23" s="107">
        <f t="shared" si="4"/>
        <v>1.9201064799499956</v>
      </c>
      <c r="I23" s="103">
        <f>'[1]сентябрь 20'!AE22</f>
        <v>0</v>
      </c>
      <c r="J23" s="328">
        <f>'[1]апрель 20'!AA22</f>
        <v>2.0939999999999999</v>
      </c>
      <c r="K23" s="106"/>
      <c r="L23" s="328">
        <f>'[1]апрель 20'!AI22</f>
        <v>103.483</v>
      </c>
      <c r="M23" s="103">
        <f t="shared" si="5"/>
        <v>0.49756226560246181</v>
      </c>
      <c r="N23" s="103">
        <f>'[1]июль 20'!AM22</f>
        <v>0</v>
      </c>
      <c r="O23" s="103">
        <f>'[1]апрель 20'!W22</f>
        <v>0</v>
      </c>
      <c r="P23" s="103">
        <f>'[1]апрель 20'!S22</f>
        <v>314.82799999999997</v>
      </c>
      <c r="Q23" s="108">
        <f t="shared" si="6"/>
        <v>4.344594508747635</v>
      </c>
      <c r="R23" s="109">
        <f t="shared" si="7"/>
        <v>301.14999999999998</v>
      </c>
      <c r="S23" s="106">
        <v>32.03</v>
      </c>
      <c r="T23" s="109">
        <f t="shared" si="8"/>
        <v>301.14999999999998</v>
      </c>
      <c r="U23" s="110">
        <f t="shared" si="9"/>
        <v>1.4479757669006634</v>
      </c>
      <c r="V23" s="136">
        <v>207.98</v>
      </c>
      <c r="W23" s="129">
        <v>207.98</v>
      </c>
      <c r="X23" s="131">
        <v>0.6</v>
      </c>
      <c r="Y23" s="112">
        <v>577</v>
      </c>
      <c r="Z23" s="133">
        <v>1233</v>
      </c>
      <c r="AA23" s="144" t="s">
        <v>264</v>
      </c>
      <c r="AB23" s="131">
        <v>76.87</v>
      </c>
      <c r="AC23" s="133">
        <v>169</v>
      </c>
      <c r="AD23" s="134">
        <v>5</v>
      </c>
      <c r="AE23" s="131">
        <v>2.1</v>
      </c>
      <c r="AF23" s="115">
        <f t="shared" si="10"/>
        <v>10.09712472353111</v>
      </c>
      <c r="AG23" s="131">
        <v>141.25</v>
      </c>
      <c r="AH23" s="115">
        <f t="shared" si="11"/>
        <v>679.15184152322342</v>
      </c>
      <c r="AI23" s="139">
        <v>22.63</v>
      </c>
      <c r="AJ23" s="131"/>
      <c r="AK23" s="136">
        <v>12.34</v>
      </c>
      <c r="AL23" s="136">
        <v>55.2</v>
      </c>
      <c r="AM23" s="110">
        <f t="shared" si="12"/>
        <v>0.20279206465833949</v>
      </c>
      <c r="AN23" s="137" t="s">
        <v>238</v>
      </c>
      <c r="AO23" s="150">
        <v>8.41</v>
      </c>
      <c r="AP23" s="138">
        <v>7.32</v>
      </c>
      <c r="AQ23" s="134"/>
      <c r="AR23" s="131">
        <v>8.3699999999999992</v>
      </c>
      <c r="AS23" s="315">
        <v>272.2</v>
      </c>
      <c r="AT23" s="131">
        <v>3.32</v>
      </c>
      <c r="AU23" s="116"/>
      <c r="AV23" s="131"/>
      <c r="AW23" s="109">
        <f t="shared" si="29"/>
        <v>0</v>
      </c>
      <c r="AX23" s="109">
        <f t="shared" si="13"/>
        <v>207.98</v>
      </c>
      <c r="AY23" s="115">
        <f t="shared" si="24"/>
        <v>221.90229234805079</v>
      </c>
      <c r="AZ23" s="140">
        <f t="shared" si="14"/>
        <v>9.1583714788732387</v>
      </c>
      <c r="BA23" s="141">
        <f t="shared" si="15"/>
        <v>8.3192000000000004</v>
      </c>
      <c r="BB23" s="128">
        <f t="shared" si="16"/>
        <v>0.8182274192788207</v>
      </c>
      <c r="BC23" s="141">
        <f t="shared" si="17"/>
        <v>17.477571478873237</v>
      </c>
      <c r="BD23" s="142">
        <v>0.86399999999999999</v>
      </c>
      <c r="BE23" s="16">
        <f t="shared" si="25"/>
        <v>3548.0800000000004</v>
      </c>
      <c r="BF23" s="16">
        <f t="shared" si="18"/>
        <v>223.33333333333334</v>
      </c>
      <c r="BG23" s="16">
        <f t="shared" si="26"/>
        <v>3796.6666666666674</v>
      </c>
      <c r="BH23" s="17">
        <f t="shared" si="19"/>
        <v>1</v>
      </c>
      <c r="BI23" s="16">
        <f t="shared" si="27"/>
        <v>3796.6666666666674</v>
      </c>
      <c r="BJ23" s="254">
        <v>353.39</v>
      </c>
      <c r="BK23" s="197">
        <v>103.483</v>
      </c>
      <c r="BL23" s="197"/>
      <c r="BM23" s="197"/>
      <c r="BN23" s="230"/>
      <c r="BO23" s="230">
        <v>52.058999999999997</v>
      </c>
      <c r="BP23" s="258"/>
      <c r="BQ23" s="199"/>
      <c r="BR23" s="200">
        <v>1.57</v>
      </c>
      <c r="BS23" s="200"/>
      <c r="BT23" s="200"/>
      <c r="BU23" s="200"/>
      <c r="BV23" s="208"/>
      <c r="BW23" s="208">
        <v>1.07</v>
      </c>
      <c r="BX23" s="201"/>
      <c r="BY23" s="202">
        <v>37.26</v>
      </c>
      <c r="BZ23" s="200">
        <v>44.06</v>
      </c>
      <c r="CA23" s="200"/>
      <c r="CB23" s="200"/>
      <c r="CC23" s="208"/>
      <c r="CD23" s="208">
        <v>39.369999999999997</v>
      </c>
      <c r="CE23" s="209"/>
      <c r="CF23" s="199"/>
      <c r="CG23" s="197"/>
      <c r="CH23" s="197"/>
      <c r="CI23" s="197">
        <v>301.14999999999998</v>
      </c>
      <c r="CJ23" s="198"/>
      <c r="CK23" s="202"/>
      <c r="CL23" s="208"/>
      <c r="CM23" s="208"/>
      <c r="CN23" s="201"/>
      <c r="CO23" s="284"/>
      <c r="CP23" s="286">
        <f t="shared" si="20"/>
        <v>347.84177700000004</v>
      </c>
      <c r="CQ23" s="24">
        <f t="shared" si="20"/>
        <v>103.483</v>
      </c>
      <c r="CR23" s="25">
        <f t="shared" si="20"/>
        <v>0</v>
      </c>
      <c r="CS23" s="24">
        <f t="shared" si="20"/>
        <v>0</v>
      </c>
      <c r="CT23" s="27">
        <f t="shared" si="20"/>
        <v>0</v>
      </c>
      <c r="CU23" s="24">
        <f t="shared" si="20"/>
        <v>51.501968699999999</v>
      </c>
      <c r="CV23" s="280">
        <f t="shared" si="20"/>
        <v>0</v>
      </c>
      <c r="CW23" s="237">
        <f t="shared" si="21"/>
        <v>0</v>
      </c>
      <c r="CX23" s="29">
        <f t="shared" si="21"/>
        <v>0</v>
      </c>
      <c r="CY23" s="277">
        <f t="shared" si="21"/>
        <v>301.14999999999998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8"/>
        <v>0</v>
      </c>
    </row>
    <row r="24" spans="1:110" ht="16.5" customHeight="1">
      <c r="A24" s="127">
        <v>18</v>
      </c>
      <c r="B24" s="103">
        <f>'[1]апрель 20'!K23</f>
        <v>501.46899999999999</v>
      </c>
      <c r="C24" s="104">
        <f t="shared" si="0"/>
        <v>1.1617831810141803</v>
      </c>
      <c r="D24" s="143">
        <f t="shared" si="1"/>
        <v>495.64301749999998</v>
      </c>
      <c r="E24" s="104">
        <f t="shared" si="2"/>
        <v>39.347033894418196</v>
      </c>
      <c r="F24" s="128">
        <f t="shared" si="3"/>
        <v>2.3469057128651922</v>
      </c>
      <c r="G24" s="106"/>
      <c r="H24" s="107">
        <f t="shared" si="4"/>
        <v>1.835470512334864</v>
      </c>
      <c r="I24" s="103">
        <f>'[1]сентябрь 20'!AE23</f>
        <v>0</v>
      </c>
      <c r="J24" s="328">
        <f>'[1]апрель 20'!AA23</f>
        <v>0</v>
      </c>
      <c r="K24" s="106"/>
      <c r="L24" s="328">
        <f>'[1]апрель 20'!AI23</f>
        <v>108.01</v>
      </c>
      <c r="M24" s="103">
        <f t="shared" si="5"/>
        <v>0.51143520053032809</v>
      </c>
      <c r="N24" s="103">
        <f>'[1]июль 20'!AM23</f>
        <v>0</v>
      </c>
      <c r="O24" s="103">
        <f>'[1]апрель 20'!W23</f>
        <v>0</v>
      </c>
      <c r="P24" s="103">
        <f>'[1]апрель 20'!S23</f>
        <v>314</v>
      </c>
      <c r="Q24" s="108">
        <f t="shared" si="6"/>
        <v>4.3821656050955333</v>
      </c>
      <c r="R24" s="109">
        <f t="shared" si="7"/>
        <v>300.24</v>
      </c>
      <c r="S24" s="106"/>
      <c r="T24" s="109">
        <f t="shared" si="8"/>
        <v>300.24</v>
      </c>
      <c r="U24" s="110">
        <f t="shared" si="9"/>
        <v>1.4216582224537144</v>
      </c>
      <c r="V24" s="136">
        <v>211.19</v>
      </c>
      <c r="W24" s="129">
        <v>211.19</v>
      </c>
      <c r="X24" s="131">
        <v>0.44</v>
      </c>
      <c r="Y24" s="133">
        <v>602</v>
      </c>
      <c r="Z24" s="133">
        <v>1230</v>
      </c>
      <c r="AA24" s="144" t="s">
        <v>265</v>
      </c>
      <c r="AB24" s="131">
        <v>76.62</v>
      </c>
      <c r="AC24" s="133">
        <v>167</v>
      </c>
      <c r="AD24" s="134">
        <v>5</v>
      </c>
      <c r="AE24" s="131">
        <v>2.2000000000000002</v>
      </c>
      <c r="AF24" s="115">
        <f t="shared" si="10"/>
        <v>10.417159903404517</v>
      </c>
      <c r="AG24" s="131">
        <v>146</v>
      </c>
      <c r="AH24" s="115">
        <f t="shared" si="11"/>
        <v>691.32061177139065</v>
      </c>
      <c r="AI24" s="139">
        <v>27.06</v>
      </c>
      <c r="AJ24" s="131"/>
      <c r="AK24" s="136">
        <v>12.65</v>
      </c>
      <c r="AL24" s="136">
        <v>55.14</v>
      </c>
      <c r="AM24" s="110">
        <f t="shared" si="12"/>
        <v>0.20025422189940076</v>
      </c>
      <c r="AN24" s="137" t="s">
        <v>117</v>
      </c>
      <c r="AO24" s="150">
        <v>8.1199999999999992</v>
      </c>
      <c r="AP24" s="138">
        <v>7.1</v>
      </c>
      <c r="AQ24" s="134"/>
      <c r="AR24" s="131">
        <v>9.6999999999999993</v>
      </c>
      <c r="AS24" s="315">
        <v>275.35000000000002</v>
      </c>
      <c r="AT24" s="131">
        <v>3.63</v>
      </c>
      <c r="AU24" s="116"/>
      <c r="AV24" s="131"/>
      <c r="AW24" s="109">
        <f t="shared" si="29"/>
        <v>0</v>
      </c>
      <c r="AX24" s="109">
        <f t="shared" si="13"/>
        <v>211.19000000000003</v>
      </c>
      <c r="AY24" s="115">
        <f t="shared" si="24"/>
        <v>222.20462174038082</v>
      </c>
      <c r="AZ24" s="140">
        <f t="shared" si="14"/>
        <v>10.970563380281689</v>
      </c>
      <c r="BA24" s="141"/>
      <c r="BB24" s="128">
        <f t="shared" si="16"/>
        <v>0.82972563106906372</v>
      </c>
      <c r="BC24" s="141">
        <f t="shared" si="17"/>
        <v>10.970563380281689</v>
      </c>
      <c r="BD24" s="142">
        <v>0.86199999999999999</v>
      </c>
      <c r="BE24" s="16">
        <f t="shared" si="25"/>
        <v>3759.2700000000004</v>
      </c>
      <c r="BF24" s="16">
        <f t="shared" si="18"/>
        <v>223.33333333333334</v>
      </c>
      <c r="BG24" s="16">
        <f t="shared" si="26"/>
        <v>4020.0000000000009</v>
      </c>
      <c r="BH24" s="17">
        <f t="shared" si="19"/>
        <v>1</v>
      </c>
      <c r="BI24" s="16">
        <f t="shared" si="27"/>
        <v>4020.0000000000009</v>
      </c>
      <c r="BJ24" s="254">
        <v>343.351</v>
      </c>
      <c r="BK24" s="197">
        <v>108.01</v>
      </c>
      <c r="BL24" s="197"/>
      <c r="BM24" s="197"/>
      <c r="BN24" s="230"/>
      <c r="BO24" s="230">
        <v>50.107999999999997</v>
      </c>
      <c r="BP24" s="258"/>
      <c r="BQ24" s="199"/>
      <c r="BR24" s="200">
        <v>1.51</v>
      </c>
      <c r="BS24" s="200"/>
      <c r="BT24" s="200"/>
      <c r="BU24" s="200"/>
      <c r="BV24" s="208"/>
      <c r="BW24" s="208">
        <v>1.28</v>
      </c>
      <c r="BX24" s="201"/>
      <c r="BY24" s="202">
        <v>37.94</v>
      </c>
      <c r="BZ24" s="200">
        <v>44.12</v>
      </c>
      <c r="CA24" s="200"/>
      <c r="CB24" s="200"/>
      <c r="CC24" s="208"/>
      <c r="CD24" s="208">
        <v>38.700000000000003</v>
      </c>
      <c r="CE24" s="209"/>
      <c r="CF24" s="199"/>
      <c r="CG24" s="197"/>
      <c r="CH24" s="197"/>
      <c r="CI24" s="197">
        <v>300.24</v>
      </c>
      <c r="CJ24" s="198"/>
      <c r="CK24" s="202"/>
      <c r="CL24" s="208"/>
      <c r="CM24" s="208"/>
      <c r="CN24" s="201"/>
      <c r="CO24" s="284"/>
      <c r="CP24" s="286">
        <f t="shared" si="20"/>
        <v>338.16639989999999</v>
      </c>
      <c r="CQ24" s="29">
        <f t="shared" si="20"/>
        <v>108.01</v>
      </c>
      <c r="CR24" s="30">
        <f t="shared" si="20"/>
        <v>0</v>
      </c>
      <c r="CS24" s="29">
        <f t="shared" si="20"/>
        <v>0</v>
      </c>
      <c r="CT24" s="27">
        <f t="shared" si="20"/>
        <v>0</v>
      </c>
      <c r="CU24" s="27">
        <f t="shared" si="20"/>
        <v>49.466617599999992</v>
      </c>
      <c r="CV24" s="282">
        <f t="shared" si="20"/>
        <v>0</v>
      </c>
      <c r="CW24" s="25">
        <f t="shared" si="21"/>
        <v>0</v>
      </c>
      <c r="CX24" s="26">
        <f t="shared" si="21"/>
        <v>0</v>
      </c>
      <c r="CY24" s="277">
        <f t="shared" si="21"/>
        <v>300.24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8"/>
        <v>0</v>
      </c>
    </row>
    <row r="25" spans="1:110" ht="16.5" customHeight="1">
      <c r="A25" s="127">
        <v>19</v>
      </c>
      <c r="B25" s="103">
        <f>'[1]апрель 20'!K24</f>
        <v>499.62900000000002</v>
      </c>
      <c r="C25" s="104">
        <f t="shared" si="0"/>
        <v>1.1224301831959314</v>
      </c>
      <c r="D25" s="143">
        <f t="shared" si="1"/>
        <v>494.02101329999999</v>
      </c>
      <c r="E25" s="104">
        <f t="shared" si="2"/>
        <v>39.173046980859802</v>
      </c>
      <c r="F25" s="128">
        <f t="shared" si="3"/>
        <v>2.2422885498366014</v>
      </c>
      <c r="G25" s="106"/>
      <c r="H25" s="107">
        <f t="shared" si="4"/>
        <v>1.7525826674836604</v>
      </c>
      <c r="I25" s="103">
        <f>'[1]сентябрь 20'!AE24</f>
        <v>0</v>
      </c>
      <c r="J25" s="328">
        <f>'[1]апрель 20'!AA24</f>
        <v>0</v>
      </c>
      <c r="K25" s="106"/>
      <c r="L25" s="328">
        <f>'[1]апрель 20'!AI24</f>
        <v>107.892</v>
      </c>
      <c r="M25" s="103">
        <f t="shared" si="5"/>
        <v>0.48970588235294121</v>
      </c>
      <c r="N25" s="103">
        <f>'[1]июль 20'!AM24</f>
        <v>2.8069999999999999</v>
      </c>
      <c r="O25" s="103">
        <f>'[1]апрель 20'!W24</f>
        <v>0</v>
      </c>
      <c r="P25" s="103">
        <f>'[1]апрель 20'!S24</f>
        <v>314.15199999999999</v>
      </c>
      <c r="Q25" s="108">
        <f t="shared" si="6"/>
        <v>4.3583997555323606</v>
      </c>
      <c r="R25" s="109">
        <f t="shared" si="7"/>
        <v>300.45999999999998</v>
      </c>
      <c r="S25" s="106">
        <v>15.09</v>
      </c>
      <c r="T25" s="109">
        <f t="shared" si="8"/>
        <v>300.45999999999998</v>
      </c>
      <c r="U25" s="110">
        <f t="shared" si="9"/>
        <v>1.3637436456063907</v>
      </c>
      <c r="V25" s="136">
        <v>220.32</v>
      </c>
      <c r="W25" s="129">
        <v>220.32</v>
      </c>
      <c r="X25" s="131">
        <v>0.57999999999999996</v>
      </c>
      <c r="Y25" s="133">
        <v>605</v>
      </c>
      <c r="Z25" s="133">
        <v>1229</v>
      </c>
      <c r="AA25" s="144" t="s">
        <v>266</v>
      </c>
      <c r="AB25" s="131">
        <v>76.069999999999993</v>
      </c>
      <c r="AC25" s="133">
        <v>166</v>
      </c>
      <c r="AD25" s="134">
        <v>5</v>
      </c>
      <c r="AE25" s="131">
        <v>1.1000000000000001</v>
      </c>
      <c r="AF25" s="115">
        <f t="shared" si="10"/>
        <v>4.9927378358750918</v>
      </c>
      <c r="AG25" s="131">
        <v>137.69999999999999</v>
      </c>
      <c r="AH25" s="115">
        <f t="shared" si="11"/>
        <v>625</v>
      </c>
      <c r="AI25" s="139">
        <v>24.05</v>
      </c>
      <c r="AJ25" s="131"/>
      <c r="AK25" s="136">
        <v>10.029999999999999</v>
      </c>
      <c r="AL25" s="136">
        <v>54.52</v>
      </c>
      <c r="AM25" s="110">
        <f t="shared" si="12"/>
        <v>0.1947490623325594</v>
      </c>
      <c r="AN25" s="137" t="s">
        <v>215</v>
      </c>
      <c r="AO25" s="150">
        <v>8.58</v>
      </c>
      <c r="AP25" s="138">
        <v>7.07</v>
      </c>
      <c r="AQ25" s="153"/>
      <c r="AR25" s="131">
        <v>8.09</v>
      </c>
      <c r="AS25" s="315">
        <v>279.95</v>
      </c>
      <c r="AT25" s="131">
        <v>4.92</v>
      </c>
      <c r="AU25" s="148"/>
      <c r="AV25" s="131"/>
      <c r="AW25" s="109">
        <f t="shared" si="29"/>
        <v>0</v>
      </c>
      <c r="AX25" s="109">
        <f t="shared" si="13"/>
        <v>220.31999999999996</v>
      </c>
      <c r="AY25" s="115">
        <f t="shared" si="24"/>
        <v>222.09235179918744</v>
      </c>
      <c r="AZ25" s="140">
        <f t="shared" si="14"/>
        <v>8.6295232394366188</v>
      </c>
      <c r="BA25" s="141">
        <f t="shared" ref="BA25:BA37" si="30">AX25*$BA$6</f>
        <v>8.8127999999999993</v>
      </c>
      <c r="BB25" s="128">
        <f t="shared" si="16"/>
        <v>0.86603324446719476</v>
      </c>
      <c r="BC25" s="141">
        <f t="shared" si="17"/>
        <v>17.442323239436618</v>
      </c>
      <c r="BD25" s="142">
        <v>0.86199999999999999</v>
      </c>
      <c r="BE25" s="16">
        <f t="shared" si="25"/>
        <v>3979.5900000000006</v>
      </c>
      <c r="BF25" s="16">
        <f t="shared" si="18"/>
        <v>223.33333333333334</v>
      </c>
      <c r="BG25" s="16">
        <f t="shared" si="26"/>
        <v>4243.3333333333339</v>
      </c>
      <c r="BH25" s="17">
        <f t="shared" si="19"/>
        <v>1</v>
      </c>
      <c r="BI25" s="16">
        <f t="shared" si="27"/>
        <v>4243.3333333333339</v>
      </c>
      <c r="BJ25" s="254">
        <v>341.38</v>
      </c>
      <c r="BK25" s="197">
        <v>107.892</v>
      </c>
      <c r="BL25" s="197"/>
      <c r="BM25" s="197"/>
      <c r="BN25" s="230"/>
      <c r="BO25" s="230">
        <v>50.356999999999999</v>
      </c>
      <c r="BP25" s="258"/>
      <c r="BQ25" s="199"/>
      <c r="BR25" s="200">
        <v>1.42</v>
      </c>
      <c r="BS25" s="200"/>
      <c r="BT25" s="200"/>
      <c r="BU25" s="200"/>
      <c r="BV25" s="208"/>
      <c r="BW25" s="208">
        <v>1.51</v>
      </c>
      <c r="BX25" s="201"/>
      <c r="BY25" s="202">
        <v>37.700000000000003</v>
      </c>
      <c r="BZ25" s="200">
        <v>43.91</v>
      </c>
      <c r="CA25" s="200"/>
      <c r="CB25" s="200"/>
      <c r="CC25" s="208"/>
      <c r="CD25" s="208">
        <v>39.01</v>
      </c>
      <c r="CE25" s="201"/>
      <c r="CF25" s="199"/>
      <c r="CG25" s="197"/>
      <c r="CH25" s="197"/>
      <c r="CI25" s="197">
        <v>300.45999999999998</v>
      </c>
      <c r="CJ25" s="198"/>
      <c r="CK25" s="202"/>
      <c r="CL25" s="208"/>
      <c r="CM25" s="208"/>
      <c r="CN25" s="201"/>
      <c r="CO25" s="284"/>
      <c r="CP25" s="286">
        <f t="shared" si="20"/>
        <v>336.53240399999999</v>
      </c>
      <c r="CQ25" s="24">
        <f t="shared" si="20"/>
        <v>107.892</v>
      </c>
      <c r="CR25" s="25">
        <f t="shared" si="20"/>
        <v>0</v>
      </c>
      <c r="CS25" s="24">
        <f t="shared" si="20"/>
        <v>0</v>
      </c>
      <c r="CT25" s="27">
        <f t="shared" si="20"/>
        <v>0</v>
      </c>
      <c r="CU25" s="30">
        <f t="shared" si="20"/>
        <v>49.596609299999997</v>
      </c>
      <c r="CV25" s="280">
        <f t="shared" si="20"/>
        <v>0</v>
      </c>
      <c r="CW25" s="25">
        <f t="shared" si="21"/>
        <v>0</v>
      </c>
      <c r="CX25" s="26">
        <f t="shared" si="21"/>
        <v>0</v>
      </c>
      <c r="CY25" s="277">
        <f t="shared" si="21"/>
        <v>300.45999999999998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8"/>
        <v>0</v>
      </c>
    </row>
    <row r="26" spans="1:110" ht="16.5" customHeight="1">
      <c r="A26" s="127">
        <v>20</v>
      </c>
      <c r="B26" s="103">
        <f>'[1]апрель 20'!K25</f>
        <v>476.52199999999999</v>
      </c>
      <c r="C26" s="104">
        <f t="shared" si="0"/>
        <v>1.152755423674038</v>
      </c>
      <c r="D26" s="143">
        <f t="shared" si="1"/>
        <v>471.0288668</v>
      </c>
      <c r="E26" s="104">
        <f t="shared" si="2"/>
        <v>39.453451509059406</v>
      </c>
      <c r="F26" s="128">
        <f t="shared" si="3"/>
        <v>2.2926691009978093</v>
      </c>
      <c r="G26" s="106"/>
      <c r="H26" s="107">
        <f t="shared" si="4"/>
        <v>1.7901526736432221</v>
      </c>
      <c r="I26" s="103">
        <f>'[1]сентябрь 20'!AE25</f>
        <v>0</v>
      </c>
      <c r="J26" s="328">
        <f>'[1]апрель 20'!AA25</f>
        <v>0</v>
      </c>
      <c r="K26" s="106"/>
      <c r="L26" s="328">
        <f>'[1]апрель 20'!AI25</f>
        <v>103.242</v>
      </c>
      <c r="M26" s="103">
        <f t="shared" si="5"/>
        <v>0.50251642735458746</v>
      </c>
      <c r="N26" s="103">
        <f>'[1]июль 20'!AM25</f>
        <v>7.1479999999999997</v>
      </c>
      <c r="O26" s="103">
        <f>'[1]апрель 20'!W25</f>
        <v>0</v>
      </c>
      <c r="P26" s="103">
        <f>'[1]апрель 20'!S25</f>
        <v>300.97899999999998</v>
      </c>
      <c r="Q26" s="108">
        <f t="shared" si="6"/>
        <v>4.3820332980041732</v>
      </c>
      <c r="R26" s="109">
        <f t="shared" si="7"/>
        <v>287.79000000000002</v>
      </c>
      <c r="S26" s="106">
        <v>30.73</v>
      </c>
      <c r="T26" s="109">
        <f t="shared" si="8"/>
        <v>287.79000000000002</v>
      </c>
      <c r="U26" s="110">
        <f t="shared" si="9"/>
        <v>1.4007787782915551</v>
      </c>
      <c r="V26" s="136">
        <v>205.45</v>
      </c>
      <c r="W26" s="154">
        <v>205.45</v>
      </c>
      <c r="X26" s="149">
        <v>0.62</v>
      </c>
      <c r="Y26" s="147">
        <v>630</v>
      </c>
      <c r="Z26" s="147">
        <v>1245</v>
      </c>
      <c r="AA26" s="144" t="s">
        <v>267</v>
      </c>
      <c r="AB26" s="149">
        <v>75.97</v>
      </c>
      <c r="AC26" s="147">
        <v>159</v>
      </c>
      <c r="AD26" s="155">
        <v>5</v>
      </c>
      <c r="AE26" s="149">
        <v>1</v>
      </c>
      <c r="AF26" s="115">
        <f t="shared" si="10"/>
        <v>4.8673643222195171</v>
      </c>
      <c r="AG26" s="149">
        <v>129.19999999999999</v>
      </c>
      <c r="AH26" s="115">
        <f t="shared" si="11"/>
        <v>628.86347043076159</v>
      </c>
      <c r="AI26" s="156">
        <v>26.31</v>
      </c>
      <c r="AJ26" s="149"/>
      <c r="AK26" s="157">
        <v>10.050000000000001</v>
      </c>
      <c r="AL26" s="157">
        <v>53.62</v>
      </c>
      <c r="AM26" s="110">
        <f t="shared" si="12"/>
        <v>0.20131406044678052</v>
      </c>
      <c r="AN26" s="158" t="s">
        <v>206</v>
      </c>
      <c r="AO26" s="404">
        <v>8.76</v>
      </c>
      <c r="AP26" s="159">
        <v>7.23</v>
      </c>
      <c r="AQ26" s="155"/>
      <c r="AR26" s="149">
        <v>8.34</v>
      </c>
      <c r="AS26" s="315">
        <v>266.35000000000002</v>
      </c>
      <c r="AT26" s="131">
        <v>2.77</v>
      </c>
      <c r="AU26" s="148"/>
      <c r="AV26" s="149"/>
      <c r="AW26" s="160">
        <f t="shared" si="29"/>
        <v>0</v>
      </c>
      <c r="AX26" s="109">
        <f t="shared" si="13"/>
        <v>205.45000000000002</v>
      </c>
      <c r="AY26" s="115">
        <f t="shared" si="24"/>
        <v>213.55249186642166</v>
      </c>
      <c r="AZ26" s="140">
        <f t="shared" si="14"/>
        <v>8.3470478873239422</v>
      </c>
      <c r="BA26" s="140">
        <f t="shared" si="30"/>
        <v>8.218</v>
      </c>
      <c r="BB26" s="161">
        <f t="shared" si="16"/>
        <v>0.83987711139511956</v>
      </c>
      <c r="BC26" s="140">
        <f t="shared" si="17"/>
        <v>16.565047887323942</v>
      </c>
      <c r="BD26" s="162">
        <v>0.86199999999999999</v>
      </c>
      <c r="BE26" s="16">
        <f t="shared" si="25"/>
        <v>4185.0400000000009</v>
      </c>
      <c r="BF26" s="16">
        <f t="shared" si="18"/>
        <v>223.33333333333334</v>
      </c>
      <c r="BG26" s="16">
        <f t="shared" si="26"/>
        <v>4466.666666666667</v>
      </c>
      <c r="BH26" s="17">
        <f t="shared" si="19"/>
        <v>1</v>
      </c>
      <c r="BI26" s="16">
        <f t="shared" si="27"/>
        <v>4466.666666666667</v>
      </c>
      <c r="BJ26" s="254">
        <v>325.88400000000001</v>
      </c>
      <c r="BK26" s="197">
        <v>103.242</v>
      </c>
      <c r="BL26" s="197"/>
      <c r="BM26" s="197"/>
      <c r="BN26" s="230"/>
      <c r="BO26" s="230">
        <v>47.396000000000001</v>
      </c>
      <c r="BP26" s="258"/>
      <c r="BQ26" s="199"/>
      <c r="BR26" s="200">
        <v>1.45</v>
      </c>
      <c r="BS26" s="200"/>
      <c r="BT26" s="200"/>
      <c r="BU26" s="200"/>
      <c r="BV26" s="208"/>
      <c r="BW26" s="208">
        <v>1.62</v>
      </c>
      <c r="BX26" s="201"/>
      <c r="BY26" s="202">
        <v>38.200000000000003</v>
      </c>
      <c r="BZ26" s="200">
        <v>43.99</v>
      </c>
      <c r="CA26" s="200"/>
      <c r="CB26" s="200"/>
      <c r="CC26" s="208"/>
      <c r="CD26" s="208">
        <v>38.19</v>
      </c>
      <c r="CE26" s="209"/>
      <c r="CF26" s="199"/>
      <c r="CG26" s="197"/>
      <c r="CH26" s="197"/>
      <c r="CI26" s="197">
        <v>287.79000000000002</v>
      </c>
      <c r="CJ26" s="198"/>
      <c r="CK26" s="202"/>
      <c r="CL26" s="208"/>
      <c r="CM26" s="208"/>
      <c r="CN26" s="201"/>
      <c r="CO26" s="284"/>
      <c r="CP26" s="286">
        <f t="shared" si="20"/>
        <v>321.158682</v>
      </c>
      <c r="CQ26" s="24">
        <f t="shared" si="20"/>
        <v>103.242</v>
      </c>
      <c r="CR26" s="25">
        <f t="shared" si="20"/>
        <v>0</v>
      </c>
      <c r="CS26" s="24">
        <f t="shared" si="20"/>
        <v>0</v>
      </c>
      <c r="CT26" s="27">
        <f t="shared" si="20"/>
        <v>0</v>
      </c>
      <c r="CU26" s="24">
        <f t="shared" si="20"/>
        <v>46.6281848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287.79000000000002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8"/>
        <v>0</v>
      </c>
    </row>
    <row r="27" spans="1:110" ht="16.5" customHeight="1">
      <c r="A27" s="127">
        <v>21</v>
      </c>
      <c r="B27" s="103">
        <f>'[1]апрель 20'!K26</f>
        <v>492.74799999999999</v>
      </c>
      <c r="C27" s="104">
        <f t="shared" si="0"/>
        <v>0.91276009237987776</v>
      </c>
      <c r="D27" s="143">
        <f t="shared" si="1"/>
        <v>488.25039289999995</v>
      </c>
      <c r="E27" s="104">
        <f t="shared" si="2"/>
        <v>38.72793675469002</v>
      </c>
      <c r="F27" s="128">
        <f t="shared" si="3"/>
        <v>2.4022159552275522</v>
      </c>
      <c r="G27" s="106"/>
      <c r="H27" s="107">
        <f t="shared" si="4"/>
        <v>1.8824078371463715</v>
      </c>
      <c r="I27" s="103">
        <f>'[1]сентябрь 20'!AE26</f>
        <v>0</v>
      </c>
      <c r="J27" s="328">
        <f>'[1]апрель 20'!AA26</f>
        <v>2.8029999999999999</v>
      </c>
      <c r="K27" s="106"/>
      <c r="L27" s="328">
        <f>'[1]апрель 20'!AI26</f>
        <v>105.651</v>
      </c>
      <c r="M27" s="103">
        <f t="shared" si="5"/>
        <v>0.51980811808118077</v>
      </c>
      <c r="N27" s="103">
        <f>'[1]июль 20'!AM26</f>
        <v>7.0339999999999998</v>
      </c>
      <c r="O27" s="103">
        <f>'[1]апрель 20'!W26</f>
        <v>0</v>
      </c>
      <c r="P27" s="103">
        <f>'[1]апрель 20'!S26</f>
        <v>311.69</v>
      </c>
      <c r="Q27" s="108">
        <f t="shared" si="6"/>
        <v>4.5333504443517576</v>
      </c>
      <c r="R27" s="109">
        <f t="shared" si="7"/>
        <v>297.56</v>
      </c>
      <c r="S27" s="106">
        <v>14.74</v>
      </c>
      <c r="T27" s="109">
        <f t="shared" si="8"/>
        <v>297.56</v>
      </c>
      <c r="U27" s="110">
        <f t="shared" si="9"/>
        <v>1.464009840098401</v>
      </c>
      <c r="V27" s="129">
        <v>203.25</v>
      </c>
      <c r="W27" s="129">
        <v>160.66999999999999</v>
      </c>
      <c r="X27" s="131">
        <v>0.79</v>
      </c>
      <c r="Y27" s="133">
        <v>595</v>
      </c>
      <c r="Z27" s="133">
        <v>1246</v>
      </c>
      <c r="AA27" s="144" t="s">
        <v>264</v>
      </c>
      <c r="AB27" s="131">
        <v>75.59</v>
      </c>
      <c r="AC27" s="133">
        <v>164</v>
      </c>
      <c r="AD27" s="134">
        <v>5</v>
      </c>
      <c r="AE27" s="131">
        <v>1.35</v>
      </c>
      <c r="AF27" s="115">
        <f t="shared" si="10"/>
        <v>6.6420664206642073</v>
      </c>
      <c r="AG27" s="131">
        <v>119</v>
      </c>
      <c r="AH27" s="115">
        <f t="shared" si="11"/>
        <v>585.48585485854858</v>
      </c>
      <c r="AI27" s="139">
        <v>26.57</v>
      </c>
      <c r="AJ27" s="131"/>
      <c r="AK27" s="136">
        <v>12.71</v>
      </c>
      <c r="AL27" s="136">
        <v>55.64</v>
      </c>
      <c r="AM27" s="110">
        <f t="shared" si="12"/>
        <v>0.20703255813953489</v>
      </c>
      <c r="AN27" s="137" t="s">
        <v>115</v>
      </c>
      <c r="AO27" s="150">
        <v>8.81</v>
      </c>
      <c r="AP27" s="138">
        <v>7.13</v>
      </c>
      <c r="AQ27" s="134"/>
      <c r="AR27" s="131">
        <v>7.86</v>
      </c>
      <c r="AS27" s="139">
        <v>268.75</v>
      </c>
      <c r="AT27" s="131">
        <v>2.85</v>
      </c>
      <c r="AU27" s="148"/>
      <c r="AV27" s="131"/>
      <c r="AW27" s="109">
        <f t="shared" si="29"/>
        <v>0</v>
      </c>
      <c r="AX27" s="109">
        <f t="shared" si="13"/>
        <v>203.25</v>
      </c>
      <c r="AY27" s="115">
        <f t="shared" si="24"/>
        <v>218.38201063533421</v>
      </c>
      <c r="AZ27" s="140">
        <f t="shared" si="14"/>
        <v>7.2455915492957752</v>
      </c>
      <c r="BA27" s="141">
        <f t="shared" si="30"/>
        <v>8.1300000000000008</v>
      </c>
      <c r="BB27" s="128">
        <f t="shared" si="16"/>
        <v>0.81250854630280911</v>
      </c>
      <c r="BC27" s="141">
        <f t="shared" si="17"/>
        <v>15.375591549295777</v>
      </c>
      <c r="BD27" s="142">
        <v>0.85899999999999999</v>
      </c>
      <c r="BE27" s="16">
        <f t="shared" si="25"/>
        <v>4388.2900000000009</v>
      </c>
      <c r="BF27" s="16">
        <f t="shared" si="18"/>
        <v>223.33333333333334</v>
      </c>
      <c r="BG27" s="16">
        <f t="shared" si="26"/>
        <v>4690</v>
      </c>
      <c r="BH27" s="17">
        <f t="shared" si="19"/>
        <v>1</v>
      </c>
      <c r="BI27" s="16">
        <f t="shared" si="27"/>
        <v>4690</v>
      </c>
      <c r="BJ27" s="254">
        <v>342.21800000000002</v>
      </c>
      <c r="BK27" s="197">
        <v>105.651</v>
      </c>
      <c r="BL27" s="197"/>
      <c r="BM27" s="197"/>
      <c r="BN27" s="230"/>
      <c r="BO27" s="230">
        <v>44.878999999999998</v>
      </c>
      <c r="BP27" s="258"/>
      <c r="BQ27" s="199"/>
      <c r="BR27" s="200">
        <v>1.0900000000000001</v>
      </c>
      <c r="BS27" s="200"/>
      <c r="BT27" s="200"/>
      <c r="BU27" s="200"/>
      <c r="BV27" s="208"/>
      <c r="BW27" s="208">
        <v>1.71</v>
      </c>
      <c r="BX27" s="201"/>
      <c r="BY27" s="202">
        <v>37.06</v>
      </c>
      <c r="BZ27" s="200">
        <v>44.1</v>
      </c>
      <c r="CA27" s="200"/>
      <c r="CB27" s="200"/>
      <c r="CC27" s="208"/>
      <c r="CD27" s="208">
        <v>38.799999999999997</v>
      </c>
      <c r="CE27" s="209"/>
      <c r="CF27" s="199"/>
      <c r="CG27" s="197"/>
      <c r="CH27" s="197"/>
      <c r="CI27" s="197">
        <v>297.56</v>
      </c>
      <c r="CJ27" s="198"/>
      <c r="CK27" s="202"/>
      <c r="CL27" s="208"/>
      <c r="CM27" s="208"/>
      <c r="CN27" s="201"/>
      <c r="CO27" s="284"/>
      <c r="CP27" s="286">
        <f t="shared" si="20"/>
        <v>338.4878238</v>
      </c>
      <c r="CQ27" s="24">
        <f t="shared" si="20"/>
        <v>105.651</v>
      </c>
      <c r="CR27" s="25">
        <f t="shared" si="20"/>
        <v>0</v>
      </c>
      <c r="CS27" s="24">
        <f t="shared" si="20"/>
        <v>0</v>
      </c>
      <c r="CT27" s="27">
        <f t="shared" si="20"/>
        <v>0</v>
      </c>
      <c r="CU27" s="29">
        <f t="shared" si="20"/>
        <v>44.111569100000004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297.56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8"/>
        <v>0</v>
      </c>
    </row>
    <row r="28" spans="1:110" ht="16.5" customHeight="1">
      <c r="A28" s="127">
        <v>22</v>
      </c>
      <c r="B28" s="103">
        <f>'[1]апрель 20'!K27</f>
        <v>447.012</v>
      </c>
      <c r="C28" s="104">
        <f t="shared" si="0"/>
        <v>0.85604643723211016</v>
      </c>
      <c r="D28" s="143">
        <f t="shared" si="1"/>
        <v>443.18536970000002</v>
      </c>
      <c r="E28" s="104">
        <f t="shared" si="2"/>
        <v>39.119739604305927</v>
      </c>
      <c r="F28" s="128">
        <f t="shared" si="3"/>
        <v>2.1796359105886984</v>
      </c>
      <c r="G28" s="106"/>
      <c r="H28" s="107">
        <f t="shared" si="4"/>
        <v>1.7400401795111398</v>
      </c>
      <c r="I28" s="103">
        <f>'[1]сентябрь 20'!AE27</f>
        <v>0</v>
      </c>
      <c r="J28" s="328">
        <f>'[1]апрель 20'!AA27</f>
        <v>17.734999999999999</v>
      </c>
      <c r="K28" s="106"/>
      <c r="L28" s="328">
        <f>'[1]апрель 20'!AI27</f>
        <v>89.382999999999996</v>
      </c>
      <c r="M28" s="103">
        <f t="shared" si="5"/>
        <v>0.43959573107755867</v>
      </c>
      <c r="N28" s="103">
        <f>'[1]июль 20'!AM27</f>
        <v>6.6520000000000001</v>
      </c>
      <c r="O28" s="103">
        <f>'[1]апрель 20'!W27</f>
        <v>0</v>
      </c>
      <c r="P28" s="103">
        <f>'[1]апрель 20'!S27</f>
        <v>288.78899999999999</v>
      </c>
      <c r="Q28" s="108">
        <f t="shared" si="6"/>
        <v>4.8128564453632228</v>
      </c>
      <c r="R28" s="109">
        <f t="shared" si="7"/>
        <v>274.89</v>
      </c>
      <c r="S28" s="106">
        <v>13.69</v>
      </c>
      <c r="T28" s="109">
        <f t="shared" si="8"/>
        <v>274.89</v>
      </c>
      <c r="U28" s="110">
        <f t="shared" si="9"/>
        <v>1.3519401957409138</v>
      </c>
      <c r="V28" s="129">
        <v>162.63</v>
      </c>
      <c r="W28" s="136">
        <v>203.33</v>
      </c>
      <c r="X28" s="131">
        <v>0.63</v>
      </c>
      <c r="Y28" s="133">
        <v>608</v>
      </c>
      <c r="Z28" s="133">
        <v>1238</v>
      </c>
      <c r="AA28" s="144" t="s">
        <v>268</v>
      </c>
      <c r="AB28" s="131">
        <v>75.78</v>
      </c>
      <c r="AC28" s="133">
        <v>149</v>
      </c>
      <c r="AD28" s="134">
        <v>5</v>
      </c>
      <c r="AE28" s="131">
        <v>1.45</v>
      </c>
      <c r="AF28" s="115">
        <f t="shared" si="10"/>
        <v>7.1312644469581477</v>
      </c>
      <c r="AG28" s="131">
        <v>142.44999999999999</v>
      </c>
      <c r="AH28" s="115">
        <f t="shared" si="11"/>
        <v>700.58525549599176</v>
      </c>
      <c r="AI28" s="139">
        <v>23.47</v>
      </c>
      <c r="AJ28" s="131"/>
      <c r="AK28" s="136">
        <v>9.14</v>
      </c>
      <c r="AL28" s="136">
        <v>48.13</v>
      </c>
      <c r="AM28" s="110">
        <f t="shared" si="12"/>
        <v>0.18753165789986365</v>
      </c>
      <c r="AN28" s="137" t="s">
        <v>177</v>
      </c>
      <c r="AO28" s="150">
        <v>7.35</v>
      </c>
      <c r="AP28" s="138">
        <v>7.32</v>
      </c>
      <c r="AQ28" s="134"/>
      <c r="AR28" s="131">
        <v>9.0299999999999994</v>
      </c>
      <c r="AS28" s="139">
        <v>256.64999999999998</v>
      </c>
      <c r="AT28" s="131">
        <v>3.95</v>
      </c>
      <c r="AU28" s="148"/>
      <c r="AV28" s="131"/>
      <c r="AW28" s="109">
        <f t="shared" si="29"/>
        <v>0</v>
      </c>
      <c r="AX28" s="109">
        <f t="shared" si="13"/>
        <v>203.32999999999998</v>
      </c>
      <c r="AY28" s="115">
        <f t="shared" si="24"/>
        <v>199.72894740295715</v>
      </c>
      <c r="AZ28" s="140">
        <f t="shared" si="14"/>
        <v>9.9644778169014057</v>
      </c>
      <c r="BA28" s="141">
        <f t="shared" si="30"/>
        <v>8.1331999999999987</v>
      </c>
      <c r="BB28" s="128">
        <f t="shared" si="16"/>
        <v>0.88873992632563104</v>
      </c>
      <c r="BC28" s="141">
        <f t="shared" si="17"/>
        <v>18.097677816901403</v>
      </c>
      <c r="BD28" s="142">
        <v>0.86</v>
      </c>
      <c r="BE28" s="16">
        <f t="shared" si="25"/>
        <v>4591.6200000000008</v>
      </c>
      <c r="BF28" s="16">
        <f t="shared" si="18"/>
        <v>223.33333333333334</v>
      </c>
      <c r="BG28" s="16">
        <f t="shared" si="26"/>
        <v>4913.333333333333</v>
      </c>
      <c r="BH28" s="17">
        <f t="shared" si="19"/>
        <v>1</v>
      </c>
      <c r="BI28" s="16">
        <f t="shared" si="27"/>
        <v>4913.333333333333</v>
      </c>
      <c r="BJ28" s="254">
        <v>357.62900000000002</v>
      </c>
      <c r="BK28" s="197">
        <v>89.382999999999996</v>
      </c>
      <c r="BL28" s="197"/>
      <c r="BM28" s="197"/>
      <c r="BN28" s="230"/>
      <c r="BO28" s="230"/>
      <c r="BP28" s="258"/>
      <c r="BQ28" s="199"/>
      <c r="BR28" s="200">
        <v>1.07</v>
      </c>
      <c r="BS28" s="200"/>
      <c r="BT28" s="200"/>
      <c r="BU28" s="200"/>
      <c r="BV28" s="208"/>
      <c r="BW28" s="208"/>
      <c r="BX28" s="201"/>
      <c r="BY28" s="202">
        <v>37.92</v>
      </c>
      <c r="BZ28" s="200">
        <v>43.92</v>
      </c>
      <c r="CA28" s="200"/>
      <c r="CB28" s="200"/>
      <c r="CC28" s="208"/>
      <c r="CD28" s="208"/>
      <c r="CE28" s="209"/>
      <c r="CF28" s="199"/>
      <c r="CG28" s="197"/>
      <c r="CH28" s="197"/>
      <c r="CI28" s="197">
        <v>274.89</v>
      </c>
      <c r="CJ28" s="198"/>
      <c r="CK28" s="202"/>
      <c r="CL28" s="208"/>
      <c r="CM28" s="208"/>
      <c r="CN28" s="201"/>
      <c r="CO28" s="284"/>
      <c r="CP28" s="286">
        <f t="shared" si="20"/>
        <v>353.80236970000004</v>
      </c>
      <c r="CQ28" s="29">
        <f t="shared" si="20"/>
        <v>89.382999999999996</v>
      </c>
      <c r="CR28" s="30">
        <f t="shared" si="20"/>
        <v>0</v>
      </c>
      <c r="CS28" s="29">
        <f t="shared" si="20"/>
        <v>0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274.89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8"/>
        <v>0</v>
      </c>
    </row>
    <row r="29" spans="1:110" ht="16.5" customHeight="1">
      <c r="A29" s="127">
        <v>23</v>
      </c>
      <c r="B29" s="103">
        <f>'[1]апрель 20'!K28</f>
        <v>455.76499999999999</v>
      </c>
      <c r="C29" s="104">
        <f t="shared" si="0"/>
        <v>1.3281821113951267</v>
      </c>
      <c r="D29" s="143">
        <f t="shared" si="1"/>
        <v>449.71161080000002</v>
      </c>
      <c r="E29" s="104">
        <f t="shared" si="2"/>
        <v>38.691269360306293</v>
      </c>
      <c r="F29" s="128">
        <f t="shared" si="3"/>
        <v>2.2077153205694646</v>
      </c>
      <c r="G29" s="106"/>
      <c r="H29" s="107">
        <f t="shared" si="4"/>
        <v>1.7604742798232693</v>
      </c>
      <c r="I29" s="103">
        <f>'[1]сентябрь 20'!AE28</f>
        <v>0</v>
      </c>
      <c r="J29" s="328">
        <f>'[1]апрель 20'!AA28</f>
        <v>16.103999999999999</v>
      </c>
      <c r="K29" s="106"/>
      <c r="L29" s="328">
        <f>'[1]апрель 20'!AI28</f>
        <v>91.102999999999994</v>
      </c>
      <c r="M29" s="103">
        <f t="shared" si="5"/>
        <v>0.44724104074619531</v>
      </c>
      <c r="N29" s="103">
        <f>'[1]июль 20'!AM28</f>
        <v>7.056</v>
      </c>
      <c r="O29" s="103">
        <f>'[1]апрель 20'!W28</f>
        <v>0</v>
      </c>
      <c r="P29" s="103">
        <f>'[1]апрель 20'!S28</f>
        <v>293.76499999999999</v>
      </c>
      <c r="Q29" s="108">
        <f t="shared" si="6"/>
        <v>4.9614487770837208</v>
      </c>
      <c r="R29" s="109">
        <f t="shared" si="7"/>
        <v>279.19</v>
      </c>
      <c r="S29" s="106">
        <v>20.2</v>
      </c>
      <c r="T29" s="109">
        <f t="shared" si="8"/>
        <v>279.19</v>
      </c>
      <c r="U29" s="110">
        <f t="shared" si="9"/>
        <v>1.3705940108001962</v>
      </c>
      <c r="V29" s="129">
        <v>165.02</v>
      </c>
      <c r="W29" s="136">
        <v>118.74</v>
      </c>
      <c r="X29" s="131">
        <v>0.8</v>
      </c>
      <c r="Y29" s="133">
        <v>583</v>
      </c>
      <c r="Z29" s="133">
        <v>1245</v>
      </c>
      <c r="AA29" s="144" t="s">
        <v>269</v>
      </c>
      <c r="AB29" s="131">
        <v>75.44</v>
      </c>
      <c r="AC29" s="133">
        <v>152</v>
      </c>
      <c r="AD29" s="134">
        <v>5</v>
      </c>
      <c r="AE29" s="131">
        <v>2.4</v>
      </c>
      <c r="AF29" s="115">
        <f t="shared" si="10"/>
        <v>11.782032400589099</v>
      </c>
      <c r="AG29" s="131">
        <v>122.85</v>
      </c>
      <c r="AH29" s="115">
        <f t="shared" si="11"/>
        <v>603.09278350515456</v>
      </c>
      <c r="AI29" s="139">
        <v>22.84</v>
      </c>
      <c r="AJ29" s="131"/>
      <c r="AK29" s="136">
        <v>13.29</v>
      </c>
      <c r="AL29" s="136">
        <v>49.59</v>
      </c>
      <c r="AM29" s="110">
        <f t="shared" si="12"/>
        <v>0.18776978417266188</v>
      </c>
      <c r="AN29" s="137" t="s">
        <v>270</v>
      </c>
      <c r="AO29" s="150">
        <v>7.33</v>
      </c>
      <c r="AP29" s="138">
        <v>7.1</v>
      </c>
      <c r="AQ29" s="134"/>
      <c r="AR29" s="131">
        <v>7.12</v>
      </c>
      <c r="AS29" s="139">
        <v>264.10000000000002</v>
      </c>
      <c r="AT29" s="131">
        <v>2.48</v>
      </c>
      <c r="AU29" s="148"/>
      <c r="AV29" s="131"/>
      <c r="AW29" s="109">
        <f t="shared" si="29"/>
        <v>0</v>
      </c>
      <c r="AX29" s="109">
        <f t="shared" si="13"/>
        <v>203.70000000000002</v>
      </c>
      <c r="AY29" s="115">
        <f t="shared" si="24"/>
        <v>201.35371299435559</v>
      </c>
      <c r="AZ29" s="140">
        <f t="shared" si="14"/>
        <v>6.7757830985915488</v>
      </c>
      <c r="BA29" s="141">
        <f t="shared" si="30"/>
        <v>8.1480000000000015</v>
      </c>
      <c r="BB29" s="128">
        <f t="shared" si="16"/>
        <v>0.88317268827809003</v>
      </c>
      <c r="BC29" s="141">
        <f t="shared" si="17"/>
        <v>14.923783098591549</v>
      </c>
      <c r="BD29" s="142">
        <v>0.86099999999999999</v>
      </c>
      <c r="BE29" s="16">
        <f t="shared" si="25"/>
        <v>4795.3200000000006</v>
      </c>
      <c r="BF29" s="16">
        <f t="shared" si="18"/>
        <v>223.33333333333334</v>
      </c>
      <c r="BG29" s="16">
        <f t="shared" si="26"/>
        <v>5136.6666666666661</v>
      </c>
      <c r="BH29" s="17">
        <f t="shared" si="19"/>
        <v>1</v>
      </c>
      <c r="BI29" s="16">
        <f t="shared" si="27"/>
        <v>5136.6666666666661</v>
      </c>
      <c r="BJ29" s="254">
        <v>364.66199999999998</v>
      </c>
      <c r="BK29" s="197">
        <v>91.102999999999994</v>
      </c>
      <c r="BL29" s="197"/>
      <c r="BM29" s="197"/>
      <c r="BN29" s="230"/>
      <c r="BO29" s="230"/>
      <c r="BP29" s="258"/>
      <c r="BQ29" s="199"/>
      <c r="BR29" s="200">
        <v>1.66</v>
      </c>
      <c r="BS29" s="200"/>
      <c r="BT29" s="200"/>
      <c r="BU29" s="200"/>
      <c r="BV29" s="208"/>
      <c r="BW29" s="208"/>
      <c r="BX29" s="201"/>
      <c r="BY29" s="202">
        <v>37.36</v>
      </c>
      <c r="BZ29" s="200">
        <v>44.02</v>
      </c>
      <c r="CA29" s="200"/>
      <c r="CB29" s="200"/>
      <c r="CC29" s="208"/>
      <c r="CD29" s="208"/>
      <c r="CE29" s="201"/>
      <c r="CF29" s="199"/>
      <c r="CG29" s="197"/>
      <c r="CH29" s="197"/>
      <c r="CI29" s="230">
        <v>279.19</v>
      </c>
      <c r="CJ29" s="198"/>
      <c r="CK29" s="202"/>
      <c r="CL29" s="208"/>
      <c r="CM29" s="208"/>
      <c r="CN29" s="201"/>
      <c r="CO29" s="284"/>
      <c r="CP29" s="286">
        <f t="shared" si="20"/>
        <v>358.60861080000001</v>
      </c>
      <c r="CQ29" s="24">
        <f t="shared" si="20"/>
        <v>91.102999999999994</v>
      </c>
      <c r="CR29" s="25">
        <f t="shared" si="20"/>
        <v>0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279.19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8"/>
        <v>0</v>
      </c>
    </row>
    <row r="30" spans="1:110" ht="16.5" customHeight="1">
      <c r="A30" s="127">
        <v>24</v>
      </c>
      <c r="B30" s="103">
        <f>'[1]апрель 20'!K29</f>
        <v>466.02</v>
      </c>
      <c r="C30" s="104">
        <f t="shared" si="0"/>
        <v>1.9607991073344495</v>
      </c>
      <c r="D30" s="143">
        <f t="shared" si="1"/>
        <v>456.88228399999997</v>
      </c>
      <c r="E30" s="104">
        <f t="shared" si="2"/>
        <v>38.707798377752034</v>
      </c>
      <c r="F30" s="128">
        <f t="shared" si="3"/>
        <v>2.235345584421939</v>
      </c>
      <c r="G30" s="106"/>
      <c r="H30" s="107">
        <f t="shared" si="4"/>
        <v>1.7800786926953378</v>
      </c>
      <c r="I30" s="103">
        <f>'[1]сентябрь 20'!AE29</f>
        <v>0</v>
      </c>
      <c r="J30" s="328">
        <f>'[1]апрель 20'!AA29</f>
        <v>16.986999999999998</v>
      </c>
      <c r="K30" s="106"/>
      <c r="L30" s="328">
        <f>'[1]апрель 20'!AI29</f>
        <v>93.052000000000007</v>
      </c>
      <c r="M30" s="103">
        <f t="shared" si="5"/>
        <v>0.45526689172660123</v>
      </c>
      <c r="N30" s="103">
        <f>'[1]июль 20'!AM29</f>
        <v>6.6029999999999998</v>
      </c>
      <c r="O30" s="103">
        <f>'[1]апрель 20'!W29</f>
        <v>0</v>
      </c>
      <c r="P30" s="103">
        <f>'[1]апрель 20'!S29</f>
        <v>290.21800000000002</v>
      </c>
      <c r="Q30" s="108">
        <f t="shared" si="6"/>
        <v>4.0307630815456079</v>
      </c>
      <c r="R30" s="109">
        <f t="shared" si="7"/>
        <v>278.52</v>
      </c>
      <c r="S30" s="163">
        <v>13.91</v>
      </c>
      <c r="T30" s="109">
        <f t="shared" si="8"/>
        <v>278.52</v>
      </c>
      <c r="U30" s="110">
        <f t="shared" si="9"/>
        <v>1.3626889769558199</v>
      </c>
      <c r="V30" s="154">
        <v>165.04</v>
      </c>
      <c r="W30" s="157">
        <v>85.06</v>
      </c>
      <c r="X30" s="149">
        <v>0.99</v>
      </c>
      <c r="Y30" s="147">
        <v>599</v>
      </c>
      <c r="Z30" s="147">
        <v>1244</v>
      </c>
      <c r="AA30" s="144" t="s">
        <v>254</v>
      </c>
      <c r="AB30" s="149">
        <v>75.36</v>
      </c>
      <c r="AC30" s="147">
        <v>155</v>
      </c>
      <c r="AD30" s="155">
        <v>5</v>
      </c>
      <c r="AE30" s="149">
        <v>1.2</v>
      </c>
      <c r="AF30" s="115">
        <f t="shared" si="10"/>
        <v>5.8711287244972858</v>
      </c>
      <c r="AG30" s="131">
        <v>132.94999999999999</v>
      </c>
      <c r="AH30" s="115">
        <f t="shared" si="11"/>
        <v>650.47213660159514</v>
      </c>
      <c r="AI30" s="139">
        <v>16.579999999999998</v>
      </c>
      <c r="AJ30" s="131"/>
      <c r="AK30" s="157">
        <v>10.5</v>
      </c>
      <c r="AL30" s="157">
        <v>49.9</v>
      </c>
      <c r="AM30" s="110">
        <f t="shared" si="12"/>
        <v>0.19144446575868024</v>
      </c>
      <c r="AN30" s="158" t="s">
        <v>270</v>
      </c>
      <c r="AO30" s="404">
        <v>7.27</v>
      </c>
      <c r="AP30" s="159">
        <v>7.29</v>
      </c>
      <c r="AQ30" s="155"/>
      <c r="AR30" s="149">
        <v>7.39</v>
      </c>
      <c r="AS30" s="156">
        <v>260.64999999999998</v>
      </c>
      <c r="AT30" s="131">
        <v>4.1399999999999997</v>
      </c>
      <c r="AU30" s="164"/>
      <c r="AV30" s="149"/>
      <c r="AW30" s="109">
        <f t="shared" si="29"/>
        <v>0</v>
      </c>
      <c r="AX30" s="109">
        <f t="shared" si="13"/>
        <v>204.38999999999996</v>
      </c>
      <c r="AY30" s="115">
        <f t="shared" si="24"/>
        <v>204.86895037614264</v>
      </c>
      <c r="AZ30" s="140">
        <f t="shared" si="14"/>
        <v>7.6109193661971819</v>
      </c>
      <c r="BA30" s="141">
        <f t="shared" si="30"/>
        <v>8.1755999999999993</v>
      </c>
      <c r="BB30" s="128">
        <f t="shared" si="16"/>
        <v>0.87095906760099617</v>
      </c>
      <c r="BC30" s="141">
        <f t="shared" si="17"/>
        <v>15.786519366197181</v>
      </c>
      <c r="BD30" s="162">
        <v>0.86199999999999999</v>
      </c>
      <c r="BE30" s="16">
        <f t="shared" si="25"/>
        <v>4999.7100000000009</v>
      </c>
      <c r="BF30" s="16">
        <f t="shared" si="18"/>
        <v>223.33333333333334</v>
      </c>
      <c r="BG30" s="16">
        <f t="shared" si="26"/>
        <v>5359.9999999999991</v>
      </c>
      <c r="BH30" s="17">
        <f t="shared" si="19"/>
        <v>1</v>
      </c>
      <c r="BI30" s="16">
        <f t="shared" si="27"/>
        <v>5359.9999999999991</v>
      </c>
      <c r="BJ30" s="255">
        <v>372.96800000000002</v>
      </c>
      <c r="BK30" s="210">
        <v>93.052000000000007</v>
      </c>
      <c r="BL30" s="210"/>
      <c r="BM30" s="210"/>
      <c r="BN30" s="233"/>
      <c r="BO30" s="233"/>
      <c r="BP30" s="260"/>
      <c r="BQ30" s="212"/>
      <c r="BR30" s="213">
        <v>2.4500000000000002</v>
      </c>
      <c r="BS30" s="213"/>
      <c r="BT30" s="213"/>
      <c r="BU30" s="213"/>
      <c r="BV30" s="235"/>
      <c r="BW30" s="235"/>
      <c r="BX30" s="214"/>
      <c r="BY30" s="215">
        <v>37.36</v>
      </c>
      <c r="BZ30" s="213">
        <v>44.11</v>
      </c>
      <c r="CA30" s="216"/>
      <c r="CB30" s="213"/>
      <c r="CC30" s="235"/>
      <c r="CD30" s="235"/>
      <c r="CE30" s="214"/>
      <c r="CF30" s="212"/>
      <c r="CG30" s="210"/>
      <c r="CH30" s="210"/>
      <c r="CI30" s="233">
        <v>278.52</v>
      </c>
      <c r="CJ30" s="198"/>
      <c r="CK30" s="202"/>
      <c r="CL30" s="208"/>
      <c r="CM30" s="208"/>
      <c r="CN30" s="201"/>
      <c r="CO30" s="284"/>
      <c r="CP30" s="286">
        <f t="shared" si="20"/>
        <v>363.83028400000001</v>
      </c>
      <c r="CQ30" s="24">
        <f t="shared" si="20"/>
        <v>93.052000000000007</v>
      </c>
      <c r="CR30" s="25">
        <f t="shared" si="20"/>
        <v>0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278.52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8"/>
        <v>0</v>
      </c>
    </row>
    <row r="31" spans="1:110" ht="16.5" customHeight="1">
      <c r="A31" s="127">
        <v>25</v>
      </c>
      <c r="B31" s="103">
        <f>'[1]апрель 20'!K30</f>
        <v>495.36799999999999</v>
      </c>
      <c r="C31" s="104">
        <f t="shared" si="0"/>
        <v>1.9604530369341584</v>
      </c>
      <c r="D31" s="143">
        <f t="shared" si="1"/>
        <v>485.65654300000006</v>
      </c>
      <c r="E31" s="104">
        <f t="shared" si="2"/>
        <v>38.794746289627106</v>
      </c>
      <c r="F31" s="128">
        <f t="shared" si="3"/>
        <v>2.2864109175650871</v>
      </c>
      <c r="G31" s="106"/>
      <c r="H31" s="107">
        <f t="shared" si="4"/>
        <v>1.8204159079139401</v>
      </c>
      <c r="I31" s="103">
        <f>'[1]сентябрь 20'!AE30</f>
        <v>0</v>
      </c>
      <c r="J31" s="328">
        <f>'[1]апрель 20'!AA30</f>
        <v>18.434000000000001</v>
      </c>
      <c r="K31" s="106"/>
      <c r="L31" s="328">
        <f>'[1]апрель 20'!AI30</f>
        <v>98.981999999999999</v>
      </c>
      <c r="M31" s="103">
        <f t="shared" si="5"/>
        <v>0.46599500965114643</v>
      </c>
      <c r="N31" s="103">
        <f>'[1]июль 20'!AM30</f>
        <v>7.069</v>
      </c>
      <c r="O31" s="103">
        <f>'[1]апрель 20'!W30</f>
        <v>0</v>
      </c>
      <c r="P31" s="103">
        <f>'[1]апрель 20'!S30</f>
        <v>298.17</v>
      </c>
      <c r="Q31" s="108">
        <f t="shared" si="6"/>
        <v>2.8809068652111303</v>
      </c>
      <c r="R31" s="109">
        <f t="shared" si="7"/>
        <v>289.58</v>
      </c>
      <c r="S31" s="106">
        <v>13.07</v>
      </c>
      <c r="T31" s="109">
        <f t="shared" si="8"/>
        <v>289.58</v>
      </c>
      <c r="U31" s="110">
        <f t="shared" si="9"/>
        <v>1.3633068122969729</v>
      </c>
      <c r="V31" s="136">
        <v>179.2</v>
      </c>
      <c r="W31" s="136">
        <v>128.15</v>
      </c>
      <c r="X31" s="131">
        <v>0.93</v>
      </c>
      <c r="Y31" s="133">
        <v>582</v>
      </c>
      <c r="Z31" s="133">
        <v>1241</v>
      </c>
      <c r="AA31" s="144" t="s">
        <v>254</v>
      </c>
      <c r="AB31" s="131">
        <v>75.22</v>
      </c>
      <c r="AC31" s="133">
        <v>165</v>
      </c>
      <c r="AD31" s="134">
        <v>5</v>
      </c>
      <c r="AE31" s="131"/>
      <c r="AF31" s="115">
        <f t="shared" si="10"/>
        <v>0</v>
      </c>
      <c r="AG31" s="131">
        <v>125.9</v>
      </c>
      <c r="AH31" s="115">
        <f t="shared" si="11"/>
        <v>592.7216232757404</v>
      </c>
      <c r="AI31" s="139">
        <v>20.88</v>
      </c>
      <c r="AJ31" s="131"/>
      <c r="AK31" s="136">
        <v>9.6</v>
      </c>
      <c r="AL31" s="136">
        <v>54.49</v>
      </c>
      <c r="AM31" s="110">
        <f t="shared" si="12"/>
        <v>0.19948746110195867</v>
      </c>
      <c r="AN31" s="137" t="s">
        <v>201</v>
      </c>
      <c r="AO31" s="150">
        <v>8.3699999999999992</v>
      </c>
      <c r="AP31" s="138">
        <v>7.33</v>
      </c>
      <c r="AQ31" s="134"/>
      <c r="AR31" s="131">
        <v>6.03</v>
      </c>
      <c r="AS31" s="139">
        <v>273.14999999999998</v>
      </c>
      <c r="AT31" s="131">
        <v>3.35</v>
      </c>
      <c r="AU31" s="148"/>
      <c r="AV31" s="131"/>
      <c r="AW31" s="109">
        <f t="shared" si="29"/>
        <v>0</v>
      </c>
      <c r="AX31" s="109">
        <f t="shared" si="13"/>
        <v>212.40999999999997</v>
      </c>
      <c r="AY31" s="115">
        <f t="shared" si="24"/>
        <v>218.66691343586038</v>
      </c>
      <c r="AZ31" s="140">
        <f t="shared" si="14"/>
        <v>5.8809485915492958</v>
      </c>
      <c r="BA31" s="141">
        <f t="shared" si="30"/>
        <v>8.4963999999999995</v>
      </c>
      <c r="BB31" s="128">
        <f t="shared" si="16"/>
        <v>0.84802006433584964</v>
      </c>
      <c r="BC31" s="141">
        <f t="shared" si="17"/>
        <v>14.377348591549296</v>
      </c>
      <c r="BD31" s="142">
        <v>0.86099999999999999</v>
      </c>
      <c r="BE31" s="16">
        <f t="shared" si="25"/>
        <v>5212.1200000000008</v>
      </c>
      <c r="BF31" s="16">
        <f t="shared" si="18"/>
        <v>223.33333333333334</v>
      </c>
      <c r="BG31" s="16">
        <f t="shared" si="26"/>
        <v>5583.3333333333321</v>
      </c>
      <c r="BH31" s="17">
        <f t="shared" si="19"/>
        <v>1</v>
      </c>
      <c r="BI31" s="16">
        <f t="shared" si="27"/>
        <v>5583.3333333333321</v>
      </c>
      <c r="BJ31" s="254">
        <v>396.38600000000002</v>
      </c>
      <c r="BK31" s="197">
        <v>98.981999999999999</v>
      </c>
      <c r="BL31" s="197"/>
      <c r="BM31" s="197"/>
      <c r="BN31" s="230"/>
      <c r="BO31" s="230"/>
      <c r="BP31" s="259"/>
      <c r="BQ31" s="199"/>
      <c r="BR31" s="200">
        <v>2.4500000000000002</v>
      </c>
      <c r="BS31" s="200"/>
      <c r="BT31" s="200"/>
      <c r="BU31" s="200"/>
      <c r="BV31" s="208"/>
      <c r="BW31" s="208"/>
      <c r="BX31" s="201"/>
      <c r="BY31" s="202">
        <v>37.44</v>
      </c>
      <c r="BZ31" s="200">
        <v>44.22</v>
      </c>
      <c r="CA31" s="200"/>
      <c r="CB31" s="200"/>
      <c r="CC31" s="208"/>
      <c r="CD31" s="208"/>
      <c r="CE31" s="209"/>
      <c r="CF31" s="199"/>
      <c r="CG31" s="197"/>
      <c r="CH31" s="197"/>
      <c r="CI31" s="230">
        <v>289.58</v>
      </c>
      <c r="CJ31" s="198"/>
      <c r="CK31" s="202"/>
      <c r="CL31" s="208"/>
      <c r="CM31" s="208"/>
      <c r="CN31" s="201"/>
      <c r="CO31" s="284"/>
      <c r="CP31" s="286">
        <f t="shared" si="20"/>
        <v>386.67454299999997</v>
      </c>
      <c r="CQ31" s="24">
        <f t="shared" si="20"/>
        <v>98.981999999999999</v>
      </c>
      <c r="CR31" s="25">
        <f t="shared" si="20"/>
        <v>0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289.58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8"/>
        <v>0</v>
      </c>
    </row>
    <row r="32" spans="1:110" ht="16.5" customHeight="1">
      <c r="A32" s="127">
        <v>26</v>
      </c>
      <c r="B32" s="103">
        <f>'[1]апрель 20'!K31</f>
        <v>456.10300000000001</v>
      </c>
      <c r="C32" s="104">
        <f t="shared" si="0"/>
        <v>1.4722928812132348</v>
      </c>
      <c r="D32" s="143">
        <f t="shared" si="1"/>
        <v>449.38782800000001</v>
      </c>
      <c r="E32" s="104">
        <f t="shared" si="2"/>
        <v>39.06899720019382</v>
      </c>
      <c r="F32" s="128">
        <f t="shared" si="3"/>
        <v>2.1728451213615698</v>
      </c>
      <c r="G32" s="106"/>
      <c r="H32" s="107">
        <f t="shared" si="4"/>
        <v>1.7321333913548005</v>
      </c>
      <c r="I32" s="103">
        <f>'[1]сентябрь 20'!AE31</f>
        <v>0</v>
      </c>
      <c r="J32" s="328">
        <f>'[1]апрель 20'!AA31</f>
        <v>18.242000000000001</v>
      </c>
      <c r="K32" s="106"/>
      <c r="L32" s="328">
        <f>'[1]апрель 20'!AI31</f>
        <v>91.147999999999996</v>
      </c>
      <c r="M32" s="103">
        <f t="shared" si="5"/>
        <v>0.44071173000676905</v>
      </c>
      <c r="N32" s="103">
        <f>'[1]июль 20'!AM31</f>
        <v>7.0679999999999996</v>
      </c>
      <c r="O32" s="103">
        <f>'[1]апрель 20'!W31</f>
        <v>0</v>
      </c>
      <c r="P32" s="103">
        <f>'[1]апрель 20'!S31</f>
        <v>271.10199999999998</v>
      </c>
      <c r="Q32" s="108">
        <f t="shared" si="6"/>
        <v>2.9774771119357335</v>
      </c>
      <c r="R32" s="109">
        <f t="shared" si="7"/>
        <v>263.02999999999997</v>
      </c>
      <c r="S32" s="106">
        <v>13.18</v>
      </c>
      <c r="T32" s="109">
        <f t="shared" si="8"/>
        <v>263.02999999999997</v>
      </c>
      <c r="U32" s="110">
        <f t="shared" si="9"/>
        <v>1.2717822260903195</v>
      </c>
      <c r="V32" s="136">
        <v>206.82</v>
      </c>
      <c r="W32" s="136">
        <v>89.02</v>
      </c>
      <c r="X32" s="131">
        <v>1.18</v>
      </c>
      <c r="Y32" s="133">
        <v>600</v>
      </c>
      <c r="Z32" s="133">
        <v>1228</v>
      </c>
      <c r="AA32" s="144" t="s">
        <v>271</v>
      </c>
      <c r="AB32" s="131">
        <v>75.52</v>
      </c>
      <c r="AC32" s="133">
        <v>152</v>
      </c>
      <c r="AD32" s="134">
        <v>5</v>
      </c>
      <c r="AE32" s="131">
        <v>4.9000000000000004</v>
      </c>
      <c r="AF32" s="115">
        <f t="shared" si="10"/>
        <v>23.692099410115073</v>
      </c>
      <c r="AG32" s="131">
        <v>135.6</v>
      </c>
      <c r="AH32" s="115">
        <f t="shared" si="11"/>
        <v>655.6425877574701</v>
      </c>
      <c r="AI32" s="139">
        <v>17.53</v>
      </c>
      <c r="AJ32" s="131"/>
      <c r="AK32" s="136">
        <v>8.42</v>
      </c>
      <c r="AL32" s="136">
        <v>56.04</v>
      </c>
      <c r="AM32" s="110">
        <f t="shared" si="12"/>
        <v>0.20863737900223378</v>
      </c>
      <c r="AN32" s="137" t="s">
        <v>225</v>
      </c>
      <c r="AO32" s="150">
        <v>8.44</v>
      </c>
      <c r="AP32" s="138">
        <v>7.35</v>
      </c>
      <c r="AQ32" s="134"/>
      <c r="AR32" s="131">
        <v>6.53</v>
      </c>
      <c r="AS32" s="139">
        <v>268.60000000000002</v>
      </c>
      <c r="AT32" s="131">
        <v>2.68</v>
      </c>
      <c r="AU32" s="148"/>
      <c r="AV32" s="131"/>
      <c r="AW32" s="109">
        <f t="shared" si="29"/>
        <v>0</v>
      </c>
      <c r="AX32" s="109">
        <f t="shared" si="13"/>
        <v>206.82000000000005</v>
      </c>
      <c r="AY32" s="115">
        <f t="shared" si="24"/>
        <v>202.95783972594899</v>
      </c>
      <c r="AZ32" s="140">
        <f t="shared" si="14"/>
        <v>6.8592591549295774</v>
      </c>
      <c r="BA32" s="141">
        <f t="shared" si="30"/>
        <v>8.2728000000000019</v>
      </c>
      <c r="BB32" s="128">
        <f t="shared" si="16"/>
        <v>0.88961264193489287</v>
      </c>
      <c r="BC32" s="141">
        <f t="shared" si="17"/>
        <v>15.132059154929578</v>
      </c>
      <c r="BD32" s="142">
        <v>0.86199999999999999</v>
      </c>
      <c r="BE32" s="16">
        <f t="shared" si="25"/>
        <v>5418.9400000000005</v>
      </c>
      <c r="BF32" s="16">
        <f t="shared" si="18"/>
        <v>223.33333333333334</v>
      </c>
      <c r="BG32" s="16">
        <f t="shared" si="26"/>
        <v>5806.6666666666652</v>
      </c>
      <c r="BH32" s="17">
        <f t="shared" si="19"/>
        <v>1</v>
      </c>
      <c r="BI32" s="16">
        <f t="shared" si="27"/>
        <v>5806.6666666666652</v>
      </c>
      <c r="BJ32" s="254">
        <v>364.95499999999998</v>
      </c>
      <c r="BK32" s="197">
        <v>91.147999999999996</v>
      </c>
      <c r="BL32" s="197"/>
      <c r="BM32" s="197"/>
      <c r="BN32" s="230"/>
      <c r="BO32" s="230"/>
      <c r="BP32" s="258"/>
      <c r="BQ32" s="199"/>
      <c r="BR32" s="200">
        <v>1.84</v>
      </c>
      <c r="BS32" s="200"/>
      <c r="BT32" s="200"/>
      <c r="BU32" s="200"/>
      <c r="BV32" s="208"/>
      <c r="BW32" s="208"/>
      <c r="BX32" s="201"/>
      <c r="BY32" s="202">
        <v>37.81</v>
      </c>
      <c r="BZ32" s="200">
        <v>44.11</v>
      </c>
      <c r="CA32" s="200"/>
      <c r="CB32" s="200"/>
      <c r="CC32" s="208"/>
      <c r="CD32" s="208"/>
      <c r="CE32" s="209"/>
      <c r="CF32" s="199"/>
      <c r="CG32" s="197"/>
      <c r="CH32" s="197"/>
      <c r="CI32" s="230">
        <v>263.02999999999997</v>
      </c>
      <c r="CJ32" s="198"/>
      <c r="CK32" s="202"/>
      <c r="CL32" s="208"/>
      <c r="CM32" s="208"/>
      <c r="CN32" s="201"/>
      <c r="CO32" s="284"/>
      <c r="CP32" s="286">
        <f t="shared" si="20"/>
        <v>358.23982799999993</v>
      </c>
      <c r="CQ32" s="24">
        <f t="shared" si="20"/>
        <v>91.147999999999996</v>
      </c>
      <c r="CR32" s="25">
        <f t="shared" si="20"/>
        <v>0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263.02999999999997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8"/>
        <v>0</v>
      </c>
    </row>
    <row r="33" spans="1:110" ht="16.5" customHeight="1">
      <c r="A33" s="127">
        <v>27</v>
      </c>
      <c r="B33" s="103">
        <f>'[1]апрель 20'!K32</f>
        <v>461.66699999999997</v>
      </c>
      <c r="C33" s="104">
        <f t="shared" si="0"/>
        <v>1.0958973242618599</v>
      </c>
      <c r="D33" s="143">
        <f t="shared" si="1"/>
        <v>456.60760370000003</v>
      </c>
      <c r="E33" s="104">
        <f t="shared" si="2"/>
        <v>38.728486398204765</v>
      </c>
      <c r="F33" s="128">
        <f t="shared" si="3"/>
        <v>2.2536281708701451</v>
      </c>
      <c r="G33" s="106"/>
      <c r="H33" s="107">
        <f t="shared" si="4"/>
        <v>1.7977375435565865</v>
      </c>
      <c r="I33" s="103">
        <f>'[1]сентябрь 20'!AE32</f>
        <v>0</v>
      </c>
      <c r="J33" s="328">
        <f>'[1]апрель 20'!AA32</f>
        <v>18.286999999999999</v>
      </c>
      <c r="K33" s="106"/>
      <c r="L33" s="328">
        <f>'[1]апрель 20'!AI32</f>
        <v>92.367999999999995</v>
      </c>
      <c r="M33" s="103">
        <f t="shared" si="5"/>
        <v>0.45589062731355806</v>
      </c>
      <c r="N33" s="103">
        <f>'[1]июль 20'!AM32</f>
        <v>6.9580000000000002</v>
      </c>
      <c r="O33" s="103">
        <f>'[1]апрель 20'!W32</f>
        <v>0</v>
      </c>
      <c r="P33" s="103">
        <f>'[1]апрель 20'!S32</f>
        <v>275.572</v>
      </c>
      <c r="Q33" s="108">
        <f t="shared" si="6"/>
        <v>3.6005109372505228</v>
      </c>
      <c r="R33" s="109">
        <f t="shared" si="7"/>
        <v>265.64999999999998</v>
      </c>
      <c r="S33" s="131">
        <v>57.41</v>
      </c>
      <c r="T33" s="109">
        <f t="shared" si="8"/>
        <v>265.64999999999998</v>
      </c>
      <c r="U33" s="110">
        <f t="shared" si="9"/>
        <v>1.3111396278564731</v>
      </c>
      <c r="V33" s="136">
        <v>202.61</v>
      </c>
      <c r="W33" s="136">
        <v>202.61</v>
      </c>
      <c r="X33" s="131">
        <v>0.51</v>
      </c>
      <c r="Y33" s="133">
        <v>560</v>
      </c>
      <c r="Z33" s="133">
        <v>1226</v>
      </c>
      <c r="AA33" s="144" t="s">
        <v>272</v>
      </c>
      <c r="AB33" s="131">
        <v>75.459999999999994</v>
      </c>
      <c r="AC33" s="133">
        <v>154</v>
      </c>
      <c r="AD33" s="134">
        <v>5</v>
      </c>
      <c r="AE33" s="131">
        <v>2.6</v>
      </c>
      <c r="AF33" s="115">
        <f t="shared" si="10"/>
        <v>12.83253541286215</v>
      </c>
      <c r="AG33" s="131">
        <v>158</v>
      </c>
      <c r="AH33" s="115">
        <f t="shared" si="11"/>
        <v>779.82330585854595</v>
      </c>
      <c r="AI33" s="139">
        <v>20.76</v>
      </c>
      <c r="AJ33" s="131"/>
      <c r="AK33" s="136">
        <v>7.58</v>
      </c>
      <c r="AL33" s="136">
        <v>56.44</v>
      </c>
      <c r="AM33" s="110">
        <f t="shared" si="12"/>
        <v>0.21302132477826005</v>
      </c>
      <c r="AN33" s="137" t="s">
        <v>273</v>
      </c>
      <c r="AO33" s="150">
        <v>7.77</v>
      </c>
      <c r="AP33" s="138">
        <v>7.15</v>
      </c>
      <c r="AQ33" s="134"/>
      <c r="AR33" s="131">
        <v>9.15</v>
      </c>
      <c r="AS33" s="139">
        <v>264.95</v>
      </c>
      <c r="AT33" s="131">
        <v>1.68</v>
      </c>
      <c r="AU33" s="116"/>
      <c r="AV33" s="131"/>
      <c r="AW33" s="109">
        <f t="shared" si="29"/>
        <v>0</v>
      </c>
      <c r="AX33" s="109">
        <f t="shared" si="13"/>
        <v>202.60999999999999</v>
      </c>
      <c r="AY33" s="115">
        <f t="shared" si="24"/>
        <v>204.58373648717679</v>
      </c>
      <c r="AZ33" s="140">
        <f t="shared" si="14"/>
        <v>11.199084507042254</v>
      </c>
      <c r="BA33" s="141">
        <f t="shared" si="30"/>
        <v>8.1044</v>
      </c>
      <c r="BB33" s="128">
        <f t="shared" si="16"/>
        <v>0.86457766896386057</v>
      </c>
      <c r="BC33" s="141">
        <f t="shared" si="17"/>
        <v>19.303484507042256</v>
      </c>
      <c r="BD33" s="142">
        <v>0.86199999999999999</v>
      </c>
      <c r="BE33" s="16">
        <f t="shared" si="25"/>
        <v>5621.55</v>
      </c>
      <c r="BF33" s="16">
        <f t="shared" si="18"/>
        <v>223.33333333333334</v>
      </c>
      <c r="BG33" s="16">
        <f t="shared" si="26"/>
        <v>6029.9999999999982</v>
      </c>
      <c r="BH33" s="17">
        <f t="shared" si="19"/>
        <v>1</v>
      </c>
      <c r="BI33" s="16">
        <f t="shared" si="27"/>
        <v>6029.9999999999982</v>
      </c>
      <c r="BJ33" s="254">
        <v>369.29899999999998</v>
      </c>
      <c r="BK33" s="197">
        <v>92.367999999999995</v>
      </c>
      <c r="BL33" s="197"/>
      <c r="BM33" s="197"/>
      <c r="BN33" s="230"/>
      <c r="BO33" s="230"/>
      <c r="BP33" s="258"/>
      <c r="BQ33" s="199"/>
      <c r="BR33" s="200">
        <v>1.37</v>
      </c>
      <c r="BS33" s="200"/>
      <c r="BT33" s="200"/>
      <c r="BU33" s="200"/>
      <c r="BV33" s="208"/>
      <c r="BW33" s="208"/>
      <c r="BX33" s="201"/>
      <c r="BY33" s="202">
        <v>37.43</v>
      </c>
      <c r="BZ33" s="200">
        <v>43.92</v>
      </c>
      <c r="CA33" s="200"/>
      <c r="CB33" s="200"/>
      <c r="CC33" s="208"/>
      <c r="CD33" s="208"/>
      <c r="CE33" s="209"/>
      <c r="CF33" s="199"/>
      <c r="CG33" s="197"/>
      <c r="CH33" s="197"/>
      <c r="CI33" s="230">
        <v>265.64999999999998</v>
      </c>
      <c r="CJ33" s="198"/>
      <c r="CK33" s="202"/>
      <c r="CL33" s="208"/>
      <c r="CM33" s="208"/>
      <c r="CN33" s="209"/>
      <c r="CO33" s="284"/>
      <c r="CP33" s="286">
        <f t="shared" si="20"/>
        <v>364.23960369999998</v>
      </c>
      <c r="CQ33" s="24">
        <f t="shared" si="20"/>
        <v>92.367999999999995</v>
      </c>
      <c r="CR33" s="25">
        <f t="shared" si="20"/>
        <v>0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265.64999999999998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8"/>
        <v>0</v>
      </c>
    </row>
    <row r="34" spans="1:110" ht="16.5" customHeight="1">
      <c r="A34" s="127">
        <v>28</v>
      </c>
      <c r="B34" s="103">
        <f>'[1]апрель 20'!K33</f>
        <v>260.95299999999997</v>
      </c>
      <c r="C34" s="104">
        <f t="shared" si="0"/>
        <v>1.4961834506596976</v>
      </c>
      <c r="D34" s="143">
        <f t="shared" si="1"/>
        <v>257.04866439999995</v>
      </c>
      <c r="E34" s="104">
        <f t="shared" si="2"/>
        <v>39.117407464179379</v>
      </c>
      <c r="F34" s="128">
        <f t="shared" si="3"/>
        <v>2.2719521336397386</v>
      </c>
      <c r="G34" s="106"/>
      <c r="H34" s="107">
        <f t="shared" si="4"/>
        <v>1.8108861976312536</v>
      </c>
      <c r="I34" s="103">
        <f>'[1]сентябрь 20'!AE33</f>
        <v>0</v>
      </c>
      <c r="J34" s="328">
        <f>'[1]апрель 20'!AA33</f>
        <v>9.3989999999999991</v>
      </c>
      <c r="K34" s="106"/>
      <c r="L34" s="328">
        <f>'[1]апрель 20'!AI33</f>
        <v>52.164999999999999</v>
      </c>
      <c r="M34" s="103">
        <f t="shared" si="5"/>
        <v>0.46106593600848517</v>
      </c>
      <c r="N34" s="103">
        <f>'[1]июль 20'!AM33</f>
        <v>7.2119999999999997</v>
      </c>
      <c r="O34" s="103">
        <f>'[1]апрель 20'!W33</f>
        <v>0</v>
      </c>
      <c r="P34" s="103">
        <f>'[1]апрель 20'!S33</f>
        <v>162.86699999999999</v>
      </c>
      <c r="Q34" s="108">
        <f t="shared" si="6"/>
        <v>2.8348284182799444</v>
      </c>
      <c r="R34" s="109">
        <f t="shared" si="7"/>
        <v>158.25</v>
      </c>
      <c r="S34" s="149">
        <v>9.14</v>
      </c>
      <c r="T34" s="109">
        <f t="shared" si="8"/>
        <v>158.25</v>
      </c>
      <c r="U34" s="110">
        <f t="shared" si="9"/>
        <v>1.3987095633728128</v>
      </c>
      <c r="V34" s="157">
        <v>84.26</v>
      </c>
      <c r="W34" s="157">
        <v>113.14</v>
      </c>
      <c r="X34" s="149">
        <v>0.66</v>
      </c>
      <c r="Y34" s="147">
        <v>559</v>
      </c>
      <c r="Z34" s="147">
        <v>1184</v>
      </c>
      <c r="AA34" s="144" t="s">
        <v>274</v>
      </c>
      <c r="AB34" s="149">
        <v>75.39</v>
      </c>
      <c r="AC34" s="147">
        <v>89</v>
      </c>
      <c r="AD34" s="155">
        <v>3</v>
      </c>
      <c r="AE34" s="149">
        <v>2.75</v>
      </c>
      <c r="AF34" s="115">
        <f t="shared" si="10"/>
        <v>24.306169347710807</v>
      </c>
      <c r="AG34" s="149">
        <v>80.05</v>
      </c>
      <c r="AH34" s="115">
        <f t="shared" si="11"/>
        <v>707.53049319427271</v>
      </c>
      <c r="AI34" s="156">
        <v>9.9600000000000009</v>
      </c>
      <c r="AJ34" s="149"/>
      <c r="AK34" s="157">
        <v>7.54</v>
      </c>
      <c r="AL34" s="157">
        <v>31.21</v>
      </c>
      <c r="AM34" s="110">
        <f t="shared" si="12"/>
        <v>0.20813604534844951</v>
      </c>
      <c r="AN34" s="158" t="s">
        <v>208</v>
      </c>
      <c r="AO34" s="404">
        <v>7.6</v>
      </c>
      <c r="AP34" s="159">
        <v>6.94</v>
      </c>
      <c r="AQ34" s="155"/>
      <c r="AR34" s="149">
        <v>8.84</v>
      </c>
      <c r="AS34" s="156">
        <v>149.94999999999999</v>
      </c>
      <c r="AT34" s="131">
        <v>1.94</v>
      </c>
      <c r="AU34" s="148"/>
      <c r="AV34" s="149"/>
      <c r="AW34" s="109">
        <f t="shared" si="29"/>
        <v>0</v>
      </c>
      <c r="AX34" s="109">
        <f t="shared" si="13"/>
        <v>113.13999999999997</v>
      </c>
      <c r="AY34" s="115">
        <f t="shared" si="24"/>
        <v>116.43563497597485</v>
      </c>
      <c r="AZ34" s="140">
        <f t="shared" si="14"/>
        <v>5.4817338028169011</v>
      </c>
      <c r="BA34" s="141">
        <f t="shared" si="30"/>
        <v>4.525599999999999</v>
      </c>
      <c r="BB34" s="128">
        <f t="shared" si="16"/>
        <v>0.84829030236645553</v>
      </c>
      <c r="BC34" s="141">
        <f t="shared" si="17"/>
        <v>10.0073338028169</v>
      </c>
      <c r="BD34" s="165">
        <v>0.86199999999999999</v>
      </c>
      <c r="BE34" s="16">
        <f t="shared" si="25"/>
        <v>5734.6900000000005</v>
      </c>
      <c r="BF34" s="16">
        <f t="shared" si="18"/>
        <v>223.33333333333334</v>
      </c>
      <c r="BG34" s="16">
        <f t="shared" si="26"/>
        <v>6253.3333333333312</v>
      </c>
      <c r="BH34" s="17">
        <f t="shared" si="19"/>
        <v>1</v>
      </c>
      <c r="BI34" s="16">
        <f t="shared" si="27"/>
        <v>6253.3333333333312</v>
      </c>
      <c r="BJ34" s="255">
        <v>208.78800000000001</v>
      </c>
      <c r="BK34" s="210">
        <v>52.164999999999999</v>
      </c>
      <c r="BL34" s="210"/>
      <c r="BM34" s="210"/>
      <c r="BN34" s="233"/>
      <c r="BO34" s="233"/>
      <c r="BP34" s="260"/>
      <c r="BQ34" s="212"/>
      <c r="BR34" s="213">
        <v>1.87</v>
      </c>
      <c r="BS34" s="213"/>
      <c r="BT34" s="213"/>
      <c r="BU34" s="213"/>
      <c r="BV34" s="235"/>
      <c r="BW34" s="235"/>
      <c r="BX34" s="214"/>
      <c r="BY34" s="215">
        <v>37.909999999999997</v>
      </c>
      <c r="BZ34" s="213">
        <v>43.95</v>
      </c>
      <c r="CA34" s="213"/>
      <c r="CB34" s="213"/>
      <c r="CC34" s="235"/>
      <c r="CD34" s="235"/>
      <c r="CE34" s="211"/>
      <c r="CF34" s="212"/>
      <c r="CG34" s="210"/>
      <c r="CH34" s="210"/>
      <c r="CI34" s="233">
        <v>158.25</v>
      </c>
      <c r="CJ34" s="198"/>
      <c r="CK34" s="202"/>
      <c r="CL34" s="208"/>
      <c r="CM34" s="208"/>
      <c r="CN34" s="209"/>
      <c r="CO34" s="284"/>
      <c r="CP34" s="286">
        <f t="shared" si="20"/>
        <v>204.88366439999999</v>
      </c>
      <c r="CQ34" s="24">
        <f t="shared" si="20"/>
        <v>52.164999999999999</v>
      </c>
      <c r="CR34" s="25">
        <f t="shared" si="20"/>
        <v>0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158.25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8"/>
        <v>0</v>
      </c>
    </row>
    <row r="35" spans="1:110" ht="16.5" customHeight="1">
      <c r="A35" s="127">
        <v>29</v>
      </c>
      <c r="B35" s="103">
        <f>'[1]апрель 20'!K34</f>
        <v>459.053</v>
      </c>
      <c r="C35" s="104">
        <f t="shared" si="0"/>
        <v>1.2524951367271318</v>
      </c>
      <c r="D35" s="143">
        <f t="shared" si="1"/>
        <v>453.30338349999994</v>
      </c>
      <c r="E35" s="104">
        <f t="shared" si="2"/>
        <v>38.857178735352996</v>
      </c>
      <c r="F35" s="128">
        <f t="shared" si="3"/>
        <v>2.362924225917431</v>
      </c>
      <c r="G35" s="106"/>
      <c r="H35" s="107">
        <f t="shared" si="4"/>
        <v>1.9036352350917434</v>
      </c>
      <c r="I35" s="103">
        <f>'[1]сентябрь 20'!AE34</f>
        <v>0</v>
      </c>
      <c r="J35" s="328">
        <f>'[1]апрель 20'!AA34</f>
        <v>17.666</v>
      </c>
      <c r="K35" s="106"/>
      <c r="L35" s="328">
        <f>'[1]апрель 20'!AI34</f>
        <v>88.11</v>
      </c>
      <c r="M35" s="103">
        <f t="shared" si="5"/>
        <v>0.45928899082568814</v>
      </c>
      <c r="N35" s="103">
        <f>'[1]июль 20'!AM34</f>
        <v>6.298</v>
      </c>
      <c r="O35" s="103">
        <f>'[1]апрель 20'!W34</f>
        <v>0</v>
      </c>
      <c r="P35" s="103">
        <f>'[1]апрель 20'!S34</f>
        <v>274.80799999999999</v>
      </c>
      <c r="Q35" s="108">
        <f t="shared" si="6"/>
        <v>2.2699484731157793</v>
      </c>
      <c r="R35" s="109">
        <f t="shared" si="7"/>
        <v>268.57</v>
      </c>
      <c r="S35" s="131">
        <v>13.91</v>
      </c>
      <c r="T35" s="109">
        <f t="shared" si="8"/>
        <v>268.57</v>
      </c>
      <c r="U35" s="110">
        <f t="shared" si="9"/>
        <v>1.3999687239366141</v>
      </c>
      <c r="V35" s="136">
        <v>191.84</v>
      </c>
      <c r="W35" s="136">
        <v>191.84</v>
      </c>
      <c r="X35" s="131">
        <v>0.61</v>
      </c>
      <c r="Y35" s="133">
        <v>547</v>
      </c>
      <c r="Z35" s="133">
        <v>1225</v>
      </c>
      <c r="AA35" s="144" t="s">
        <v>268</v>
      </c>
      <c r="AB35" s="131">
        <v>75.42</v>
      </c>
      <c r="AC35" s="133">
        <v>153</v>
      </c>
      <c r="AD35" s="134">
        <v>5</v>
      </c>
      <c r="AE35" s="166"/>
      <c r="AF35" s="115">
        <f t="shared" si="10"/>
        <v>0</v>
      </c>
      <c r="AG35" s="166">
        <v>133.69999999999999</v>
      </c>
      <c r="AH35" s="115">
        <f t="shared" si="11"/>
        <v>696.93494578815682</v>
      </c>
      <c r="AI35" s="139">
        <v>18.38</v>
      </c>
      <c r="AJ35" s="131"/>
      <c r="AK35" s="167">
        <v>8.5500000000000007</v>
      </c>
      <c r="AL35" s="167">
        <v>46.96</v>
      </c>
      <c r="AM35" s="110">
        <f t="shared" si="12"/>
        <v>0.1907005076142132</v>
      </c>
      <c r="AN35" s="168" t="s">
        <v>247</v>
      </c>
      <c r="AO35" s="405">
        <v>7.9249999999999998</v>
      </c>
      <c r="AP35" s="169">
        <v>6.98</v>
      </c>
      <c r="AQ35" s="170"/>
      <c r="AR35" s="166">
        <v>7.68</v>
      </c>
      <c r="AS35" s="171">
        <v>246.25</v>
      </c>
      <c r="AT35" s="131">
        <v>1.1000000000000001</v>
      </c>
      <c r="AU35" s="116"/>
      <c r="AV35" s="131"/>
      <c r="AW35" s="109">
        <f t="shared" si="29"/>
        <v>0</v>
      </c>
      <c r="AX35" s="109">
        <f t="shared" si="13"/>
        <v>191.83999999999997</v>
      </c>
      <c r="AY35" s="115">
        <f t="shared" si="24"/>
        <v>203.88625150572514</v>
      </c>
      <c r="AZ35" s="140">
        <f t="shared" si="14"/>
        <v>7.9542084507042237</v>
      </c>
      <c r="BA35" s="141">
        <f t="shared" si="30"/>
        <v>7.6735999999999995</v>
      </c>
      <c r="BB35" s="128">
        <f t="shared" si="16"/>
        <v>0.82142036926554229</v>
      </c>
      <c r="BC35" s="141">
        <f t="shared" si="17"/>
        <v>15.627808450704222</v>
      </c>
      <c r="BD35" s="165">
        <v>0.86</v>
      </c>
      <c r="BE35" s="16">
        <f t="shared" si="25"/>
        <v>5926.5300000000007</v>
      </c>
      <c r="BF35" s="16">
        <f t="shared" si="18"/>
        <v>223.33333333333334</v>
      </c>
      <c r="BG35" s="16">
        <f t="shared" si="26"/>
        <v>6476.6666666666642</v>
      </c>
      <c r="BH35" s="17">
        <f t="shared" si="19"/>
        <v>1</v>
      </c>
      <c r="BI35" s="16">
        <f t="shared" si="27"/>
        <v>6476.6666666666642</v>
      </c>
      <c r="BJ35" s="254">
        <v>370.94299999999998</v>
      </c>
      <c r="BK35" s="197">
        <v>88.11</v>
      </c>
      <c r="BL35" s="197"/>
      <c r="BM35" s="197"/>
      <c r="BN35" s="230"/>
      <c r="BO35" s="230"/>
      <c r="BP35" s="259"/>
      <c r="BQ35" s="199"/>
      <c r="BR35" s="200">
        <v>1.55</v>
      </c>
      <c r="BS35" s="200"/>
      <c r="BT35" s="200"/>
      <c r="BU35" s="200"/>
      <c r="BV35" s="208"/>
      <c r="BW35" s="208"/>
      <c r="BX35" s="201"/>
      <c r="BY35" s="202">
        <v>37.79</v>
      </c>
      <c r="BZ35" s="200">
        <v>43.35</v>
      </c>
      <c r="CA35" s="200"/>
      <c r="CB35" s="200"/>
      <c r="CC35" s="208"/>
      <c r="CD35" s="208"/>
      <c r="CE35" s="209"/>
      <c r="CF35" s="199"/>
      <c r="CG35" s="197"/>
      <c r="CH35" s="197"/>
      <c r="CI35" s="230">
        <v>268.57</v>
      </c>
      <c r="CJ35" s="198"/>
      <c r="CK35" s="202"/>
      <c r="CL35" s="208"/>
      <c r="CM35" s="208"/>
      <c r="CN35" s="209"/>
      <c r="CP35" s="286">
        <f t="shared" si="20"/>
        <v>365.19338349999998</v>
      </c>
      <c r="CQ35" s="24">
        <f t="shared" si="20"/>
        <v>88.11</v>
      </c>
      <c r="CR35" s="24">
        <f t="shared" si="20"/>
        <v>0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268.57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8"/>
        <v>0</v>
      </c>
    </row>
    <row r="36" spans="1:110" ht="16.5" customHeight="1">
      <c r="A36" s="127">
        <v>30</v>
      </c>
      <c r="B36" s="103">
        <f>'[1]апрель 20'!K35</f>
        <v>446.97899999999998</v>
      </c>
      <c r="C36" s="104">
        <f t="shared" si="0"/>
        <v>1.871426152011616</v>
      </c>
      <c r="D36" s="143">
        <f t="shared" si="1"/>
        <v>438.61411809999993</v>
      </c>
      <c r="E36" s="104">
        <f t="shared" si="2"/>
        <v>38.737847527512479</v>
      </c>
      <c r="F36" s="128">
        <f t="shared" si="3"/>
        <v>2.1631114962765694</v>
      </c>
      <c r="G36" s="106"/>
      <c r="H36" s="107">
        <f t="shared" si="4"/>
        <v>1.776062129999507</v>
      </c>
      <c r="I36" s="103">
        <f>'[1]сентябрь 20'!AE35</f>
        <v>0</v>
      </c>
      <c r="J36" s="328">
        <f>'[1]апрель 20'!AA35</f>
        <v>18.716999999999999</v>
      </c>
      <c r="K36" s="106"/>
      <c r="L36" s="328">
        <f>'[1]апрель 20'!AI35</f>
        <v>78.481999999999999</v>
      </c>
      <c r="M36" s="103">
        <f t="shared" si="5"/>
        <v>0.38704936627706271</v>
      </c>
      <c r="N36" s="103">
        <f>'[1]июль 20'!AM35</f>
        <v>7.1239999999999997</v>
      </c>
      <c r="O36" s="103">
        <f>'[1]апрель 20'!W35</f>
        <v>0</v>
      </c>
      <c r="P36" s="103">
        <f>'[1]апрель 20'!S35</f>
        <v>268.83699999999999</v>
      </c>
      <c r="Q36" s="108">
        <f t="shared" si="6"/>
        <v>1.8885049304969148</v>
      </c>
      <c r="R36" s="109">
        <f t="shared" si="7"/>
        <v>263.76</v>
      </c>
      <c r="S36" s="131">
        <v>13.17</v>
      </c>
      <c r="T36" s="109">
        <f t="shared" si="8"/>
        <v>263.76</v>
      </c>
      <c r="U36" s="110">
        <f t="shared" si="9"/>
        <v>1.300784139665631</v>
      </c>
      <c r="V36" s="136">
        <v>202.77</v>
      </c>
      <c r="W36" s="136">
        <v>202.77</v>
      </c>
      <c r="X36" s="131">
        <v>0.5</v>
      </c>
      <c r="Y36" s="133">
        <v>610</v>
      </c>
      <c r="Z36" s="133">
        <v>1232</v>
      </c>
      <c r="AA36" s="144" t="s">
        <v>275</v>
      </c>
      <c r="AB36" s="131">
        <v>75.97</v>
      </c>
      <c r="AC36" s="133">
        <v>149</v>
      </c>
      <c r="AD36" s="134">
        <v>5</v>
      </c>
      <c r="AE36" s="131">
        <v>3.85</v>
      </c>
      <c r="AF36" s="115">
        <f t="shared" si="10"/>
        <v>18.987029639493024</v>
      </c>
      <c r="AG36" s="131">
        <v>152.75</v>
      </c>
      <c r="AH36" s="115">
        <f t="shared" si="11"/>
        <v>753.31656556689848</v>
      </c>
      <c r="AI36" s="139">
        <v>20.010000000000002</v>
      </c>
      <c r="AJ36" s="131"/>
      <c r="AK36" s="136">
        <v>8.81</v>
      </c>
      <c r="AL36" s="136">
        <v>48.92</v>
      </c>
      <c r="AM36" s="110">
        <f t="shared" si="12"/>
        <v>0.18779270633397313</v>
      </c>
      <c r="AN36" s="137" t="s">
        <v>276</v>
      </c>
      <c r="AO36" s="150">
        <v>7.55</v>
      </c>
      <c r="AP36" s="138">
        <v>7.1</v>
      </c>
      <c r="AQ36" s="134"/>
      <c r="AR36" s="131">
        <v>9.06</v>
      </c>
      <c r="AS36" s="139">
        <v>260.5</v>
      </c>
      <c r="AT36" s="131"/>
      <c r="AU36" s="116"/>
      <c r="AV36" s="131"/>
      <c r="AW36" s="109">
        <f t="shared" si="29"/>
        <v>0</v>
      </c>
      <c r="AX36" s="109">
        <f t="shared" si="13"/>
        <v>202.76999999999998</v>
      </c>
      <c r="AY36" s="115">
        <f t="shared" si="24"/>
        <v>195.24962541680776</v>
      </c>
      <c r="AZ36" s="140">
        <f t="shared" si="14"/>
        <v>10.720468309859154</v>
      </c>
      <c r="BA36" s="141">
        <f t="shared" si="30"/>
        <v>8.1107999999999993</v>
      </c>
      <c r="BB36" s="128">
        <f t="shared" si="16"/>
        <v>0.90662509401547697</v>
      </c>
      <c r="BC36" s="141">
        <f t="shared" si="17"/>
        <v>18.831268309859155</v>
      </c>
      <c r="BD36" s="165">
        <v>0.86199999999999999</v>
      </c>
      <c r="BE36" s="16">
        <f t="shared" si="25"/>
        <v>6129.3000000000011</v>
      </c>
      <c r="BF36" s="16">
        <f t="shared" si="18"/>
        <v>223.33333333333334</v>
      </c>
      <c r="BG36" s="16">
        <f t="shared" si="26"/>
        <v>6699.9999999999973</v>
      </c>
      <c r="BH36" s="17">
        <f t="shared" si="19"/>
        <v>1</v>
      </c>
      <c r="BI36" s="16">
        <f t="shared" si="27"/>
        <v>6699.9999999999973</v>
      </c>
      <c r="BJ36" s="254">
        <v>368.49700000000001</v>
      </c>
      <c r="BK36" s="197">
        <v>78.481999999999999</v>
      </c>
      <c r="BL36" s="197"/>
      <c r="BM36" s="197"/>
      <c r="BN36" s="230"/>
      <c r="BO36" s="230"/>
      <c r="BP36" s="258"/>
      <c r="BQ36" s="199"/>
      <c r="BR36" s="200">
        <v>2.27</v>
      </c>
      <c r="BS36" s="200"/>
      <c r="BT36" s="200"/>
      <c r="BU36" s="200"/>
      <c r="BV36" s="208"/>
      <c r="BW36" s="208"/>
      <c r="BX36" s="201"/>
      <c r="BY36" s="202">
        <v>37.729999999999997</v>
      </c>
      <c r="BZ36" s="200">
        <v>43.47</v>
      </c>
      <c r="CA36" s="200"/>
      <c r="CB36" s="200"/>
      <c r="CC36" s="208"/>
      <c r="CD36" s="208"/>
      <c r="CE36" s="209"/>
      <c r="CF36" s="199"/>
      <c r="CG36" s="197"/>
      <c r="CH36" s="197"/>
      <c r="CI36" s="230">
        <v>263.76</v>
      </c>
      <c r="CJ36" s="198"/>
      <c r="CK36" s="202"/>
      <c r="CL36" s="208"/>
      <c r="CM36" s="208"/>
      <c r="CN36" s="209"/>
      <c r="CP36" s="286">
        <f t="shared" si="20"/>
        <v>360.13211810000001</v>
      </c>
      <c r="CQ36" s="27">
        <f t="shared" si="20"/>
        <v>78.481999999999999</v>
      </c>
      <c r="CR36" s="28">
        <f t="shared" si="20"/>
        <v>0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263.76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8"/>
        <v>0</v>
      </c>
    </row>
    <row r="37" spans="1:110" ht="16.5" customHeight="1" thickBot="1">
      <c r="A37" s="172">
        <v>31</v>
      </c>
      <c r="B37" s="103">
        <f>'[1]апрель 20'!K36</f>
        <v>0</v>
      </c>
      <c r="C37" s="104">
        <f t="shared" si="0"/>
        <v>0</v>
      </c>
      <c r="D37" s="173">
        <f t="shared" si="1"/>
        <v>0</v>
      </c>
      <c r="E37" s="104">
        <f t="shared" si="2"/>
        <v>0</v>
      </c>
      <c r="F37" s="174">
        <f t="shared" si="3"/>
        <v>0</v>
      </c>
      <c r="G37" s="106"/>
      <c r="H37" s="107">
        <f t="shared" si="4"/>
        <v>0</v>
      </c>
      <c r="I37" s="103">
        <f>'[1]сентябрь 20'!AE36</f>
        <v>0</v>
      </c>
      <c r="J37" s="328">
        <f>'[1]апрель 20'!AA36</f>
        <v>0</v>
      </c>
      <c r="K37" s="106"/>
      <c r="L37" s="328">
        <f>'[1]апрель 20'!AI36</f>
        <v>0</v>
      </c>
      <c r="M37" s="103">
        <f t="shared" si="5"/>
        <v>0</v>
      </c>
      <c r="N37" s="103">
        <f>'[1]июль 20'!AM36</f>
        <v>6.7409999999999997</v>
      </c>
      <c r="O37" s="103">
        <f>'[1]апрель 20'!W36</f>
        <v>0</v>
      </c>
      <c r="P37" s="103">
        <f>'[1]апрель 20'!S36</f>
        <v>0</v>
      </c>
      <c r="Q37" s="108">
        <f t="shared" si="6"/>
        <v>0</v>
      </c>
      <c r="R37" s="175">
        <f t="shared" si="7"/>
        <v>0</v>
      </c>
      <c r="S37" s="176"/>
      <c r="T37" s="109">
        <f t="shared" si="8"/>
        <v>0</v>
      </c>
      <c r="U37" s="227">
        <f t="shared" si="9"/>
        <v>0</v>
      </c>
      <c r="V37" s="177"/>
      <c r="W37" s="177"/>
      <c r="X37" s="176"/>
      <c r="Y37" s="178"/>
      <c r="Z37" s="178"/>
      <c r="AA37" s="179"/>
      <c r="AB37" s="176"/>
      <c r="AC37" s="178"/>
      <c r="AD37" s="180"/>
      <c r="AE37" s="176"/>
      <c r="AF37" s="115">
        <f t="shared" si="10"/>
        <v>0</v>
      </c>
      <c r="AG37" s="176"/>
      <c r="AH37" s="181">
        <f t="shared" si="11"/>
        <v>0</v>
      </c>
      <c r="AI37" s="182"/>
      <c r="AJ37" s="176"/>
      <c r="AK37" s="177"/>
      <c r="AL37" s="177"/>
      <c r="AM37" s="227">
        <f t="shared" si="12"/>
        <v>0</v>
      </c>
      <c r="AN37" s="183"/>
      <c r="AO37" s="406"/>
      <c r="AP37" s="184"/>
      <c r="AQ37" s="180"/>
      <c r="AR37" s="176"/>
      <c r="AS37" s="176"/>
      <c r="AT37" s="131"/>
      <c r="AU37" s="176"/>
      <c r="AV37" s="176"/>
      <c r="AW37" s="185">
        <f t="shared" si="29"/>
        <v>0</v>
      </c>
      <c r="AX37" s="109">
        <f t="shared" si="13"/>
        <v>0</v>
      </c>
      <c r="AY37" s="115">
        <f t="shared" si="24"/>
        <v>0</v>
      </c>
      <c r="AZ37" s="186">
        <f t="shared" si="14"/>
        <v>0</v>
      </c>
      <c r="BA37" s="181">
        <f t="shared" si="30"/>
        <v>0</v>
      </c>
      <c r="BB37" s="174">
        <f t="shared" si="16"/>
        <v>0</v>
      </c>
      <c r="BC37" s="181">
        <f t="shared" si="17"/>
        <v>0</v>
      </c>
      <c r="BD37" s="187"/>
      <c r="BE37" s="16">
        <f t="shared" si="25"/>
        <v>6129.3000000000011</v>
      </c>
      <c r="BF37" s="16">
        <f t="shared" si="18"/>
        <v>0</v>
      </c>
      <c r="BG37" s="16">
        <f t="shared" si="26"/>
        <v>6699.9999999999973</v>
      </c>
      <c r="BH37" s="17">
        <f t="shared" si="19"/>
        <v>0</v>
      </c>
      <c r="BI37" s="16">
        <f t="shared" si="27"/>
        <v>6699.9999999999973</v>
      </c>
      <c r="BJ37" s="256"/>
      <c r="BK37" s="257"/>
      <c r="BL37" s="257"/>
      <c r="BM37" s="257"/>
      <c r="BN37" s="261"/>
      <c r="BO37" s="261"/>
      <c r="BP37" s="262"/>
      <c r="BQ37" s="219"/>
      <c r="BR37" s="220"/>
      <c r="BS37" s="220"/>
      <c r="BT37" s="220"/>
      <c r="BU37" s="220"/>
      <c r="BV37" s="224"/>
      <c r="BW37" s="224"/>
      <c r="BX37" s="221"/>
      <c r="BY37" s="222"/>
      <c r="BZ37" s="220"/>
      <c r="CA37" s="220"/>
      <c r="CB37" s="220"/>
      <c r="CC37" s="224"/>
      <c r="CD37" s="224"/>
      <c r="CE37" s="221"/>
      <c r="CF37" s="219"/>
      <c r="CG37" s="217"/>
      <c r="CH37" s="217"/>
      <c r="CI37" s="234"/>
      <c r="CJ37" s="223"/>
      <c r="CK37" s="222"/>
      <c r="CL37" s="224"/>
      <c r="CM37" s="224"/>
      <c r="CN37" s="218"/>
      <c r="CP37" s="287">
        <f t="shared" si="20"/>
        <v>0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0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8"/>
        <v>0</v>
      </c>
    </row>
    <row r="38" spans="1:110" ht="16.5" customHeight="1" thickBot="1">
      <c r="A38" s="55" t="s">
        <v>58</v>
      </c>
      <c r="B38" s="188">
        <f>SUM(B7:B37)</f>
        <v>14118.303999999998</v>
      </c>
      <c r="C38" s="326"/>
      <c r="D38" s="327">
        <f>SUM(D7:D37)</f>
        <v>13905.587161514663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282.87399999999997</v>
      </c>
      <c r="K38" s="188">
        <f>SUM(K7:K37)</f>
        <v>0</v>
      </c>
      <c r="L38" s="331">
        <f>SUM(L7:L37)</f>
        <v>2935.2440000000001</v>
      </c>
      <c r="M38" s="342"/>
      <c r="N38" s="342">
        <f>SUM(N7:N37)</f>
        <v>85.77</v>
      </c>
      <c r="O38" s="188">
        <f>SUM(O7:O37)</f>
        <v>0</v>
      </c>
      <c r="P38" s="188">
        <f>SUM(P7:P37)</f>
        <v>8626.4419999999991</v>
      </c>
      <c r="Q38" s="342"/>
      <c r="R38" s="341">
        <f>SUM(R7:R37)</f>
        <v>8317.6200002999994</v>
      </c>
      <c r="S38" s="343">
        <f>SUM(S7:S37)</f>
        <v>551.43999999999994</v>
      </c>
      <c r="T38" s="341">
        <f>SUM(T7:T37)</f>
        <v>8317.6200002999976</v>
      </c>
      <c r="U38" s="344"/>
      <c r="V38" s="194">
        <f>SUM(V7:V37)</f>
        <v>5468.18</v>
      </c>
      <c r="W38" s="194">
        <f>SUM(W7:W37)</f>
        <v>4958.7500000000009</v>
      </c>
      <c r="X38" s="345"/>
      <c r="Y38" s="346"/>
      <c r="Z38" s="347"/>
      <c r="AA38" s="348"/>
      <c r="AB38" s="345"/>
      <c r="AC38" s="345"/>
      <c r="AD38" s="347">
        <f>SUM(AD7:AD37)</f>
        <v>148</v>
      </c>
      <c r="AE38" s="194">
        <f>SUM(AE7:AE37)</f>
        <v>61.400000000000013</v>
      </c>
      <c r="AF38" s="349"/>
      <c r="AG38" s="194">
        <f>SUM(AG7:AG37)</f>
        <v>3980.2999999999988</v>
      </c>
      <c r="AH38" s="343"/>
      <c r="AI38" s="338">
        <f>SUM(AI7:AI37)</f>
        <v>725.49</v>
      </c>
      <c r="AJ38" s="343">
        <f>SUM(AJ7:AJ37)</f>
        <v>0</v>
      </c>
      <c r="AK38" s="337">
        <f>SUM(AK7:AK37)</f>
        <v>323.2700000000001</v>
      </c>
      <c r="AL38" s="395">
        <f>SUM(AL7:AL37)</f>
        <v>1630.4200000000003</v>
      </c>
      <c r="AM38" s="350"/>
      <c r="AN38" s="351"/>
      <c r="AO38" s="343"/>
      <c r="AP38" s="351"/>
      <c r="AQ38" s="351"/>
      <c r="AR38" s="352"/>
      <c r="AS38" s="337">
        <f>SUM(AS7:AS37)</f>
        <v>7985.5499999999993</v>
      </c>
      <c r="AT38" s="341">
        <f>SUM(AT7:AT37)</f>
        <v>97.44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6129.3000000000011</v>
      </c>
      <c r="AY38" s="252">
        <f>SUM(AY7:AY37)</f>
        <v>6208.129620557369</v>
      </c>
      <c r="AZ38" s="351">
        <f>SUM(AZ7:AZ36)</f>
        <v>241.18933485915485</v>
      </c>
      <c r="BA38" s="351">
        <f>SUM(BA7:BA36)</f>
        <v>236.72439999999997</v>
      </c>
      <c r="BB38" s="340"/>
      <c r="BC38" s="351">
        <f>SUM(BC7:BC37)</f>
        <v>477.91373485915506</v>
      </c>
      <c r="BD38" s="353"/>
      <c r="BE38" s="16"/>
      <c r="BF38" s="16">
        <f t="shared" si="18"/>
        <v>0</v>
      </c>
      <c r="BG38" s="16"/>
      <c r="BH38" s="17">
        <f>SUM(BH7:BH37)</f>
        <v>30</v>
      </c>
      <c r="BI38" s="33"/>
      <c r="BJ38" s="424">
        <f t="shared" ref="BJ38:BP38" si="31">SUM(BJ7:BJ37)</f>
        <v>10389.843000000001</v>
      </c>
      <c r="BK38" s="38">
        <f t="shared" si="31"/>
        <v>2262.9610001000001</v>
      </c>
      <c r="BL38" s="38">
        <f t="shared" si="31"/>
        <v>672.28300000000002</v>
      </c>
      <c r="BM38" s="38">
        <f t="shared" si="31"/>
        <v>80.062000100000006</v>
      </c>
      <c r="BN38" s="38">
        <f t="shared" si="31"/>
        <v>9.9999999999999995E-8</v>
      </c>
      <c r="BO38" s="38">
        <f t="shared" si="31"/>
        <v>713.15500009999982</v>
      </c>
      <c r="BP38" s="38">
        <f t="shared" si="31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9.9999999999999995E-8</v>
      </c>
      <c r="CH38" s="39">
        <f>SUM(CH7:CH37)</f>
        <v>9.9999999999999995E-8</v>
      </c>
      <c r="CI38" s="39">
        <f>SUM(CI7:CI37)</f>
        <v>8317.619999999999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2">SUM(CP7:CP37)</f>
        <v>10204.112875499999</v>
      </c>
      <c r="CQ38" s="190">
        <f t="shared" si="32"/>
        <v>2262.9610001000001</v>
      </c>
      <c r="CR38" s="191">
        <f t="shared" si="32"/>
        <v>672.28299991466201</v>
      </c>
      <c r="CS38" s="192">
        <f t="shared" si="32"/>
        <v>68.092731099999995</v>
      </c>
      <c r="CT38" s="192">
        <f t="shared" si="32"/>
        <v>9.99999999E-8</v>
      </c>
      <c r="CU38" s="192">
        <f t="shared" si="32"/>
        <v>698.13755519999995</v>
      </c>
      <c r="CV38" s="278">
        <f t="shared" si="32"/>
        <v>9.99999999E-8</v>
      </c>
      <c r="CW38" s="278">
        <f t="shared" si="32"/>
        <v>9.99999999E-8</v>
      </c>
      <c r="CX38" s="192">
        <f t="shared" si="32"/>
        <v>9.99999999E-8</v>
      </c>
      <c r="CY38" s="192">
        <f t="shared" si="32"/>
        <v>8317.6199997547683</v>
      </c>
      <c r="CZ38" s="192">
        <f t="shared" si="32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470.61013333333329</v>
      </c>
      <c r="C39" s="84">
        <f>(BJ38*BR39+BK38*BS39+BM38*BU39+BP38*BX39+BL38*BT39+BO38*BW39+BN38*BV39)/B38</f>
        <v>1.5066741620334714</v>
      </c>
      <c r="D39" s="82"/>
      <c r="E39" s="354">
        <f>(BJ38*BY39+BK38*BZ39+BM38*CB39+BP38*CE39+BL38*CA39+BO38*CD39+BN38*CC39)/B38</f>
        <v>38.798363792138211</v>
      </c>
      <c r="F39" s="355">
        <f>IF(AX38=0,0,D38/AX38)</f>
        <v>2.2687072196685851</v>
      </c>
      <c r="G39" s="354">
        <f>G38/AS2</f>
        <v>0</v>
      </c>
      <c r="H39" s="355">
        <f>IF(AX38=0,0,(CV38+CS38+CU38+CP38+CT38)/AX38)</f>
        <v>1.7898199079829666</v>
      </c>
      <c r="I39" s="354">
        <f>I38/AS2</f>
        <v>0</v>
      </c>
      <c r="J39" s="354">
        <f>J38/AS2</f>
        <v>9.4291333333333327</v>
      </c>
      <c r="K39" s="354">
        <f>K38/AS2</f>
        <v>0</v>
      </c>
      <c r="L39" s="354">
        <f>L38/AS2</f>
        <v>97.841466666666676</v>
      </c>
      <c r="M39" s="355">
        <f>IF($AX$38=0,0,(CR38+CQ38)/$AX$38)</f>
        <v>0.4788873117671939</v>
      </c>
      <c r="N39" s="354">
        <f>N38/AS2</f>
        <v>2.859</v>
      </c>
      <c r="O39" s="354">
        <f>O38/AS2</f>
        <v>0</v>
      </c>
      <c r="P39" s="356">
        <f>P38/AS2</f>
        <v>287.54806666666661</v>
      </c>
      <c r="Q39" s="354">
        <f>(SUMPRODUCT(P7:P37,Q7:Q37))/P38</f>
        <v>3.5799463985267623</v>
      </c>
      <c r="R39" s="357"/>
      <c r="S39" s="354">
        <f>S38/AS2</f>
        <v>18.38133333333333</v>
      </c>
      <c r="T39" s="354">
        <f>T38/AS2:AS2</f>
        <v>277.25400000999991</v>
      </c>
      <c r="U39" s="358">
        <f>IF($AX$38=0,0,R38/$AX$38)</f>
        <v>1.357026087856688</v>
      </c>
      <c r="V39" s="354">
        <f>V38/AS2</f>
        <v>182.27266666666668</v>
      </c>
      <c r="W39" s="354">
        <f>W38/AS2</f>
        <v>165.29166666666669</v>
      </c>
      <c r="X39" s="354">
        <f>(SUMPRODUCT(X7:X37,AX7:AX37))/AX38</f>
        <v>0.72672574355962327</v>
      </c>
      <c r="Y39" s="359">
        <f>AVERAGE(Y7:Y37)</f>
        <v>609.4666666666667</v>
      </c>
      <c r="Z39" s="359">
        <f>AVERAGE(Z7:Z37)</f>
        <v>1230.7</v>
      </c>
      <c r="AA39" s="359"/>
      <c r="AB39" s="354">
        <f>(SUMPRODUCT(AB7:AB37,AX7:AX37))/AX38</f>
        <v>75.857039237759579</v>
      </c>
      <c r="AC39" s="360">
        <f>AVERAGE(AC7:AC37)</f>
        <v>156.83333333333334</v>
      </c>
      <c r="AD39" s="360">
        <f>AVERAGE(AD7:AD37)</f>
        <v>4.9333333333333336</v>
      </c>
      <c r="AE39" s="354">
        <f>AE38/AS2</f>
        <v>2.0466666666666673</v>
      </c>
      <c r="AF39" s="361">
        <f>IF(AX38=0,0,AE38/AX38*1000)</f>
        <v>10.017457132135807</v>
      </c>
      <c r="AG39" s="361">
        <f>AG38/AS2</f>
        <v>132.67666666666662</v>
      </c>
      <c r="AH39" s="361">
        <f>IF(AX38=0,0,AG38/AX38*1000)</f>
        <v>649.3890003752465</v>
      </c>
      <c r="AI39" s="354">
        <f>AI38/AS2</f>
        <v>24.183</v>
      </c>
      <c r="AJ39" s="359"/>
      <c r="AK39" s="354">
        <f>AK38/AS2</f>
        <v>10.77566666666667</v>
      </c>
      <c r="AL39" s="354">
        <f>AL38/AS2</f>
        <v>54.347333333333346</v>
      </c>
      <c r="AM39" s="346">
        <f>IF(AL39=0,0,AL39/AS39)</f>
        <v>0.20417128438241577</v>
      </c>
      <c r="AN39" s="361">
        <f>SUM(AN8:AN38)</f>
        <v>0</v>
      </c>
      <c r="AO39" s="354">
        <f>AVERAGE(AO7:AO37)</f>
        <v>8.4168333333333347</v>
      </c>
      <c r="AP39" s="354">
        <f>AVERAGE(AP7:AP37)</f>
        <v>7.1879999999999988</v>
      </c>
      <c r="AQ39" s="362"/>
      <c r="AR39" s="354">
        <f>AVERAGE(AR7:AR37)</f>
        <v>7.7893333333333343</v>
      </c>
      <c r="AS39" s="363">
        <f>AS38/AS2</f>
        <v>266.185</v>
      </c>
      <c r="AT39" s="363">
        <f>AT38/AS2</f>
        <v>3.2479999999999998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204.31000000000003</v>
      </c>
      <c r="AY39" s="354">
        <f>AY38/AS2</f>
        <v>206.93765401857897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0.86179510676725679</v>
      </c>
      <c r="BC39" s="354">
        <f>BC38/AS2</f>
        <v>15.930457828638502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1.7876124259047999</v>
      </c>
      <c r="BS39" s="42">
        <f t="shared" ref="BS39:BX39" si="33">(SUMPRODUCT(BK7:BK37,BS7:BS37))/BK38</f>
        <v>4.4189891030194951E-18</v>
      </c>
      <c r="BT39" s="42">
        <f t="shared" si="33"/>
        <v>1.2693761407026505E-8</v>
      </c>
      <c r="BU39" s="42">
        <f t="shared" si="33"/>
        <v>14.94999998132697</v>
      </c>
      <c r="BV39" s="42">
        <f t="shared" si="33"/>
        <v>9.9999999999999982E-8</v>
      </c>
      <c r="BW39" s="46">
        <f t="shared" si="33"/>
        <v>2.1057757286836982</v>
      </c>
      <c r="BX39" s="240">
        <f t="shared" si="33"/>
        <v>9.9999999999999982E-8</v>
      </c>
      <c r="BY39" s="41">
        <f t="shared" ref="BY39:CE39" si="34">(SUMPRODUCT(BJ7:BJ37,BY7:BY37))/BJ38</f>
        <v>37.343244650568835</v>
      </c>
      <c r="BZ39" s="42">
        <f t="shared" si="34"/>
        <v>43.835758776053325</v>
      </c>
      <c r="CA39" s="42">
        <f t="shared" si="34"/>
        <v>43.811880026714938</v>
      </c>
      <c r="CB39" s="42">
        <f t="shared" si="34"/>
        <v>43.36999994582947</v>
      </c>
      <c r="CC39" s="42">
        <f t="shared" si="34"/>
        <v>9.9999999999999982E-8</v>
      </c>
      <c r="CD39" s="46">
        <f t="shared" si="34"/>
        <v>38.773845918660903</v>
      </c>
      <c r="CE39" s="240">
        <f t="shared" si="34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9.9999999999999982E-8</v>
      </c>
      <c r="CL39" s="46">
        <f>(SUMPRODUCT(CH7:CH37,CL7:CL37))/CH38</f>
        <v>9.9999999999999982E-8</v>
      </c>
      <c r="CM39" s="46">
        <f>(SUMPRODUCT(CI7:CI37,CM7:CM37))/CI38</f>
        <v>2.9483193509681858E-9</v>
      </c>
      <c r="CN39" s="44">
        <f>(SUMPRODUCT(CJ7:CJ37,CN7:CN37))/CJ38</f>
        <v>9.9999999999999982E-8</v>
      </c>
      <c r="CP39" s="667">
        <f>CP38+CQ38</f>
        <v>12467.073875599999</v>
      </c>
      <c r="CQ39" s="667"/>
      <c r="CR39" s="668">
        <f>CR38+CS38+CV38+CU38+CT38</f>
        <v>1438.5132864146619</v>
      </c>
      <c r="CS39" s="668"/>
      <c r="CT39" s="668"/>
      <c r="CU39" s="668"/>
      <c r="CV39" s="668"/>
      <c r="CW39" s="669">
        <f>CW38+CX38+CZ38+CY38</f>
        <v>8317.6200000547688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38</v>
      </c>
      <c r="F40" s="366">
        <v>2.13</v>
      </c>
      <c r="G40" s="366"/>
      <c r="H40" s="401">
        <v>1.7465999999999999</v>
      </c>
      <c r="I40" s="366"/>
      <c r="J40" s="408">
        <v>26.799959999999999</v>
      </c>
      <c r="K40" s="366">
        <v>23.405000000000001</v>
      </c>
      <c r="L40" s="366"/>
      <c r="M40" s="401">
        <v>0.38340000000000002</v>
      </c>
      <c r="N40" s="365"/>
      <c r="O40" s="366"/>
      <c r="P40" s="367"/>
      <c r="Q40" s="368"/>
      <c r="R40" s="367"/>
      <c r="S40" s="369">
        <v>26.531604000000002</v>
      </c>
      <c r="T40" s="367"/>
      <c r="U40" s="369">
        <v>1.32</v>
      </c>
      <c r="V40" s="370">
        <v>6700</v>
      </c>
      <c r="W40" s="370">
        <v>6700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730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6700</v>
      </c>
      <c r="AT40" s="379">
        <v>46.9</v>
      </c>
      <c r="AU40" s="380"/>
      <c r="AV40" s="381"/>
      <c r="AW40" s="382"/>
      <c r="AX40" s="365">
        <v>223.33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13905.587162014661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0.13870721966858524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3.5799463985267623</v>
      </c>
      <c r="R41" s="386"/>
      <c r="S41" s="388"/>
      <c r="T41" s="388"/>
      <c r="U41" s="385">
        <f>U39-U40</f>
        <v>3.7026087856687928E-2</v>
      </c>
      <c r="V41" s="385"/>
      <c r="W41" s="385"/>
      <c r="X41" s="385"/>
      <c r="Y41" s="385"/>
      <c r="Z41" s="389">
        <f>Z39-Z40</f>
        <v>-19.299999999999955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1285.5499999999993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223.33333333333334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30</v>
      </c>
      <c r="CS43">
        <v>13905.587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53.956418918918914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29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231.0344827586207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-570.69999999999618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-8.5179104477611371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  <mergeCell ref="DB5:DF5"/>
    <mergeCell ref="CP39:CQ39"/>
    <mergeCell ref="CR39:CV39"/>
    <mergeCell ref="CW39:CZ39"/>
    <mergeCell ref="CG3:CJ5"/>
    <mergeCell ref="CK3:CN5"/>
    <mergeCell ref="V3:V6"/>
    <mergeCell ref="S4:S6"/>
    <mergeCell ref="T4:T6"/>
    <mergeCell ref="U4:U6"/>
    <mergeCell ref="AE5:AE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L3:AL6"/>
    <mergeCell ref="AM3:AM6"/>
    <mergeCell ref="AN3:AN6"/>
    <mergeCell ref="AO3:AO6"/>
    <mergeCell ref="AP3:AP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O88"/>
  <sheetViews>
    <sheetView showZeros="0" zoomScale="90" zoomScaleNormal="90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DO41" sqref="DO41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9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6.28515625" customWidth="1"/>
    <col min="16" max="16" width="9" customWidth="1"/>
    <col min="17" max="17" width="5.140625" customWidth="1"/>
    <col min="18" max="18" width="8.85546875" customWidth="1"/>
    <col min="19" max="19" width="8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  <col min="116" max="116" width="11.7109375" customWidth="1"/>
  </cols>
  <sheetData>
    <row r="1" spans="1:119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9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30</v>
      </c>
      <c r="AT2" s="321"/>
      <c r="AU2" s="321"/>
      <c r="AV2" s="322"/>
      <c r="AW2" s="321"/>
      <c r="AX2" s="323" t="s">
        <v>237</v>
      </c>
      <c r="AY2" s="323"/>
      <c r="AZ2" s="323"/>
      <c r="BA2" s="323"/>
      <c r="BB2" s="323" t="s">
        <v>107</v>
      </c>
      <c r="BC2" s="324"/>
      <c r="BD2" s="49"/>
      <c r="BL2" s="2"/>
    </row>
    <row r="3" spans="1:119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9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9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9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28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433" t="s">
        <v>94</v>
      </c>
      <c r="BK6" s="434" t="s">
        <v>81</v>
      </c>
      <c r="BL6" s="435" t="s">
        <v>101</v>
      </c>
      <c r="BM6" s="436" t="s">
        <v>104</v>
      </c>
      <c r="BN6" s="435" t="s">
        <v>99</v>
      </c>
      <c r="BO6" s="437" t="s">
        <v>147</v>
      </c>
      <c r="BP6" s="438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99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400" t="s">
        <v>99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99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9" ht="16.5" customHeight="1">
      <c r="A7" s="102">
        <v>1</v>
      </c>
      <c r="B7" s="103">
        <f>BJ7+BM7+BO7</f>
        <v>491.88600020000007</v>
      </c>
      <c r="C7" s="104">
        <f t="shared" ref="C7:C37" si="0">IF(B7=0,0,(BJ7*BR7+BK7*BS7+BM7*BU7+BP7*BX7+BL7*BT7+BO7*BW7+BN7*BV7)/B7)</f>
        <v>1.5799999993575746</v>
      </c>
      <c r="D7" s="105">
        <f t="shared" ref="D7:D37" si="1">B7*((100-C7)/100)</f>
        <v>484.11420140000007</v>
      </c>
      <c r="E7" s="104">
        <f t="shared" ref="E7:E37" si="2">IF(B7=0,0,(BJ7*BY7+BK7*BZ7+BM7*CB7+BP7*CE7+BL7*CA7+BO7*CD7+BN7*CC7)/B7)</f>
        <v>36.879999985004652</v>
      </c>
      <c r="F7" s="103">
        <f t="shared" ref="F7:F37" si="3">IF(AX7=0,0,D7/AX7)</f>
        <v>2.5611797767432019</v>
      </c>
      <c r="G7" s="106"/>
      <c r="H7" s="107">
        <f t="shared" ref="H7:H37" si="4">IF(AX7=0,0,(CV7+CS7+CU7+CP7+CT7)/AX7)</f>
        <v>2.561179777801291</v>
      </c>
      <c r="I7" s="103">
        <f>'[1]сентябрь 20'!AE6</f>
        <v>0</v>
      </c>
      <c r="J7" s="328">
        <f>'[1]апрель 20'!AA6</f>
        <v>15.132</v>
      </c>
      <c r="K7" s="106"/>
      <c r="L7" s="328"/>
      <c r="M7" s="103">
        <f t="shared" ref="M7:M37" si="5">IF(AX7=0,0,(CR7+CQ7)/AX7)</f>
        <v>1.0580890900433816E-9</v>
      </c>
      <c r="N7" s="103">
        <f>'[1]июль 20'!AM6</f>
        <v>0</v>
      </c>
      <c r="O7" s="103">
        <f>'[1]апрель 20'!W6</f>
        <v>0</v>
      </c>
      <c r="P7" s="103">
        <v>279.93</v>
      </c>
      <c r="Q7" s="108">
        <f t="shared" ref="Q7:Q37" si="6">IF(P7=0,0,(1-(T7/P7))*100)</f>
        <v>2.7149643839531223</v>
      </c>
      <c r="R7" s="109">
        <f t="shared" ref="R7:R37" si="7">P7*((100-Q7)/100)</f>
        <v>272.33000020000009</v>
      </c>
      <c r="S7" s="106">
        <v>11.97</v>
      </c>
      <c r="T7" s="109">
        <f t="shared" ref="T7:T37" si="8">CG7+CH7+CJ7+CI7</f>
        <v>272.33000020000003</v>
      </c>
      <c r="U7" s="110">
        <f t="shared" ref="U7:U37" si="9">IF(AX7=0,0,R7/AX7)</f>
        <v>1.4407470119564072</v>
      </c>
      <c r="V7" s="136">
        <f>DK7</f>
        <v>189.02</v>
      </c>
      <c r="W7" s="111">
        <v>176.72</v>
      </c>
      <c r="X7" s="106">
        <v>0.56000000000000005</v>
      </c>
      <c r="Y7" s="112">
        <v>623</v>
      </c>
      <c r="Z7" s="238">
        <v>1231</v>
      </c>
      <c r="AA7" s="113" t="s">
        <v>248</v>
      </c>
      <c r="AB7" s="106">
        <v>77.069999999999993</v>
      </c>
      <c r="AC7" s="112">
        <v>142</v>
      </c>
      <c r="AD7" s="114">
        <v>5</v>
      </c>
      <c r="AE7" s="106">
        <v>2.85</v>
      </c>
      <c r="AF7" s="115">
        <f t="shared" ref="AF7:AF37" si="10">IF(AX7=0,0,AE7/AX7*1000)</f>
        <v>15.077769548195956</v>
      </c>
      <c r="AG7" s="106">
        <v>124.25</v>
      </c>
      <c r="AH7" s="115">
        <f t="shared" ref="AH7:AH37" si="11">IF(AX7=0,0,AG7/AX7*1000)</f>
        <v>657.33784784678858</v>
      </c>
      <c r="AI7" s="106">
        <v>24.78</v>
      </c>
      <c r="AJ7" s="116"/>
      <c r="AK7" s="117">
        <v>18.11</v>
      </c>
      <c r="AL7" s="118">
        <v>54.48</v>
      </c>
      <c r="AM7" s="110">
        <f t="shared" ref="AM7:AM37" si="12">IF(AL7=0,0,AL7/AS7)</f>
        <v>0.2124390719438487</v>
      </c>
      <c r="AN7" s="119" t="s">
        <v>249</v>
      </c>
      <c r="AO7" s="403">
        <v>8.31</v>
      </c>
      <c r="AP7" s="120">
        <v>7.7</v>
      </c>
      <c r="AQ7" s="106"/>
      <c r="AR7" s="106">
        <v>7.31</v>
      </c>
      <c r="AS7" s="425">
        <f>DI7</f>
        <v>256.45</v>
      </c>
      <c r="AT7" s="121">
        <v>5.16</v>
      </c>
      <c r="AU7" s="122"/>
      <c r="AV7" s="123"/>
      <c r="AW7" s="124"/>
      <c r="AX7" s="109">
        <f t="shared" ref="AX7:AX37" si="13">AS7-AL7-AK7+AV7+AT7</f>
        <v>189.02</v>
      </c>
      <c r="AY7" s="115">
        <f>IF(AB7=0,0,((D7*0.97)*(E7/100)*0.9)/(AB7/100))</f>
        <v>202.24026222064654</v>
      </c>
      <c r="AZ7" s="125">
        <f t="shared" ref="AZ7:AZ37" si="14">(AG7*AR7)/100*(55/71)</f>
        <v>7.0358749999999999</v>
      </c>
      <c r="BA7" s="115">
        <f t="shared" ref="BA7:BA23" si="15">AX7*$BA$6</f>
        <v>7.5608000000000004</v>
      </c>
      <c r="BB7" s="103">
        <f t="shared" ref="BB7:BB37" si="16">IF((D7*E7)=0,0,(AX7*AB7)/(D7*E7))</f>
        <v>0.81593278305764483</v>
      </c>
      <c r="BC7" s="115">
        <f t="shared" ref="BC7:BC37" si="17">AZ7+BA7</f>
        <v>14.596675000000001</v>
      </c>
      <c r="BD7" s="126">
        <v>0.81599999999999995</v>
      </c>
      <c r="BE7" s="16">
        <f>AX7</f>
        <v>189.02</v>
      </c>
      <c r="BF7" s="16">
        <f t="shared" ref="BF7:BF38" si="18">IF(A7&lt;=$BD$43,$AS$43,0)</f>
        <v>223.33333333333334</v>
      </c>
      <c r="BG7" s="16">
        <f>BF7</f>
        <v>223.33333333333334</v>
      </c>
      <c r="BH7" s="17">
        <f t="shared" ref="BH7:BH37" si="19">IF(AX7&lt;&gt;0,1,0)</f>
        <v>1</v>
      </c>
      <c r="BI7" s="16">
        <f>BF7*BH7</f>
        <v>223.33333333333334</v>
      </c>
      <c r="BJ7" s="439">
        <f>DM7</f>
        <v>491.88600000000002</v>
      </c>
      <c r="BK7" s="432">
        <v>9.9999999999999995E-8</v>
      </c>
      <c r="BL7" s="336">
        <v>9.9999999999999995E-8</v>
      </c>
      <c r="BM7" s="336">
        <v>9.9999999999999995E-8</v>
      </c>
      <c r="BN7" s="336">
        <v>9.9999999999999995E-8</v>
      </c>
      <c r="BO7" s="336">
        <v>9.9999999999999995E-8</v>
      </c>
      <c r="BP7" s="440">
        <v>9.9999999999999995E-8</v>
      </c>
      <c r="BQ7" s="336">
        <v>9.9999999999999995E-8</v>
      </c>
      <c r="BR7" s="336">
        <v>1.58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36.880000000000003</v>
      </c>
      <c r="BZ7" s="336">
        <v>9.9999999999999995E-8</v>
      </c>
      <c r="CA7" s="336">
        <v>9.9999999999999995E-8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9.9999999999999995E-8</v>
      </c>
      <c r="CH7" s="431">
        <f>DO7</f>
        <v>272.33</v>
      </c>
      <c r="CI7" s="336"/>
      <c r="CJ7" s="336">
        <v>9.9999999999999995E-8</v>
      </c>
      <c r="CK7" s="336">
        <v>9.9999999999999995E-8</v>
      </c>
      <c r="CL7" s="195">
        <v>9.9999999999999995E-8</v>
      </c>
      <c r="CM7" s="248">
        <v>9.9999999999999995E-8</v>
      </c>
      <c r="CN7" s="248">
        <v>9.9999999999999995E-8</v>
      </c>
      <c r="CO7" s="284"/>
      <c r="CP7" s="285">
        <f t="shared" ref="CP7:CV37" si="20">BJ7*((100-BR7)/100)</f>
        <v>484.11420120000002</v>
      </c>
      <c r="CQ7" s="22">
        <f t="shared" si="20"/>
        <v>9.99999999E-8</v>
      </c>
      <c r="CR7" s="22">
        <f t="shared" si="20"/>
        <v>9.99999999E-8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272.32999972766999</v>
      </c>
      <c r="CY7" s="21">
        <f t="shared" si="21"/>
        <v>0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314">
        <v>244.15</v>
      </c>
      <c r="DI7" s="411">
        <f>DH7+12.3</f>
        <v>256.45</v>
      </c>
      <c r="DJ7" s="136">
        <v>176.72</v>
      </c>
      <c r="DK7" s="411">
        <f>DJ7+12.3</f>
        <v>189.02</v>
      </c>
      <c r="DL7" s="336">
        <v>425.88600000000002</v>
      </c>
      <c r="DM7" s="247">
        <f>DL7+66</f>
        <v>491.88600000000002</v>
      </c>
      <c r="DN7" s="336">
        <v>245.23</v>
      </c>
      <c r="DO7" s="247">
        <f>DN7+27.1</f>
        <v>272.33</v>
      </c>
    </row>
    <row r="8" spans="1:119" ht="16.5" customHeight="1">
      <c r="A8" s="127">
        <v>2</v>
      </c>
      <c r="B8" s="103">
        <f t="shared" ref="B8:B36" si="24">BJ8+BM8+BO8</f>
        <v>519.51700000000005</v>
      </c>
      <c r="C8" s="104">
        <f t="shared" si="0"/>
        <v>2.5499655834169044</v>
      </c>
      <c r="D8" s="105">
        <f t="shared" si="1"/>
        <v>506.26949530000007</v>
      </c>
      <c r="E8" s="104">
        <f t="shared" si="2"/>
        <v>37.460466760471739</v>
      </c>
      <c r="F8" s="128">
        <f t="shared" si="3"/>
        <v>2.497629478539714</v>
      </c>
      <c r="G8" s="106"/>
      <c r="H8" s="107">
        <f t="shared" si="4"/>
        <v>2.497629478539714</v>
      </c>
      <c r="I8" s="103">
        <f>'[1]сентябрь 20'!AE7</f>
        <v>0</v>
      </c>
      <c r="J8" s="328">
        <f>'[1]апрель 20'!AA7</f>
        <v>4.7960000000000003</v>
      </c>
      <c r="K8" s="106"/>
      <c r="L8" s="328"/>
      <c r="M8" s="103">
        <f t="shared" si="5"/>
        <v>0</v>
      </c>
      <c r="N8" s="103">
        <f>'[1]июль 20'!AM7</f>
        <v>0</v>
      </c>
      <c r="O8" s="103">
        <f>'[1]апрель 20'!W7</f>
        <v>0</v>
      </c>
      <c r="P8" s="103">
        <v>296.7</v>
      </c>
      <c r="Q8" s="108">
        <f t="shared" si="6"/>
        <v>2.6525109538253933</v>
      </c>
      <c r="R8" s="109">
        <f t="shared" si="7"/>
        <v>288.83000000000004</v>
      </c>
      <c r="S8" s="106">
        <v>15.13</v>
      </c>
      <c r="T8" s="109">
        <f t="shared" si="8"/>
        <v>288.83000000000004</v>
      </c>
      <c r="U8" s="110">
        <f t="shared" si="9"/>
        <v>1.4249136655155403</v>
      </c>
      <c r="V8" s="136">
        <f t="shared" ref="V8:V36" si="25">DK8</f>
        <v>164.07000000000002</v>
      </c>
      <c r="W8" s="130">
        <v>35.93</v>
      </c>
      <c r="X8" s="131">
        <v>1.22</v>
      </c>
      <c r="Y8" s="112">
        <v>620</v>
      </c>
      <c r="Z8" s="112">
        <v>1228</v>
      </c>
      <c r="AA8" s="132" t="s">
        <v>129</v>
      </c>
      <c r="AB8" s="131">
        <v>76.33</v>
      </c>
      <c r="AC8" s="133">
        <v>151</v>
      </c>
      <c r="AD8" s="134">
        <v>5</v>
      </c>
      <c r="AE8" s="131">
        <v>4.1500000000000004</v>
      </c>
      <c r="AF8" s="115">
        <f t="shared" si="10"/>
        <v>20.473606314750864</v>
      </c>
      <c r="AG8" s="131">
        <v>104.05</v>
      </c>
      <c r="AH8" s="115">
        <f t="shared" si="11"/>
        <v>513.32017760236795</v>
      </c>
      <c r="AI8" s="131">
        <v>27.33</v>
      </c>
      <c r="AJ8" s="116"/>
      <c r="AK8" s="135">
        <v>11.89</v>
      </c>
      <c r="AL8" s="136">
        <v>55.26</v>
      </c>
      <c r="AM8" s="110">
        <f t="shared" si="12"/>
        <v>0.20935783292290205</v>
      </c>
      <c r="AN8" s="137" t="s">
        <v>250</v>
      </c>
      <c r="AO8" s="150">
        <v>9.02</v>
      </c>
      <c r="AP8" s="138">
        <v>7.51</v>
      </c>
      <c r="AQ8" s="131"/>
      <c r="AR8" s="139">
        <v>6.02</v>
      </c>
      <c r="AS8" s="427">
        <f t="shared" ref="AS8:AS36" si="26">DI8</f>
        <v>263.95</v>
      </c>
      <c r="AT8" s="116">
        <v>5.9</v>
      </c>
      <c r="AU8" s="116"/>
      <c r="AV8" s="131"/>
      <c r="AW8" s="109"/>
      <c r="AX8" s="109">
        <f t="shared" si="13"/>
        <v>202.70000000000002</v>
      </c>
      <c r="AY8" s="115">
        <f t="shared" ref="AY8:AY37" si="27">IF(AB8=0,0,((D8*0.97)*(E8/100)*0.9)/(AB8/100))</f>
        <v>216.90717892387786</v>
      </c>
      <c r="AZ8" s="140">
        <f t="shared" si="14"/>
        <v>4.8522471830985907</v>
      </c>
      <c r="BA8" s="141">
        <f t="shared" si="15"/>
        <v>8.1080000000000005</v>
      </c>
      <c r="BB8" s="128">
        <f t="shared" si="16"/>
        <v>0.81581947115776166</v>
      </c>
      <c r="BC8" s="141">
        <f t="shared" si="17"/>
        <v>12.960247183098591</v>
      </c>
      <c r="BD8" s="142">
        <v>0.81599999999999995</v>
      </c>
      <c r="BE8" s="16">
        <f t="shared" ref="BE8:BE37" si="28">BE7+AX8</f>
        <v>391.72</v>
      </c>
      <c r="BF8" s="16">
        <f t="shared" si="18"/>
        <v>223.33333333333334</v>
      </c>
      <c r="BG8" s="16">
        <f t="shared" ref="BG8:BG37" si="29">BF8+BG7</f>
        <v>446.66666666666669</v>
      </c>
      <c r="BH8" s="17">
        <f t="shared" si="19"/>
        <v>1</v>
      </c>
      <c r="BI8" s="16">
        <f t="shared" ref="BI8:BI37" si="30">BI7+BF8*BH8</f>
        <v>446.66666666666669</v>
      </c>
      <c r="BJ8" s="441">
        <f t="shared" ref="BJ8:BJ36" si="31">DM8</f>
        <v>471.59800000000001</v>
      </c>
      <c r="BK8" s="244"/>
      <c r="BL8" s="197"/>
      <c r="BM8" s="197">
        <v>47.918999999999997</v>
      </c>
      <c r="BN8" s="230"/>
      <c r="BO8" s="230"/>
      <c r="BP8" s="250"/>
      <c r="BQ8" s="199"/>
      <c r="BR8" s="200">
        <v>1.29</v>
      </c>
      <c r="BS8" s="200"/>
      <c r="BT8" s="200"/>
      <c r="BU8" s="200">
        <v>14.95</v>
      </c>
      <c r="BV8" s="208"/>
      <c r="BW8" s="208"/>
      <c r="BX8" s="198"/>
      <c r="BY8" s="202">
        <v>36.86</v>
      </c>
      <c r="BZ8" s="200"/>
      <c r="CA8" s="200"/>
      <c r="CB8" s="200">
        <v>43.37</v>
      </c>
      <c r="CC8" s="197"/>
      <c r="CD8" s="197"/>
      <c r="CE8" s="197"/>
      <c r="CF8" s="203"/>
      <c r="CG8" s="443"/>
      <c r="CH8" s="266">
        <f t="shared" ref="CH8:CH26" si="32">DO8</f>
        <v>288.83000000000004</v>
      </c>
      <c r="CI8" s="196"/>
      <c r="CJ8" s="198"/>
      <c r="CK8" s="205"/>
      <c r="CL8" s="206"/>
      <c r="CM8" s="269"/>
      <c r="CN8" s="207"/>
      <c r="CO8" s="284"/>
      <c r="CP8" s="286">
        <f t="shared" si="20"/>
        <v>465.51438580000001</v>
      </c>
      <c r="CQ8" s="24">
        <f t="shared" si="20"/>
        <v>0</v>
      </c>
      <c r="CR8" s="25">
        <f t="shared" si="20"/>
        <v>0</v>
      </c>
      <c r="CS8" s="24">
        <f t="shared" si="20"/>
        <v>40.755109499999996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0</v>
      </c>
      <c r="CX8" s="26">
        <f t="shared" si="21"/>
        <v>288.83000000000004</v>
      </c>
      <c r="CY8" s="277">
        <f t="shared" si="21"/>
        <v>0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33">IF(I8=0,0,(DE8*DD8%)/(AB8/100))</f>
        <v>0</v>
      </c>
      <c r="DH8" s="315">
        <v>251.65</v>
      </c>
      <c r="DI8" s="411">
        <f t="shared" ref="DI8:DI35" si="34">DH8+12.3</f>
        <v>263.95</v>
      </c>
      <c r="DJ8" s="136">
        <v>151.77000000000001</v>
      </c>
      <c r="DK8" s="411">
        <f t="shared" ref="DK8:DK35" si="35">DJ8+12.3</f>
        <v>164.07000000000002</v>
      </c>
      <c r="DL8" s="249">
        <v>405.59800000000001</v>
      </c>
      <c r="DM8" s="247">
        <f t="shared" ref="DM8:DM35" si="36">DL8+66</f>
        <v>471.59800000000001</v>
      </c>
      <c r="DN8" s="197">
        <v>261.73</v>
      </c>
      <c r="DO8" s="247">
        <f t="shared" ref="DO8:DO28" si="37">DN8+27.1</f>
        <v>288.83000000000004</v>
      </c>
    </row>
    <row r="9" spans="1:119" ht="16.5" customHeight="1">
      <c r="A9" s="127">
        <v>3</v>
      </c>
      <c r="B9" s="103">
        <f t="shared" si="24"/>
        <v>498.29899999999998</v>
      </c>
      <c r="C9" s="104">
        <f t="shared" si="0"/>
        <v>3.7427752614394172</v>
      </c>
      <c r="D9" s="143">
        <f t="shared" si="1"/>
        <v>479.64878829999992</v>
      </c>
      <c r="E9" s="104">
        <f t="shared" si="2"/>
        <v>36.933797479023646</v>
      </c>
      <c r="F9" s="128">
        <f t="shared" si="3"/>
        <v>2.1873804647026627</v>
      </c>
      <c r="G9" s="106"/>
      <c r="H9" s="107">
        <f t="shared" si="4"/>
        <v>2.1873804647026636</v>
      </c>
      <c r="I9" s="103">
        <f>'[1]сентябрь 20'!AE8</f>
        <v>0</v>
      </c>
      <c r="J9" s="328">
        <f>'[1]апрель 20'!AA8</f>
        <v>4.7880000000000003</v>
      </c>
      <c r="K9" s="106"/>
      <c r="L9" s="328"/>
      <c r="M9" s="103">
        <f t="shared" si="5"/>
        <v>0</v>
      </c>
      <c r="N9" s="103">
        <f>'[1]июль 20'!AM8</f>
        <v>0</v>
      </c>
      <c r="O9" s="103">
        <f>'[1]апрель 20'!W8</f>
        <v>0</v>
      </c>
      <c r="P9" s="103">
        <v>283.89999999999998</v>
      </c>
      <c r="Q9" s="108">
        <f t="shared" si="6"/>
        <v>2.7051778795350256</v>
      </c>
      <c r="R9" s="109">
        <f t="shared" si="7"/>
        <v>276.22000000000003</v>
      </c>
      <c r="S9" s="106">
        <v>14.35</v>
      </c>
      <c r="T9" s="109">
        <f t="shared" si="8"/>
        <v>276.22000000000003</v>
      </c>
      <c r="U9" s="110">
        <f t="shared" si="9"/>
        <v>1.2596680043779644</v>
      </c>
      <c r="V9" s="136">
        <f t="shared" si="25"/>
        <v>0</v>
      </c>
      <c r="W9" s="130">
        <v>81.86</v>
      </c>
      <c r="X9" s="131">
        <v>1.23</v>
      </c>
      <c r="Y9" s="112">
        <v>687</v>
      </c>
      <c r="Z9" s="112">
        <v>1233</v>
      </c>
      <c r="AA9" s="144" t="s">
        <v>251</v>
      </c>
      <c r="AB9" s="131">
        <v>72.12</v>
      </c>
      <c r="AC9" s="133">
        <v>144</v>
      </c>
      <c r="AD9" s="134">
        <v>5</v>
      </c>
      <c r="AE9" s="131">
        <v>2.2999999999999998</v>
      </c>
      <c r="AF9" s="115">
        <f t="shared" si="10"/>
        <v>10.488872674206492</v>
      </c>
      <c r="AG9" s="131">
        <v>105.7</v>
      </c>
      <c r="AH9" s="115">
        <f t="shared" si="11"/>
        <v>482.03210507114193</v>
      </c>
      <c r="AI9" s="131">
        <v>28.06</v>
      </c>
      <c r="AJ9" s="116"/>
      <c r="AK9" s="135">
        <v>9.83</v>
      </c>
      <c r="AL9" s="136">
        <v>53.15</v>
      </c>
      <c r="AM9" s="110">
        <f t="shared" si="12"/>
        <v>0.19080954945252199</v>
      </c>
      <c r="AN9" s="137" t="s">
        <v>113</v>
      </c>
      <c r="AO9" s="150">
        <v>11.76</v>
      </c>
      <c r="AP9" s="131">
        <v>7.27</v>
      </c>
      <c r="AQ9" s="131"/>
      <c r="AR9" s="139">
        <v>6.43</v>
      </c>
      <c r="AS9" s="427">
        <f t="shared" si="26"/>
        <v>278.55</v>
      </c>
      <c r="AT9" s="116">
        <v>3.71</v>
      </c>
      <c r="AU9" s="116"/>
      <c r="AV9" s="131"/>
      <c r="AW9" s="109"/>
      <c r="AX9" s="109">
        <f t="shared" si="13"/>
        <v>219.28</v>
      </c>
      <c r="AY9" s="115">
        <f t="shared" si="27"/>
        <v>214.44002086381875</v>
      </c>
      <c r="AZ9" s="140">
        <f t="shared" si="14"/>
        <v>5.2649021126760562</v>
      </c>
      <c r="BA9" s="141">
        <f t="shared" si="15"/>
        <v>8.7712000000000003</v>
      </c>
      <c r="BB9" s="128">
        <f t="shared" si="16"/>
        <v>0.89270388628421882</v>
      </c>
      <c r="BC9" s="141">
        <f t="shared" si="17"/>
        <v>14.036102112676057</v>
      </c>
      <c r="BD9" s="142">
        <v>0.84099999999999997</v>
      </c>
      <c r="BE9" s="16">
        <f t="shared" si="28"/>
        <v>611</v>
      </c>
      <c r="BF9" s="16">
        <f t="shared" si="18"/>
        <v>223.33333333333334</v>
      </c>
      <c r="BG9" s="16">
        <f t="shared" si="29"/>
        <v>670</v>
      </c>
      <c r="BH9" s="17">
        <f t="shared" si="19"/>
        <v>1</v>
      </c>
      <c r="BI9" s="16">
        <f t="shared" si="30"/>
        <v>670</v>
      </c>
      <c r="BJ9" s="441">
        <f t="shared" si="31"/>
        <v>466.15600000000001</v>
      </c>
      <c r="BK9" s="244"/>
      <c r="BL9" s="197"/>
      <c r="BM9" s="197">
        <v>32.143000000000001</v>
      </c>
      <c r="BN9" s="230"/>
      <c r="BO9" s="230"/>
      <c r="BP9" s="250"/>
      <c r="BQ9" s="199"/>
      <c r="BR9" s="200">
        <v>2.97</v>
      </c>
      <c r="BS9" s="200"/>
      <c r="BT9" s="200"/>
      <c r="BU9" s="200">
        <v>14.95</v>
      </c>
      <c r="BV9" s="208"/>
      <c r="BW9" s="208"/>
      <c r="BX9" s="201"/>
      <c r="BY9" s="202">
        <v>36.49</v>
      </c>
      <c r="BZ9" s="200"/>
      <c r="CA9" s="200"/>
      <c r="CB9" s="200">
        <v>43.37</v>
      </c>
      <c r="CC9" s="200"/>
      <c r="CD9" s="200"/>
      <c r="CE9" s="200"/>
      <c r="CF9" s="203"/>
      <c r="CG9" s="443"/>
      <c r="CH9" s="266">
        <f t="shared" si="32"/>
        <v>276.22000000000003</v>
      </c>
      <c r="CI9" s="196"/>
      <c r="CJ9" s="198"/>
      <c r="CK9" s="202"/>
      <c r="CL9" s="208"/>
      <c r="CM9" s="208"/>
      <c r="CN9" s="201"/>
      <c r="CO9" s="284"/>
      <c r="CP9" s="286">
        <f t="shared" si="20"/>
        <v>452.31116680000002</v>
      </c>
      <c r="CQ9" s="27">
        <f t="shared" si="20"/>
        <v>0</v>
      </c>
      <c r="CR9" s="28">
        <f t="shared" si="20"/>
        <v>0</v>
      </c>
      <c r="CS9" s="27">
        <f t="shared" si="20"/>
        <v>27.337621499999997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0</v>
      </c>
      <c r="CX9" s="26">
        <f t="shared" si="21"/>
        <v>276.22000000000003</v>
      </c>
      <c r="CY9" s="277">
        <f t="shared" si="21"/>
        <v>0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33"/>
        <v>0</v>
      </c>
      <c r="DH9" s="315">
        <v>266.25</v>
      </c>
      <c r="DI9" s="411">
        <f t="shared" si="34"/>
        <v>278.55</v>
      </c>
      <c r="DJ9" s="136"/>
      <c r="DK9" s="411"/>
      <c r="DL9" s="249">
        <v>400.15600000000001</v>
      </c>
      <c r="DM9" s="247">
        <f t="shared" si="36"/>
        <v>466.15600000000001</v>
      </c>
      <c r="DN9" s="197">
        <v>249.12</v>
      </c>
      <c r="DO9" s="247">
        <f t="shared" si="37"/>
        <v>276.22000000000003</v>
      </c>
    </row>
    <row r="10" spans="1:119" ht="16.5" customHeight="1">
      <c r="A10" s="127">
        <v>4</v>
      </c>
      <c r="B10" s="103">
        <f t="shared" si="24"/>
        <v>563.75199999999995</v>
      </c>
      <c r="C10" s="104">
        <f t="shared" si="0"/>
        <v>2</v>
      </c>
      <c r="D10" s="143">
        <f t="shared" si="1"/>
        <v>552.47695999999996</v>
      </c>
      <c r="E10" s="104">
        <f t="shared" si="2"/>
        <v>36.979999999999997</v>
      </c>
      <c r="F10" s="128">
        <f t="shared" si="3"/>
        <v>2.2877840076193627</v>
      </c>
      <c r="G10" s="106"/>
      <c r="H10" s="107">
        <f t="shared" si="4"/>
        <v>2.2877840076193627</v>
      </c>
      <c r="I10" s="103">
        <f>'[1]сентябрь 20'!AE9</f>
        <v>0</v>
      </c>
      <c r="J10" s="328">
        <f>'[1]апрель 20'!AA9</f>
        <v>19.533000000000001</v>
      </c>
      <c r="K10" s="106"/>
      <c r="L10" s="328"/>
      <c r="M10" s="103">
        <f t="shared" si="5"/>
        <v>0</v>
      </c>
      <c r="N10" s="103">
        <f>'[1]июль 20'!AM9</f>
        <v>0</v>
      </c>
      <c r="O10" s="103">
        <f>'[1]апрель 20'!W9</f>
        <v>0</v>
      </c>
      <c r="P10" s="103">
        <v>321.05</v>
      </c>
      <c r="Q10" s="108">
        <f t="shared" si="6"/>
        <v>2.1336240460987255</v>
      </c>
      <c r="R10" s="109">
        <f t="shared" si="7"/>
        <v>314.20000000000005</v>
      </c>
      <c r="S10" s="106"/>
      <c r="T10" s="109">
        <f t="shared" si="8"/>
        <v>314.20000000000005</v>
      </c>
      <c r="U10" s="110">
        <f t="shared" si="9"/>
        <v>1.3010890720112636</v>
      </c>
      <c r="V10" s="136">
        <f t="shared" si="25"/>
        <v>195.51000000000002</v>
      </c>
      <c r="W10" s="130">
        <v>187.21</v>
      </c>
      <c r="X10" s="131">
        <v>0.81</v>
      </c>
      <c r="Y10" s="112">
        <v>638</v>
      </c>
      <c r="Z10" s="112">
        <v>1239</v>
      </c>
      <c r="AA10" s="144" t="s">
        <v>109</v>
      </c>
      <c r="AB10" s="131">
        <v>76.31</v>
      </c>
      <c r="AC10" s="133">
        <v>166</v>
      </c>
      <c r="AD10" s="134">
        <v>5</v>
      </c>
      <c r="AE10" s="131">
        <v>1.75</v>
      </c>
      <c r="AF10" s="115">
        <f t="shared" si="10"/>
        <v>7.24667688103027</v>
      </c>
      <c r="AG10" s="131">
        <v>138.44999999999999</v>
      </c>
      <c r="AH10" s="115">
        <f t="shared" si="11"/>
        <v>573.31566524493758</v>
      </c>
      <c r="AI10" s="131">
        <v>22.46</v>
      </c>
      <c r="AJ10" s="116"/>
      <c r="AK10" s="135">
        <v>10.6</v>
      </c>
      <c r="AL10" s="136">
        <v>61.36</v>
      </c>
      <c r="AM10" s="110">
        <f t="shared" si="12"/>
        <v>0.19787165430506287</v>
      </c>
      <c r="AN10" s="137" t="s">
        <v>113</v>
      </c>
      <c r="AO10" s="150">
        <v>9.76</v>
      </c>
      <c r="AP10" s="138">
        <v>7.96</v>
      </c>
      <c r="AQ10" s="131"/>
      <c r="AR10" s="139">
        <v>5.74</v>
      </c>
      <c r="AS10" s="427">
        <f t="shared" si="26"/>
        <v>310.10000000000002</v>
      </c>
      <c r="AT10" s="116">
        <v>3.35</v>
      </c>
      <c r="AU10" s="116"/>
      <c r="AV10" s="131"/>
      <c r="AW10" s="109"/>
      <c r="AX10" s="109">
        <f t="shared" si="13"/>
        <v>241.49</v>
      </c>
      <c r="AY10" s="115">
        <f>IF(AB10=0,0,((D10*0.97)*(E10/100)*0.9)/(AB10/100))</f>
        <v>233.72968205003798</v>
      </c>
      <c r="AZ10" s="140">
        <f t="shared" si="14"/>
        <v>6.1561499999999993</v>
      </c>
      <c r="BA10" s="141">
        <f t="shared" si="15"/>
        <v>9.6596000000000011</v>
      </c>
      <c r="BB10" s="128">
        <f t="shared" si="16"/>
        <v>0.90198543955091892</v>
      </c>
      <c r="BC10" s="141">
        <f t="shared" si="17"/>
        <v>15.815750000000001</v>
      </c>
      <c r="BD10" s="142">
        <v>0.85699999999999998</v>
      </c>
      <c r="BE10" s="16">
        <f t="shared" si="28"/>
        <v>852.49</v>
      </c>
      <c r="BF10" s="16">
        <f t="shared" si="18"/>
        <v>223.33333333333334</v>
      </c>
      <c r="BG10" s="16">
        <f t="shared" si="29"/>
        <v>893.33333333333337</v>
      </c>
      <c r="BH10" s="17">
        <f t="shared" si="19"/>
        <v>1</v>
      </c>
      <c r="BI10" s="16">
        <f t="shared" si="30"/>
        <v>893.33333333333337</v>
      </c>
      <c r="BJ10" s="441">
        <f t="shared" si="31"/>
        <v>563.75199999999995</v>
      </c>
      <c r="BK10" s="244"/>
      <c r="BL10" s="197"/>
      <c r="BM10" s="195"/>
      <c r="BN10" s="195"/>
      <c r="BO10" s="230"/>
      <c r="BP10" s="250"/>
      <c r="BQ10" s="199"/>
      <c r="BR10" s="200">
        <v>2</v>
      </c>
      <c r="BS10" s="200"/>
      <c r="BT10" s="200"/>
      <c r="BU10" s="200"/>
      <c r="BV10" s="208"/>
      <c r="BW10" s="208"/>
      <c r="BX10" s="201"/>
      <c r="BY10" s="202">
        <v>36.979999999999997</v>
      </c>
      <c r="BZ10" s="200"/>
      <c r="CA10" s="200"/>
      <c r="CB10" s="200"/>
      <c r="CC10" s="200"/>
      <c r="CD10" s="200"/>
      <c r="CE10" s="200"/>
      <c r="CF10" s="203"/>
      <c r="CG10" s="443"/>
      <c r="CH10" s="266">
        <f t="shared" si="32"/>
        <v>314.20000000000005</v>
      </c>
      <c r="CI10" s="196"/>
      <c r="CJ10" s="198"/>
      <c r="CK10" s="202"/>
      <c r="CL10" s="208"/>
      <c r="CM10" s="208"/>
      <c r="CN10" s="201"/>
      <c r="CO10" s="284"/>
      <c r="CP10" s="286">
        <f t="shared" si="20"/>
        <v>552.47695999999996</v>
      </c>
      <c r="CQ10" s="29">
        <f t="shared" si="20"/>
        <v>0</v>
      </c>
      <c r="CR10" s="30">
        <f t="shared" si="20"/>
        <v>0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0</v>
      </c>
      <c r="CX10" s="26">
        <f t="shared" si="21"/>
        <v>314.20000000000005</v>
      </c>
      <c r="CY10" s="277">
        <f t="shared" si="21"/>
        <v>0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33"/>
        <v>0</v>
      </c>
      <c r="DH10" s="315">
        <v>297.8</v>
      </c>
      <c r="DI10" s="411">
        <f t="shared" si="34"/>
        <v>310.10000000000002</v>
      </c>
      <c r="DJ10" s="136">
        <v>183.21</v>
      </c>
      <c r="DK10" s="411">
        <f t="shared" si="35"/>
        <v>195.51000000000002</v>
      </c>
      <c r="DL10" s="249">
        <v>497.75200000000001</v>
      </c>
      <c r="DM10" s="247">
        <f t="shared" si="36"/>
        <v>563.75199999999995</v>
      </c>
      <c r="DN10" s="197">
        <v>287.10000000000002</v>
      </c>
      <c r="DO10" s="247">
        <f t="shared" si="37"/>
        <v>314.20000000000005</v>
      </c>
    </row>
    <row r="11" spans="1:119" ht="16.5" customHeight="1">
      <c r="A11" s="127">
        <v>5</v>
      </c>
      <c r="B11" s="103">
        <f t="shared" si="24"/>
        <v>570.52499999999998</v>
      </c>
      <c r="C11" s="104">
        <f t="shared" si="0"/>
        <v>1.7</v>
      </c>
      <c r="D11" s="143">
        <f t="shared" si="1"/>
        <v>560.82607499999995</v>
      </c>
      <c r="E11" s="104">
        <f t="shared" si="2"/>
        <v>36.869999999999997</v>
      </c>
      <c r="F11" s="128">
        <f t="shared" si="3"/>
        <v>2.4003855290190028</v>
      </c>
      <c r="G11" s="106"/>
      <c r="H11" s="107">
        <f>IF(AX11=0,0,(CV11+CS11+CU11+CP11+CT11)/AX11)</f>
        <v>2.4003855290190028</v>
      </c>
      <c r="I11" s="103">
        <f>'[1]сентябрь 20'!AE10</f>
        <v>0</v>
      </c>
      <c r="J11" s="328">
        <f>'[1]апрель 20'!AA10</f>
        <v>19.323</v>
      </c>
      <c r="K11" s="106"/>
      <c r="L11" s="328"/>
      <c r="M11" s="103">
        <f t="shared" si="5"/>
        <v>0</v>
      </c>
      <c r="N11" s="103">
        <f>'[1]июль 20'!AM10</f>
        <v>0</v>
      </c>
      <c r="O11" s="103">
        <f>'[1]апрель 20'!W10</f>
        <v>0</v>
      </c>
      <c r="P11" s="103">
        <v>327.23</v>
      </c>
      <c r="Q11" s="108">
        <f t="shared" si="6"/>
        <v>2.7503590746569717</v>
      </c>
      <c r="R11" s="109">
        <f t="shared" si="7"/>
        <v>318.23</v>
      </c>
      <c r="S11" s="106">
        <v>15.54</v>
      </c>
      <c r="T11" s="109">
        <f t="shared" si="8"/>
        <v>318.23</v>
      </c>
      <c r="U11" s="110">
        <f t="shared" si="9"/>
        <v>1.3620527306967982</v>
      </c>
      <c r="V11" s="136">
        <f t="shared" si="25"/>
        <v>233.64000000000001</v>
      </c>
      <c r="W11" s="130">
        <v>221.34</v>
      </c>
      <c r="X11" s="131">
        <v>0.47</v>
      </c>
      <c r="Y11" s="112">
        <v>649</v>
      </c>
      <c r="Z11" s="112">
        <v>1226</v>
      </c>
      <c r="AA11" s="144" t="s">
        <v>144</v>
      </c>
      <c r="AB11" s="131">
        <v>76.08</v>
      </c>
      <c r="AC11" s="133">
        <v>168</v>
      </c>
      <c r="AD11" s="134">
        <v>5</v>
      </c>
      <c r="AE11" s="131">
        <v>2.1</v>
      </c>
      <c r="AF11" s="115">
        <f t="shared" si="10"/>
        <v>8.9881869542886488</v>
      </c>
      <c r="AG11" s="131">
        <v>152.94999999999999</v>
      </c>
      <c r="AH11" s="115">
        <f t="shared" si="11"/>
        <v>654.63961650402314</v>
      </c>
      <c r="AI11" s="131">
        <v>26.05</v>
      </c>
      <c r="AJ11" s="116"/>
      <c r="AK11" s="135">
        <v>11.63</v>
      </c>
      <c r="AL11" s="136">
        <v>54.32</v>
      </c>
      <c r="AM11" s="110">
        <f t="shared" si="12"/>
        <v>0.18342056390342729</v>
      </c>
      <c r="AN11" s="137" t="s">
        <v>202</v>
      </c>
      <c r="AO11" s="150">
        <v>8.17</v>
      </c>
      <c r="AP11" s="138">
        <v>7.34</v>
      </c>
      <c r="AQ11" s="131"/>
      <c r="AR11" s="139">
        <v>7.49</v>
      </c>
      <c r="AS11" s="427">
        <f t="shared" si="26"/>
        <v>296.15000000000003</v>
      </c>
      <c r="AT11" s="116">
        <v>3.44</v>
      </c>
      <c r="AU11" s="145"/>
      <c r="AV11" s="131"/>
      <c r="AW11" s="109"/>
      <c r="AX11" s="109">
        <f t="shared" si="13"/>
        <v>233.64000000000004</v>
      </c>
      <c r="AY11" s="115">
        <f t="shared" si="27"/>
        <v>237.2712263055106</v>
      </c>
      <c r="AZ11" s="140">
        <f t="shared" si="14"/>
        <v>8.8743313380281688</v>
      </c>
      <c r="BA11" s="141">
        <f t="shared" si="15"/>
        <v>9.3456000000000028</v>
      </c>
      <c r="BB11" s="128">
        <f t="shared" si="16"/>
        <v>0.85963950697237534</v>
      </c>
      <c r="BC11" s="141">
        <f t="shared" si="17"/>
        <v>18.219931338028172</v>
      </c>
      <c r="BD11" s="142">
        <v>0.85799999999999998</v>
      </c>
      <c r="BE11" s="16">
        <f t="shared" si="28"/>
        <v>1086.1300000000001</v>
      </c>
      <c r="BF11" s="16">
        <f t="shared" si="18"/>
        <v>223.33333333333334</v>
      </c>
      <c r="BG11" s="16">
        <f t="shared" si="29"/>
        <v>1116.6666666666667</v>
      </c>
      <c r="BH11" s="17">
        <f t="shared" si="19"/>
        <v>1</v>
      </c>
      <c r="BI11" s="16">
        <f t="shared" si="30"/>
        <v>1116.6666666666667</v>
      </c>
      <c r="BJ11" s="441">
        <f t="shared" si="31"/>
        <v>570.52499999999998</v>
      </c>
      <c r="BK11" s="244"/>
      <c r="BL11" s="197"/>
      <c r="BM11" s="197"/>
      <c r="BN11" s="230"/>
      <c r="BO11" s="230"/>
      <c r="BP11" s="250"/>
      <c r="BQ11" s="199"/>
      <c r="BR11" s="200">
        <v>1.7</v>
      </c>
      <c r="BS11" s="200"/>
      <c r="BT11" s="200"/>
      <c r="BU11" s="200"/>
      <c r="BV11" s="208"/>
      <c r="BW11" s="208"/>
      <c r="BX11" s="201"/>
      <c r="BY11" s="202">
        <v>36.869999999999997</v>
      </c>
      <c r="BZ11" s="200"/>
      <c r="CA11" s="200"/>
      <c r="CB11" s="200"/>
      <c r="CC11" s="200"/>
      <c r="CD11" s="200"/>
      <c r="CE11" s="200"/>
      <c r="CF11" s="203"/>
      <c r="CG11" s="443"/>
      <c r="CH11" s="266">
        <f t="shared" si="32"/>
        <v>318.23</v>
      </c>
      <c r="CI11" s="313"/>
      <c r="CJ11" s="198"/>
      <c r="CK11" s="202"/>
      <c r="CL11" s="208"/>
      <c r="CM11" s="208"/>
      <c r="CN11" s="201"/>
      <c r="CO11" s="284"/>
      <c r="CP11" s="286">
        <f t="shared" si="20"/>
        <v>560.82607499999995</v>
      </c>
      <c r="CQ11" s="24">
        <f t="shared" si="20"/>
        <v>0</v>
      </c>
      <c r="CR11" s="25">
        <f t="shared" si="20"/>
        <v>0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0</v>
      </c>
      <c r="CX11" s="26">
        <f t="shared" si="21"/>
        <v>318.23</v>
      </c>
      <c r="CY11" s="277">
        <f t="shared" si="21"/>
        <v>0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33"/>
        <v>0</v>
      </c>
      <c r="DH11" s="315">
        <v>283.85000000000002</v>
      </c>
      <c r="DI11" s="411">
        <f t="shared" si="34"/>
        <v>296.15000000000003</v>
      </c>
      <c r="DJ11" s="136">
        <v>221.34</v>
      </c>
      <c r="DK11" s="411">
        <f t="shared" si="35"/>
        <v>233.64000000000001</v>
      </c>
      <c r="DL11" s="249">
        <v>504.52499999999998</v>
      </c>
      <c r="DM11" s="247">
        <f t="shared" si="36"/>
        <v>570.52499999999998</v>
      </c>
      <c r="DN11" s="230">
        <v>291.13</v>
      </c>
      <c r="DO11" s="247">
        <f t="shared" si="37"/>
        <v>318.23</v>
      </c>
    </row>
    <row r="12" spans="1:119" ht="16.5" customHeight="1">
      <c r="A12" s="127">
        <v>6</v>
      </c>
      <c r="B12" s="103">
        <f t="shared" si="24"/>
        <v>569.83600000000001</v>
      </c>
      <c r="C12" s="104">
        <f t="shared" si="0"/>
        <v>2.09</v>
      </c>
      <c r="D12" s="143">
        <f t="shared" si="1"/>
        <v>557.92642760000001</v>
      </c>
      <c r="E12" s="104">
        <f t="shared" si="2"/>
        <v>36.76</v>
      </c>
      <c r="F12" s="128">
        <f t="shared" si="3"/>
        <v>2.2982634190146647</v>
      </c>
      <c r="G12" s="106"/>
      <c r="H12" s="107">
        <f t="shared" si="4"/>
        <v>2.2982634190146647</v>
      </c>
      <c r="I12" s="103">
        <f>'[1]сентябрь 20'!AE11</f>
        <v>0</v>
      </c>
      <c r="J12" s="328">
        <f>'[1]апрель 20'!AA11</f>
        <v>20.012</v>
      </c>
      <c r="K12" s="106"/>
      <c r="L12" s="328"/>
      <c r="M12" s="103">
        <f t="shared" si="5"/>
        <v>0</v>
      </c>
      <c r="N12" s="103">
        <f>'[1]июль 20'!AM11</f>
        <v>0</v>
      </c>
      <c r="O12" s="103">
        <f>'[1]апрель 20'!W11</f>
        <v>0</v>
      </c>
      <c r="P12" s="103">
        <v>329.5</v>
      </c>
      <c r="Q12" s="108">
        <f t="shared" si="6"/>
        <v>2.9256449165402043</v>
      </c>
      <c r="R12" s="109">
        <f t="shared" si="7"/>
        <v>319.86</v>
      </c>
      <c r="S12" s="106">
        <v>38.25</v>
      </c>
      <c r="T12" s="109">
        <f t="shared" si="8"/>
        <v>319.86</v>
      </c>
      <c r="U12" s="110">
        <f t="shared" si="9"/>
        <v>1.3175976272862087</v>
      </c>
      <c r="V12" s="136">
        <f t="shared" si="25"/>
        <v>203.14000000000001</v>
      </c>
      <c r="W12" s="130">
        <v>230.46</v>
      </c>
      <c r="X12" s="131">
        <v>0.48</v>
      </c>
      <c r="Y12" s="112">
        <v>659</v>
      </c>
      <c r="Z12" s="133">
        <v>1230</v>
      </c>
      <c r="AA12" s="144" t="s">
        <v>252</v>
      </c>
      <c r="AB12" s="131">
        <v>75.55</v>
      </c>
      <c r="AC12" s="133">
        <v>168</v>
      </c>
      <c r="AD12" s="134">
        <v>5</v>
      </c>
      <c r="AE12" s="131">
        <v>3.55</v>
      </c>
      <c r="AF12" s="115">
        <f t="shared" si="10"/>
        <v>14.623496457406491</v>
      </c>
      <c r="AG12" s="131">
        <v>153.80000000000001</v>
      </c>
      <c r="AH12" s="115">
        <f t="shared" si="11"/>
        <v>633.54753666172348</v>
      </c>
      <c r="AI12" s="131">
        <v>25.87</v>
      </c>
      <c r="AJ12" s="116"/>
      <c r="AK12" s="135">
        <v>6.96</v>
      </c>
      <c r="AL12" s="136">
        <v>58.75</v>
      </c>
      <c r="AM12" s="110">
        <f t="shared" si="12"/>
        <v>0.19252826478780924</v>
      </c>
      <c r="AN12" s="137" t="s">
        <v>215</v>
      </c>
      <c r="AO12" s="150">
        <v>7.84</v>
      </c>
      <c r="AP12" s="138">
        <v>7.2</v>
      </c>
      <c r="AQ12" s="131"/>
      <c r="AR12" s="139">
        <v>7.16</v>
      </c>
      <c r="AS12" s="427">
        <f t="shared" si="26"/>
        <v>305.15000000000003</v>
      </c>
      <c r="AT12" s="116">
        <v>3.32</v>
      </c>
      <c r="AU12" s="116"/>
      <c r="AV12" s="131"/>
      <c r="AW12" s="109"/>
      <c r="AX12" s="109">
        <f t="shared" si="13"/>
        <v>242.76000000000002</v>
      </c>
      <c r="AY12" s="115">
        <f t="shared" si="27"/>
        <v>236.99119513960093</v>
      </c>
      <c r="AZ12" s="140">
        <f t="shared" si="14"/>
        <v>8.5304845070422548</v>
      </c>
      <c r="BA12" s="141">
        <f t="shared" si="15"/>
        <v>9.7104000000000017</v>
      </c>
      <c r="BB12" s="128">
        <f t="shared" si="16"/>
        <v>0.89425043776483693</v>
      </c>
      <c r="BC12" s="141">
        <f t="shared" si="17"/>
        <v>18.240884507042257</v>
      </c>
      <c r="BD12" s="142">
        <v>0.86399999999999999</v>
      </c>
      <c r="BE12" s="16">
        <f t="shared" si="28"/>
        <v>1328.89</v>
      </c>
      <c r="BF12" s="16">
        <f t="shared" si="18"/>
        <v>223.33333333333334</v>
      </c>
      <c r="BG12" s="16">
        <f t="shared" si="29"/>
        <v>1340</v>
      </c>
      <c r="BH12" s="17">
        <f t="shared" si="19"/>
        <v>1</v>
      </c>
      <c r="BI12" s="16">
        <f t="shared" si="30"/>
        <v>1340</v>
      </c>
      <c r="BJ12" s="441">
        <f t="shared" si="31"/>
        <v>569.83600000000001</v>
      </c>
      <c r="BK12" s="244"/>
      <c r="BL12" s="271"/>
      <c r="BM12" s="197"/>
      <c r="BN12" s="230"/>
      <c r="BO12" s="230"/>
      <c r="BP12" s="250"/>
      <c r="BQ12" s="199"/>
      <c r="BR12" s="200">
        <v>2.09</v>
      </c>
      <c r="BS12" s="200"/>
      <c r="BT12" s="200"/>
      <c r="BU12" s="200"/>
      <c r="BV12" s="208"/>
      <c r="BW12" s="208"/>
      <c r="BX12" s="201"/>
      <c r="BY12" s="202">
        <v>36.76</v>
      </c>
      <c r="BZ12" s="200"/>
      <c r="CA12" s="200"/>
      <c r="CB12" s="200"/>
      <c r="CC12" s="200"/>
      <c r="CD12" s="200"/>
      <c r="CE12" s="200"/>
      <c r="CF12" s="203"/>
      <c r="CG12" s="443"/>
      <c r="CH12" s="266">
        <f t="shared" si="32"/>
        <v>319.86</v>
      </c>
      <c r="CI12" s="313"/>
      <c r="CJ12" s="198"/>
      <c r="CK12" s="202"/>
      <c r="CL12" s="202"/>
      <c r="CM12" s="270"/>
      <c r="CN12" s="201"/>
      <c r="CO12" s="284"/>
      <c r="CP12" s="286">
        <f t="shared" si="20"/>
        <v>557.92642760000001</v>
      </c>
      <c r="CQ12" s="24">
        <f t="shared" si="20"/>
        <v>0</v>
      </c>
      <c r="CR12" s="25">
        <f t="shared" si="20"/>
        <v>0</v>
      </c>
      <c r="CS12" s="24">
        <f t="shared" si="20"/>
        <v>0</v>
      </c>
      <c r="CT12" s="27">
        <f t="shared" si="20"/>
        <v>0</v>
      </c>
      <c r="CU12" s="30">
        <f t="shared" si="20"/>
        <v>0</v>
      </c>
      <c r="CV12" s="280">
        <f t="shared" si="20"/>
        <v>0</v>
      </c>
      <c r="CW12" s="237">
        <f t="shared" si="21"/>
        <v>0</v>
      </c>
      <c r="CX12" s="26">
        <f t="shared" si="21"/>
        <v>319.86</v>
      </c>
      <c r="CY12" s="277">
        <f t="shared" si="21"/>
        <v>0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33"/>
        <v>0</v>
      </c>
      <c r="DH12" s="315">
        <v>292.85000000000002</v>
      </c>
      <c r="DI12" s="411">
        <f t="shared" si="34"/>
        <v>305.15000000000003</v>
      </c>
      <c r="DJ12" s="136">
        <v>190.84</v>
      </c>
      <c r="DK12" s="411">
        <f t="shared" si="35"/>
        <v>203.14000000000001</v>
      </c>
      <c r="DL12" s="249">
        <v>503.83600000000001</v>
      </c>
      <c r="DM12" s="247">
        <f t="shared" si="36"/>
        <v>569.83600000000001</v>
      </c>
      <c r="DN12" s="230">
        <v>292.76</v>
      </c>
      <c r="DO12" s="247">
        <f t="shared" si="37"/>
        <v>319.86</v>
      </c>
    </row>
    <row r="13" spans="1:119" ht="16.5" customHeight="1">
      <c r="A13" s="127">
        <v>7</v>
      </c>
      <c r="B13" s="103">
        <f t="shared" si="24"/>
        <v>591.22799999999995</v>
      </c>
      <c r="C13" s="104">
        <f t="shared" si="0"/>
        <v>1.7926121225652374</v>
      </c>
      <c r="D13" s="143">
        <f t="shared" si="1"/>
        <v>580.62957519999998</v>
      </c>
      <c r="E13" s="104">
        <f t="shared" si="2"/>
        <v>36.694985555487904</v>
      </c>
      <c r="F13" s="128">
        <f t="shared" si="3"/>
        <v>2.2647225805445044</v>
      </c>
      <c r="G13" s="106"/>
      <c r="H13" s="107">
        <f t="shared" si="4"/>
        <v>2.2647225805445044</v>
      </c>
      <c r="I13" s="103">
        <f>'[1]сентябрь 20'!AE12</f>
        <v>0</v>
      </c>
      <c r="J13" s="328">
        <f>'[1]апрель 20'!AA12</f>
        <v>13.968</v>
      </c>
      <c r="K13" s="106"/>
      <c r="L13" s="328"/>
      <c r="M13" s="103">
        <f t="shared" si="5"/>
        <v>0</v>
      </c>
      <c r="N13" s="103">
        <f>'[1]июль 20'!AM12</f>
        <v>0</v>
      </c>
      <c r="O13" s="103">
        <f>'[1]апрель 20'!W12</f>
        <v>0</v>
      </c>
      <c r="P13" s="103">
        <v>342.6</v>
      </c>
      <c r="Q13" s="108">
        <f t="shared" si="6"/>
        <v>2.945125510799762</v>
      </c>
      <c r="R13" s="109">
        <f t="shared" si="7"/>
        <v>332.51000000000005</v>
      </c>
      <c r="S13" s="106">
        <v>12.7</v>
      </c>
      <c r="T13" s="109">
        <f t="shared" si="8"/>
        <v>332.51000000000005</v>
      </c>
      <c r="U13" s="110">
        <f t="shared" si="9"/>
        <v>1.2969420391606212</v>
      </c>
      <c r="V13" s="136">
        <f t="shared" si="25"/>
        <v>256.38</v>
      </c>
      <c r="W13" s="130">
        <v>151.68</v>
      </c>
      <c r="X13" s="131">
        <v>0.84</v>
      </c>
      <c r="Y13" s="146">
        <v>624</v>
      </c>
      <c r="Z13" s="147">
        <v>1222</v>
      </c>
      <c r="AA13" s="144" t="s">
        <v>219</v>
      </c>
      <c r="AB13" s="131">
        <v>75.989999999999995</v>
      </c>
      <c r="AC13" s="133">
        <v>175</v>
      </c>
      <c r="AD13" s="134">
        <v>5</v>
      </c>
      <c r="AE13" s="131">
        <v>1.55</v>
      </c>
      <c r="AF13" s="115">
        <f t="shared" si="10"/>
        <v>6.0457133941805132</v>
      </c>
      <c r="AG13" s="131">
        <v>143.15</v>
      </c>
      <c r="AH13" s="115">
        <f t="shared" si="11"/>
        <v>558.35088540447771</v>
      </c>
      <c r="AI13" s="131">
        <v>34.369999999999997</v>
      </c>
      <c r="AJ13" s="116"/>
      <c r="AK13" s="135">
        <v>8.9700000000000006</v>
      </c>
      <c r="AL13" s="136">
        <v>52.7</v>
      </c>
      <c r="AM13" s="110">
        <f t="shared" si="12"/>
        <v>0.16679854407342937</v>
      </c>
      <c r="AN13" s="137" t="s">
        <v>218</v>
      </c>
      <c r="AO13" s="150">
        <v>8.31</v>
      </c>
      <c r="AP13" s="138">
        <v>7.46</v>
      </c>
      <c r="AQ13" s="131"/>
      <c r="AR13" s="139">
        <v>6.45</v>
      </c>
      <c r="AS13" s="427">
        <f t="shared" si="26"/>
        <v>315.95</v>
      </c>
      <c r="AT13" s="116">
        <v>2.1</v>
      </c>
      <c r="AU13" s="148"/>
      <c r="AV13" s="149"/>
      <c r="AW13" s="109"/>
      <c r="AX13" s="109">
        <f t="shared" si="13"/>
        <v>256.38</v>
      </c>
      <c r="AY13" s="115">
        <f t="shared" si="27"/>
        <v>244.77309189263502</v>
      </c>
      <c r="AZ13" s="140">
        <f t="shared" si="14"/>
        <v>7.1524595070422539</v>
      </c>
      <c r="BA13" s="141">
        <f t="shared" si="15"/>
        <v>10.2552</v>
      </c>
      <c r="BB13" s="128">
        <f t="shared" si="16"/>
        <v>0.91439683287644291</v>
      </c>
      <c r="BC13" s="141">
        <f t="shared" si="17"/>
        <v>17.407659507042254</v>
      </c>
      <c r="BD13" s="142">
        <v>0.872</v>
      </c>
      <c r="BE13" s="16">
        <f t="shared" si="28"/>
        <v>1585.27</v>
      </c>
      <c r="BF13" s="16">
        <f t="shared" si="18"/>
        <v>223.33333333333334</v>
      </c>
      <c r="BG13" s="16">
        <f t="shared" si="29"/>
        <v>1563.3333333333333</v>
      </c>
      <c r="BH13" s="17">
        <f t="shared" si="19"/>
        <v>1</v>
      </c>
      <c r="BI13" s="16">
        <f t="shared" si="30"/>
        <v>1563.3333333333333</v>
      </c>
      <c r="BJ13" s="441">
        <f t="shared" si="31"/>
        <v>568.80799999999999</v>
      </c>
      <c r="BK13" s="244"/>
      <c r="BL13" s="266"/>
      <c r="BM13" s="196"/>
      <c r="BN13" s="313"/>
      <c r="BO13" s="230">
        <v>22.42</v>
      </c>
      <c r="BP13" s="250"/>
      <c r="BQ13" s="199"/>
      <c r="BR13" s="200">
        <v>1.76</v>
      </c>
      <c r="BS13" s="200"/>
      <c r="BT13" s="200"/>
      <c r="BU13" s="200"/>
      <c r="BV13" s="208"/>
      <c r="BW13" s="208">
        <v>2.62</v>
      </c>
      <c r="BX13" s="201"/>
      <c r="BY13" s="202">
        <v>36.64</v>
      </c>
      <c r="BZ13" s="200"/>
      <c r="CA13" s="202"/>
      <c r="CB13" s="200"/>
      <c r="CC13" s="200"/>
      <c r="CD13" s="200">
        <v>38.090000000000003</v>
      </c>
      <c r="CE13" s="200"/>
      <c r="CF13" s="203"/>
      <c r="CG13" s="443"/>
      <c r="CH13" s="266">
        <f t="shared" si="32"/>
        <v>332.51000000000005</v>
      </c>
      <c r="CI13" s="444"/>
      <c r="CJ13" s="265"/>
      <c r="CK13" s="202"/>
      <c r="CL13" s="202"/>
      <c r="CM13" s="270"/>
      <c r="CN13" s="201"/>
      <c r="CO13" s="284"/>
      <c r="CP13" s="286">
        <f t="shared" si="20"/>
        <v>558.79697920000001</v>
      </c>
      <c r="CQ13" s="24">
        <f t="shared" si="20"/>
        <v>0</v>
      </c>
      <c r="CR13" s="25">
        <f t="shared" si="20"/>
        <v>0</v>
      </c>
      <c r="CS13" s="24">
        <f t="shared" si="20"/>
        <v>0</v>
      </c>
      <c r="CT13" s="27">
        <f t="shared" si="20"/>
        <v>0</v>
      </c>
      <c r="CU13" s="24">
        <f t="shared" si="20"/>
        <v>21.832596000000002</v>
      </c>
      <c r="CV13" s="280">
        <f t="shared" si="20"/>
        <v>0</v>
      </c>
      <c r="CW13" s="237">
        <f t="shared" si="21"/>
        <v>0</v>
      </c>
      <c r="CX13" s="26">
        <f t="shared" si="21"/>
        <v>332.51000000000005</v>
      </c>
      <c r="CY13" s="277">
        <f t="shared" si="21"/>
        <v>0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33"/>
        <v>0</v>
      </c>
      <c r="DH13" s="315">
        <v>303.64999999999998</v>
      </c>
      <c r="DI13" s="411">
        <f t="shared" si="34"/>
        <v>315.95</v>
      </c>
      <c r="DJ13" s="136">
        <v>244.08</v>
      </c>
      <c r="DK13" s="411">
        <f t="shared" si="35"/>
        <v>256.38</v>
      </c>
      <c r="DL13" s="249">
        <v>502.80799999999999</v>
      </c>
      <c r="DM13" s="247">
        <f t="shared" si="36"/>
        <v>568.80799999999999</v>
      </c>
      <c r="DN13" s="264">
        <v>305.41000000000003</v>
      </c>
      <c r="DO13" s="247">
        <f t="shared" si="37"/>
        <v>332.51000000000005</v>
      </c>
    </row>
    <row r="14" spans="1:119" ht="16.5" customHeight="1">
      <c r="A14" s="127">
        <v>8</v>
      </c>
      <c r="B14" s="103">
        <f t="shared" si="24"/>
        <v>581.41</v>
      </c>
      <c r="C14" s="104">
        <f>IF(B14=0,0,(BJ14*BR14+BK14*BS14+BM14*BU14+BP14*BX14+BL14*BT14+BO14*BW14+BN14*BV14)/B14)</f>
        <v>2.370518773326912</v>
      </c>
      <c r="D14" s="143">
        <f>B14*((100-C14)/100)</f>
        <v>567.62756680000007</v>
      </c>
      <c r="E14" s="104">
        <f>IF(B14=0,0,(BJ14*BY14+BK14*BZ14+BM14*CB14+BP14*CE14+BL14*CA14+BO14*CD14+BN14*CC14)/B14)</f>
        <v>36.706982301645994</v>
      </c>
      <c r="F14" s="128">
        <f>IF(AX14=0,0,D14/AX14)</f>
        <v>2.4885031424813677</v>
      </c>
      <c r="G14" s="106"/>
      <c r="H14" s="107">
        <f>IF(AX14=0,0,(CV14+CS14+CU14+CP14+CT14)/AX14)</f>
        <v>2.4885031424813673</v>
      </c>
      <c r="I14" s="103">
        <f>'[1]сентябрь 20'!AE13</f>
        <v>0</v>
      </c>
      <c r="J14" s="328">
        <f>'[1]апрель 20'!AA13</f>
        <v>1.4039999999999999</v>
      </c>
      <c r="K14" s="106"/>
      <c r="L14" s="328"/>
      <c r="M14" s="103">
        <f>IF(AX14=0,0,(CR14+CQ14)/AX14)</f>
        <v>0</v>
      </c>
      <c r="N14" s="103">
        <f>'[1]июль 20'!AM13</f>
        <v>0</v>
      </c>
      <c r="O14" s="103">
        <f>'[1]апрель 20'!W13</f>
        <v>0</v>
      </c>
      <c r="P14" s="103">
        <v>335.22</v>
      </c>
      <c r="Q14" s="108">
        <f>IF(P14=0,0,(1-(T14/P14))*100)</f>
        <v>2.950301294672153</v>
      </c>
      <c r="R14" s="109">
        <f>P14*((100-Q14)/100)</f>
        <v>325.33000000000004</v>
      </c>
      <c r="S14" s="106">
        <v>12.39</v>
      </c>
      <c r="T14" s="109">
        <f>CG14+CH14+CJ14+CI14</f>
        <v>325.33000000000004</v>
      </c>
      <c r="U14" s="110">
        <f>IF(AX14=0,0,R14/AX14)</f>
        <v>1.4262604120999562</v>
      </c>
      <c r="V14" s="136">
        <f t="shared" si="25"/>
        <v>108.08</v>
      </c>
      <c r="W14" s="130">
        <v>165.36</v>
      </c>
      <c r="X14" s="131">
        <v>0.82</v>
      </c>
      <c r="Y14" s="146">
        <v>632</v>
      </c>
      <c r="Z14" s="147">
        <v>1222</v>
      </c>
      <c r="AA14" s="144" t="s">
        <v>253</v>
      </c>
      <c r="AB14" s="131">
        <v>74.989999999999995</v>
      </c>
      <c r="AC14" s="133">
        <v>172</v>
      </c>
      <c r="AD14" s="134">
        <v>5</v>
      </c>
      <c r="AE14" s="131">
        <v>0.95</v>
      </c>
      <c r="AF14" s="115">
        <f t="shared" si="10"/>
        <v>4.1648399824638309</v>
      </c>
      <c r="AG14" s="131">
        <v>131.55000000000001</v>
      </c>
      <c r="AH14" s="115">
        <f>IF(AX14=0,0,AG14/AX14*1000)</f>
        <v>576.72073651907056</v>
      </c>
      <c r="AI14" s="131">
        <v>25.34</v>
      </c>
      <c r="AJ14" s="116"/>
      <c r="AK14" s="135">
        <v>9.8800000000000008</v>
      </c>
      <c r="AL14" s="136">
        <v>61.55</v>
      </c>
      <c r="AM14" s="110">
        <f>IF(AL14=0,0,AL14/AS14)</f>
        <v>0.20748356649249955</v>
      </c>
      <c r="AN14" s="137" t="s">
        <v>247</v>
      </c>
      <c r="AO14" s="150">
        <v>9.86</v>
      </c>
      <c r="AP14" s="138">
        <v>6.9</v>
      </c>
      <c r="AQ14" s="131"/>
      <c r="AR14" s="139">
        <v>6.42</v>
      </c>
      <c r="AS14" s="427">
        <f t="shared" si="26"/>
        <v>296.65000000000003</v>
      </c>
      <c r="AT14" s="116">
        <v>2.88</v>
      </c>
      <c r="AU14" s="148"/>
      <c r="AV14" s="149"/>
      <c r="AW14" s="109"/>
      <c r="AX14" s="109">
        <f>AS14-AL14-AK14+AV14+AT14</f>
        <v>228.10000000000002</v>
      </c>
      <c r="AY14" s="115">
        <f>IF(AB14=0,0,((D14*0.97)*(E14/100)*0.9)/(AB14/100))</f>
        <v>242.56215998533577</v>
      </c>
      <c r="AZ14" s="140">
        <f>(AG14*AR14)/100*(55/71)</f>
        <v>6.5422964788732392</v>
      </c>
      <c r="BA14" s="141">
        <f>AX14*$BA$6</f>
        <v>9.1240000000000006</v>
      </c>
      <c r="BB14" s="128">
        <f>IF((D14*E14)=0,0,(AX14*AB14)/(D14*E14))</f>
        <v>0.82094956613199122</v>
      </c>
      <c r="BC14" s="141">
        <f>AZ14+BA14</f>
        <v>15.666296478873239</v>
      </c>
      <c r="BD14" s="142">
        <v>0.86499999999999999</v>
      </c>
      <c r="BE14" s="16">
        <f>BE13+AX14</f>
        <v>1813.37</v>
      </c>
      <c r="BF14" s="16">
        <f>IF(A14&lt;=$BD$43,$AS$43,0)</f>
        <v>223.33333333333334</v>
      </c>
      <c r="BG14" s="16">
        <f>BF14+BG13</f>
        <v>1786.6666666666665</v>
      </c>
      <c r="BH14" s="17">
        <f>IF(AX14&lt;&gt;0,1,0)</f>
        <v>1</v>
      </c>
      <c r="BI14" s="16">
        <f>BI13+BF14*BH14</f>
        <v>1786.6666666666665</v>
      </c>
      <c r="BJ14" s="441">
        <f t="shared" si="31"/>
        <v>517.34699999999998</v>
      </c>
      <c r="BK14" s="244"/>
      <c r="BL14" s="266"/>
      <c r="BM14" s="196"/>
      <c r="BN14" s="313"/>
      <c r="BO14" s="230">
        <v>64.063000000000002</v>
      </c>
      <c r="BP14" s="250"/>
      <c r="BQ14" s="199"/>
      <c r="BR14" s="200">
        <v>2.2999999999999998</v>
      </c>
      <c r="BS14" s="200"/>
      <c r="BT14" s="200"/>
      <c r="BU14" s="200"/>
      <c r="BV14" s="208"/>
      <c r="BW14" s="208">
        <v>2.94</v>
      </c>
      <c r="BX14" s="201"/>
      <c r="BY14" s="202">
        <v>36.479999999999997</v>
      </c>
      <c r="BZ14" s="200"/>
      <c r="CA14" s="202"/>
      <c r="CB14" s="200"/>
      <c r="CC14" s="200"/>
      <c r="CD14" s="200">
        <v>38.54</v>
      </c>
      <c r="CE14" s="200"/>
      <c r="CF14" s="203"/>
      <c r="CG14" s="443"/>
      <c r="CH14" s="266">
        <f t="shared" si="32"/>
        <v>325.33000000000004</v>
      </c>
      <c r="CI14" s="444"/>
      <c r="CJ14" s="265"/>
      <c r="CK14" s="202"/>
      <c r="CL14" s="202"/>
      <c r="CM14" s="270"/>
      <c r="CN14" s="201"/>
      <c r="CO14" s="284"/>
      <c r="CP14" s="286">
        <f t="shared" si="20"/>
        <v>505.44801899999999</v>
      </c>
      <c r="CQ14" s="27">
        <f t="shared" si="20"/>
        <v>0</v>
      </c>
      <c r="CR14" s="28">
        <f t="shared" si="20"/>
        <v>0</v>
      </c>
      <c r="CS14" s="27">
        <f t="shared" si="20"/>
        <v>0</v>
      </c>
      <c r="CT14" s="27">
        <f t="shared" si="20"/>
        <v>0</v>
      </c>
      <c r="CU14" s="24">
        <f t="shared" si="20"/>
        <v>62.179547800000002</v>
      </c>
      <c r="CV14" s="282">
        <f t="shared" si="20"/>
        <v>0</v>
      </c>
      <c r="CW14" s="237">
        <f t="shared" si="21"/>
        <v>0</v>
      </c>
      <c r="CX14" s="26">
        <f t="shared" si="21"/>
        <v>325.33000000000004</v>
      </c>
      <c r="CY14" s="277">
        <f t="shared" si="21"/>
        <v>0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33"/>
        <v>0</v>
      </c>
      <c r="DH14" s="315">
        <v>284.35000000000002</v>
      </c>
      <c r="DI14" s="411">
        <f t="shared" si="34"/>
        <v>296.65000000000003</v>
      </c>
      <c r="DJ14" s="136">
        <v>95.78</v>
      </c>
      <c r="DK14" s="411">
        <f t="shared" si="35"/>
        <v>108.08</v>
      </c>
      <c r="DL14" s="249">
        <v>451.34699999999998</v>
      </c>
      <c r="DM14" s="247">
        <f t="shared" si="36"/>
        <v>517.34699999999998</v>
      </c>
      <c r="DN14" s="264">
        <v>298.23</v>
      </c>
      <c r="DO14" s="247">
        <f t="shared" si="37"/>
        <v>325.33000000000004</v>
      </c>
    </row>
    <row r="15" spans="1:119" ht="16.5" customHeight="1">
      <c r="A15" s="253">
        <v>9</v>
      </c>
      <c r="B15" s="103">
        <f t="shared" si="24"/>
        <v>554.97399999999993</v>
      </c>
      <c r="C15" s="104">
        <f t="shared" si="0"/>
        <v>2.2306929694003683</v>
      </c>
      <c r="D15" s="143">
        <f t="shared" si="1"/>
        <v>542.59423400000003</v>
      </c>
      <c r="E15" s="104">
        <f t="shared" si="2"/>
        <v>36.552616518972059</v>
      </c>
      <c r="F15" s="128">
        <f t="shared" si="3"/>
        <v>2.316501874226188</v>
      </c>
      <c r="G15" s="106"/>
      <c r="H15" s="107">
        <f t="shared" si="4"/>
        <v>2.316501874226188</v>
      </c>
      <c r="I15" s="103">
        <f>'[1]сентябрь 20'!AE14</f>
        <v>0</v>
      </c>
      <c r="J15" s="328">
        <f>'[1]апрель 20'!AA14</f>
        <v>4.9180000000000001</v>
      </c>
      <c r="K15" s="106"/>
      <c r="L15" s="328"/>
      <c r="M15" s="103">
        <f t="shared" si="5"/>
        <v>0</v>
      </c>
      <c r="N15" s="103">
        <f>'[1]июль 20'!AM14</f>
        <v>0</v>
      </c>
      <c r="O15" s="103">
        <f>'[1]апрель 20'!W14</f>
        <v>0</v>
      </c>
      <c r="P15" s="103">
        <v>316.58999999999997</v>
      </c>
      <c r="Q15" s="108">
        <f t="shared" si="6"/>
        <v>2.9154426861239924</v>
      </c>
      <c r="R15" s="109">
        <f t="shared" si="7"/>
        <v>307.36</v>
      </c>
      <c r="S15" s="106">
        <v>23.47</v>
      </c>
      <c r="T15" s="109">
        <f t="shared" si="8"/>
        <v>307.36</v>
      </c>
      <c r="U15" s="110">
        <f t="shared" si="9"/>
        <v>1.3122144900311661</v>
      </c>
      <c r="V15" s="136">
        <f t="shared" si="25"/>
        <v>234.23000000000002</v>
      </c>
      <c r="W15" s="130">
        <v>221.93</v>
      </c>
      <c r="X15" s="131">
        <v>0.65</v>
      </c>
      <c r="Y15" s="112">
        <v>646</v>
      </c>
      <c r="Z15" s="133">
        <v>1220</v>
      </c>
      <c r="AA15" s="144" t="s">
        <v>254</v>
      </c>
      <c r="AB15" s="131">
        <v>75.489999999999995</v>
      </c>
      <c r="AC15" s="133">
        <v>162</v>
      </c>
      <c r="AD15" s="134">
        <v>5</v>
      </c>
      <c r="AE15" s="131">
        <v>1.85</v>
      </c>
      <c r="AF15" s="115">
        <f t="shared" si="10"/>
        <v>7.8982196985868596</v>
      </c>
      <c r="AG15" s="131">
        <v>142.75</v>
      </c>
      <c r="AH15" s="115">
        <f t="shared" si="11"/>
        <v>609.44370917474282</v>
      </c>
      <c r="AI15" s="131">
        <v>29.07</v>
      </c>
      <c r="AJ15" s="116"/>
      <c r="AK15" s="135">
        <v>14.03</v>
      </c>
      <c r="AL15" s="136">
        <v>52.3</v>
      </c>
      <c r="AM15" s="110">
        <f t="shared" si="12"/>
        <v>0.17624262847514743</v>
      </c>
      <c r="AN15" s="137" t="s">
        <v>206</v>
      </c>
      <c r="AO15" s="150">
        <v>9.27</v>
      </c>
      <c r="AP15" s="138">
        <v>7.03</v>
      </c>
      <c r="AQ15" s="131"/>
      <c r="AR15" s="139">
        <v>7.86</v>
      </c>
      <c r="AS15" s="427">
        <f t="shared" si="26"/>
        <v>296.75</v>
      </c>
      <c r="AT15" s="116">
        <v>3.81</v>
      </c>
      <c r="AU15" s="116"/>
      <c r="AV15" s="131"/>
      <c r="AW15" s="109"/>
      <c r="AX15" s="109">
        <f t="shared" si="13"/>
        <v>234.23</v>
      </c>
      <c r="AY15" s="115">
        <f t="shared" si="27"/>
        <v>229.36041346913305</v>
      </c>
      <c r="AZ15" s="140">
        <f t="shared" si="14"/>
        <v>8.6916654929577462</v>
      </c>
      <c r="BA15" s="141">
        <f t="shared" si="15"/>
        <v>9.3691999999999993</v>
      </c>
      <c r="BB15" s="128">
        <f t="shared" si="16"/>
        <v>0.8915347984734906</v>
      </c>
      <c r="BC15" s="141">
        <f t="shared" si="17"/>
        <v>18.060865492957745</v>
      </c>
      <c r="BD15" s="142">
        <v>0.86799999999999999</v>
      </c>
      <c r="BE15" s="16">
        <f t="shared" si="28"/>
        <v>2047.6</v>
      </c>
      <c r="BF15" s="16">
        <f t="shared" si="18"/>
        <v>223.33333333333334</v>
      </c>
      <c r="BG15" s="16">
        <f t="shared" si="29"/>
        <v>2009.9999999999998</v>
      </c>
      <c r="BH15" s="17">
        <f t="shared" si="19"/>
        <v>1</v>
      </c>
      <c r="BI15" s="16">
        <f t="shared" si="30"/>
        <v>2009.9999999999998</v>
      </c>
      <c r="BJ15" s="441">
        <f t="shared" si="31"/>
        <v>506.30599999999998</v>
      </c>
      <c r="BK15" s="244"/>
      <c r="BL15" s="197"/>
      <c r="BM15" s="197"/>
      <c r="BN15" s="230"/>
      <c r="BO15" s="195">
        <v>48.667999999999999</v>
      </c>
      <c r="BP15" s="329"/>
      <c r="BQ15" s="199"/>
      <c r="BR15" s="200">
        <v>2.2000000000000002</v>
      </c>
      <c r="BS15" s="200"/>
      <c r="BT15" s="200"/>
      <c r="BU15" s="200"/>
      <c r="BV15" s="208"/>
      <c r="BW15" s="208">
        <v>2.5499999999999998</v>
      </c>
      <c r="BX15" s="330"/>
      <c r="BY15" s="202">
        <v>36.5</v>
      </c>
      <c r="BZ15" s="200"/>
      <c r="CA15" s="200"/>
      <c r="CB15" s="200"/>
      <c r="CC15" s="200"/>
      <c r="CD15" s="200">
        <v>37.1</v>
      </c>
      <c r="CE15" s="200"/>
      <c r="CF15" s="203"/>
      <c r="CG15" s="443"/>
      <c r="CH15" s="266">
        <f t="shared" si="32"/>
        <v>307.36</v>
      </c>
      <c r="CI15" s="445"/>
      <c r="CJ15" s="265"/>
      <c r="CK15" s="202"/>
      <c r="CL15" s="208"/>
      <c r="CM15" s="208"/>
      <c r="CN15" s="201"/>
      <c r="CO15" s="284"/>
      <c r="CP15" s="286">
        <f t="shared" si="20"/>
        <v>495.16726799999998</v>
      </c>
      <c r="CQ15" s="29">
        <f t="shared" si="20"/>
        <v>0</v>
      </c>
      <c r="CR15" s="30">
        <f t="shared" si="20"/>
        <v>0</v>
      </c>
      <c r="CS15" s="29">
        <f t="shared" si="20"/>
        <v>0</v>
      </c>
      <c r="CT15" s="27">
        <f t="shared" si="20"/>
        <v>0</v>
      </c>
      <c r="CU15" s="24">
        <f t="shared" si="20"/>
        <v>47.426966</v>
      </c>
      <c r="CV15" s="283">
        <f t="shared" si="20"/>
        <v>0</v>
      </c>
      <c r="CW15" s="237">
        <f t="shared" si="21"/>
        <v>0</v>
      </c>
      <c r="CX15" s="24">
        <f t="shared" si="21"/>
        <v>307.36</v>
      </c>
      <c r="CY15" s="277">
        <f t="shared" si="21"/>
        <v>0</v>
      </c>
      <c r="CZ15" s="280">
        <f t="shared" si="21"/>
        <v>0</v>
      </c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33"/>
        <v>0</v>
      </c>
      <c r="DH15" s="315">
        <v>284.45</v>
      </c>
      <c r="DI15" s="411">
        <f t="shared" si="34"/>
        <v>296.75</v>
      </c>
      <c r="DJ15" s="136">
        <v>221.93</v>
      </c>
      <c r="DK15" s="411">
        <f t="shared" si="35"/>
        <v>234.23000000000002</v>
      </c>
      <c r="DL15" s="249">
        <v>440.30599999999998</v>
      </c>
      <c r="DM15" s="247">
        <f t="shared" si="36"/>
        <v>506.30599999999998</v>
      </c>
      <c r="DN15" s="266">
        <v>280.26</v>
      </c>
      <c r="DO15" s="247">
        <f t="shared" si="37"/>
        <v>307.36</v>
      </c>
    </row>
    <row r="16" spans="1:119" ht="16.5" customHeight="1">
      <c r="A16" s="127">
        <v>10</v>
      </c>
      <c r="B16" s="103">
        <f t="shared" si="24"/>
        <v>564.63199999999995</v>
      </c>
      <c r="C16" s="104">
        <f t="shared" si="0"/>
        <v>1.7838219937941882</v>
      </c>
      <c r="D16" s="143">
        <f t="shared" si="1"/>
        <v>554.55997019999995</v>
      </c>
      <c r="E16" s="104">
        <f t="shared" si="2"/>
        <v>37.486764140183347</v>
      </c>
      <c r="F16" s="128">
        <f t="shared" si="3"/>
        <v>2.6351150876692797</v>
      </c>
      <c r="G16" s="106"/>
      <c r="H16" s="107">
        <f t="shared" si="4"/>
        <v>2.6351150876692797</v>
      </c>
      <c r="I16" s="103">
        <f>'[1]сентябрь 20'!AE15</f>
        <v>0</v>
      </c>
      <c r="J16" s="328">
        <f>'[1]апрель 20'!AA15</f>
        <v>3.5470000000000002</v>
      </c>
      <c r="K16" s="106"/>
      <c r="L16" s="328"/>
      <c r="M16" s="103">
        <f t="shared" si="5"/>
        <v>0</v>
      </c>
      <c r="N16" s="103">
        <f>'[1]июль 20'!AM15</f>
        <v>0</v>
      </c>
      <c r="O16" s="103">
        <f>'[1]апрель 20'!W15</f>
        <v>0</v>
      </c>
      <c r="P16" s="103">
        <v>329.9</v>
      </c>
      <c r="Q16" s="108">
        <f t="shared" si="6"/>
        <v>3.5525916944528557</v>
      </c>
      <c r="R16" s="109">
        <f t="shared" si="7"/>
        <v>318.18</v>
      </c>
      <c r="S16" s="106">
        <v>48.37</v>
      </c>
      <c r="T16" s="109">
        <f t="shared" si="8"/>
        <v>318.18</v>
      </c>
      <c r="U16" s="110">
        <f t="shared" si="9"/>
        <v>1.5119030648610121</v>
      </c>
      <c r="V16" s="136">
        <f t="shared" si="25"/>
        <v>210.45000000000002</v>
      </c>
      <c r="W16" s="130">
        <v>198.15</v>
      </c>
      <c r="X16" s="131">
        <v>0.57999999999999996</v>
      </c>
      <c r="Y16" s="112">
        <v>597</v>
      </c>
      <c r="Z16" s="133">
        <v>1226</v>
      </c>
      <c r="AA16" s="144" t="s">
        <v>255</v>
      </c>
      <c r="AB16" s="131">
        <v>76.239999999999995</v>
      </c>
      <c r="AC16" s="133">
        <v>166</v>
      </c>
      <c r="AD16" s="134">
        <v>5</v>
      </c>
      <c r="AE16" s="131">
        <v>3.15</v>
      </c>
      <c r="AF16" s="115">
        <f t="shared" si="10"/>
        <v>14.967925873129008</v>
      </c>
      <c r="AG16" s="131">
        <v>144.85</v>
      </c>
      <c r="AH16" s="115">
        <f t="shared" si="11"/>
        <v>688.28700403896403</v>
      </c>
      <c r="AI16" s="139">
        <v>28.21</v>
      </c>
      <c r="AJ16" s="131"/>
      <c r="AK16" s="136">
        <v>11.78</v>
      </c>
      <c r="AL16" s="136">
        <v>72.680000000000007</v>
      </c>
      <c r="AM16" s="110">
        <f t="shared" si="12"/>
        <v>0.2501032346868548</v>
      </c>
      <c r="AN16" s="137" t="s">
        <v>238</v>
      </c>
      <c r="AO16" s="150">
        <v>8.66</v>
      </c>
      <c r="AP16" s="138">
        <v>6.86</v>
      </c>
      <c r="AQ16" s="131"/>
      <c r="AR16" s="139">
        <v>9.57</v>
      </c>
      <c r="AS16" s="427">
        <f t="shared" si="26"/>
        <v>290.60000000000002</v>
      </c>
      <c r="AT16" s="116">
        <v>4.3099999999999996</v>
      </c>
      <c r="AU16" s="116"/>
      <c r="AV16" s="131"/>
      <c r="AW16" s="109"/>
      <c r="AX16" s="109">
        <f t="shared" si="13"/>
        <v>210.45000000000002</v>
      </c>
      <c r="AY16" s="115">
        <f t="shared" si="27"/>
        <v>238.04432235448903</v>
      </c>
      <c r="AZ16" s="140">
        <f t="shared" si="14"/>
        <v>10.738281338028168</v>
      </c>
      <c r="BA16" s="141">
        <f t="shared" si="15"/>
        <v>8.418000000000001</v>
      </c>
      <c r="BB16" s="128">
        <f t="shared" si="16"/>
        <v>0.77180101664598844</v>
      </c>
      <c r="BC16" s="141">
        <f t="shared" si="17"/>
        <v>19.156281338028169</v>
      </c>
      <c r="BD16" s="142">
        <v>0.85799999999999998</v>
      </c>
      <c r="BE16" s="16">
        <f t="shared" si="28"/>
        <v>2258.0499999999997</v>
      </c>
      <c r="BF16" s="16">
        <f t="shared" si="18"/>
        <v>223.33333333333334</v>
      </c>
      <c r="BG16" s="16">
        <f t="shared" si="29"/>
        <v>2233.333333333333</v>
      </c>
      <c r="BH16" s="17">
        <f t="shared" si="19"/>
        <v>1</v>
      </c>
      <c r="BI16" s="16">
        <f t="shared" si="30"/>
        <v>2233.333333333333</v>
      </c>
      <c r="BJ16" s="441">
        <f t="shared" si="31"/>
        <v>514.95299999999997</v>
      </c>
      <c r="BK16" s="244"/>
      <c r="BL16" s="195"/>
      <c r="BM16" s="197"/>
      <c r="BN16" s="230"/>
      <c r="BO16" s="230">
        <v>49.679000000000002</v>
      </c>
      <c r="BP16" s="250"/>
      <c r="BQ16" s="199"/>
      <c r="BR16" s="200">
        <v>1.68</v>
      </c>
      <c r="BS16" s="200"/>
      <c r="BT16" s="200"/>
      <c r="BU16" s="200"/>
      <c r="BV16" s="208"/>
      <c r="BW16" s="208">
        <v>2.86</v>
      </c>
      <c r="BX16" s="201"/>
      <c r="BY16" s="202">
        <v>37.28</v>
      </c>
      <c r="BZ16" s="200"/>
      <c r="CA16" s="200"/>
      <c r="CB16" s="200"/>
      <c r="CC16" s="200"/>
      <c r="CD16" s="200">
        <v>39.630000000000003</v>
      </c>
      <c r="CE16" s="200"/>
      <c r="CF16" s="203"/>
      <c r="CG16" s="443"/>
      <c r="CH16" s="266">
        <f t="shared" si="32"/>
        <v>318.18</v>
      </c>
      <c r="CI16" s="445"/>
      <c r="CJ16" s="265"/>
      <c r="CK16" s="202"/>
      <c r="CL16" s="208"/>
      <c r="CM16" s="208"/>
      <c r="CN16" s="201"/>
      <c r="CO16" s="284"/>
      <c r="CP16" s="286">
        <f t="shared" si="20"/>
        <v>506.30178959999995</v>
      </c>
      <c r="CQ16" s="24">
        <f t="shared" si="20"/>
        <v>0</v>
      </c>
      <c r="CR16" s="25">
        <f t="shared" si="20"/>
        <v>0</v>
      </c>
      <c r="CS16" s="24">
        <f t="shared" si="20"/>
        <v>0</v>
      </c>
      <c r="CT16" s="27">
        <f t="shared" si="20"/>
        <v>0</v>
      </c>
      <c r="CU16" s="24">
        <f t="shared" si="20"/>
        <v>48.258180600000003</v>
      </c>
      <c r="CV16" s="280">
        <f t="shared" si="20"/>
        <v>0</v>
      </c>
      <c r="CW16" s="237">
        <f t="shared" si="21"/>
        <v>0</v>
      </c>
      <c r="CX16" s="29">
        <f t="shared" si="21"/>
        <v>318.18</v>
      </c>
      <c r="CY16" s="277">
        <f t="shared" si="21"/>
        <v>0</v>
      </c>
      <c r="CZ16" s="280">
        <f t="shared" si="21"/>
        <v>0</v>
      </c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33"/>
        <v>0</v>
      </c>
      <c r="DH16" s="315">
        <v>278.3</v>
      </c>
      <c r="DI16" s="411">
        <f t="shared" si="34"/>
        <v>290.60000000000002</v>
      </c>
      <c r="DJ16" s="136">
        <v>198.15</v>
      </c>
      <c r="DK16" s="411">
        <f t="shared" si="35"/>
        <v>210.45000000000002</v>
      </c>
      <c r="DL16" s="249">
        <v>448.95299999999997</v>
      </c>
      <c r="DM16" s="247">
        <f t="shared" si="36"/>
        <v>514.95299999999997</v>
      </c>
      <c r="DN16" s="266">
        <v>291.08</v>
      </c>
      <c r="DO16" s="247">
        <f t="shared" si="37"/>
        <v>318.18</v>
      </c>
    </row>
    <row r="17" spans="1:119" ht="16.5" customHeight="1">
      <c r="A17" s="127">
        <v>11</v>
      </c>
      <c r="B17" s="103">
        <f t="shared" si="24"/>
        <v>573.65200000000004</v>
      </c>
      <c r="C17" s="104">
        <f t="shared" si="0"/>
        <v>1.6169380216577296</v>
      </c>
      <c r="D17" s="143">
        <f t="shared" si="1"/>
        <v>564.37640270000009</v>
      </c>
      <c r="E17" s="104">
        <f t="shared" si="2"/>
        <v>38.125193845746203</v>
      </c>
      <c r="F17" s="128">
        <f t="shared" si="3"/>
        <v>2.5299282889546353</v>
      </c>
      <c r="G17" s="106"/>
      <c r="H17" s="107">
        <f t="shared" si="4"/>
        <v>2.5299282889546353</v>
      </c>
      <c r="I17" s="103">
        <f>'[1]сентябрь 20'!AE16</f>
        <v>0</v>
      </c>
      <c r="J17" s="328">
        <f>'[1]апрель 20'!AA16</f>
        <v>3.3079999999999998</v>
      </c>
      <c r="K17" s="106"/>
      <c r="L17" s="328"/>
      <c r="M17" s="103">
        <f t="shared" si="5"/>
        <v>0</v>
      </c>
      <c r="N17" s="103">
        <f>'[1]июль 20'!AM16</f>
        <v>0</v>
      </c>
      <c r="O17" s="103">
        <f>'[1]апрель 20'!W16</f>
        <v>0</v>
      </c>
      <c r="P17" s="103">
        <v>341.73</v>
      </c>
      <c r="Q17" s="108">
        <f t="shared" si="6"/>
        <v>4.0909489948204758</v>
      </c>
      <c r="R17" s="109">
        <f t="shared" si="7"/>
        <v>327.75</v>
      </c>
      <c r="S17" s="106">
        <v>15.39</v>
      </c>
      <c r="T17" s="109">
        <f t="shared" si="8"/>
        <v>327.75</v>
      </c>
      <c r="U17" s="110">
        <f t="shared" si="9"/>
        <v>1.4692038730500268</v>
      </c>
      <c r="V17" s="136">
        <f t="shared" si="25"/>
        <v>223.08</v>
      </c>
      <c r="W17" s="130">
        <v>210.78</v>
      </c>
      <c r="X17" s="131">
        <v>0.64</v>
      </c>
      <c r="Y17" s="112">
        <v>609</v>
      </c>
      <c r="Z17" s="133">
        <v>1229</v>
      </c>
      <c r="AA17" s="144" t="s">
        <v>256</v>
      </c>
      <c r="AB17" s="131">
        <v>76.33</v>
      </c>
      <c r="AC17" s="133">
        <v>169</v>
      </c>
      <c r="AD17" s="134">
        <v>5</v>
      </c>
      <c r="AE17" s="131">
        <v>2</v>
      </c>
      <c r="AF17" s="115">
        <f t="shared" si="10"/>
        <v>8.9653935807781941</v>
      </c>
      <c r="AG17" s="131">
        <v>120.05</v>
      </c>
      <c r="AH17" s="115">
        <f t="shared" si="11"/>
        <v>538.14774968621111</v>
      </c>
      <c r="AI17" s="139">
        <v>30.7</v>
      </c>
      <c r="AJ17" s="131"/>
      <c r="AK17" s="136">
        <v>7.95</v>
      </c>
      <c r="AL17" s="136">
        <v>59.35</v>
      </c>
      <c r="AM17" s="110">
        <f t="shared" si="12"/>
        <v>0.20629127563434135</v>
      </c>
      <c r="AN17" s="137" t="s">
        <v>189</v>
      </c>
      <c r="AO17" s="150">
        <v>8.6300000000000008</v>
      </c>
      <c r="AP17" s="138">
        <v>6.84</v>
      </c>
      <c r="AQ17" s="131"/>
      <c r="AR17" s="139">
        <v>7.07</v>
      </c>
      <c r="AS17" s="427">
        <f t="shared" si="26"/>
        <v>287.7</v>
      </c>
      <c r="AT17" s="116">
        <v>2.68</v>
      </c>
      <c r="AU17" s="116"/>
      <c r="AV17" s="131"/>
      <c r="AW17" s="109"/>
      <c r="AX17" s="109">
        <f t="shared" si="13"/>
        <v>223.08</v>
      </c>
      <c r="AY17" s="115">
        <f t="shared" si="27"/>
        <v>246.09335603340514</v>
      </c>
      <c r="AZ17" s="140">
        <f t="shared" si="14"/>
        <v>6.5748510563380291</v>
      </c>
      <c r="BA17" s="141">
        <f t="shared" si="15"/>
        <v>8.9232000000000014</v>
      </c>
      <c r="BB17" s="128">
        <f t="shared" si="16"/>
        <v>0.79136163258940007</v>
      </c>
      <c r="BC17" s="141">
        <f t="shared" si="17"/>
        <v>15.498051056338031</v>
      </c>
      <c r="BD17" s="142">
        <v>0.85199999999999998</v>
      </c>
      <c r="BE17" s="16">
        <f t="shared" si="28"/>
        <v>2481.1299999999997</v>
      </c>
      <c r="BF17" s="16">
        <f t="shared" si="18"/>
        <v>223.33333333333334</v>
      </c>
      <c r="BG17" s="16">
        <f t="shared" si="29"/>
        <v>2456.6666666666665</v>
      </c>
      <c r="BH17" s="17">
        <f t="shared" si="19"/>
        <v>1</v>
      </c>
      <c r="BI17" s="16">
        <f t="shared" si="30"/>
        <v>2456.6666666666665</v>
      </c>
      <c r="BJ17" s="441">
        <f t="shared" si="31"/>
        <v>523.78300000000002</v>
      </c>
      <c r="BK17" s="244"/>
      <c r="BL17" s="195"/>
      <c r="BM17" s="197"/>
      <c r="BN17" s="230"/>
      <c r="BO17" s="230">
        <v>49.869</v>
      </c>
      <c r="BP17" s="250"/>
      <c r="BQ17" s="199"/>
      <c r="BR17" s="200">
        <v>1.55</v>
      </c>
      <c r="BS17" s="200"/>
      <c r="BT17" s="200"/>
      <c r="BU17" s="200"/>
      <c r="BV17" s="208"/>
      <c r="BW17" s="208">
        <v>2.3199999999999998</v>
      </c>
      <c r="BX17" s="201"/>
      <c r="BY17" s="202">
        <v>38.04</v>
      </c>
      <c r="BZ17" s="200"/>
      <c r="CA17" s="200"/>
      <c r="CB17" s="200"/>
      <c r="CC17" s="208"/>
      <c r="CD17" s="208">
        <v>39.020000000000003</v>
      </c>
      <c r="CE17" s="201"/>
      <c r="CF17" s="199"/>
      <c r="CG17" s="230"/>
      <c r="CH17" s="266">
        <f t="shared" si="32"/>
        <v>327.75</v>
      </c>
      <c r="CI17" s="445"/>
      <c r="CJ17" s="265"/>
      <c r="CK17" s="231"/>
      <c r="CL17" s="208"/>
      <c r="CM17" s="208"/>
      <c r="CN17" s="201"/>
      <c r="CO17" s="284"/>
      <c r="CP17" s="286">
        <f t="shared" si="20"/>
        <v>515.66436350000004</v>
      </c>
      <c r="CQ17" s="24">
        <f t="shared" si="20"/>
        <v>0</v>
      </c>
      <c r="CR17" s="25">
        <f t="shared" si="20"/>
        <v>0</v>
      </c>
      <c r="CS17" s="24">
        <f t="shared" si="20"/>
        <v>0</v>
      </c>
      <c r="CT17" s="27">
        <f t="shared" si="20"/>
        <v>0</v>
      </c>
      <c r="CU17" s="27">
        <f t="shared" si="20"/>
        <v>48.712039200000007</v>
      </c>
      <c r="CV17" s="280">
        <f t="shared" si="20"/>
        <v>0</v>
      </c>
      <c r="CW17" s="25">
        <f t="shared" si="21"/>
        <v>0</v>
      </c>
      <c r="CX17" s="26">
        <f t="shared" si="21"/>
        <v>327.75</v>
      </c>
      <c r="CY17" s="277">
        <f t="shared" si="21"/>
        <v>0</v>
      </c>
      <c r="CZ17" s="280">
        <f t="shared" si="21"/>
        <v>0</v>
      </c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33"/>
        <v>0</v>
      </c>
      <c r="DH17" s="315">
        <v>275.39999999999998</v>
      </c>
      <c r="DI17" s="411">
        <f t="shared" si="34"/>
        <v>287.7</v>
      </c>
      <c r="DJ17" s="136">
        <v>210.78</v>
      </c>
      <c r="DK17" s="411">
        <f t="shared" si="35"/>
        <v>223.08</v>
      </c>
      <c r="DL17" s="249">
        <v>457.78300000000002</v>
      </c>
      <c r="DM17" s="247">
        <f t="shared" si="36"/>
        <v>523.78300000000002</v>
      </c>
      <c r="DN17" s="266">
        <v>300.64999999999998</v>
      </c>
      <c r="DO17" s="247">
        <f t="shared" si="37"/>
        <v>327.75</v>
      </c>
    </row>
    <row r="18" spans="1:119" ht="16.5" customHeight="1">
      <c r="A18" s="127">
        <v>12</v>
      </c>
      <c r="B18" s="103">
        <f t="shared" si="24"/>
        <v>537.93399999999997</v>
      </c>
      <c r="C18" s="104">
        <f t="shared" si="0"/>
        <v>1.7314539330103693</v>
      </c>
      <c r="D18" s="143">
        <f t="shared" si="1"/>
        <v>528.6199206</v>
      </c>
      <c r="E18" s="104">
        <f t="shared" si="2"/>
        <v>37.539729873925054</v>
      </c>
      <c r="F18" s="128">
        <f t="shared" si="3"/>
        <v>2.4486748221234018</v>
      </c>
      <c r="G18" s="106"/>
      <c r="H18" s="107">
        <f t="shared" si="4"/>
        <v>2.4486748221234018</v>
      </c>
      <c r="I18" s="103">
        <f>'[1]сентябрь 20'!AE17</f>
        <v>0</v>
      </c>
      <c r="J18" s="328">
        <f>'[1]апрель 20'!AA17</f>
        <v>3.14</v>
      </c>
      <c r="K18" s="106"/>
      <c r="L18" s="328"/>
      <c r="M18" s="103">
        <f t="shared" si="5"/>
        <v>0</v>
      </c>
      <c r="N18" s="103">
        <f>'[1]июль 20'!AM17</f>
        <v>0</v>
      </c>
      <c r="O18" s="103">
        <f>'[1]апрель 20'!W17</f>
        <v>0</v>
      </c>
      <c r="P18" s="103">
        <v>321.18</v>
      </c>
      <c r="Q18" s="108">
        <f t="shared" si="6"/>
        <v>4.3122236751977017</v>
      </c>
      <c r="R18" s="109">
        <f t="shared" si="7"/>
        <v>307.33000000000004</v>
      </c>
      <c r="S18" s="106"/>
      <c r="T18" s="109">
        <f t="shared" si="8"/>
        <v>307.33000000000004</v>
      </c>
      <c r="U18" s="110">
        <f t="shared" si="9"/>
        <v>1.423614971280341</v>
      </c>
      <c r="V18" s="136">
        <f t="shared" si="25"/>
        <v>215.88000000000002</v>
      </c>
      <c r="W18" s="130">
        <v>203.58</v>
      </c>
      <c r="X18" s="131">
        <v>0.51</v>
      </c>
      <c r="Y18" s="112">
        <v>615</v>
      </c>
      <c r="Z18" s="133">
        <v>1243</v>
      </c>
      <c r="AA18" s="144" t="s">
        <v>257</v>
      </c>
      <c r="AB18" s="131">
        <v>75.88</v>
      </c>
      <c r="AC18" s="133">
        <v>157</v>
      </c>
      <c r="AD18" s="134">
        <v>5</v>
      </c>
      <c r="AE18" s="131">
        <v>1.1000000000000001</v>
      </c>
      <c r="AF18" s="115">
        <f t="shared" si="10"/>
        <v>5.0954233833611271</v>
      </c>
      <c r="AG18" s="131">
        <v>143.85</v>
      </c>
      <c r="AH18" s="115">
        <f t="shared" si="11"/>
        <v>666.34241245136172</v>
      </c>
      <c r="AI18" s="139">
        <v>25.56</v>
      </c>
      <c r="AJ18" s="131"/>
      <c r="AK18" s="136">
        <v>13.6</v>
      </c>
      <c r="AL18" s="136">
        <v>59.89</v>
      </c>
      <c r="AM18" s="110">
        <f t="shared" si="12"/>
        <v>0.20882147838214782</v>
      </c>
      <c r="AN18" s="137" t="s">
        <v>215</v>
      </c>
      <c r="AO18" s="150">
        <v>7.72</v>
      </c>
      <c r="AP18" s="138">
        <v>6.9</v>
      </c>
      <c r="AQ18" s="131"/>
      <c r="AR18" s="139">
        <v>9.08</v>
      </c>
      <c r="AS18" s="427">
        <f t="shared" si="26"/>
        <v>286.8</v>
      </c>
      <c r="AT18" s="116">
        <v>2.57</v>
      </c>
      <c r="AU18" s="116"/>
      <c r="AV18" s="131"/>
      <c r="AW18" s="109">
        <f t="shared" ref="AW18:AW37" si="38">IF(AX18=0,0,AV18/AX18*100)</f>
        <v>0</v>
      </c>
      <c r="AX18" s="109">
        <f t="shared" si="13"/>
        <v>215.88000000000002</v>
      </c>
      <c r="AY18" s="115">
        <f>IF(AB18=0,0,((D18*0.97)*(E18/100)*0.9)/(AB18/100))</f>
        <v>228.30824194895428</v>
      </c>
      <c r="AZ18" s="140">
        <f t="shared" si="14"/>
        <v>10.118125352112676</v>
      </c>
      <c r="BA18" s="141">
        <f t="shared" si="15"/>
        <v>8.6352000000000011</v>
      </c>
      <c r="BB18" s="128">
        <f t="shared" si="16"/>
        <v>0.82547716364149981</v>
      </c>
      <c r="BC18" s="141">
        <f t="shared" si="17"/>
        <v>18.753325352112675</v>
      </c>
      <c r="BD18" s="142">
        <v>0.85</v>
      </c>
      <c r="BE18" s="16">
        <f t="shared" si="28"/>
        <v>2697.0099999999998</v>
      </c>
      <c r="BF18" s="16">
        <f t="shared" si="18"/>
        <v>223.33333333333334</v>
      </c>
      <c r="BG18" s="16">
        <f t="shared" si="29"/>
        <v>2680</v>
      </c>
      <c r="BH18" s="17">
        <f t="shared" si="19"/>
        <v>1</v>
      </c>
      <c r="BI18" s="16">
        <f t="shared" si="30"/>
        <v>2680</v>
      </c>
      <c r="BJ18" s="441">
        <f t="shared" si="31"/>
        <v>490.30700000000002</v>
      </c>
      <c r="BK18" s="244"/>
      <c r="BL18" s="195"/>
      <c r="BM18" s="197"/>
      <c r="BN18" s="230"/>
      <c r="BO18" s="230">
        <v>47.627000000000002</v>
      </c>
      <c r="BP18" s="250"/>
      <c r="BQ18" s="199"/>
      <c r="BR18" s="200">
        <v>1.65</v>
      </c>
      <c r="BS18" s="200"/>
      <c r="BT18" s="200"/>
      <c r="BU18" s="200"/>
      <c r="BV18" s="208"/>
      <c r="BW18" s="208">
        <v>2.57</v>
      </c>
      <c r="BX18" s="201"/>
      <c r="BY18" s="202">
        <v>37.36</v>
      </c>
      <c r="BZ18" s="200"/>
      <c r="CA18" s="200"/>
      <c r="CB18" s="200"/>
      <c r="CC18" s="208"/>
      <c r="CD18" s="208">
        <v>39.39</v>
      </c>
      <c r="CE18" s="209"/>
      <c r="CF18" s="199"/>
      <c r="CG18" s="230"/>
      <c r="CH18" s="266">
        <f t="shared" si="32"/>
        <v>307.33000000000004</v>
      </c>
      <c r="CI18" s="446"/>
      <c r="CJ18" s="267"/>
      <c r="CK18" s="202"/>
      <c r="CL18" s="208"/>
      <c r="CM18" s="208"/>
      <c r="CN18" s="201"/>
      <c r="CO18" s="284"/>
      <c r="CP18" s="286">
        <f t="shared" si="20"/>
        <v>482.21693449999998</v>
      </c>
      <c r="CQ18" s="24">
        <f t="shared" si="20"/>
        <v>0</v>
      </c>
      <c r="CR18" s="25">
        <f t="shared" si="20"/>
        <v>0</v>
      </c>
      <c r="CS18" s="24">
        <f t="shared" si="20"/>
        <v>0</v>
      </c>
      <c r="CT18" s="27">
        <f t="shared" si="20"/>
        <v>0</v>
      </c>
      <c r="CU18" s="30">
        <f t="shared" si="20"/>
        <v>46.402986100000007</v>
      </c>
      <c r="CV18" s="280">
        <f t="shared" si="20"/>
        <v>0</v>
      </c>
      <c r="CW18" s="30">
        <f t="shared" si="21"/>
        <v>0</v>
      </c>
      <c r="CX18" s="24">
        <f t="shared" si="21"/>
        <v>307.33000000000004</v>
      </c>
      <c r="CY18" s="277">
        <f t="shared" si="21"/>
        <v>0</v>
      </c>
      <c r="CZ18" s="280">
        <f t="shared" si="21"/>
        <v>0</v>
      </c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33"/>
        <v>0</v>
      </c>
      <c r="DH18" s="315">
        <v>274.5</v>
      </c>
      <c r="DI18" s="411">
        <f t="shared" si="34"/>
        <v>286.8</v>
      </c>
      <c r="DJ18" s="136">
        <v>203.58</v>
      </c>
      <c r="DK18" s="411">
        <f t="shared" si="35"/>
        <v>215.88000000000002</v>
      </c>
      <c r="DL18" s="249">
        <v>424.30700000000002</v>
      </c>
      <c r="DM18" s="247">
        <f t="shared" si="36"/>
        <v>490.30700000000002</v>
      </c>
      <c r="DN18" s="289">
        <v>280.23</v>
      </c>
      <c r="DO18" s="247">
        <f t="shared" si="37"/>
        <v>307.33000000000004</v>
      </c>
    </row>
    <row r="19" spans="1:119" ht="16.5" customHeight="1">
      <c r="A19" s="127">
        <v>13</v>
      </c>
      <c r="B19" s="103">
        <f t="shared" si="24"/>
        <v>551.37599999999998</v>
      </c>
      <c r="C19" s="104">
        <f t="shared" si="0"/>
        <v>2.4369695996924063</v>
      </c>
      <c r="D19" s="143">
        <f t="shared" si="1"/>
        <v>537.93913450000002</v>
      </c>
      <c r="E19" s="104">
        <f>IF(B19=0,0,(BJ19*BY19+BK19*BZ19+BM19*CB19+BP19*CE19+BL19*CA19+BO19*CD19+BN19*CC19)/B19)</f>
        <v>37.750468954034993</v>
      </c>
      <c r="F19" s="128">
        <f t="shared" si="3"/>
        <v>2.5185595510089422</v>
      </c>
      <c r="G19" s="106"/>
      <c r="H19" s="107">
        <f t="shared" si="4"/>
        <v>2.5185595510089422</v>
      </c>
      <c r="I19" s="103">
        <f>'[1]сентябрь 20'!AE18</f>
        <v>0</v>
      </c>
      <c r="J19" s="328">
        <f>'[1]апрель 20'!AA18</f>
        <v>3.24</v>
      </c>
      <c r="K19" s="106"/>
      <c r="L19" s="328"/>
      <c r="M19" s="103">
        <f t="shared" si="5"/>
        <v>0</v>
      </c>
      <c r="N19" s="103">
        <f>'[1]июль 20'!AM18</f>
        <v>0</v>
      </c>
      <c r="O19" s="103">
        <f>'[1]апрель 20'!W18</f>
        <v>0</v>
      </c>
      <c r="P19" s="103">
        <v>329.5</v>
      </c>
      <c r="Q19" s="108">
        <f t="shared" si="6"/>
        <v>4.4097116843702544</v>
      </c>
      <c r="R19" s="109">
        <f t="shared" si="7"/>
        <v>314.97000000000003</v>
      </c>
      <c r="S19" s="106">
        <v>17.72</v>
      </c>
      <c r="T19" s="109">
        <f t="shared" si="8"/>
        <v>314.97000000000003</v>
      </c>
      <c r="U19" s="110">
        <f t="shared" si="9"/>
        <v>1.4746476894985718</v>
      </c>
      <c r="V19" s="136">
        <f t="shared" si="25"/>
        <v>184.52</v>
      </c>
      <c r="W19" s="130">
        <v>133.62</v>
      </c>
      <c r="X19" s="131">
        <v>0.98</v>
      </c>
      <c r="Y19" s="112">
        <v>588</v>
      </c>
      <c r="Z19" s="133">
        <v>1234</v>
      </c>
      <c r="AA19" s="144" t="s">
        <v>258</v>
      </c>
      <c r="AB19" s="131">
        <v>76.31</v>
      </c>
      <c r="AC19" s="133">
        <v>162</v>
      </c>
      <c r="AD19" s="134">
        <v>5</v>
      </c>
      <c r="AE19" s="131">
        <v>2</v>
      </c>
      <c r="AF19" s="115">
        <f t="shared" si="10"/>
        <v>9.363734257221779</v>
      </c>
      <c r="AG19" s="131">
        <v>122.6</v>
      </c>
      <c r="AH19" s="115">
        <f t="shared" si="11"/>
        <v>573.99690996769505</v>
      </c>
      <c r="AI19" s="139">
        <v>24.96</v>
      </c>
      <c r="AJ19" s="131"/>
      <c r="AK19" s="136">
        <v>12.88</v>
      </c>
      <c r="AL19" s="136">
        <v>61.82</v>
      </c>
      <c r="AM19" s="110">
        <f t="shared" si="12"/>
        <v>0.2175994368180218</v>
      </c>
      <c r="AN19" s="137" t="s">
        <v>259</v>
      </c>
      <c r="AO19" s="150">
        <v>8.57</v>
      </c>
      <c r="AP19" s="138">
        <v>7.06</v>
      </c>
      <c r="AQ19" s="134"/>
      <c r="AR19" s="139">
        <v>7.13</v>
      </c>
      <c r="AS19" s="427">
        <f t="shared" si="26"/>
        <v>284.10000000000002</v>
      </c>
      <c r="AT19" s="116">
        <v>4.1900000000000004</v>
      </c>
      <c r="AU19" s="116"/>
      <c r="AV19" s="131"/>
      <c r="AW19" s="109">
        <f t="shared" si="38"/>
        <v>0</v>
      </c>
      <c r="AX19" s="109">
        <f t="shared" si="13"/>
        <v>213.59000000000003</v>
      </c>
      <c r="AY19" s="115">
        <f t="shared" si="27"/>
        <v>232.32089978243562</v>
      </c>
      <c r="AZ19" s="140">
        <f t="shared" si="14"/>
        <v>6.7714915492957743</v>
      </c>
      <c r="BA19" s="141">
        <f t="shared" si="15"/>
        <v>8.5436000000000014</v>
      </c>
      <c r="BB19" s="128">
        <f t="shared" si="16"/>
        <v>0.80261427264882446</v>
      </c>
      <c r="BC19" s="141">
        <f t="shared" si="17"/>
        <v>15.315091549295776</v>
      </c>
      <c r="BD19" s="142">
        <v>0.84599999999999997</v>
      </c>
      <c r="BE19" s="16">
        <f t="shared" si="28"/>
        <v>2910.6</v>
      </c>
      <c r="BF19" s="16">
        <f t="shared" si="18"/>
        <v>223.33333333333334</v>
      </c>
      <c r="BG19" s="16">
        <f t="shared" si="29"/>
        <v>2903.3333333333335</v>
      </c>
      <c r="BH19" s="17">
        <f t="shared" si="19"/>
        <v>1</v>
      </c>
      <c r="BI19" s="16">
        <f t="shared" si="30"/>
        <v>2903.3333333333335</v>
      </c>
      <c r="BJ19" s="441">
        <f t="shared" si="31"/>
        <v>503.40699999999998</v>
      </c>
      <c r="BK19" s="196"/>
      <c r="BL19" s="197"/>
      <c r="BM19" s="197"/>
      <c r="BN19" s="230"/>
      <c r="BO19" s="230">
        <v>47.969000000000001</v>
      </c>
      <c r="BP19" s="258"/>
      <c r="BQ19" s="199"/>
      <c r="BR19" s="200">
        <v>2.41</v>
      </c>
      <c r="BS19" s="200"/>
      <c r="BT19" s="200"/>
      <c r="BU19" s="200"/>
      <c r="BV19" s="208"/>
      <c r="BW19" s="208">
        <v>2.72</v>
      </c>
      <c r="BX19" s="201"/>
      <c r="BY19" s="202">
        <v>37.68</v>
      </c>
      <c r="BZ19" s="200"/>
      <c r="CA19" s="200"/>
      <c r="CB19" s="200"/>
      <c r="CC19" s="208"/>
      <c r="CD19" s="208">
        <v>38.49</v>
      </c>
      <c r="CE19" s="209"/>
      <c r="CF19" s="199"/>
      <c r="CG19" s="230"/>
      <c r="CH19" s="266">
        <f t="shared" si="32"/>
        <v>314.97000000000003</v>
      </c>
      <c r="CI19" s="196"/>
      <c r="CJ19" s="198"/>
      <c r="CK19" s="202"/>
      <c r="CL19" s="208"/>
      <c r="CM19" s="208"/>
      <c r="CN19" s="201"/>
      <c r="CO19" s="284"/>
      <c r="CP19" s="286">
        <f t="shared" si="20"/>
        <v>491.27489129999998</v>
      </c>
      <c r="CQ19" s="24">
        <f t="shared" si="20"/>
        <v>0</v>
      </c>
      <c r="CR19" s="25">
        <f t="shared" si="20"/>
        <v>0</v>
      </c>
      <c r="CS19" s="24">
        <f t="shared" si="20"/>
        <v>0</v>
      </c>
      <c r="CT19" s="27">
        <f t="shared" si="20"/>
        <v>0</v>
      </c>
      <c r="CU19" s="24">
        <f t="shared" si="20"/>
        <v>46.664243200000001</v>
      </c>
      <c r="CV19" s="280">
        <f t="shared" si="20"/>
        <v>0</v>
      </c>
      <c r="CW19" s="237">
        <f t="shared" si="21"/>
        <v>0</v>
      </c>
      <c r="CX19" s="24">
        <f t="shared" si="21"/>
        <v>314.97000000000003</v>
      </c>
      <c r="CY19" s="277">
        <f t="shared" si="21"/>
        <v>0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33"/>
        <v>0</v>
      </c>
      <c r="DH19" s="315">
        <v>271.8</v>
      </c>
      <c r="DI19" s="411">
        <f t="shared" si="34"/>
        <v>284.10000000000002</v>
      </c>
      <c r="DJ19" s="136">
        <v>172.22</v>
      </c>
      <c r="DK19" s="411">
        <f t="shared" si="35"/>
        <v>184.52</v>
      </c>
      <c r="DL19" s="254">
        <v>437.40699999999998</v>
      </c>
      <c r="DM19" s="247">
        <f t="shared" si="36"/>
        <v>503.40699999999998</v>
      </c>
      <c r="DN19" s="197">
        <v>287.87</v>
      </c>
      <c r="DO19" s="247">
        <f t="shared" si="37"/>
        <v>314.97000000000003</v>
      </c>
    </row>
    <row r="20" spans="1:119" ht="16.5" customHeight="1">
      <c r="A20" s="127">
        <v>14</v>
      </c>
      <c r="B20" s="103">
        <f t="shared" si="24"/>
        <v>548.78099999999995</v>
      </c>
      <c r="C20" s="104">
        <f t="shared" si="0"/>
        <v>2.3259207224739926</v>
      </c>
      <c r="D20" s="143">
        <f t="shared" si="1"/>
        <v>536.0167889999999</v>
      </c>
      <c r="E20" s="104">
        <f t="shared" si="2"/>
        <v>37.898354625980126</v>
      </c>
      <c r="F20" s="128">
        <f t="shared" si="3"/>
        <v>2.5460351921341373</v>
      </c>
      <c r="G20" s="106"/>
      <c r="H20" s="107">
        <f t="shared" si="4"/>
        <v>2.5460351921341378</v>
      </c>
      <c r="I20" s="103">
        <f>'[1]сентябрь 20'!AE19</f>
        <v>0</v>
      </c>
      <c r="J20" s="328">
        <f>'[1]апрель 20'!AA19</f>
        <v>3.246</v>
      </c>
      <c r="K20" s="106"/>
      <c r="L20" s="328"/>
      <c r="M20" s="103">
        <f t="shared" si="5"/>
        <v>0</v>
      </c>
      <c r="N20" s="103">
        <f>'[1]июль 20'!AM19</f>
        <v>0</v>
      </c>
      <c r="O20" s="103">
        <f>'[1]апрель 20'!W19</f>
        <v>0</v>
      </c>
      <c r="P20" s="103">
        <v>329.3</v>
      </c>
      <c r="Q20" s="108">
        <f t="shared" si="6"/>
        <v>4.5095657455207938</v>
      </c>
      <c r="R20" s="109">
        <f t="shared" si="7"/>
        <v>314.45000000000005</v>
      </c>
      <c r="S20" s="106">
        <v>32.49</v>
      </c>
      <c r="T20" s="109">
        <f t="shared" si="8"/>
        <v>314.45000000000005</v>
      </c>
      <c r="U20" s="110">
        <f t="shared" si="9"/>
        <v>1.4936113618011686</v>
      </c>
      <c r="V20" s="136">
        <f t="shared" si="25"/>
        <v>210.53</v>
      </c>
      <c r="W20" s="130">
        <v>198.23</v>
      </c>
      <c r="X20" s="131">
        <v>0.44</v>
      </c>
      <c r="Y20" s="112">
        <v>625</v>
      </c>
      <c r="Z20" s="133">
        <v>1237</v>
      </c>
      <c r="AA20" s="151" t="s">
        <v>260</v>
      </c>
      <c r="AB20" s="131">
        <v>76.760000000000005</v>
      </c>
      <c r="AC20" s="133">
        <v>161</v>
      </c>
      <c r="AD20" s="134">
        <v>5</v>
      </c>
      <c r="AE20" s="131">
        <v>2.5499999999999998</v>
      </c>
      <c r="AF20" s="115">
        <f t="shared" si="10"/>
        <v>12.112288034959386</v>
      </c>
      <c r="AG20" s="131">
        <v>138.25</v>
      </c>
      <c r="AH20" s="115">
        <f t="shared" si="11"/>
        <v>656.67600816985703</v>
      </c>
      <c r="AI20" s="139">
        <v>31.7</v>
      </c>
      <c r="AJ20" s="131"/>
      <c r="AK20" s="136">
        <v>14.46</v>
      </c>
      <c r="AL20" s="136">
        <v>55.6</v>
      </c>
      <c r="AM20" s="110">
        <f t="shared" si="12"/>
        <v>0.2014127875384894</v>
      </c>
      <c r="AN20" s="137" t="s">
        <v>208</v>
      </c>
      <c r="AO20" s="150">
        <v>7.97</v>
      </c>
      <c r="AP20" s="138">
        <v>7.11</v>
      </c>
      <c r="AQ20" s="131"/>
      <c r="AR20" s="139">
        <v>9.15</v>
      </c>
      <c r="AS20" s="427">
        <f t="shared" si="26"/>
        <v>276.05</v>
      </c>
      <c r="AT20" s="116">
        <v>4.54</v>
      </c>
      <c r="AU20" s="148"/>
      <c r="AV20" s="131"/>
      <c r="AW20" s="109">
        <f t="shared" si="38"/>
        <v>0</v>
      </c>
      <c r="AX20" s="109">
        <f t="shared" si="13"/>
        <v>210.53</v>
      </c>
      <c r="AY20" s="115">
        <f t="shared" si="27"/>
        <v>231.03513225528937</v>
      </c>
      <c r="AZ20" s="140">
        <f t="shared" si="14"/>
        <v>9.7991989436619704</v>
      </c>
      <c r="BA20" s="141">
        <f t="shared" si="15"/>
        <v>8.4212000000000007</v>
      </c>
      <c r="BB20" s="128">
        <f t="shared" si="16"/>
        <v>0.79551836210309623</v>
      </c>
      <c r="BC20" s="141">
        <f t="shared" si="17"/>
        <v>18.220398943661969</v>
      </c>
      <c r="BD20" s="142">
        <v>0.84199999999999997</v>
      </c>
      <c r="BE20" s="16">
        <f t="shared" si="28"/>
        <v>3121.13</v>
      </c>
      <c r="BF20" s="16">
        <f t="shared" si="18"/>
        <v>223.33333333333334</v>
      </c>
      <c r="BG20" s="16">
        <f t="shared" si="29"/>
        <v>3126.666666666667</v>
      </c>
      <c r="BH20" s="17">
        <f t="shared" si="19"/>
        <v>1</v>
      </c>
      <c r="BI20" s="16">
        <f t="shared" si="30"/>
        <v>3126.666666666667</v>
      </c>
      <c r="BJ20" s="441">
        <f t="shared" si="31"/>
        <v>500.827</v>
      </c>
      <c r="BK20" s="196"/>
      <c r="BL20" s="197"/>
      <c r="BM20" s="197"/>
      <c r="BN20" s="230"/>
      <c r="BO20" s="230">
        <v>47.954000000000001</v>
      </c>
      <c r="BP20" s="259"/>
      <c r="BQ20" s="199"/>
      <c r="BR20" s="200">
        <v>2.36</v>
      </c>
      <c r="BS20" s="200"/>
      <c r="BT20" s="200"/>
      <c r="BU20" s="200"/>
      <c r="BV20" s="208"/>
      <c r="BW20" s="208">
        <v>1.97</v>
      </c>
      <c r="BX20" s="201"/>
      <c r="BY20" s="202">
        <v>37.79</v>
      </c>
      <c r="BZ20" s="200"/>
      <c r="CA20" s="200"/>
      <c r="CB20" s="200"/>
      <c r="CC20" s="208"/>
      <c r="CD20" s="208">
        <v>39.03</v>
      </c>
      <c r="CE20" s="209"/>
      <c r="CF20" s="199"/>
      <c r="CG20" s="230"/>
      <c r="CH20" s="266">
        <f t="shared" si="32"/>
        <v>314.45000000000005</v>
      </c>
      <c r="CI20" s="196"/>
      <c r="CJ20" s="198"/>
      <c r="CK20" s="202"/>
      <c r="CL20" s="208"/>
      <c r="CM20" s="208"/>
      <c r="CN20" s="201"/>
      <c r="CO20" s="284"/>
      <c r="CP20" s="286">
        <f t="shared" si="20"/>
        <v>489.00748280000005</v>
      </c>
      <c r="CQ20" s="24">
        <f t="shared" si="20"/>
        <v>0</v>
      </c>
      <c r="CR20" s="25">
        <f t="shared" si="20"/>
        <v>0</v>
      </c>
      <c r="CS20" s="24">
        <f t="shared" si="20"/>
        <v>0</v>
      </c>
      <c r="CT20" s="27">
        <f t="shared" si="20"/>
        <v>0</v>
      </c>
      <c r="CU20" s="30">
        <f t="shared" si="20"/>
        <v>47.009306200000005</v>
      </c>
      <c r="CV20" s="280">
        <f t="shared" si="20"/>
        <v>0</v>
      </c>
      <c r="CW20" s="237">
        <f t="shared" si="21"/>
        <v>0</v>
      </c>
      <c r="CX20" s="29">
        <f t="shared" si="21"/>
        <v>314.45000000000005</v>
      </c>
      <c r="CY20" s="277">
        <f t="shared" si="21"/>
        <v>0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33"/>
        <v>0</v>
      </c>
      <c r="DH20" s="315">
        <v>263.75</v>
      </c>
      <c r="DI20" s="411">
        <f t="shared" si="34"/>
        <v>276.05</v>
      </c>
      <c r="DJ20" s="136">
        <v>198.23</v>
      </c>
      <c r="DK20" s="411">
        <f t="shared" si="35"/>
        <v>210.53</v>
      </c>
      <c r="DL20" s="254">
        <v>434.827</v>
      </c>
      <c r="DM20" s="247">
        <f t="shared" si="36"/>
        <v>500.827</v>
      </c>
      <c r="DN20" s="197">
        <v>287.35000000000002</v>
      </c>
      <c r="DO20" s="247">
        <f t="shared" si="37"/>
        <v>314.45000000000005</v>
      </c>
    </row>
    <row r="21" spans="1:119" ht="16.5" customHeight="1">
      <c r="A21" s="127">
        <v>15</v>
      </c>
      <c r="B21" s="103">
        <f t="shared" si="24"/>
        <v>480.65199999999999</v>
      </c>
      <c r="C21" s="104">
        <f t="shared" si="0"/>
        <v>1.535268302222814</v>
      </c>
      <c r="D21" s="143">
        <f t="shared" si="1"/>
        <v>473.27270219999997</v>
      </c>
      <c r="E21" s="104">
        <f t="shared" si="2"/>
        <v>37.41128396428185</v>
      </c>
      <c r="F21" s="128">
        <f t="shared" si="3"/>
        <v>2.5392890986157313</v>
      </c>
      <c r="G21" s="106"/>
      <c r="H21" s="107">
        <f t="shared" si="4"/>
        <v>2.5392890986157317</v>
      </c>
      <c r="I21" s="103">
        <f>'[1]сентябрь 20'!AE20</f>
        <v>0</v>
      </c>
      <c r="J21" s="328">
        <f>'[1]апрель 20'!AA20</f>
        <v>2.85</v>
      </c>
      <c r="K21" s="106"/>
      <c r="L21" s="328"/>
      <c r="M21" s="103">
        <f t="shared" si="5"/>
        <v>0</v>
      </c>
      <c r="N21" s="103">
        <f>'[1]июль 20'!AM20</f>
        <v>0</v>
      </c>
      <c r="O21" s="103">
        <f>'[1]апрель 20'!W20</f>
        <v>0</v>
      </c>
      <c r="P21" s="103">
        <v>285.7</v>
      </c>
      <c r="Q21" s="108">
        <f t="shared" si="6"/>
        <v>4.2667133356667826</v>
      </c>
      <c r="R21" s="109">
        <f t="shared" si="7"/>
        <v>273.51</v>
      </c>
      <c r="S21" s="106">
        <v>18.22</v>
      </c>
      <c r="T21" s="109">
        <f t="shared" si="8"/>
        <v>273.51</v>
      </c>
      <c r="U21" s="110">
        <f t="shared" si="9"/>
        <v>1.4674857817362377</v>
      </c>
      <c r="V21" s="136">
        <f t="shared" si="25"/>
        <v>186.38000000000002</v>
      </c>
      <c r="W21" s="130">
        <v>128.46</v>
      </c>
      <c r="X21" s="131">
        <v>0.75</v>
      </c>
      <c r="Y21" s="112">
        <v>623</v>
      </c>
      <c r="Z21" s="133">
        <v>1215</v>
      </c>
      <c r="AA21" s="151" t="s">
        <v>262</v>
      </c>
      <c r="AB21" s="131">
        <v>76.650000000000006</v>
      </c>
      <c r="AC21" s="133">
        <v>138</v>
      </c>
      <c r="AD21" s="134">
        <v>5</v>
      </c>
      <c r="AE21" s="131">
        <v>1.35</v>
      </c>
      <c r="AF21" s="115">
        <f t="shared" si="10"/>
        <v>7.2432664448975217</v>
      </c>
      <c r="AG21" s="131">
        <v>120.95</v>
      </c>
      <c r="AH21" s="115">
        <f t="shared" si="11"/>
        <v>648.94301963730015</v>
      </c>
      <c r="AI21" s="139">
        <v>24.72</v>
      </c>
      <c r="AJ21" s="131"/>
      <c r="AK21" s="136">
        <v>8.85</v>
      </c>
      <c r="AL21" s="136">
        <v>48.24</v>
      </c>
      <c r="AM21" s="110">
        <f t="shared" si="12"/>
        <v>0.20137758296806513</v>
      </c>
      <c r="AN21" s="137" t="s">
        <v>189</v>
      </c>
      <c r="AO21" s="150">
        <v>7.83</v>
      </c>
      <c r="AP21" s="138">
        <v>6.76</v>
      </c>
      <c r="AQ21" s="131"/>
      <c r="AR21" s="139">
        <v>10.7</v>
      </c>
      <c r="AS21" s="427">
        <f t="shared" si="26"/>
        <v>239.55</v>
      </c>
      <c r="AT21" s="116">
        <v>3.92</v>
      </c>
      <c r="AU21" s="116"/>
      <c r="AV21" s="131"/>
      <c r="AW21" s="109">
        <f t="shared" si="38"/>
        <v>0</v>
      </c>
      <c r="AX21" s="109">
        <f t="shared" si="13"/>
        <v>186.38</v>
      </c>
      <c r="AY21" s="115">
        <f t="shared" si="27"/>
        <v>201.65832412028314</v>
      </c>
      <c r="AZ21" s="140">
        <f t="shared" si="14"/>
        <v>10.025221830985915</v>
      </c>
      <c r="BA21" s="141">
        <f t="shared" si="15"/>
        <v>7.4551999999999996</v>
      </c>
      <c r="BB21" s="128">
        <f t="shared" si="16"/>
        <v>0.80685853514754247</v>
      </c>
      <c r="BC21" s="141">
        <f t="shared" si="17"/>
        <v>17.480421830985915</v>
      </c>
      <c r="BD21" s="142">
        <v>0.84</v>
      </c>
      <c r="BE21" s="16">
        <f t="shared" si="28"/>
        <v>3307.51</v>
      </c>
      <c r="BF21" s="16">
        <f t="shared" si="18"/>
        <v>223.33333333333334</v>
      </c>
      <c r="BG21" s="16">
        <f t="shared" si="29"/>
        <v>3350.0000000000005</v>
      </c>
      <c r="BH21" s="17">
        <f t="shared" si="19"/>
        <v>1</v>
      </c>
      <c r="BI21" s="16">
        <f t="shared" si="30"/>
        <v>3350.0000000000005</v>
      </c>
      <c r="BJ21" s="441">
        <f t="shared" si="31"/>
        <v>438.642</v>
      </c>
      <c r="BK21" s="196"/>
      <c r="BL21" s="197"/>
      <c r="BM21" s="197"/>
      <c r="BN21" s="230"/>
      <c r="BO21" s="230">
        <v>42.01</v>
      </c>
      <c r="BP21" s="259"/>
      <c r="BQ21" s="199"/>
      <c r="BR21" s="200">
        <v>1.44</v>
      </c>
      <c r="BS21" s="200"/>
      <c r="BT21" s="200"/>
      <c r="BU21" s="200"/>
      <c r="BV21" s="208"/>
      <c r="BW21" s="208">
        <v>2.5299999999999998</v>
      </c>
      <c r="BX21" s="201"/>
      <c r="BY21" s="202">
        <v>37.33</v>
      </c>
      <c r="BZ21" s="200"/>
      <c r="CA21" s="200"/>
      <c r="CB21" s="200"/>
      <c r="CC21" s="208"/>
      <c r="CD21" s="208">
        <v>38.26</v>
      </c>
      <c r="CE21" s="209"/>
      <c r="CF21" s="199"/>
      <c r="CG21" s="230"/>
      <c r="CH21" s="266">
        <f t="shared" si="32"/>
        <v>273.51</v>
      </c>
      <c r="CI21" s="196"/>
      <c r="CJ21" s="198"/>
      <c r="CK21" s="202"/>
      <c r="CL21" s="208"/>
      <c r="CM21" s="208"/>
      <c r="CN21" s="201"/>
      <c r="CO21" s="284"/>
      <c r="CP21" s="286">
        <f t="shared" si="20"/>
        <v>432.3255552</v>
      </c>
      <c r="CQ21" s="27">
        <f t="shared" si="20"/>
        <v>0</v>
      </c>
      <c r="CR21" s="28">
        <f t="shared" si="20"/>
        <v>0</v>
      </c>
      <c r="CS21" s="27">
        <f t="shared" si="20"/>
        <v>0</v>
      </c>
      <c r="CT21" s="27">
        <f t="shared" si="20"/>
        <v>0</v>
      </c>
      <c r="CU21" s="24">
        <f t="shared" si="20"/>
        <v>40.947147000000001</v>
      </c>
      <c r="CV21" s="281">
        <f t="shared" si="20"/>
        <v>0</v>
      </c>
      <c r="CW21" s="237">
        <f t="shared" si="21"/>
        <v>0</v>
      </c>
      <c r="CX21" s="24">
        <f t="shared" si="21"/>
        <v>273.51</v>
      </c>
      <c r="CY21" s="277">
        <f t="shared" si="21"/>
        <v>0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33"/>
        <v>0</v>
      </c>
      <c r="DH21" s="315">
        <v>227.25</v>
      </c>
      <c r="DI21" s="411">
        <f t="shared" si="34"/>
        <v>239.55</v>
      </c>
      <c r="DJ21" s="136">
        <v>174.08</v>
      </c>
      <c r="DK21" s="411">
        <f t="shared" si="35"/>
        <v>186.38000000000002</v>
      </c>
      <c r="DL21" s="254">
        <v>372.642</v>
      </c>
      <c r="DM21" s="247">
        <f t="shared" si="36"/>
        <v>438.642</v>
      </c>
      <c r="DN21" s="197">
        <v>246.41</v>
      </c>
      <c r="DO21" s="247">
        <f t="shared" si="37"/>
        <v>273.51</v>
      </c>
    </row>
    <row r="22" spans="1:119" ht="16.5" customHeight="1">
      <c r="A22" s="127">
        <v>16</v>
      </c>
      <c r="B22" s="103">
        <f t="shared" si="24"/>
        <v>547.63</v>
      </c>
      <c r="C22" s="104">
        <f t="shared" si="0"/>
        <v>1.112496192684842</v>
      </c>
      <c r="D22" s="143">
        <f t="shared" si="1"/>
        <v>541.53763709999998</v>
      </c>
      <c r="E22" s="104">
        <f t="shared" si="2"/>
        <v>37.708289922027646</v>
      </c>
      <c r="F22" s="128">
        <f t="shared" si="3"/>
        <v>2.3607726452766031</v>
      </c>
      <c r="G22" s="106"/>
      <c r="H22" s="107">
        <f t="shared" si="4"/>
        <v>2.3607726452766031</v>
      </c>
      <c r="I22" s="103">
        <f>'[1]сентябрь 20'!AE21</f>
        <v>0</v>
      </c>
      <c r="J22" s="328">
        <f>'[1]апрель 20'!AA21</f>
        <v>3.2010000000000001</v>
      </c>
      <c r="K22" s="106"/>
      <c r="L22" s="328"/>
      <c r="M22" s="103">
        <f t="shared" si="5"/>
        <v>0</v>
      </c>
      <c r="N22" s="103">
        <f>'[1]июль 20'!AM21</f>
        <v>0</v>
      </c>
      <c r="O22" s="103">
        <f>'[1]апрель 20'!W21</f>
        <v>0</v>
      </c>
      <c r="P22" s="103">
        <v>325.39999999999998</v>
      </c>
      <c r="Q22" s="108">
        <f t="shared" si="6"/>
        <v>4.2655193607867066</v>
      </c>
      <c r="R22" s="109">
        <f t="shared" si="7"/>
        <v>311.52000000000004</v>
      </c>
      <c r="S22" s="106">
        <v>15.18</v>
      </c>
      <c r="T22" s="109">
        <f t="shared" si="8"/>
        <v>311.52000000000004</v>
      </c>
      <c r="U22" s="110">
        <f t="shared" si="9"/>
        <v>1.3580365316709537</v>
      </c>
      <c r="V22" s="136">
        <f t="shared" si="25"/>
        <v>229.39000000000001</v>
      </c>
      <c r="W22" s="129">
        <v>73.17</v>
      </c>
      <c r="X22" s="131">
        <v>0.96</v>
      </c>
      <c r="Y22" s="112">
        <v>592</v>
      </c>
      <c r="Z22" s="152">
        <v>1240</v>
      </c>
      <c r="AA22" s="144" t="s">
        <v>263</v>
      </c>
      <c r="AB22" s="131">
        <v>77</v>
      </c>
      <c r="AC22" s="133">
        <v>161</v>
      </c>
      <c r="AD22" s="134">
        <v>5</v>
      </c>
      <c r="AE22" s="131">
        <v>1.3</v>
      </c>
      <c r="AF22" s="115">
        <f t="shared" si="10"/>
        <v>5.6672043245128387</v>
      </c>
      <c r="AG22" s="131">
        <v>135.69999999999999</v>
      </c>
      <c r="AH22" s="115">
        <f t="shared" si="11"/>
        <v>591.56894372030172</v>
      </c>
      <c r="AI22" s="139">
        <v>19.28</v>
      </c>
      <c r="AJ22" s="131"/>
      <c r="AK22" s="136">
        <v>10.64</v>
      </c>
      <c r="AL22" s="136">
        <v>53.17</v>
      </c>
      <c r="AM22" s="110">
        <f t="shared" si="12"/>
        <v>0.1830607677741436</v>
      </c>
      <c r="AN22" s="137" t="s">
        <v>249</v>
      </c>
      <c r="AO22" s="150">
        <v>8.5399999999999991</v>
      </c>
      <c r="AP22" s="138">
        <v>7.33</v>
      </c>
      <c r="AQ22" s="134"/>
      <c r="AR22" s="139">
        <v>6.91</v>
      </c>
      <c r="AS22" s="427">
        <f t="shared" si="26"/>
        <v>290.45</v>
      </c>
      <c r="AT22" s="116">
        <v>2.75</v>
      </c>
      <c r="AU22" s="116"/>
      <c r="AV22" s="131"/>
      <c r="AW22" s="109">
        <f t="shared" si="38"/>
        <v>0</v>
      </c>
      <c r="AX22" s="109">
        <f t="shared" si="13"/>
        <v>229.39</v>
      </c>
      <c r="AY22" s="115">
        <f t="shared" si="27"/>
        <v>231.52026011789098</v>
      </c>
      <c r="AZ22" s="140">
        <f t="shared" si="14"/>
        <v>7.2637725352112659</v>
      </c>
      <c r="BA22" s="141">
        <f t="shared" si="15"/>
        <v>9.1755999999999993</v>
      </c>
      <c r="BB22" s="128">
        <f t="shared" si="16"/>
        <v>0.86496736785812234</v>
      </c>
      <c r="BC22" s="141">
        <f t="shared" si="17"/>
        <v>16.439372535211266</v>
      </c>
      <c r="BD22" s="142">
        <v>0.84199999999999997</v>
      </c>
      <c r="BE22" s="16">
        <f t="shared" si="28"/>
        <v>3536.9</v>
      </c>
      <c r="BF22" s="16">
        <f t="shared" si="18"/>
        <v>223.33333333333334</v>
      </c>
      <c r="BG22" s="16">
        <f t="shared" si="29"/>
        <v>3573.3333333333339</v>
      </c>
      <c r="BH22" s="17">
        <f t="shared" si="19"/>
        <v>1</v>
      </c>
      <c r="BI22" s="16">
        <f t="shared" si="30"/>
        <v>3573.3333333333339</v>
      </c>
      <c r="BJ22" s="441">
        <f t="shared" si="31"/>
        <v>499.53300000000002</v>
      </c>
      <c r="BK22" s="196"/>
      <c r="BL22" s="197"/>
      <c r="BM22" s="197"/>
      <c r="BN22" s="230"/>
      <c r="BO22" s="230">
        <v>48.097000000000001</v>
      </c>
      <c r="BP22" s="258"/>
      <c r="BQ22" s="199"/>
      <c r="BR22" s="200">
        <v>1.08</v>
      </c>
      <c r="BS22" s="200"/>
      <c r="BT22" s="200"/>
      <c r="BU22" s="200"/>
      <c r="BV22" s="208"/>
      <c r="BW22" s="208">
        <v>1.45</v>
      </c>
      <c r="BX22" s="201"/>
      <c r="BY22" s="202">
        <v>37.53</v>
      </c>
      <c r="BZ22" s="200"/>
      <c r="CA22" s="200"/>
      <c r="CB22" s="200"/>
      <c r="CC22" s="208"/>
      <c r="CD22" s="208">
        <v>39.56</v>
      </c>
      <c r="CE22" s="201"/>
      <c r="CF22" s="199"/>
      <c r="CG22" s="230"/>
      <c r="CH22" s="266">
        <f t="shared" si="32"/>
        <v>311.52000000000004</v>
      </c>
      <c r="CI22" s="196"/>
      <c r="CJ22" s="198"/>
      <c r="CK22" s="202"/>
      <c r="CL22" s="200"/>
      <c r="CM22" s="208"/>
      <c r="CN22" s="201"/>
      <c r="CO22" s="284"/>
      <c r="CP22" s="286">
        <f t="shared" si="20"/>
        <v>494.1380436</v>
      </c>
      <c r="CQ22" s="29">
        <f t="shared" si="20"/>
        <v>0</v>
      </c>
      <c r="CR22" s="30">
        <f t="shared" si="20"/>
        <v>0</v>
      </c>
      <c r="CS22" s="29">
        <f t="shared" si="20"/>
        <v>0</v>
      </c>
      <c r="CT22" s="27">
        <f t="shared" si="20"/>
        <v>0</v>
      </c>
      <c r="CU22" s="24">
        <f t="shared" si="20"/>
        <v>47.399593499999995</v>
      </c>
      <c r="CV22" s="282">
        <f t="shared" si="20"/>
        <v>0</v>
      </c>
      <c r="CW22" s="237">
        <f t="shared" si="21"/>
        <v>0</v>
      </c>
      <c r="CX22" s="24">
        <f t="shared" si="21"/>
        <v>311.52000000000004</v>
      </c>
      <c r="CY22" s="277">
        <f t="shared" si="21"/>
        <v>0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33"/>
        <v>0</v>
      </c>
      <c r="DH22" s="315">
        <v>278.14999999999998</v>
      </c>
      <c r="DI22" s="411">
        <f t="shared" si="34"/>
        <v>290.45</v>
      </c>
      <c r="DJ22" s="136">
        <v>217.09</v>
      </c>
      <c r="DK22" s="411">
        <f t="shared" si="35"/>
        <v>229.39000000000001</v>
      </c>
      <c r="DL22" s="254">
        <v>433.53300000000002</v>
      </c>
      <c r="DM22" s="247">
        <f t="shared" si="36"/>
        <v>499.53300000000002</v>
      </c>
      <c r="DN22" s="197">
        <v>284.42</v>
      </c>
      <c r="DO22" s="247">
        <f t="shared" si="37"/>
        <v>311.52000000000004</v>
      </c>
    </row>
    <row r="23" spans="1:119" ht="16.5" customHeight="1">
      <c r="A23" s="127">
        <v>17</v>
      </c>
      <c r="B23" s="103">
        <f t="shared" si="24"/>
        <v>574.93200000000002</v>
      </c>
      <c r="C23" s="104">
        <f t="shared" si="0"/>
        <v>1.524725950199328</v>
      </c>
      <c r="D23" s="143">
        <f t="shared" si="1"/>
        <v>566.16586260000008</v>
      </c>
      <c r="E23" s="104">
        <f t="shared" si="2"/>
        <v>37.451056490158834</v>
      </c>
      <c r="F23" s="128">
        <f t="shared" si="3"/>
        <v>2.5702100172507722</v>
      </c>
      <c r="G23" s="106"/>
      <c r="H23" s="107">
        <f t="shared" si="4"/>
        <v>2.5702100172507722</v>
      </c>
      <c r="I23" s="103">
        <f>'[1]сентябрь 20'!AE22</f>
        <v>0</v>
      </c>
      <c r="J23" s="328">
        <f>'[1]апрель 20'!AA22</f>
        <v>2.0939999999999999</v>
      </c>
      <c r="K23" s="106"/>
      <c r="L23" s="328"/>
      <c r="M23" s="103">
        <f t="shared" si="5"/>
        <v>0</v>
      </c>
      <c r="N23" s="103">
        <f>'[1]июль 20'!AM22</f>
        <v>0</v>
      </c>
      <c r="O23" s="103">
        <f>'[1]апрель 20'!W22</f>
        <v>0</v>
      </c>
      <c r="P23" s="103">
        <v>343.15</v>
      </c>
      <c r="Q23" s="108">
        <f t="shared" si="6"/>
        <v>4.3421244353781034</v>
      </c>
      <c r="R23" s="109">
        <f t="shared" si="7"/>
        <v>328.25</v>
      </c>
      <c r="S23" s="106">
        <v>32.03</v>
      </c>
      <c r="T23" s="109">
        <f t="shared" si="8"/>
        <v>328.25</v>
      </c>
      <c r="U23" s="110">
        <f t="shared" si="9"/>
        <v>1.4901489013982205</v>
      </c>
      <c r="V23" s="136">
        <f t="shared" si="25"/>
        <v>220.28</v>
      </c>
      <c r="W23" s="129">
        <v>207.98</v>
      </c>
      <c r="X23" s="131">
        <v>0.6</v>
      </c>
      <c r="Y23" s="112">
        <v>577</v>
      </c>
      <c r="Z23" s="133">
        <v>1233</v>
      </c>
      <c r="AA23" s="144" t="s">
        <v>264</v>
      </c>
      <c r="AB23" s="131">
        <v>76.87</v>
      </c>
      <c r="AC23" s="133">
        <v>169</v>
      </c>
      <c r="AD23" s="134">
        <v>5</v>
      </c>
      <c r="AE23" s="131">
        <v>2.1</v>
      </c>
      <c r="AF23" s="115">
        <f t="shared" si="10"/>
        <v>9.5333212275286012</v>
      </c>
      <c r="AG23" s="131">
        <v>141.25</v>
      </c>
      <c r="AH23" s="115">
        <f t="shared" si="11"/>
        <v>641.22934447067371</v>
      </c>
      <c r="AI23" s="139">
        <v>22.63</v>
      </c>
      <c r="AJ23" s="131"/>
      <c r="AK23" s="136">
        <v>12.34</v>
      </c>
      <c r="AL23" s="136">
        <v>55.2</v>
      </c>
      <c r="AM23" s="110">
        <f t="shared" si="12"/>
        <v>0.19402460456942006</v>
      </c>
      <c r="AN23" s="137" t="s">
        <v>238</v>
      </c>
      <c r="AO23" s="150">
        <v>8.41</v>
      </c>
      <c r="AP23" s="138">
        <v>7.32</v>
      </c>
      <c r="AQ23" s="134"/>
      <c r="AR23" s="139">
        <v>8.3699999999999992</v>
      </c>
      <c r="AS23" s="427">
        <f t="shared" si="26"/>
        <v>284.5</v>
      </c>
      <c r="AT23" s="116">
        <v>3.32</v>
      </c>
      <c r="AU23" s="116"/>
      <c r="AV23" s="131"/>
      <c r="AW23" s="109">
        <f t="shared" si="38"/>
        <v>0</v>
      </c>
      <c r="AX23" s="109">
        <f t="shared" si="13"/>
        <v>220.28</v>
      </c>
      <c r="AY23" s="115">
        <f t="shared" si="27"/>
        <v>240.80478692268807</v>
      </c>
      <c r="AZ23" s="140">
        <f t="shared" si="14"/>
        <v>9.1583714788732387</v>
      </c>
      <c r="BA23" s="141">
        <f t="shared" si="15"/>
        <v>8.8111999999999995</v>
      </c>
      <c r="BB23" s="128">
        <f t="shared" si="16"/>
        <v>0.79859060302543161</v>
      </c>
      <c r="BC23" s="141">
        <f t="shared" si="17"/>
        <v>17.969571478873238</v>
      </c>
      <c r="BD23" s="142">
        <v>0.83899999999999997</v>
      </c>
      <c r="BE23" s="16">
        <f t="shared" si="28"/>
        <v>3757.1800000000003</v>
      </c>
      <c r="BF23" s="16">
        <f t="shared" si="18"/>
        <v>223.33333333333334</v>
      </c>
      <c r="BG23" s="16">
        <f t="shared" si="29"/>
        <v>3796.6666666666674</v>
      </c>
      <c r="BH23" s="17">
        <f t="shared" si="19"/>
        <v>1</v>
      </c>
      <c r="BI23" s="16">
        <f t="shared" si="30"/>
        <v>3796.6666666666674</v>
      </c>
      <c r="BJ23" s="441">
        <f t="shared" si="31"/>
        <v>522.87300000000005</v>
      </c>
      <c r="BK23" s="196"/>
      <c r="BL23" s="197"/>
      <c r="BM23" s="197"/>
      <c r="BN23" s="230"/>
      <c r="BO23" s="230">
        <v>52.058999999999997</v>
      </c>
      <c r="BP23" s="258"/>
      <c r="BQ23" s="199"/>
      <c r="BR23" s="200">
        <v>1.57</v>
      </c>
      <c r="BS23" s="200"/>
      <c r="BT23" s="200"/>
      <c r="BU23" s="200"/>
      <c r="BV23" s="208"/>
      <c r="BW23" s="208">
        <v>1.07</v>
      </c>
      <c r="BX23" s="201"/>
      <c r="BY23" s="202">
        <v>37.26</v>
      </c>
      <c r="BZ23" s="200"/>
      <c r="CA23" s="200"/>
      <c r="CB23" s="200"/>
      <c r="CC23" s="208"/>
      <c r="CD23" s="208">
        <v>39.369999999999997</v>
      </c>
      <c r="CE23" s="209"/>
      <c r="CF23" s="199"/>
      <c r="CG23" s="230"/>
      <c r="CH23" s="266">
        <f t="shared" si="32"/>
        <v>328.25</v>
      </c>
      <c r="CI23" s="196"/>
      <c r="CJ23" s="198"/>
      <c r="CK23" s="202"/>
      <c r="CL23" s="208"/>
      <c r="CM23" s="208"/>
      <c r="CN23" s="201"/>
      <c r="CO23" s="284"/>
      <c r="CP23" s="286">
        <f t="shared" si="20"/>
        <v>514.66389390000006</v>
      </c>
      <c r="CQ23" s="24">
        <f t="shared" si="20"/>
        <v>0</v>
      </c>
      <c r="CR23" s="25">
        <f t="shared" si="20"/>
        <v>0</v>
      </c>
      <c r="CS23" s="24">
        <f t="shared" si="20"/>
        <v>0</v>
      </c>
      <c r="CT23" s="27">
        <f t="shared" si="20"/>
        <v>0</v>
      </c>
      <c r="CU23" s="24">
        <f t="shared" si="20"/>
        <v>51.501968699999999</v>
      </c>
      <c r="CV23" s="280">
        <f t="shared" si="20"/>
        <v>0</v>
      </c>
      <c r="CW23" s="237">
        <f t="shared" si="21"/>
        <v>0</v>
      </c>
      <c r="CX23" s="29">
        <f t="shared" si="21"/>
        <v>328.25</v>
      </c>
      <c r="CY23" s="277">
        <f t="shared" si="21"/>
        <v>0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33"/>
        <v>0</v>
      </c>
      <c r="DH23" s="315">
        <v>272.2</v>
      </c>
      <c r="DI23" s="411">
        <f t="shared" si="34"/>
        <v>284.5</v>
      </c>
      <c r="DJ23" s="136">
        <v>207.98</v>
      </c>
      <c r="DK23" s="411">
        <f t="shared" si="35"/>
        <v>220.28</v>
      </c>
      <c r="DL23" s="254">
        <v>456.87299999999999</v>
      </c>
      <c r="DM23" s="247">
        <f t="shared" si="36"/>
        <v>522.87300000000005</v>
      </c>
      <c r="DN23" s="197">
        <v>301.14999999999998</v>
      </c>
      <c r="DO23" s="247">
        <f t="shared" si="37"/>
        <v>328.25</v>
      </c>
    </row>
    <row r="24" spans="1:119" ht="16.5" customHeight="1">
      <c r="A24" s="127">
        <v>18</v>
      </c>
      <c r="B24" s="103">
        <f t="shared" si="24"/>
        <v>567.46899999999994</v>
      </c>
      <c r="C24" s="104">
        <f t="shared" si="0"/>
        <v>1.4896908024931759</v>
      </c>
      <c r="D24" s="143">
        <f t="shared" si="1"/>
        <v>559.0154665</v>
      </c>
      <c r="E24" s="104">
        <f t="shared" si="2"/>
        <v>38.007108652631246</v>
      </c>
      <c r="F24" s="128">
        <f t="shared" si="3"/>
        <v>2.501299684549644</v>
      </c>
      <c r="G24" s="106"/>
      <c r="H24" s="107">
        <f t="shared" si="4"/>
        <v>2.501299684549644</v>
      </c>
      <c r="I24" s="103">
        <f>'[1]сентябрь 20'!AE23</f>
        <v>0</v>
      </c>
      <c r="J24" s="328">
        <f>'[1]апрель 20'!AA23</f>
        <v>0</v>
      </c>
      <c r="K24" s="106"/>
      <c r="L24" s="328"/>
      <c r="M24" s="103">
        <f t="shared" si="5"/>
        <v>0</v>
      </c>
      <c r="N24" s="103">
        <f>'[1]июль 20'!AM23</f>
        <v>0</v>
      </c>
      <c r="O24" s="103">
        <f>'[1]апрель 20'!W23</f>
        <v>0</v>
      </c>
      <c r="P24" s="103">
        <v>342.33</v>
      </c>
      <c r="Q24" s="108">
        <f t="shared" si="6"/>
        <v>4.3788157625682667</v>
      </c>
      <c r="R24" s="109">
        <f t="shared" si="7"/>
        <v>327.34000000000003</v>
      </c>
      <c r="S24" s="106"/>
      <c r="T24" s="109">
        <f t="shared" si="8"/>
        <v>327.34000000000003</v>
      </c>
      <c r="U24" s="110">
        <f t="shared" si="9"/>
        <v>1.4646740346324219</v>
      </c>
      <c r="V24" s="136">
        <f t="shared" si="25"/>
        <v>223.49</v>
      </c>
      <c r="W24" s="129">
        <v>211.19</v>
      </c>
      <c r="X24" s="131">
        <v>0.44</v>
      </c>
      <c r="Y24" s="133">
        <v>602</v>
      </c>
      <c r="Z24" s="133">
        <v>1230</v>
      </c>
      <c r="AA24" s="144" t="s">
        <v>265</v>
      </c>
      <c r="AB24" s="131">
        <v>76.62</v>
      </c>
      <c r="AC24" s="133">
        <v>167</v>
      </c>
      <c r="AD24" s="134">
        <v>5</v>
      </c>
      <c r="AE24" s="131">
        <v>2.2000000000000002</v>
      </c>
      <c r="AF24" s="115">
        <f t="shared" si="10"/>
        <v>9.8438408877354675</v>
      </c>
      <c r="AG24" s="131">
        <v>146</v>
      </c>
      <c r="AH24" s="115">
        <f t="shared" si="11"/>
        <v>653.27307709517186</v>
      </c>
      <c r="AI24" s="139">
        <v>27.06</v>
      </c>
      <c r="AJ24" s="131"/>
      <c r="AK24" s="136">
        <v>12.65</v>
      </c>
      <c r="AL24" s="136">
        <v>55.14</v>
      </c>
      <c r="AM24" s="110">
        <f t="shared" si="12"/>
        <v>0.1916912915000869</v>
      </c>
      <c r="AN24" s="137" t="s">
        <v>117</v>
      </c>
      <c r="AO24" s="150">
        <v>8.1199999999999992</v>
      </c>
      <c r="AP24" s="138">
        <v>7.1</v>
      </c>
      <c r="AQ24" s="134"/>
      <c r="AR24" s="139">
        <v>9.6999999999999993</v>
      </c>
      <c r="AS24" s="427">
        <f t="shared" si="26"/>
        <v>287.65000000000003</v>
      </c>
      <c r="AT24" s="116">
        <v>3.63</v>
      </c>
      <c r="AU24" s="116"/>
      <c r="AV24" s="131"/>
      <c r="AW24" s="109">
        <f t="shared" si="38"/>
        <v>0</v>
      </c>
      <c r="AX24" s="109">
        <f t="shared" si="13"/>
        <v>223.49000000000004</v>
      </c>
      <c r="AY24" s="115">
        <f t="shared" si="27"/>
        <v>242.08102654526826</v>
      </c>
      <c r="AZ24" s="140">
        <f t="shared" si="14"/>
        <v>10.970563380281689</v>
      </c>
      <c r="BA24" s="141"/>
      <c r="BB24" s="128">
        <f t="shared" si="16"/>
        <v>0.80595647161763762</v>
      </c>
      <c r="BC24" s="141">
        <f t="shared" si="17"/>
        <v>10.970563380281689</v>
      </c>
      <c r="BD24" s="142">
        <v>0.83699999999999997</v>
      </c>
      <c r="BE24" s="16">
        <f t="shared" si="28"/>
        <v>3980.6700000000005</v>
      </c>
      <c r="BF24" s="16">
        <f t="shared" si="18"/>
        <v>223.33333333333334</v>
      </c>
      <c r="BG24" s="16">
        <f t="shared" si="29"/>
        <v>4020.0000000000009</v>
      </c>
      <c r="BH24" s="17">
        <f t="shared" si="19"/>
        <v>1</v>
      </c>
      <c r="BI24" s="16">
        <f t="shared" si="30"/>
        <v>4020.0000000000009</v>
      </c>
      <c r="BJ24" s="441">
        <f t="shared" si="31"/>
        <v>517.36099999999999</v>
      </c>
      <c r="BK24" s="196"/>
      <c r="BL24" s="197"/>
      <c r="BM24" s="197"/>
      <c r="BN24" s="230"/>
      <c r="BO24" s="230">
        <v>50.107999999999997</v>
      </c>
      <c r="BP24" s="258"/>
      <c r="BQ24" s="199"/>
      <c r="BR24" s="200">
        <v>1.51</v>
      </c>
      <c r="BS24" s="200"/>
      <c r="BT24" s="200"/>
      <c r="BU24" s="200"/>
      <c r="BV24" s="208"/>
      <c r="BW24" s="208">
        <v>1.28</v>
      </c>
      <c r="BX24" s="201"/>
      <c r="BY24" s="202">
        <v>37.94</v>
      </c>
      <c r="BZ24" s="200"/>
      <c r="CA24" s="200"/>
      <c r="CB24" s="200"/>
      <c r="CC24" s="208"/>
      <c r="CD24" s="208">
        <v>38.700000000000003</v>
      </c>
      <c r="CE24" s="209"/>
      <c r="CF24" s="199"/>
      <c r="CG24" s="230"/>
      <c r="CH24" s="266">
        <f t="shared" si="32"/>
        <v>327.34000000000003</v>
      </c>
      <c r="CI24" s="196"/>
      <c r="CJ24" s="198"/>
      <c r="CK24" s="202"/>
      <c r="CL24" s="208"/>
      <c r="CM24" s="208"/>
      <c r="CN24" s="201"/>
      <c r="CO24" s="284"/>
      <c r="CP24" s="286">
        <f t="shared" si="20"/>
        <v>509.5488489</v>
      </c>
      <c r="CQ24" s="29">
        <f t="shared" si="20"/>
        <v>0</v>
      </c>
      <c r="CR24" s="30">
        <f t="shared" si="20"/>
        <v>0</v>
      </c>
      <c r="CS24" s="29">
        <f t="shared" si="20"/>
        <v>0</v>
      </c>
      <c r="CT24" s="27">
        <f t="shared" si="20"/>
        <v>0</v>
      </c>
      <c r="CU24" s="27">
        <f t="shared" si="20"/>
        <v>49.466617599999992</v>
      </c>
      <c r="CV24" s="282">
        <f t="shared" si="20"/>
        <v>0</v>
      </c>
      <c r="CW24" s="25">
        <f t="shared" si="21"/>
        <v>0</v>
      </c>
      <c r="CX24" s="26">
        <f t="shared" si="21"/>
        <v>327.34000000000003</v>
      </c>
      <c r="CY24" s="277">
        <f t="shared" si="21"/>
        <v>0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33"/>
        <v>0</v>
      </c>
      <c r="DH24" s="315">
        <v>275.35000000000002</v>
      </c>
      <c r="DI24" s="411">
        <f t="shared" si="34"/>
        <v>287.65000000000003</v>
      </c>
      <c r="DJ24" s="136">
        <v>211.19</v>
      </c>
      <c r="DK24" s="411">
        <f t="shared" si="35"/>
        <v>223.49</v>
      </c>
      <c r="DL24" s="254">
        <v>451.36099999999999</v>
      </c>
      <c r="DM24" s="247">
        <f t="shared" si="36"/>
        <v>517.36099999999999</v>
      </c>
      <c r="DN24" s="197">
        <v>300.24</v>
      </c>
      <c r="DO24" s="247">
        <f t="shared" si="37"/>
        <v>327.34000000000003</v>
      </c>
    </row>
    <row r="25" spans="1:119" ht="16.5" customHeight="1">
      <c r="A25" s="127">
        <v>19</v>
      </c>
      <c r="B25" s="103">
        <f t="shared" si="24"/>
        <v>565.62899999999991</v>
      </c>
      <c r="C25" s="104">
        <f t="shared" si="0"/>
        <v>1.4280125488615329</v>
      </c>
      <c r="D25" s="143">
        <f t="shared" si="1"/>
        <v>557.5517468999999</v>
      </c>
      <c r="E25" s="104">
        <f t="shared" si="2"/>
        <v>37.816627100095651</v>
      </c>
      <c r="F25" s="128">
        <f t="shared" si="3"/>
        <v>2.3968349535723497</v>
      </c>
      <c r="G25" s="106"/>
      <c r="H25" s="107">
        <f t="shared" si="4"/>
        <v>2.3968349535723497</v>
      </c>
      <c r="I25" s="103">
        <f>'[1]сентябрь 20'!AE24</f>
        <v>0</v>
      </c>
      <c r="J25" s="328">
        <f>'[1]апрель 20'!AA24</f>
        <v>0</v>
      </c>
      <c r="K25" s="106"/>
      <c r="L25" s="328"/>
      <c r="M25" s="103">
        <f t="shared" si="5"/>
        <v>0</v>
      </c>
      <c r="N25" s="103">
        <f>'[1]июль 20'!AM24</f>
        <v>2.8069999999999999</v>
      </c>
      <c r="O25" s="103">
        <f>'[1]апрель 20'!W24</f>
        <v>0</v>
      </c>
      <c r="P25" s="103">
        <v>342.5</v>
      </c>
      <c r="Q25" s="108">
        <f t="shared" si="6"/>
        <v>4.3620437956204405</v>
      </c>
      <c r="R25" s="109">
        <f t="shared" si="7"/>
        <v>327.56</v>
      </c>
      <c r="S25" s="106">
        <v>15.09</v>
      </c>
      <c r="T25" s="109">
        <f t="shared" si="8"/>
        <v>327.56</v>
      </c>
      <c r="U25" s="110">
        <f t="shared" si="9"/>
        <v>1.4081334365058895</v>
      </c>
      <c r="V25" s="136">
        <f t="shared" si="25"/>
        <v>232.62</v>
      </c>
      <c r="W25" s="129">
        <v>220.32</v>
      </c>
      <c r="X25" s="131">
        <v>0.57999999999999996</v>
      </c>
      <c r="Y25" s="133">
        <v>605</v>
      </c>
      <c r="Z25" s="133">
        <v>1229</v>
      </c>
      <c r="AA25" s="144" t="s">
        <v>266</v>
      </c>
      <c r="AB25" s="131">
        <v>76.069999999999993</v>
      </c>
      <c r="AC25" s="133">
        <v>166</v>
      </c>
      <c r="AD25" s="134">
        <v>5</v>
      </c>
      <c r="AE25" s="131">
        <v>1.1000000000000001</v>
      </c>
      <c r="AF25" s="115">
        <f t="shared" si="10"/>
        <v>4.7287421545868806</v>
      </c>
      <c r="AG25" s="131">
        <v>137.69999999999999</v>
      </c>
      <c r="AH25" s="115">
        <f t="shared" si="11"/>
        <v>591.95254062419406</v>
      </c>
      <c r="AI25" s="139">
        <v>24.05</v>
      </c>
      <c r="AJ25" s="131"/>
      <c r="AK25" s="136">
        <v>10.029999999999999</v>
      </c>
      <c r="AL25" s="136">
        <v>54.52</v>
      </c>
      <c r="AM25" s="110">
        <f t="shared" si="12"/>
        <v>0.18655260906757914</v>
      </c>
      <c r="AN25" s="137" t="s">
        <v>215</v>
      </c>
      <c r="AO25" s="150">
        <v>8.58</v>
      </c>
      <c r="AP25" s="138">
        <v>7.07</v>
      </c>
      <c r="AQ25" s="153"/>
      <c r="AR25" s="139">
        <v>8.09</v>
      </c>
      <c r="AS25" s="427">
        <f t="shared" si="26"/>
        <v>292.25</v>
      </c>
      <c r="AT25" s="116">
        <v>4.92</v>
      </c>
      <c r="AU25" s="148"/>
      <c r="AV25" s="131"/>
      <c r="AW25" s="109">
        <f t="shared" si="38"/>
        <v>0</v>
      </c>
      <c r="AX25" s="109">
        <f t="shared" si="13"/>
        <v>232.61999999999998</v>
      </c>
      <c r="AY25" s="115">
        <f t="shared" si="27"/>
        <v>241.97405331708475</v>
      </c>
      <c r="AZ25" s="140">
        <f t="shared" si="14"/>
        <v>8.6295232394366188</v>
      </c>
      <c r="BA25" s="141">
        <f t="shared" ref="BA25:BA37" si="39">AX25*$BA$6</f>
        <v>9.3047999999999984</v>
      </c>
      <c r="BB25" s="128">
        <f t="shared" si="16"/>
        <v>0.83925221409539275</v>
      </c>
      <c r="BC25" s="141">
        <f t="shared" si="17"/>
        <v>17.934323239436615</v>
      </c>
      <c r="BD25" s="142">
        <v>0.83699999999999997</v>
      </c>
      <c r="BE25" s="16">
        <f t="shared" si="28"/>
        <v>4213.2900000000009</v>
      </c>
      <c r="BF25" s="16">
        <f t="shared" si="18"/>
        <v>223.33333333333334</v>
      </c>
      <c r="BG25" s="16">
        <f t="shared" si="29"/>
        <v>4243.3333333333339</v>
      </c>
      <c r="BH25" s="17">
        <f t="shared" si="19"/>
        <v>1</v>
      </c>
      <c r="BI25" s="16">
        <f t="shared" si="30"/>
        <v>4243.3333333333339</v>
      </c>
      <c r="BJ25" s="441">
        <f t="shared" si="31"/>
        <v>515.27199999999993</v>
      </c>
      <c r="BK25" s="196"/>
      <c r="BL25" s="197"/>
      <c r="BM25" s="197"/>
      <c r="BN25" s="230"/>
      <c r="BO25" s="230">
        <v>50.356999999999999</v>
      </c>
      <c r="BP25" s="258"/>
      <c r="BQ25" s="199"/>
      <c r="BR25" s="200">
        <v>1.42</v>
      </c>
      <c r="BS25" s="200"/>
      <c r="BT25" s="200"/>
      <c r="BU25" s="200"/>
      <c r="BV25" s="208"/>
      <c r="BW25" s="208">
        <v>1.51</v>
      </c>
      <c r="BX25" s="201"/>
      <c r="BY25" s="202">
        <v>37.700000000000003</v>
      </c>
      <c r="BZ25" s="200"/>
      <c r="CA25" s="200"/>
      <c r="CB25" s="200"/>
      <c r="CC25" s="208"/>
      <c r="CD25" s="208">
        <v>39.01</v>
      </c>
      <c r="CE25" s="201"/>
      <c r="CF25" s="199"/>
      <c r="CG25" s="230"/>
      <c r="CH25" s="266">
        <f t="shared" si="32"/>
        <v>327.56</v>
      </c>
      <c r="CI25" s="196"/>
      <c r="CJ25" s="198"/>
      <c r="CK25" s="202"/>
      <c r="CL25" s="208"/>
      <c r="CM25" s="208"/>
      <c r="CN25" s="201"/>
      <c r="CO25" s="284"/>
      <c r="CP25" s="286">
        <f t="shared" si="20"/>
        <v>507.95513759999994</v>
      </c>
      <c r="CQ25" s="24">
        <f t="shared" si="20"/>
        <v>0</v>
      </c>
      <c r="CR25" s="25">
        <f t="shared" si="20"/>
        <v>0</v>
      </c>
      <c r="CS25" s="24">
        <f t="shared" si="20"/>
        <v>0</v>
      </c>
      <c r="CT25" s="27">
        <f t="shared" si="20"/>
        <v>0</v>
      </c>
      <c r="CU25" s="30">
        <f t="shared" si="20"/>
        <v>49.596609299999997</v>
      </c>
      <c r="CV25" s="280">
        <f t="shared" si="20"/>
        <v>0</v>
      </c>
      <c r="CW25" s="25">
        <f t="shared" si="21"/>
        <v>0</v>
      </c>
      <c r="CX25" s="26">
        <f t="shared" si="21"/>
        <v>327.56</v>
      </c>
      <c r="CY25" s="277">
        <f t="shared" si="21"/>
        <v>0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33"/>
        <v>0</v>
      </c>
      <c r="DH25" s="315">
        <v>279.95</v>
      </c>
      <c r="DI25" s="411">
        <f t="shared" si="34"/>
        <v>292.25</v>
      </c>
      <c r="DJ25" s="136">
        <v>220.32</v>
      </c>
      <c r="DK25" s="411">
        <f t="shared" si="35"/>
        <v>232.62</v>
      </c>
      <c r="DL25" s="254">
        <v>449.27199999999999</v>
      </c>
      <c r="DM25" s="247">
        <f t="shared" si="36"/>
        <v>515.27199999999993</v>
      </c>
      <c r="DN25" s="197">
        <v>300.45999999999998</v>
      </c>
      <c r="DO25" s="247">
        <f t="shared" si="37"/>
        <v>327.56</v>
      </c>
    </row>
    <row r="26" spans="1:119" ht="16.5" customHeight="1">
      <c r="A26" s="127">
        <v>20</v>
      </c>
      <c r="B26" s="103">
        <f t="shared" si="24"/>
        <v>542.52199999999993</v>
      </c>
      <c r="C26" s="104">
        <f t="shared" si="0"/>
        <v>1.4648516004880909</v>
      </c>
      <c r="D26" s="143">
        <f t="shared" si="1"/>
        <v>534.5748577999999</v>
      </c>
      <c r="E26" s="104">
        <f t="shared" si="2"/>
        <v>38.199126376441882</v>
      </c>
      <c r="F26" s="128">
        <f t="shared" si="3"/>
        <v>2.4549936064293907</v>
      </c>
      <c r="G26" s="106"/>
      <c r="H26" s="107">
        <f t="shared" si="4"/>
        <v>2.4549936064293907</v>
      </c>
      <c r="I26" s="103">
        <f>'[1]сентябрь 20'!AE25</f>
        <v>0</v>
      </c>
      <c r="J26" s="328">
        <f>'[1]апрель 20'!AA25</f>
        <v>0</v>
      </c>
      <c r="K26" s="106"/>
      <c r="L26" s="328"/>
      <c r="M26" s="103">
        <f t="shared" si="5"/>
        <v>0</v>
      </c>
      <c r="N26" s="103">
        <f>'[1]июль 20'!AM25</f>
        <v>7.1479999999999997</v>
      </c>
      <c r="O26" s="103">
        <f>'[1]апрель 20'!W25</f>
        <v>0</v>
      </c>
      <c r="P26" s="103">
        <v>329.3</v>
      </c>
      <c r="Q26" s="108">
        <f t="shared" si="6"/>
        <v>4.3759489826905469</v>
      </c>
      <c r="R26" s="109">
        <f t="shared" si="7"/>
        <v>314.89000000000004</v>
      </c>
      <c r="S26" s="106">
        <v>30.73</v>
      </c>
      <c r="T26" s="109">
        <f t="shared" si="8"/>
        <v>314.89000000000004</v>
      </c>
      <c r="U26" s="110">
        <f t="shared" si="9"/>
        <v>1.4461079219288175</v>
      </c>
      <c r="V26" s="136">
        <f t="shared" si="25"/>
        <v>217.75</v>
      </c>
      <c r="W26" s="154">
        <v>205.45</v>
      </c>
      <c r="X26" s="149">
        <v>0.62</v>
      </c>
      <c r="Y26" s="147">
        <v>630</v>
      </c>
      <c r="Z26" s="147">
        <v>1245</v>
      </c>
      <c r="AA26" s="144" t="s">
        <v>267</v>
      </c>
      <c r="AB26" s="149">
        <v>75.97</v>
      </c>
      <c r="AC26" s="147">
        <v>159</v>
      </c>
      <c r="AD26" s="155">
        <v>5</v>
      </c>
      <c r="AE26" s="149">
        <v>1</v>
      </c>
      <c r="AF26" s="115">
        <f t="shared" si="10"/>
        <v>4.5924225028702637</v>
      </c>
      <c r="AG26" s="149">
        <v>129.19999999999999</v>
      </c>
      <c r="AH26" s="115">
        <f t="shared" si="11"/>
        <v>593.34098737083798</v>
      </c>
      <c r="AI26" s="156">
        <v>26.31</v>
      </c>
      <c r="AJ26" s="149"/>
      <c r="AK26" s="157">
        <v>10.050000000000001</v>
      </c>
      <c r="AL26" s="157">
        <v>53.62</v>
      </c>
      <c r="AM26" s="110">
        <f t="shared" si="12"/>
        <v>0.19242777678090792</v>
      </c>
      <c r="AN26" s="158" t="s">
        <v>206</v>
      </c>
      <c r="AO26" s="404">
        <v>8.76</v>
      </c>
      <c r="AP26" s="159">
        <v>7.23</v>
      </c>
      <c r="AQ26" s="155"/>
      <c r="AR26" s="156">
        <v>8.34</v>
      </c>
      <c r="AS26" s="427">
        <f t="shared" si="26"/>
        <v>278.65000000000003</v>
      </c>
      <c r="AT26" s="116">
        <v>2.77</v>
      </c>
      <c r="AU26" s="148"/>
      <c r="AV26" s="149"/>
      <c r="AW26" s="160">
        <f t="shared" si="38"/>
        <v>0</v>
      </c>
      <c r="AX26" s="109">
        <f t="shared" si="13"/>
        <v>217.75000000000003</v>
      </c>
      <c r="AY26" s="115">
        <f t="shared" si="27"/>
        <v>234.65730415720375</v>
      </c>
      <c r="AZ26" s="140">
        <f t="shared" si="14"/>
        <v>8.3470478873239422</v>
      </c>
      <c r="BA26" s="140">
        <f t="shared" si="39"/>
        <v>8.7100000000000009</v>
      </c>
      <c r="BB26" s="161">
        <f t="shared" si="16"/>
        <v>0.81009943706098875</v>
      </c>
      <c r="BC26" s="140">
        <f t="shared" si="17"/>
        <v>17.057047887323943</v>
      </c>
      <c r="BD26" s="162">
        <v>0.83599999999999997</v>
      </c>
      <c r="BE26" s="16">
        <f t="shared" si="28"/>
        <v>4431.0400000000009</v>
      </c>
      <c r="BF26" s="16">
        <f t="shared" si="18"/>
        <v>223.33333333333334</v>
      </c>
      <c r="BG26" s="16">
        <f t="shared" si="29"/>
        <v>4466.666666666667</v>
      </c>
      <c r="BH26" s="17">
        <f t="shared" si="19"/>
        <v>1</v>
      </c>
      <c r="BI26" s="16">
        <f t="shared" si="30"/>
        <v>4466.666666666667</v>
      </c>
      <c r="BJ26" s="441">
        <f t="shared" si="31"/>
        <v>495.12599999999998</v>
      </c>
      <c r="BK26" s="196"/>
      <c r="BL26" s="197"/>
      <c r="BM26" s="197"/>
      <c r="BN26" s="230"/>
      <c r="BO26" s="230">
        <v>47.396000000000001</v>
      </c>
      <c r="BP26" s="258"/>
      <c r="BQ26" s="199"/>
      <c r="BR26" s="200">
        <v>1.45</v>
      </c>
      <c r="BS26" s="200"/>
      <c r="BT26" s="200"/>
      <c r="BU26" s="200"/>
      <c r="BV26" s="208"/>
      <c r="BW26" s="208">
        <v>1.62</v>
      </c>
      <c r="BX26" s="201"/>
      <c r="BY26" s="202">
        <v>38.200000000000003</v>
      </c>
      <c r="BZ26" s="200"/>
      <c r="CA26" s="200"/>
      <c r="CB26" s="200"/>
      <c r="CC26" s="208"/>
      <c r="CD26" s="208">
        <v>38.19</v>
      </c>
      <c r="CE26" s="209"/>
      <c r="CF26" s="199"/>
      <c r="CG26" s="230"/>
      <c r="CH26" s="266">
        <f t="shared" si="32"/>
        <v>314.89000000000004</v>
      </c>
      <c r="CI26" s="196"/>
      <c r="CJ26" s="198"/>
      <c r="CK26" s="202"/>
      <c r="CL26" s="208"/>
      <c r="CM26" s="208"/>
      <c r="CN26" s="201"/>
      <c r="CO26" s="284"/>
      <c r="CP26" s="286">
        <f t="shared" si="20"/>
        <v>487.94667299999992</v>
      </c>
      <c r="CQ26" s="24">
        <f t="shared" si="20"/>
        <v>0</v>
      </c>
      <c r="CR26" s="25">
        <f t="shared" si="20"/>
        <v>0</v>
      </c>
      <c r="CS26" s="24">
        <f t="shared" si="20"/>
        <v>0</v>
      </c>
      <c r="CT26" s="27">
        <f t="shared" si="20"/>
        <v>0</v>
      </c>
      <c r="CU26" s="24">
        <f t="shared" si="20"/>
        <v>46.6281848</v>
      </c>
      <c r="CV26" s="280">
        <f t="shared" si="20"/>
        <v>0</v>
      </c>
      <c r="CW26" s="30">
        <f t="shared" si="21"/>
        <v>0</v>
      </c>
      <c r="CX26" s="26">
        <f t="shared" si="21"/>
        <v>314.89000000000004</v>
      </c>
      <c r="CY26" s="277">
        <f t="shared" si="21"/>
        <v>0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33"/>
        <v>0</v>
      </c>
      <c r="DH26" s="315">
        <v>266.35000000000002</v>
      </c>
      <c r="DI26" s="411">
        <f t="shared" si="34"/>
        <v>278.65000000000003</v>
      </c>
      <c r="DJ26" s="136">
        <v>205.45</v>
      </c>
      <c r="DK26" s="411">
        <f t="shared" si="35"/>
        <v>217.75</v>
      </c>
      <c r="DL26" s="254">
        <v>429.12599999999998</v>
      </c>
      <c r="DM26" s="247">
        <f t="shared" si="36"/>
        <v>495.12599999999998</v>
      </c>
      <c r="DN26" s="197">
        <v>287.79000000000002</v>
      </c>
      <c r="DO26" s="247">
        <f t="shared" si="37"/>
        <v>314.89000000000004</v>
      </c>
    </row>
    <row r="27" spans="1:119" ht="16.5" customHeight="1">
      <c r="A27" s="127">
        <v>21</v>
      </c>
      <c r="B27" s="103">
        <f t="shared" si="24"/>
        <v>558.74800000000005</v>
      </c>
      <c r="C27" s="104">
        <f t="shared" si="0"/>
        <v>1.1397988001746762</v>
      </c>
      <c r="D27" s="143">
        <f t="shared" si="1"/>
        <v>552.37939700000004</v>
      </c>
      <c r="E27" s="104">
        <f t="shared" si="2"/>
        <v>37.199757923070862</v>
      </c>
      <c r="F27" s="128">
        <f t="shared" si="3"/>
        <v>2.56265087914637</v>
      </c>
      <c r="G27" s="106"/>
      <c r="H27" s="107">
        <f t="shared" si="4"/>
        <v>2.56265087914637</v>
      </c>
      <c r="I27" s="103">
        <f>'[1]сентябрь 20'!AE26</f>
        <v>0</v>
      </c>
      <c r="J27" s="328">
        <f>'[1]апрель 20'!AA26</f>
        <v>2.8029999999999999</v>
      </c>
      <c r="K27" s="106"/>
      <c r="L27" s="328"/>
      <c r="M27" s="103">
        <f t="shared" si="5"/>
        <v>0</v>
      </c>
      <c r="N27" s="103">
        <f>'[1]июль 20'!AM26</f>
        <v>7.0339999999999998</v>
      </c>
      <c r="O27" s="103">
        <f>'[1]апрель 20'!W26</f>
        <v>0</v>
      </c>
      <c r="P27" s="103">
        <v>340.08</v>
      </c>
      <c r="Q27" s="108">
        <f t="shared" si="6"/>
        <v>4.534227240649269</v>
      </c>
      <c r="R27" s="109">
        <f t="shared" si="7"/>
        <v>324.65999999999997</v>
      </c>
      <c r="S27" s="106">
        <v>14.74</v>
      </c>
      <c r="T27" s="109">
        <f t="shared" si="8"/>
        <v>324.65999999999997</v>
      </c>
      <c r="U27" s="110">
        <f t="shared" si="9"/>
        <v>1.5061934585942935</v>
      </c>
      <c r="V27" s="136">
        <f t="shared" si="25"/>
        <v>215.55</v>
      </c>
      <c r="W27" s="129">
        <v>160.66999999999999</v>
      </c>
      <c r="X27" s="131">
        <v>0.79</v>
      </c>
      <c r="Y27" s="133">
        <v>595</v>
      </c>
      <c r="Z27" s="133">
        <v>1246</v>
      </c>
      <c r="AA27" s="144" t="s">
        <v>264</v>
      </c>
      <c r="AB27" s="131">
        <v>75.59</v>
      </c>
      <c r="AC27" s="133">
        <v>164</v>
      </c>
      <c r="AD27" s="134">
        <v>5</v>
      </c>
      <c r="AE27" s="131">
        <v>1.35</v>
      </c>
      <c r="AF27" s="115">
        <f t="shared" si="10"/>
        <v>6.2630480167014619</v>
      </c>
      <c r="AG27" s="131">
        <v>119</v>
      </c>
      <c r="AH27" s="115">
        <f t="shared" si="11"/>
        <v>552.07608443516585</v>
      </c>
      <c r="AI27" s="139">
        <v>26.57</v>
      </c>
      <c r="AJ27" s="131"/>
      <c r="AK27" s="136">
        <v>12.71</v>
      </c>
      <c r="AL27" s="136">
        <v>55.64</v>
      </c>
      <c r="AM27" s="110">
        <f t="shared" si="12"/>
        <v>0.19797189112257604</v>
      </c>
      <c r="AN27" s="137" t="s">
        <v>115</v>
      </c>
      <c r="AO27" s="150">
        <v>8.81</v>
      </c>
      <c r="AP27" s="138">
        <v>7.13</v>
      </c>
      <c r="AQ27" s="134"/>
      <c r="AR27" s="139">
        <v>7.86</v>
      </c>
      <c r="AS27" s="427">
        <f t="shared" si="26"/>
        <v>281.05</v>
      </c>
      <c r="AT27" s="116">
        <v>2.85</v>
      </c>
      <c r="AU27" s="148"/>
      <c r="AV27" s="131"/>
      <c r="AW27" s="109">
        <f t="shared" si="38"/>
        <v>0</v>
      </c>
      <c r="AX27" s="109">
        <f t="shared" si="13"/>
        <v>215.55</v>
      </c>
      <c r="AY27" s="115">
        <f t="shared" si="27"/>
        <v>237.31625359346728</v>
      </c>
      <c r="AZ27" s="140">
        <f t="shared" si="14"/>
        <v>7.2455915492957752</v>
      </c>
      <c r="BA27" s="141">
        <f t="shared" si="39"/>
        <v>8.6219999999999999</v>
      </c>
      <c r="BB27" s="128">
        <f t="shared" si="16"/>
        <v>0.79292988638844752</v>
      </c>
      <c r="BC27" s="141">
        <f t="shared" si="17"/>
        <v>15.867591549295774</v>
      </c>
      <c r="BD27" s="142">
        <v>0.83399999999999996</v>
      </c>
      <c r="BE27" s="16">
        <f t="shared" si="28"/>
        <v>4646.5900000000011</v>
      </c>
      <c r="BF27" s="16">
        <f t="shared" si="18"/>
        <v>223.33333333333334</v>
      </c>
      <c r="BG27" s="16">
        <f t="shared" si="29"/>
        <v>4690</v>
      </c>
      <c r="BH27" s="17">
        <f t="shared" si="19"/>
        <v>1</v>
      </c>
      <c r="BI27" s="16">
        <f t="shared" si="30"/>
        <v>4690</v>
      </c>
      <c r="BJ27" s="441">
        <f t="shared" si="31"/>
        <v>513.86900000000003</v>
      </c>
      <c r="BK27" s="196"/>
      <c r="BL27" s="197"/>
      <c r="BM27" s="197"/>
      <c r="BN27" s="230"/>
      <c r="BO27" s="230">
        <v>44.878999999999998</v>
      </c>
      <c r="BP27" s="258"/>
      <c r="BQ27" s="199"/>
      <c r="BR27" s="200">
        <v>1.0900000000000001</v>
      </c>
      <c r="BS27" s="200"/>
      <c r="BT27" s="200"/>
      <c r="BU27" s="200"/>
      <c r="BV27" s="208"/>
      <c r="BW27" s="208">
        <v>1.71</v>
      </c>
      <c r="BX27" s="201"/>
      <c r="BY27" s="202">
        <v>37.06</v>
      </c>
      <c r="BZ27" s="200"/>
      <c r="CA27" s="200"/>
      <c r="CB27" s="200"/>
      <c r="CC27" s="208"/>
      <c r="CD27" s="208">
        <v>38.799999999999997</v>
      </c>
      <c r="CE27" s="209"/>
      <c r="CF27" s="199"/>
      <c r="CG27" s="230"/>
      <c r="CH27" s="266">
        <v>30.45</v>
      </c>
      <c r="CI27" s="196">
        <v>294.20999999999998</v>
      </c>
      <c r="CJ27" s="198"/>
      <c r="CK27" s="202"/>
      <c r="CL27" s="208"/>
      <c r="CM27" s="208"/>
      <c r="CN27" s="201"/>
      <c r="CO27" s="284"/>
      <c r="CP27" s="286">
        <f t="shared" si="20"/>
        <v>508.26782790000004</v>
      </c>
      <c r="CQ27" s="24">
        <f t="shared" si="20"/>
        <v>0</v>
      </c>
      <c r="CR27" s="25">
        <f t="shared" si="20"/>
        <v>0</v>
      </c>
      <c r="CS27" s="24">
        <f t="shared" si="20"/>
        <v>0</v>
      </c>
      <c r="CT27" s="27">
        <f t="shared" si="20"/>
        <v>0</v>
      </c>
      <c r="CU27" s="29">
        <f t="shared" si="20"/>
        <v>44.111569100000004</v>
      </c>
      <c r="CV27" s="280">
        <f t="shared" si="20"/>
        <v>0</v>
      </c>
      <c r="CW27" s="237">
        <f t="shared" si="21"/>
        <v>0</v>
      </c>
      <c r="CX27" s="26">
        <f t="shared" si="21"/>
        <v>30.45</v>
      </c>
      <c r="CY27" s="277">
        <f t="shared" si="21"/>
        <v>294.20999999999998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33"/>
        <v>0</v>
      </c>
      <c r="DH27" s="139">
        <v>268.75</v>
      </c>
      <c r="DI27" s="411">
        <f t="shared" si="34"/>
        <v>281.05</v>
      </c>
      <c r="DJ27" s="129">
        <v>203.25</v>
      </c>
      <c r="DK27" s="411">
        <f t="shared" si="35"/>
        <v>215.55</v>
      </c>
      <c r="DL27" s="254">
        <v>447.86900000000003</v>
      </c>
      <c r="DM27" s="247">
        <f t="shared" si="36"/>
        <v>513.86900000000003</v>
      </c>
      <c r="DN27" s="197">
        <v>297.56</v>
      </c>
      <c r="DO27" s="247">
        <f t="shared" si="37"/>
        <v>324.66000000000003</v>
      </c>
    </row>
    <row r="28" spans="1:119" ht="16.5" customHeight="1">
      <c r="A28" s="127">
        <v>22</v>
      </c>
      <c r="B28" s="103">
        <f t="shared" si="24"/>
        <v>513.01199999999994</v>
      </c>
      <c r="C28" s="104">
        <f t="shared" si="0"/>
        <v>1.07</v>
      </c>
      <c r="D28" s="143">
        <f t="shared" si="1"/>
        <v>507.5227716</v>
      </c>
      <c r="E28" s="104">
        <f t="shared" si="2"/>
        <v>37.92</v>
      </c>
      <c r="F28" s="128">
        <f t="shared" si="3"/>
        <v>2.3536742178732086</v>
      </c>
      <c r="G28" s="106"/>
      <c r="H28" s="107">
        <f t="shared" si="4"/>
        <v>2.3536742178732086</v>
      </c>
      <c r="I28" s="103">
        <f>'[1]сентябрь 20'!AE27</f>
        <v>0</v>
      </c>
      <c r="J28" s="328">
        <f>'[1]апрель 20'!AA27</f>
        <v>17.734999999999999</v>
      </c>
      <c r="K28" s="106"/>
      <c r="L28" s="328"/>
      <c r="M28" s="103">
        <f t="shared" si="5"/>
        <v>0</v>
      </c>
      <c r="N28" s="103">
        <f>'[1]июль 20'!AM27</f>
        <v>6.6520000000000001</v>
      </c>
      <c r="O28" s="103">
        <f>'[1]апрель 20'!W27</f>
        <v>0</v>
      </c>
      <c r="P28" s="103">
        <v>317.25</v>
      </c>
      <c r="Q28" s="108">
        <f t="shared" si="6"/>
        <v>4.810086682427106</v>
      </c>
      <c r="R28" s="109">
        <f t="shared" si="7"/>
        <v>301.98999999999995</v>
      </c>
      <c r="S28" s="106">
        <v>13.69</v>
      </c>
      <c r="T28" s="109">
        <f t="shared" si="8"/>
        <v>301.99</v>
      </c>
      <c r="U28" s="110">
        <f t="shared" si="9"/>
        <v>1.4005008579511198</v>
      </c>
      <c r="V28" s="136">
        <f t="shared" si="25"/>
        <v>174.93</v>
      </c>
      <c r="W28" s="136">
        <v>203.33</v>
      </c>
      <c r="X28" s="131">
        <v>0.63</v>
      </c>
      <c r="Y28" s="133">
        <v>608</v>
      </c>
      <c r="Z28" s="133">
        <v>1238</v>
      </c>
      <c r="AA28" s="144" t="s">
        <v>268</v>
      </c>
      <c r="AB28" s="131">
        <v>75.78</v>
      </c>
      <c r="AC28" s="133">
        <v>149</v>
      </c>
      <c r="AD28" s="134">
        <v>5</v>
      </c>
      <c r="AE28" s="131">
        <v>1.45</v>
      </c>
      <c r="AF28" s="115">
        <f t="shared" si="10"/>
        <v>6.724481751147799</v>
      </c>
      <c r="AG28" s="131">
        <v>142.44999999999999</v>
      </c>
      <c r="AH28" s="115">
        <f t="shared" si="11"/>
        <v>660.62236238000276</v>
      </c>
      <c r="AI28" s="139">
        <v>23.47</v>
      </c>
      <c r="AJ28" s="131"/>
      <c r="AK28" s="136">
        <v>9.14</v>
      </c>
      <c r="AL28" s="136">
        <v>48.13</v>
      </c>
      <c r="AM28" s="110">
        <f t="shared" si="12"/>
        <v>0.17895519613311026</v>
      </c>
      <c r="AN28" s="137" t="s">
        <v>177</v>
      </c>
      <c r="AO28" s="150">
        <v>7.35</v>
      </c>
      <c r="AP28" s="138">
        <v>7.32</v>
      </c>
      <c r="AQ28" s="134"/>
      <c r="AR28" s="139">
        <v>9.0299999999999994</v>
      </c>
      <c r="AS28" s="427">
        <f t="shared" si="26"/>
        <v>268.95</v>
      </c>
      <c r="AT28" s="116">
        <v>3.95</v>
      </c>
      <c r="AU28" s="148"/>
      <c r="AV28" s="131"/>
      <c r="AW28" s="109">
        <f t="shared" si="38"/>
        <v>0</v>
      </c>
      <c r="AX28" s="109">
        <f t="shared" si="13"/>
        <v>215.63</v>
      </c>
      <c r="AY28" s="115">
        <f t="shared" si="27"/>
        <v>221.70909256650643</v>
      </c>
      <c r="AZ28" s="140">
        <f t="shared" si="14"/>
        <v>9.9644778169014057</v>
      </c>
      <c r="BA28" s="141">
        <f t="shared" si="39"/>
        <v>8.6251999999999995</v>
      </c>
      <c r="BB28" s="128">
        <f t="shared" si="16"/>
        <v>0.8490630123504378</v>
      </c>
      <c r="BC28" s="141">
        <f t="shared" si="17"/>
        <v>18.589677816901407</v>
      </c>
      <c r="BD28" s="142">
        <v>0.83399999999999996</v>
      </c>
      <c r="BE28" s="16">
        <f t="shared" si="28"/>
        <v>4862.2200000000012</v>
      </c>
      <c r="BF28" s="16">
        <f t="shared" si="18"/>
        <v>223.33333333333334</v>
      </c>
      <c r="BG28" s="16">
        <f t="shared" si="29"/>
        <v>4913.333333333333</v>
      </c>
      <c r="BH28" s="17">
        <f t="shared" si="19"/>
        <v>1</v>
      </c>
      <c r="BI28" s="16">
        <f t="shared" si="30"/>
        <v>4913.333333333333</v>
      </c>
      <c r="BJ28" s="441">
        <f t="shared" si="31"/>
        <v>513.01199999999994</v>
      </c>
      <c r="BK28" s="196"/>
      <c r="BL28" s="197"/>
      <c r="BM28" s="197"/>
      <c r="BN28" s="230"/>
      <c r="BO28" s="230"/>
      <c r="BP28" s="258"/>
      <c r="BQ28" s="199"/>
      <c r="BR28" s="200">
        <v>1.07</v>
      </c>
      <c r="BS28" s="200"/>
      <c r="BT28" s="200"/>
      <c r="BU28" s="200"/>
      <c r="BV28" s="208"/>
      <c r="BW28" s="208"/>
      <c r="BX28" s="201"/>
      <c r="BY28" s="202">
        <v>37.92</v>
      </c>
      <c r="BZ28" s="200"/>
      <c r="CA28" s="200"/>
      <c r="CB28" s="200"/>
      <c r="CC28" s="208"/>
      <c r="CD28" s="208"/>
      <c r="CE28" s="209"/>
      <c r="CF28" s="199"/>
      <c r="CG28" s="230"/>
      <c r="CH28" s="266"/>
      <c r="CI28" s="196">
        <v>301.99</v>
      </c>
      <c r="CJ28" s="198"/>
      <c r="CK28" s="202"/>
      <c r="CL28" s="208"/>
      <c r="CM28" s="208"/>
      <c r="CN28" s="201"/>
      <c r="CO28" s="284"/>
      <c r="CP28" s="286">
        <f t="shared" si="20"/>
        <v>507.5227716</v>
      </c>
      <c r="CQ28" s="29">
        <f t="shared" si="20"/>
        <v>0</v>
      </c>
      <c r="CR28" s="30">
        <f t="shared" si="20"/>
        <v>0</v>
      </c>
      <c r="CS28" s="29">
        <f t="shared" si="20"/>
        <v>0</v>
      </c>
      <c r="CT28" s="27">
        <f t="shared" si="20"/>
        <v>0</v>
      </c>
      <c r="CU28" s="24">
        <f t="shared" si="20"/>
        <v>0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301.99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33"/>
        <v>0</v>
      </c>
      <c r="DH28" s="139">
        <v>256.64999999999998</v>
      </c>
      <c r="DI28" s="411">
        <f t="shared" si="34"/>
        <v>268.95</v>
      </c>
      <c r="DJ28" s="129">
        <v>162.63</v>
      </c>
      <c r="DK28" s="411">
        <f t="shared" si="35"/>
        <v>174.93</v>
      </c>
      <c r="DL28" s="254">
        <v>447.012</v>
      </c>
      <c r="DM28" s="247">
        <f t="shared" si="36"/>
        <v>513.01199999999994</v>
      </c>
      <c r="DN28" s="197">
        <v>274.89</v>
      </c>
      <c r="DO28" s="247">
        <f t="shared" si="37"/>
        <v>301.99</v>
      </c>
    </row>
    <row r="29" spans="1:119" ht="16.5" customHeight="1">
      <c r="A29" s="127">
        <v>23</v>
      </c>
      <c r="B29" s="103">
        <f t="shared" si="24"/>
        <v>521.76499999999999</v>
      </c>
      <c r="C29" s="104">
        <f t="shared" si="0"/>
        <v>1.66</v>
      </c>
      <c r="D29" s="143">
        <f t="shared" si="1"/>
        <v>513.103701</v>
      </c>
      <c r="E29" s="104">
        <f t="shared" si="2"/>
        <v>37.36</v>
      </c>
      <c r="F29" s="128">
        <f t="shared" si="3"/>
        <v>2.3754800972222219</v>
      </c>
      <c r="G29" s="106"/>
      <c r="H29" s="107">
        <f t="shared" si="4"/>
        <v>2.3754800972222219</v>
      </c>
      <c r="I29" s="103">
        <f>'[1]сентябрь 20'!AE28</f>
        <v>0</v>
      </c>
      <c r="J29" s="328">
        <f>'[1]апрель 20'!AA28</f>
        <v>16.103999999999999</v>
      </c>
      <c r="K29" s="106"/>
      <c r="L29" s="328"/>
      <c r="M29" s="103">
        <f t="shared" si="5"/>
        <v>0</v>
      </c>
      <c r="N29" s="103">
        <f>'[1]июль 20'!AM28</f>
        <v>7.056</v>
      </c>
      <c r="O29" s="103">
        <f>'[1]апрель 20'!W28</f>
        <v>0</v>
      </c>
      <c r="P29" s="103">
        <v>358.4</v>
      </c>
      <c r="Q29" s="108">
        <f t="shared" si="6"/>
        <v>4.9587053571428346</v>
      </c>
      <c r="R29" s="109">
        <f t="shared" si="7"/>
        <v>340.62800000000004</v>
      </c>
      <c r="S29" s="106">
        <v>20.2</v>
      </c>
      <c r="T29" s="109">
        <f t="shared" si="8"/>
        <v>340.62800000000004</v>
      </c>
      <c r="U29" s="110">
        <f t="shared" si="9"/>
        <v>1.5769814814814815</v>
      </c>
      <c r="V29" s="136">
        <f t="shared" si="25"/>
        <v>177.32000000000002</v>
      </c>
      <c r="W29" s="136">
        <v>118.74</v>
      </c>
      <c r="X29" s="131">
        <v>0.8</v>
      </c>
      <c r="Y29" s="133">
        <v>583</v>
      </c>
      <c r="Z29" s="133">
        <v>1245</v>
      </c>
      <c r="AA29" s="144" t="s">
        <v>269</v>
      </c>
      <c r="AB29" s="131">
        <v>75.44</v>
      </c>
      <c r="AC29" s="133">
        <v>152</v>
      </c>
      <c r="AD29" s="134">
        <v>5</v>
      </c>
      <c r="AE29" s="131">
        <v>2.4</v>
      </c>
      <c r="AF29" s="115">
        <f t="shared" si="10"/>
        <v>11.111111111111109</v>
      </c>
      <c r="AG29" s="131">
        <v>122.85</v>
      </c>
      <c r="AH29" s="115">
        <f t="shared" si="11"/>
        <v>568.74999999999989</v>
      </c>
      <c r="AI29" s="139">
        <v>22.84</v>
      </c>
      <c r="AJ29" s="131"/>
      <c r="AK29" s="136">
        <v>13.29</v>
      </c>
      <c r="AL29" s="136">
        <v>49.59</v>
      </c>
      <c r="AM29" s="110">
        <f t="shared" si="12"/>
        <v>0.17941389290882778</v>
      </c>
      <c r="AN29" s="137" t="s">
        <v>270</v>
      </c>
      <c r="AO29" s="150">
        <v>7.33</v>
      </c>
      <c r="AP29" s="138">
        <v>7.1</v>
      </c>
      <c r="AQ29" s="134"/>
      <c r="AR29" s="139">
        <v>7.12</v>
      </c>
      <c r="AS29" s="427">
        <f t="shared" si="26"/>
        <v>276.40000000000003</v>
      </c>
      <c r="AT29" s="116">
        <v>2.48</v>
      </c>
      <c r="AU29" s="148"/>
      <c r="AV29" s="131"/>
      <c r="AW29" s="109">
        <f t="shared" si="38"/>
        <v>0</v>
      </c>
      <c r="AX29" s="109">
        <f t="shared" si="13"/>
        <v>216.00000000000003</v>
      </c>
      <c r="AY29" s="115">
        <f t="shared" si="27"/>
        <v>221.83219614463522</v>
      </c>
      <c r="AZ29" s="140">
        <f t="shared" si="14"/>
        <v>6.7757830985915488</v>
      </c>
      <c r="BA29" s="141">
        <f t="shared" si="39"/>
        <v>8.64</v>
      </c>
      <c r="BB29" s="128">
        <f t="shared" si="16"/>
        <v>0.85004793387634836</v>
      </c>
      <c r="BC29" s="141">
        <f t="shared" si="17"/>
        <v>15.41578309859155</v>
      </c>
      <c r="BD29" s="142">
        <v>0.83499999999999996</v>
      </c>
      <c r="BE29" s="16">
        <f t="shared" si="28"/>
        <v>5078.2200000000012</v>
      </c>
      <c r="BF29" s="16">
        <f t="shared" si="18"/>
        <v>223.33333333333334</v>
      </c>
      <c r="BG29" s="16">
        <f t="shared" si="29"/>
        <v>5136.6666666666661</v>
      </c>
      <c r="BH29" s="17">
        <f t="shared" si="19"/>
        <v>1</v>
      </c>
      <c r="BI29" s="16">
        <f t="shared" si="30"/>
        <v>5136.6666666666661</v>
      </c>
      <c r="BJ29" s="441">
        <f t="shared" si="31"/>
        <v>521.76499999999999</v>
      </c>
      <c r="BK29" s="196"/>
      <c r="BL29" s="197"/>
      <c r="BM29" s="197"/>
      <c r="BN29" s="230"/>
      <c r="BO29" s="230"/>
      <c r="BP29" s="258"/>
      <c r="BQ29" s="199"/>
      <c r="BR29" s="200">
        <v>1.66</v>
      </c>
      <c r="BS29" s="200"/>
      <c r="BT29" s="200"/>
      <c r="BU29" s="200"/>
      <c r="BV29" s="208"/>
      <c r="BW29" s="208"/>
      <c r="BX29" s="201"/>
      <c r="BY29" s="202">
        <v>37.36</v>
      </c>
      <c r="BZ29" s="200"/>
      <c r="CA29" s="200"/>
      <c r="CB29" s="200"/>
      <c r="CC29" s="208"/>
      <c r="CD29" s="208"/>
      <c r="CE29" s="201"/>
      <c r="CF29" s="199"/>
      <c r="CG29" s="197"/>
      <c r="CH29" s="195">
        <v>34.338000000000001</v>
      </c>
      <c r="CI29" s="230">
        <f>DO29</f>
        <v>306.29000000000002</v>
      </c>
      <c r="CJ29" s="198"/>
      <c r="CK29" s="202"/>
      <c r="CL29" s="208"/>
      <c r="CM29" s="208"/>
      <c r="CN29" s="201"/>
      <c r="CO29" s="284"/>
      <c r="CP29" s="286">
        <f t="shared" si="20"/>
        <v>513.103701</v>
      </c>
      <c r="CQ29" s="24">
        <f t="shared" si="20"/>
        <v>0</v>
      </c>
      <c r="CR29" s="25">
        <f t="shared" si="20"/>
        <v>0</v>
      </c>
      <c r="CS29" s="24">
        <f t="shared" si="20"/>
        <v>0</v>
      </c>
      <c r="CT29" s="27">
        <f t="shared" si="20"/>
        <v>0</v>
      </c>
      <c r="CU29" s="29">
        <f t="shared" si="20"/>
        <v>0</v>
      </c>
      <c r="CV29" s="280">
        <f t="shared" si="20"/>
        <v>0</v>
      </c>
      <c r="CW29" s="30">
        <f t="shared" si="21"/>
        <v>0</v>
      </c>
      <c r="CX29" s="29">
        <f t="shared" si="21"/>
        <v>34.338000000000001</v>
      </c>
      <c r="CY29" s="277">
        <f t="shared" si="21"/>
        <v>306.29000000000002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33"/>
        <v>0</v>
      </c>
      <c r="DH29" s="139">
        <v>264.10000000000002</v>
      </c>
      <c r="DI29" s="411">
        <f t="shared" si="34"/>
        <v>276.40000000000003</v>
      </c>
      <c r="DJ29" s="129">
        <v>165.02</v>
      </c>
      <c r="DK29" s="411">
        <f t="shared" si="35"/>
        <v>177.32000000000002</v>
      </c>
      <c r="DL29" s="254">
        <v>455.76499999999999</v>
      </c>
      <c r="DM29" s="247">
        <f t="shared" si="36"/>
        <v>521.76499999999999</v>
      </c>
      <c r="DN29" s="230">
        <v>279.19</v>
      </c>
      <c r="DO29" s="247">
        <f>DN29+27.1</f>
        <v>306.29000000000002</v>
      </c>
    </row>
    <row r="30" spans="1:119" ht="16.5" customHeight="1">
      <c r="A30" s="127">
        <v>24</v>
      </c>
      <c r="B30" s="103">
        <f t="shared" si="24"/>
        <v>532.02</v>
      </c>
      <c r="C30" s="104">
        <f t="shared" si="0"/>
        <v>2.4500000000000002</v>
      </c>
      <c r="D30" s="143">
        <f t="shared" si="1"/>
        <v>518.98550999999998</v>
      </c>
      <c r="E30" s="104">
        <f t="shared" si="2"/>
        <v>37.36</v>
      </c>
      <c r="F30" s="128">
        <f t="shared" si="3"/>
        <v>2.3950598089436523</v>
      </c>
      <c r="G30" s="106"/>
      <c r="H30" s="107">
        <f t="shared" si="4"/>
        <v>2.3950598089436523</v>
      </c>
      <c r="I30" s="103">
        <f>'[1]сентябрь 20'!AE29</f>
        <v>0</v>
      </c>
      <c r="J30" s="328">
        <f>'[1]апрель 20'!AA29</f>
        <v>16.986999999999998</v>
      </c>
      <c r="K30" s="106"/>
      <c r="L30" s="328"/>
      <c r="M30" s="103">
        <f t="shared" si="5"/>
        <v>0</v>
      </c>
      <c r="N30" s="103">
        <f>'[1]июль 20'!AM29</f>
        <v>6.6029999999999998</v>
      </c>
      <c r="O30" s="103">
        <f>'[1]апрель 20'!W29</f>
        <v>0</v>
      </c>
      <c r="P30" s="103">
        <v>318.45</v>
      </c>
      <c r="Q30" s="108">
        <f t="shared" si="6"/>
        <v>4.0288899356256795</v>
      </c>
      <c r="R30" s="109">
        <f t="shared" si="7"/>
        <v>305.62</v>
      </c>
      <c r="S30" s="163">
        <v>13.91</v>
      </c>
      <c r="T30" s="109">
        <f t="shared" si="8"/>
        <v>305.62</v>
      </c>
      <c r="U30" s="110">
        <f t="shared" si="9"/>
        <v>1.4104019567123542</v>
      </c>
      <c r="V30" s="136">
        <f t="shared" si="25"/>
        <v>177.34</v>
      </c>
      <c r="W30" s="157">
        <v>85.06</v>
      </c>
      <c r="X30" s="149">
        <v>0.99</v>
      </c>
      <c r="Y30" s="147">
        <v>599</v>
      </c>
      <c r="Z30" s="147">
        <v>1244</v>
      </c>
      <c r="AA30" s="144" t="s">
        <v>254</v>
      </c>
      <c r="AB30" s="149">
        <v>75.36</v>
      </c>
      <c r="AC30" s="147">
        <v>155</v>
      </c>
      <c r="AD30" s="155">
        <v>5</v>
      </c>
      <c r="AE30" s="149">
        <v>1.2</v>
      </c>
      <c r="AF30" s="115">
        <f t="shared" si="10"/>
        <v>5.5378651529835254</v>
      </c>
      <c r="AG30" s="131">
        <v>132.94999999999999</v>
      </c>
      <c r="AH30" s="115">
        <f t="shared" si="11"/>
        <v>613.54931007429968</v>
      </c>
      <c r="AI30" s="139">
        <v>16.579999999999998</v>
      </c>
      <c r="AJ30" s="131"/>
      <c r="AK30" s="157">
        <v>10.5</v>
      </c>
      <c r="AL30" s="157">
        <v>49.9</v>
      </c>
      <c r="AM30" s="110">
        <f t="shared" si="12"/>
        <v>0.18281736581791538</v>
      </c>
      <c r="AN30" s="158" t="s">
        <v>270</v>
      </c>
      <c r="AO30" s="404">
        <v>7.27</v>
      </c>
      <c r="AP30" s="159">
        <v>7.29</v>
      </c>
      <c r="AQ30" s="155"/>
      <c r="AR30" s="156">
        <v>7.39</v>
      </c>
      <c r="AS30" s="427">
        <f t="shared" si="26"/>
        <v>272.95</v>
      </c>
      <c r="AT30" s="116">
        <v>4.1399999999999997</v>
      </c>
      <c r="AU30" s="164"/>
      <c r="AV30" s="149"/>
      <c r="AW30" s="109">
        <f t="shared" si="38"/>
        <v>0</v>
      </c>
      <c r="AX30" s="109">
        <f t="shared" si="13"/>
        <v>216.68999999999997</v>
      </c>
      <c r="AY30" s="115">
        <f t="shared" si="27"/>
        <v>224.61329252378977</v>
      </c>
      <c r="AZ30" s="140">
        <f t="shared" si="14"/>
        <v>7.6109193661971819</v>
      </c>
      <c r="BA30" s="141">
        <f t="shared" si="39"/>
        <v>8.6675999999999984</v>
      </c>
      <c r="BB30" s="128">
        <f t="shared" si="16"/>
        <v>0.84220469712389834</v>
      </c>
      <c r="BC30" s="141">
        <f t="shared" si="17"/>
        <v>16.27851936619718</v>
      </c>
      <c r="BD30" s="162">
        <v>0.83499999999999996</v>
      </c>
      <c r="BE30" s="16">
        <f t="shared" si="28"/>
        <v>5294.9100000000008</v>
      </c>
      <c r="BF30" s="16">
        <f t="shared" si="18"/>
        <v>223.33333333333334</v>
      </c>
      <c r="BG30" s="16">
        <f t="shared" si="29"/>
        <v>5359.9999999999991</v>
      </c>
      <c r="BH30" s="17">
        <f t="shared" si="19"/>
        <v>1</v>
      </c>
      <c r="BI30" s="16">
        <f t="shared" si="30"/>
        <v>5359.9999999999991</v>
      </c>
      <c r="BJ30" s="441">
        <f t="shared" si="31"/>
        <v>532.02</v>
      </c>
      <c r="BK30" s="429"/>
      <c r="BL30" s="210"/>
      <c r="BM30" s="210"/>
      <c r="BN30" s="233"/>
      <c r="BO30" s="233"/>
      <c r="BP30" s="260"/>
      <c r="BQ30" s="212"/>
      <c r="BR30" s="213">
        <v>2.4500000000000002</v>
      </c>
      <c r="BS30" s="213"/>
      <c r="BT30" s="213"/>
      <c r="BU30" s="213"/>
      <c r="BV30" s="235"/>
      <c r="BW30" s="235"/>
      <c r="BX30" s="214"/>
      <c r="BY30" s="215">
        <v>37.36</v>
      </c>
      <c r="BZ30" s="213"/>
      <c r="CA30" s="216"/>
      <c r="CB30" s="213"/>
      <c r="CC30" s="235"/>
      <c r="CD30" s="235"/>
      <c r="CE30" s="214"/>
      <c r="CF30" s="212"/>
      <c r="CG30" s="210"/>
      <c r="CH30" s="233"/>
      <c r="CI30" s="230">
        <f t="shared" ref="CI30:CI36" si="40">DO30</f>
        <v>305.62</v>
      </c>
      <c r="CJ30" s="198"/>
      <c r="CK30" s="202"/>
      <c r="CL30" s="208"/>
      <c r="CM30" s="208"/>
      <c r="CN30" s="201"/>
      <c r="CO30" s="284"/>
      <c r="CP30" s="286">
        <f t="shared" si="20"/>
        <v>518.98550999999998</v>
      </c>
      <c r="CQ30" s="24">
        <f t="shared" si="20"/>
        <v>0</v>
      </c>
      <c r="CR30" s="25">
        <f t="shared" si="20"/>
        <v>0</v>
      </c>
      <c r="CS30" s="24">
        <f t="shared" si="20"/>
        <v>0</v>
      </c>
      <c r="CT30" s="27">
        <f t="shared" si="20"/>
        <v>0</v>
      </c>
      <c r="CU30" s="24">
        <f t="shared" si="20"/>
        <v>0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305.62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33"/>
        <v>0</v>
      </c>
      <c r="DH30" s="156">
        <v>260.64999999999998</v>
      </c>
      <c r="DI30" s="411">
        <f t="shared" si="34"/>
        <v>272.95</v>
      </c>
      <c r="DJ30" s="154">
        <v>165.04</v>
      </c>
      <c r="DK30" s="411">
        <f t="shared" si="35"/>
        <v>177.34</v>
      </c>
      <c r="DL30" s="255">
        <v>466.02</v>
      </c>
      <c r="DM30" s="247">
        <f t="shared" si="36"/>
        <v>532.02</v>
      </c>
      <c r="DN30" s="233">
        <v>278.52</v>
      </c>
      <c r="DO30" s="247">
        <f t="shared" ref="DO30:DO35" si="41">DN30+27.1</f>
        <v>305.62</v>
      </c>
    </row>
    <row r="31" spans="1:119" ht="16.5" customHeight="1">
      <c r="A31" s="127">
        <v>25</v>
      </c>
      <c r="B31" s="103">
        <f t="shared" si="24"/>
        <v>561.36799999999994</v>
      </c>
      <c r="C31" s="104">
        <f t="shared" si="0"/>
        <v>2.4500000000000002</v>
      </c>
      <c r="D31" s="143">
        <f t="shared" si="1"/>
        <v>547.61448399999995</v>
      </c>
      <c r="E31" s="104">
        <f t="shared" si="2"/>
        <v>37.44</v>
      </c>
      <c r="F31" s="128">
        <f t="shared" si="3"/>
        <v>2.4369831516176403</v>
      </c>
      <c r="G31" s="106"/>
      <c r="H31" s="107">
        <f t="shared" si="4"/>
        <v>2.4369831516176403</v>
      </c>
      <c r="I31" s="103">
        <f>'[1]сентябрь 20'!AE30</f>
        <v>0</v>
      </c>
      <c r="J31" s="328">
        <f>'[1]апрель 20'!AA30</f>
        <v>18.434000000000001</v>
      </c>
      <c r="K31" s="106"/>
      <c r="L31" s="328"/>
      <c r="M31" s="103">
        <f t="shared" si="5"/>
        <v>0</v>
      </c>
      <c r="N31" s="103">
        <f>'[1]июль 20'!AM30</f>
        <v>7.069</v>
      </c>
      <c r="O31" s="103">
        <f>'[1]апрель 20'!W30</f>
        <v>0</v>
      </c>
      <c r="P31" s="103">
        <v>326.05500000000001</v>
      </c>
      <c r="Q31" s="108">
        <f t="shared" si="6"/>
        <v>2.8752817776142026</v>
      </c>
      <c r="R31" s="109">
        <f t="shared" si="7"/>
        <v>316.68</v>
      </c>
      <c r="S31" s="106">
        <v>13.07</v>
      </c>
      <c r="T31" s="109">
        <f t="shared" si="8"/>
        <v>316.68</v>
      </c>
      <c r="U31" s="110">
        <f t="shared" si="9"/>
        <v>1.4092830759645767</v>
      </c>
      <c r="V31" s="136">
        <f t="shared" si="25"/>
        <v>191.5</v>
      </c>
      <c r="W31" s="136">
        <v>128.15</v>
      </c>
      <c r="X31" s="131">
        <v>0.93</v>
      </c>
      <c r="Y31" s="133">
        <v>582</v>
      </c>
      <c r="Z31" s="133">
        <v>1241</v>
      </c>
      <c r="AA31" s="144" t="s">
        <v>254</v>
      </c>
      <c r="AB31" s="131">
        <v>75.22</v>
      </c>
      <c r="AC31" s="133">
        <v>165</v>
      </c>
      <c r="AD31" s="134">
        <v>5</v>
      </c>
      <c r="AE31" s="131"/>
      <c r="AF31" s="115">
        <f t="shared" si="10"/>
        <v>0</v>
      </c>
      <c r="AG31" s="131">
        <v>125.9</v>
      </c>
      <c r="AH31" s="115">
        <f t="shared" si="11"/>
        <v>560.27769124649546</v>
      </c>
      <c r="AI31" s="139">
        <v>20.88</v>
      </c>
      <c r="AJ31" s="131"/>
      <c r="AK31" s="136">
        <v>9.6</v>
      </c>
      <c r="AL31" s="136">
        <v>54.49</v>
      </c>
      <c r="AM31" s="110">
        <f t="shared" si="12"/>
        <v>0.19089157470660362</v>
      </c>
      <c r="AN31" s="137" t="s">
        <v>201</v>
      </c>
      <c r="AO31" s="150">
        <v>8.3699999999999992</v>
      </c>
      <c r="AP31" s="138">
        <v>7.33</v>
      </c>
      <c r="AQ31" s="134"/>
      <c r="AR31" s="139">
        <v>6.03</v>
      </c>
      <c r="AS31" s="427">
        <f t="shared" si="26"/>
        <v>285.45</v>
      </c>
      <c r="AT31" s="116">
        <v>3.35</v>
      </c>
      <c r="AU31" s="148"/>
      <c r="AV31" s="131"/>
      <c r="AW31" s="109">
        <f t="shared" si="38"/>
        <v>0</v>
      </c>
      <c r="AX31" s="109">
        <f t="shared" si="13"/>
        <v>224.70999999999998</v>
      </c>
      <c r="AY31" s="115">
        <f t="shared" si="27"/>
        <v>237.95327204570694</v>
      </c>
      <c r="AZ31" s="140">
        <f t="shared" si="14"/>
        <v>5.8809485915492958</v>
      </c>
      <c r="BA31" s="141">
        <f t="shared" si="39"/>
        <v>8.9883999999999986</v>
      </c>
      <c r="BB31" s="128">
        <f t="shared" si="16"/>
        <v>0.82441324850670072</v>
      </c>
      <c r="BC31" s="141">
        <f t="shared" si="17"/>
        <v>14.869348591549294</v>
      </c>
      <c r="BD31" s="142">
        <v>0.83499999999999996</v>
      </c>
      <c r="BE31" s="16">
        <f t="shared" si="28"/>
        <v>5519.6200000000008</v>
      </c>
      <c r="BF31" s="16">
        <f t="shared" si="18"/>
        <v>223.33333333333334</v>
      </c>
      <c r="BG31" s="16">
        <f t="shared" si="29"/>
        <v>5583.3333333333321</v>
      </c>
      <c r="BH31" s="17">
        <f t="shared" si="19"/>
        <v>1</v>
      </c>
      <c r="BI31" s="16">
        <f t="shared" si="30"/>
        <v>5583.3333333333321</v>
      </c>
      <c r="BJ31" s="441">
        <f t="shared" si="31"/>
        <v>561.36799999999994</v>
      </c>
      <c r="BK31" s="196"/>
      <c r="BL31" s="197"/>
      <c r="BM31" s="197"/>
      <c r="BN31" s="230"/>
      <c r="BO31" s="230"/>
      <c r="BP31" s="259"/>
      <c r="BQ31" s="199"/>
      <c r="BR31" s="200">
        <v>2.4500000000000002</v>
      </c>
      <c r="BS31" s="200"/>
      <c r="BT31" s="200"/>
      <c r="BU31" s="200"/>
      <c r="BV31" s="208"/>
      <c r="BW31" s="208"/>
      <c r="BX31" s="201"/>
      <c r="BY31" s="202">
        <v>37.44</v>
      </c>
      <c r="BZ31" s="200"/>
      <c r="CA31" s="200"/>
      <c r="CB31" s="200"/>
      <c r="CC31" s="208"/>
      <c r="CD31" s="208"/>
      <c r="CE31" s="209"/>
      <c r="CF31" s="199"/>
      <c r="CG31" s="197"/>
      <c r="CH31" s="230"/>
      <c r="CI31" s="230">
        <f t="shared" si="40"/>
        <v>316.68</v>
      </c>
      <c r="CJ31" s="198"/>
      <c r="CK31" s="202"/>
      <c r="CL31" s="208"/>
      <c r="CM31" s="208"/>
      <c r="CN31" s="201"/>
      <c r="CO31" s="284"/>
      <c r="CP31" s="286">
        <f t="shared" si="20"/>
        <v>547.61448399999995</v>
      </c>
      <c r="CQ31" s="24">
        <f t="shared" si="20"/>
        <v>0</v>
      </c>
      <c r="CR31" s="25">
        <f t="shared" si="20"/>
        <v>0</v>
      </c>
      <c r="CS31" s="24">
        <f t="shared" si="20"/>
        <v>0</v>
      </c>
      <c r="CT31" s="27">
        <f t="shared" si="20"/>
        <v>0</v>
      </c>
      <c r="CU31" s="24">
        <f t="shared" si="20"/>
        <v>0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316.68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33"/>
        <v>0</v>
      </c>
      <c r="DH31" s="139">
        <v>273.14999999999998</v>
      </c>
      <c r="DI31" s="411">
        <f t="shared" si="34"/>
        <v>285.45</v>
      </c>
      <c r="DJ31" s="136">
        <v>179.2</v>
      </c>
      <c r="DK31" s="411">
        <f t="shared" si="35"/>
        <v>191.5</v>
      </c>
      <c r="DL31" s="254">
        <v>495.36799999999999</v>
      </c>
      <c r="DM31" s="247">
        <f t="shared" si="36"/>
        <v>561.36799999999994</v>
      </c>
      <c r="DN31" s="230">
        <v>289.58</v>
      </c>
      <c r="DO31" s="247">
        <f t="shared" si="41"/>
        <v>316.68</v>
      </c>
    </row>
    <row r="32" spans="1:119" ht="14.25" customHeight="1">
      <c r="A32" s="127">
        <v>26</v>
      </c>
      <c r="B32" s="103">
        <f t="shared" si="24"/>
        <v>522.10300000000007</v>
      </c>
      <c r="C32" s="104">
        <f t="shared" si="0"/>
        <v>1.84</v>
      </c>
      <c r="D32" s="143">
        <f t="shared" si="1"/>
        <v>512.49630480000008</v>
      </c>
      <c r="E32" s="104">
        <f t="shared" si="2"/>
        <v>37.81</v>
      </c>
      <c r="F32" s="128">
        <f t="shared" si="3"/>
        <v>2.3388841949616643</v>
      </c>
      <c r="G32" s="106"/>
      <c r="H32" s="107">
        <f t="shared" si="4"/>
        <v>2.3388841949616643</v>
      </c>
      <c r="I32" s="103">
        <f>'[1]сентябрь 20'!AE31</f>
        <v>0</v>
      </c>
      <c r="J32" s="328">
        <f>'[1]апрель 20'!AA31</f>
        <v>18.242000000000001</v>
      </c>
      <c r="K32" s="106"/>
      <c r="L32" s="328"/>
      <c r="M32" s="103">
        <f t="shared" si="5"/>
        <v>0</v>
      </c>
      <c r="N32" s="103">
        <f>'[1]июль 20'!AM31</f>
        <v>7.0679999999999996</v>
      </c>
      <c r="O32" s="103">
        <f>'[1]апрель 20'!W31</f>
        <v>0</v>
      </c>
      <c r="P32" s="103">
        <v>299.05</v>
      </c>
      <c r="Q32" s="108">
        <f t="shared" si="6"/>
        <v>2.98277879953186</v>
      </c>
      <c r="R32" s="109">
        <f t="shared" si="7"/>
        <v>290.13</v>
      </c>
      <c r="S32" s="106">
        <v>13.18</v>
      </c>
      <c r="T32" s="109">
        <f t="shared" si="8"/>
        <v>290.13</v>
      </c>
      <c r="U32" s="110">
        <f t="shared" si="9"/>
        <v>1.3240690032858704</v>
      </c>
      <c r="V32" s="136">
        <f t="shared" si="25"/>
        <v>219.12</v>
      </c>
      <c r="W32" s="136">
        <v>89.02</v>
      </c>
      <c r="X32" s="131">
        <v>1.18</v>
      </c>
      <c r="Y32" s="133">
        <v>600</v>
      </c>
      <c r="Z32" s="133">
        <v>1228</v>
      </c>
      <c r="AA32" s="144" t="s">
        <v>271</v>
      </c>
      <c r="AB32" s="131">
        <v>75.52</v>
      </c>
      <c r="AC32" s="133">
        <v>152</v>
      </c>
      <c r="AD32" s="134">
        <v>5</v>
      </c>
      <c r="AE32" s="131">
        <v>4.9000000000000004</v>
      </c>
      <c r="AF32" s="115">
        <f t="shared" si="10"/>
        <v>22.362175976633804</v>
      </c>
      <c r="AG32" s="131">
        <v>135.6</v>
      </c>
      <c r="AH32" s="115">
        <f t="shared" si="11"/>
        <v>618.83899233296802</v>
      </c>
      <c r="AI32" s="139">
        <v>17.53</v>
      </c>
      <c r="AJ32" s="131"/>
      <c r="AK32" s="136">
        <v>8.42</v>
      </c>
      <c r="AL32" s="136">
        <v>56.04</v>
      </c>
      <c r="AM32" s="110">
        <f t="shared" si="12"/>
        <v>0.19950160199359199</v>
      </c>
      <c r="AN32" s="137" t="s">
        <v>225</v>
      </c>
      <c r="AO32" s="150">
        <v>8.44</v>
      </c>
      <c r="AP32" s="138">
        <v>7.35</v>
      </c>
      <c r="AQ32" s="134"/>
      <c r="AR32" s="139">
        <v>6.53</v>
      </c>
      <c r="AS32" s="427">
        <f t="shared" si="26"/>
        <v>280.90000000000003</v>
      </c>
      <c r="AT32" s="116">
        <v>2.68</v>
      </c>
      <c r="AU32" s="148"/>
      <c r="AV32" s="131"/>
      <c r="AW32" s="109">
        <f t="shared" si="38"/>
        <v>0</v>
      </c>
      <c r="AX32" s="109">
        <f t="shared" si="13"/>
        <v>219.12000000000006</v>
      </c>
      <c r="AY32" s="115">
        <f t="shared" si="27"/>
        <v>224.00085610908405</v>
      </c>
      <c r="AZ32" s="140">
        <f t="shared" si="14"/>
        <v>6.8592591549295774</v>
      </c>
      <c r="BA32" s="141">
        <f t="shared" si="39"/>
        <v>8.7648000000000028</v>
      </c>
      <c r="BB32" s="128">
        <f t="shared" si="16"/>
        <v>0.85397780759750619</v>
      </c>
      <c r="BC32" s="141">
        <f t="shared" si="17"/>
        <v>15.624059154929579</v>
      </c>
      <c r="BD32" s="142">
        <v>0.83599999999999997</v>
      </c>
      <c r="BE32" s="16">
        <f t="shared" si="28"/>
        <v>5738.7400000000007</v>
      </c>
      <c r="BF32" s="16">
        <f t="shared" si="18"/>
        <v>223.33333333333334</v>
      </c>
      <c r="BG32" s="16">
        <f t="shared" si="29"/>
        <v>5806.6666666666652</v>
      </c>
      <c r="BH32" s="17">
        <f t="shared" si="19"/>
        <v>1</v>
      </c>
      <c r="BI32" s="16">
        <f t="shared" si="30"/>
        <v>5806.6666666666652</v>
      </c>
      <c r="BJ32" s="441">
        <f t="shared" si="31"/>
        <v>522.10300000000007</v>
      </c>
      <c r="BK32" s="196"/>
      <c r="BL32" s="197"/>
      <c r="BM32" s="197"/>
      <c r="BN32" s="230"/>
      <c r="BO32" s="230"/>
      <c r="BP32" s="258"/>
      <c r="BQ32" s="199"/>
      <c r="BR32" s="200">
        <v>1.84</v>
      </c>
      <c r="BS32" s="200"/>
      <c r="BT32" s="200"/>
      <c r="BU32" s="200"/>
      <c r="BV32" s="208"/>
      <c r="BW32" s="208"/>
      <c r="BX32" s="201"/>
      <c r="BY32" s="202">
        <v>37.81</v>
      </c>
      <c r="BZ32" s="200"/>
      <c r="CA32" s="200"/>
      <c r="CB32" s="200"/>
      <c r="CC32" s="208"/>
      <c r="CD32" s="208"/>
      <c r="CE32" s="209"/>
      <c r="CF32" s="199"/>
      <c r="CG32" s="197"/>
      <c r="CH32" s="230"/>
      <c r="CI32" s="230">
        <f t="shared" si="40"/>
        <v>290.13</v>
      </c>
      <c r="CJ32" s="198"/>
      <c r="CK32" s="202"/>
      <c r="CL32" s="208"/>
      <c r="CM32" s="208"/>
      <c r="CN32" s="201"/>
      <c r="CO32" s="284"/>
      <c r="CP32" s="286">
        <f t="shared" si="20"/>
        <v>512.49630480000008</v>
      </c>
      <c r="CQ32" s="24">
        <f t="shared" si="20"/>
        <v>0</v>
      </c>
      <c r="CR32" s="25">
        <f t="shared" si="20"/>
        <v>0</v>
      </c>
      <c r="CS32" s="24">
        <f t="shared" si="20"/>
        <v>0</v>
      </c>
      <c r="CT32" s="27">
        <f t="shared" si="20"/>
        <v>0</v>
      </c>
      <c r="CU32" s="24">
        <f t="shared" si="20"/>
        <v>0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290.13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33"/>
        <v>0</v>
      </c>
      <c r="DH32" s="139">
        <v>268.60000000000002</v>
      </c>
      <c r="DI32" s="411">
        <f t="shared" si="34"/>
        <v>280.90000000000003</v>
      </c>
      <c r="DJ32" s="136">
        <v>206.82</v>
      </c>
      <c r="DK32" s="411">
        <f t="shared" si="35"/>
        <v>219.12</v>
      </c>
      <c r="DL32" s="254">
        <v>456.10300000000001</v>
      </c>
      <c r="DM32" s="247">
        <f t="shared" si="36"/>
        <v>522.10300000000007</v>
      </c>
      <c r="DN32" s="230">
        <v>263.02999999999997</v>
      </c>
      <c r="DO32" s="247">
        <f t="shared" si="41"/>
        <v>290.13</v>
      </c>
    </row>
    <row r="33" spans="1:119" ht="16.5" customHeight="1">
      <c r="A33" s="127">
        <v>27</v>
      </c>
      <c r="B33" s="103">
        <f t="shared" si="24"/>
        <v>527.66699999999992</v>
      </c>
      <c r="C33" s="104">
        <f t="shared" si="0"/>
        <v>1.37</v>
      </c>
      <c r="D33" s="143">
        <f t="shared" si="1"/>
        <v>520.43796209999994</v>
      </c>
      <c r="E33" s="104">
        <f t="shared" si="2"/>
        <v>37.43</v>
      </c>
      <c r="F33" s="128">
        <f t="shared" si="3"/>
        <v>2.4216554004001671</v>
      </c>
      <c r="G33" s="106"/>
      <c r="H33" s="107">
        <f t="shared" si="4"/>
        <v>2.4216554004001671</v>
      </c>
      <c r="I33" s="103">
        <f>'[1]сентябрь 20'!AE32</f>
        <v>0</v>
      </c>
      <c r="J33" s="328">
        <f>'[1]апрель 20'!AA32</f>
        <v>18.286999999999999</v>
      </c>
      <c r="K33" s="106"/>
      <c r="L33" s="328"/>
      <c r="M33" s="103">
        <f t="shared" si="5"/>
        <v>0</v>
      </c>
      <c r="N33" s="103">
        <f>'[1]июль 20'!AM32</f>
        <v>6.9580000000000002</v>
      </c>
      <c r="O33" s="103">
        <f>'[1]апрель 20'!W32</f>
        <v>0</v>
      </c>
      <c r="P33" s="103">
        <v>303.67</v>
      </c>
      <c r="Q33" s="108">
        <f t="shared" si="6"/>
        <v>3.5960088253696454</v>
      </c>
      <c r="R33" s="109">
        <f t="shared" si="7"/>
        <v>292.75</v>
      </c>
      <c r="S33" s="131">
        <v>57.41</v>
      </c>
      <c r="T33" s="109">
        <f t="shared" si="8"/>
        <v>292.75</v>
      </c>
      <c r="U33" s="110">
        <f t="shared" si="9"/>
        <v>1.3621981294495371</v>
      </c>
      <c r="V33" s="136">
        <f t="shared" si="25"/>
        <v>214.91000000000003</v>
      </c>
      <c r="W33" s="136">
        <v>202.61</v>
      </c>
      <c r="X33" s="131">
        <v>0.51</v>
      </c>
      <c r="Y33" s="133">
        <v>560</v>
      </c>
      <c r="Z33" s="133">
        <v>1226</v>
      </c>
      <c r="AA33" s="144" t="s">
        <v>272</v>
      </c>
      <c r="AB33" s="131">
        <v>75.459999999999994</v>
      </c>
      <c r="AC33" s="133">
        <v>154</v>
      </c>
      <c r="AD33" s="134">
        <v>5</v>
      </c>
      <c r="AE33" s="131">
        <v>2.6</v>
      </c>
      <c r="AF33" s="115">
        <f t="shared" si="10"/>
        <v>12.098087571541576</v>
      </c>
      <c r="AG33" s="131">
        <v>158</v>
      </c>
      <c r="AH33" s="115">
        <f t="shared" si="11"/>
        <v>735.19147550137268</v>
      </c>
      <c r="AI33" s="139">
        <v>20.76</v>
      </c>
      <c r="AJ33" s="131"/>
      <c r="AK33" s="136">
        <v>7.58</v>
      </c>
      <c r="AL33" s="136">
        <v>56.44</v>
      </c>
      <c r="AM33" s="110">
        <f t="shared" si="12"/>
        <v>0.20357078449053201</v>
      </c>
      <c r="AN33" s="137" t="s">
        <v>273</v>
      </c>
      <c r="AO33" s="150">
        <v>7.77</v>
      </c>
      <c r="AP33" s="138">
        <v>7.15</v>
      </c>
      <c r="AQ33" s="134"/>
      <c r="AR33" s="139">
        <v>9.15</v>
      </c>
      <c r="AS33" s="427">
        <f t="shared" si="26"/>
        <v>277.25</v>
      </c>
      <c r="AT33" s="116">
        <v>1.68</v>
      </c>
      <c r="AU33" s="116"/>
      <c r="AV33" s="131"/>
      <c r="AW33" s="109">
        <f t="shared" si="38"/>
        <v>0</v>
      </c>
      <c r="AX33" s="109">
        <f t="shared" si="13"/>
        <v>214.91</v>
      </c>
      <c r="AY33" s="115">
        <f t="shared" si="27"/>
        <v>225.36487967644871</v>
      </c>
      <c r="AZ33" s="140">
        <f t="shared" si="14"/>
        <v>11.199084507042254</v>
      </c>
      <c r="BA33" s="141">
        <f t="shared" si="39"/>
        <v>8.5964000000000009</v>
      </c>
      <c r="BB33" s="128">
        <f t="shared" si="16"/>
        <v>0.83250074399061957</v>
      </c>
      <c r="BC33" s="141">
        <f t="shared" si="17"/>
        <v>19.795484507042254</v>
      </c>
      <c r="BD33" s="142">
        <v>0.83599999999999997</v>
      </c>
      <c r="BE33" s="16">
        <f t="shared" si="28"/>
        <v>5953.6500000000005</v>
      </c>
      <c r="BF33" s="16">
        <f t="shared" si="18"/>
        <v>223.33333333333334</v>
      </c>
      <c r="BG33" s="16">
        <f t="shared" si="29"/>
        <v>6029.9999999999982</v>
      </c>
      <c r="BH33" s="17">
        <f t="shared" si="19"/>
        <v>1</v>
      </c>
      <c r="BI33" s="16">
        <f t="shared" si="30"/>
        <v>6029.9999999999982</v>
      </c>
      <c r="BJ33" s="441">
        <f t="shared" si="31"/>
        <v>527.66699999999992</v>
      </c>
      <c r="BK33" s="196"/>
      <c r="BL33" s="197"/>
      <c r="BM33" s="197"/>
      <c r="BN33" s="230"/>
      <c r="BO33" s="230"/>
      <c r="BP33" s="258"/>
      <c r="BQ33" s="199"/>
      <c r="BR33" s="200">
        <v>1.37</v>
      </c>
      <c r="BS33" s="200"/>
      <c r="BT33" s="200"/>
      <c r="BU33" s="200"/>
      <c r="BV33" s="208"/>
      <c r="BW33" s="208"/>
      <c r="BX33" s="201"/>
      <c r="BY33" s="202">
        <v>37.43</v>
      </c>
      <c r="BZ33" s="200"/>
      <c r="CA33" s="200"/>
      <c r="CB33" s="200"/>
      <c r="CC33" s="208"/>
      <c r="CD33" s="208"/>
      <c r="CE33" s="209"/>
      <c r="CF33" s="199"/>
      <c r="CG33" s="197"/>
      <c r="CH33" s="197"/>
      <c r="CI33" s="230">
        <f t="shared" si="40"/>
        <v>292.75</v>
      </c>
      <c r="CJ33" s="198"/>
      <c r="CK33" s="202"/>
      <c r="CL33" s="208"/>
      <c r="CM33" s="208"/>
      <c r="CN33" s="209"/>
      <c r="CO33" s="284"/>
      <c r="CP33" s="286">
        <f t="shared" si="20"/>
        <v>520.43796209999994</v>
      </c>
      <c r="CQ33" s="24">
        <f t="shared" si="20"/>
        <v>0</v>
      </c>
      <c r="CR33" s="25">
        <f t="shared" si="20"/>
        <v>0</v>
      </c>
      <c r="CS33" s="24">
        <f t="shared" si="20"/>
        <v>0</v>
      </c>
      <c r="CT33" s="27">
        <f t="shared" si="20"/>
        <v>0</v>
      </c>
      <c r="CU33" s="24">
        <f t="shared" si="20"/>
        <v>0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292.75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33"/>
        <v>0</v>
      </c>
      <c r="DH33" s="139">
        <v>264.95</v>
      </c>
      <c r="DI33" s="411">
        <f t="shared" si="34"/>
        <v>277.25</v>
      </c>
      <c r="DJ33" s="136">
        <v>202.61</v>
      </c>
      <c r="DK33" s="411">
        <f t="shared" si="35"/>
        <v>214.91000000000003</v>
      </c>
      <c r="DL33" s="254">
        <v>461.66699999999997</v>
      </c>
      <c r="DM33" s="247">
        <f t="shared" si="36"/>
        <v>527.66699999999992</v>
      </c>
      <c r="DN33" s="230">
        <v>265.64999999999998</v>
      </c>
      <c r="DO33" s="247">
        <f t="shared" si="41"/>
        <v>292.75</v>
      </c>
    </row>
    <row r="34" spans="1:119" ht="16.5" customHeight="1">
      <c r="A34" s="127">
        <v>28</v>
      </c>
      <c r="B34" s="103">
        <f t="shared" si="24"/>
        <v>326.95299999999997</v>
      </c>
      <c r="C34" s="104">
        <f t="shared" si="0"/>
        <v>1.87</v>
      </c>
      <c r="D34" s="143">
        <f t="shared" si="1"/>
        <v>320.83897889999997</v>
      </c>
      <c r="E34" s="104">
        <f t="shared" si="2"/>
        <v>37.909999999999997</v>
      </c>
      <c r="F34" s="128">
        <f t="shared" si="3"/>
        <v>2.5577086965880103</v>
      </c>
      <c r="G34" s="106"/>
      <c r="H34" s="107">
        <f t="shared" si="4"/>
        <v>2.5577086965880103</v>
      </c>
      <c r="I34" s="103">
        <f>'[1]сентябрь 20'!AE33</f>
        <v>0</v>
      </c>
      <c r="J34" s="328">
        <f>'[1]апрель 20'!AA33</f>
        <v>9.3989999999999991</v>
      </c>
      <c r="K34" s="106"/>
      <c r="L34" s="328"/>
      <c r="M34" s="103">
        <f t="shared" si="5"/>
        <v>0</v>
      </c>
      <c r="N34" s="103">
        <f>'[1]июль 20'!AM33</f>
        <v>7.2119999999999997</v>
      </c>
      <c r="O34" s="103">
        <f>'[1]апрель 20'!W33</f>
        <v>0</v>
      </c>
      <c r="P34" s="103">
        <v>190.75</v>
      </c>
      <c r="Q34" s="108">
        <f t="shared" si="6"/>
        <v>2.8309305373525606</v>
      </c>
      <c r="R34" s="109">
        <f t="shared" si="7"/>
        <v>185.35</v>
      </c>
      <c r="S34" s="149">
        <v>9.14</v>
      </c>
      <c r="T34" s="109">
        <f t="shared" si="8"/>
        <v>185.35</v>
      </c>
      <c r="U34" s="110">
        <f t="shared" si="9"/>
        <v>1.4775988520408165</v>
      </c>
      <c r="V34" s="136">
        <f t="shared" si="25"/>
        <v>96.56</v>
      </c>
      <c r="W34" s="157">
        <v>113.14</v>
      </c>
      <c r="X34" s="149">
        <v>0.66</v>
      </c>
      <c r="Y34" s="147">
        <v>559</v>
      </c>
      <c r="Z34" s="147">
        <v>1184</v>
      </c>
      <c r="AA34" s="144" t="s">
        <v>274</v>
      </c>
      <c r="AB34" s="149">
        <v>75.39</v>
      </c>
      <c r="AC34" s="147">
        <v>89</v>
      </c>
      <c r="AD34" s="155">
        <v>3</v>
      </c>
      <c r="AE34" s="149">
        <v>2.75</v>
      </c>
      <c r="AF34" s="115">
        <f t="shared" si="10"/>
        <v>21.922831632653065</v>
      </c>
      <c r="AG34" s="149">
        <v>80.05</v>
      </c>
      <c r="AH34" s="115">
        <f t="shared" si="11"/>
        <v>638.15369897959181</v>
      </c>
      <c r="AI34" s="156">
        <v>9.9600000000000009</v>
      </c>
      <c r="AJ34" s="149"/>
      <c r="AK34" s="157">
        <v>7.54</v>
      </c>
      <c r="AL34" s="157">
        <v>31.21</v>
      </c>
      <c r="AM34" s="110">
        <f t="shared" si="12"/>
        <v>0.19235747303543915</v>
      </c>
      <c r="AN34" s="158" t="s">
        <v>208</v>
      </c>
      <c r="AO34" s="404">
        <v>7.6</v>
      </c>
      <c r="AP34" s="159">
        <v>6.94</v>
      </c>
      <c r="AQ34" s="155"/>
      <c r="AR34" s="156">
        <v>8.84</v>
      </c>
      <c r="AS34" s="427">
        <f t="shared" si="26"/>
        <v>162.25</v>
      </c>
      <c r="AT34" s="116">
        <v>1.94</v>
      </c>
      <c r="AU34" s="148"/>
      <c r="AV34" s="149"/>
      <c r="AW34" s="109">
        <f t="shared" si="38"/>
        <v>0</v>
      </c>
      <c r="AX34" s="109">
        <f t="shared" si="13"/>
        <v>125.43999999999998</v>
      </c>
      <c r="AY34" s="115">
        <f t="shared" si="27"/>
        <v>140.8449922729331</v>
      </c>
      <c r="AZ34" s="140">
        <f t="shared" si="14"/>
        <v>5.4817338028169011</v>
      </c>
      <c r="BA34" s="141">
        <f t="shared" si="39"/>
        <v>5.0175999999999998</v>
      </c>
      <c r="BB34" s="128">
        <f t="shared" si="16"/>
        <v>0.7775151834137658</v>
      </c>
      <c r="BC34" s="141">
        <f t="shared" si="17"/>
        <v>10.499333802816901</v>
      </c>
      <c r="BD34" s="165">
        <v>0.83399999999999996</v>
      </c>
      <c r="BE34" s="16">
        <f t="shared" si="28"/>
        <v>6079.09</v>
      </c>
      <c r="BF34" s="16">
        <f t="shared" si="18"/>
        <v>223.33333333333334</v>
      </c>
      <c r="BG34" s="16">
        <f t="shared" si="29"/>
        <v>6253.3333333333312</v>
      </c>
      <c r="BH34" s="17">
        <f t="shared" si="19"/>
        <v>1</v>
      </c>
      <c r="BI34" s="16">
        <f t="shared" si="30"/>
        <v>6253.3333333333312</v>
      </c>
      <c r="BJ34" s="441">
        <f t="shared" si="31"/>
        <v>326.95299999999997</v>
      </c>
      <c r="BK34" s="429"/>
      <c r="BL34" s="210"/>
      <c r="BM34" s="210"/>
      <c r="BN34" s="233"/>
      <c r="BO34" s="233"/>
      <c r="BP34" s="260"/>
      <c r="BQ34" s="212"/>
      <c r="BR34" s="213">
        <v>1.87</v>
      </c>
      <c r="BS34" s="213"/>
      <c r="BT34" s="213"/>
      <c r="BU34" s="213"/>
      <c r="BV34" s="235"/>
      <c r="BW34" s="235"/>
      <c r="BX34" s="214"/>
      <c r="BY34" s="215">
        <v>37.909999999999997</v>
      </c>
      <c r="BZ34" s="213"/>
      <c r="CA34" s="213"/>
      <c r="CB34" s="213"/>
      <c r="CC34" s="235"/>
      <c r="CD34" s="235"/>
      <c r="CE34" s="211"/>
      <c r="CF34" s="212"/>
      <c r="CG34" s="210"/>
      <c r="CH34" s="210"/>
      <c r="CI34" s="230">
        <f t="shared" si="40"/>
        <v>185.35</v>
      </c>
      <c r="CJ34" s="198"/>
      <c r="CK34" s="202"/>
      <c r="CL34" s="208"/>
      <c r="CM34" s="208"/>
      <c r="CN34" s="209"/>
      <c r="CO34" s="284"/>
      <c r="CP34" s="286">
        <f t="shared" si="20"/>
        <v>320.83897889999997</v>
      </c>
      <c r="CQ34" s="24">
        <f t="shared" si="20"/>
        <v>0</v>
      </c>
      <c r="CR34" s="25">
        <f t="shared" si="20"/>
        <v>0</v>
      </c>
      <c r="CS34" s="24">
        <f t="shared" si="20"/>
        <v>0</v>
      </c>
      <c r="CT34" s="27">
        <f t="shared" si="20"/>
        <v>0</v>
      </c>
      <c r="CU34" s="24">
        <f t="shared" si="20"/>
        <v>0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185.35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33"/>
        <v>0</v>
      </c>
      <c r="DH34" s="156">
        <v>149.94999999999999</v>
      </c>
      <c r="DI34" s="411">
        <f t="shared" si="34"/>
        <v>162.25</v>
      </c>
      <c r="DJ34" s="157">
        <v>84.26</v>
      </c>
      <c r="DK34" s="411">
        <f t="shared" si="35"/>
        <v>96.56</v>
      </c>
      <c r="DL34" s="255">
        <v>260.95299999999997</v>
      </c>
      <c r="DM34" s="247">
        <f t="shared" si="36"/>
        <v>326.95299999999997</v>
      </c>
      <c r="DN34" s="233">
        <v>158.25</v>
      </c>
      <c r="DO34" s="247">
        <f t="shared" si="41"/>
        <v>185.35</v>
      </c>
    </row>
    <row r="35" spans="1:119" ht="16.5" customHeight="1">
      <c r="A35" s="127">
        <v>29</v>
      </c>
      <c r="B35" s="103">
        <f t="shared" si="24"/>
        <v>525.053</v>
      </c>
      <c r="C35" s="104">
        <f t="shared" si="0"/>
        <v>1.55</v>
      </c>
      <c r="D35" s="143">
        <f t="shared" si="1"/>
        <v>516.91467850000004</v>
      </c>
      <c r="E35" s="104">
        <f t="shared" si="2"/>
        <v>37.79</v>
      </c>
      <c r="F35" s="128">
        <f t="shared" si="3"/>
        <v>2.5321577275399241</v>
      </c>
      <c r="G35" s="106"/>
      <c r="H35" s="107">
        <f t="shared" si="4"/>
        <v>2.5321577275399241</v>
      </c>
      <c r="I35" s="103">
        <f>'[1]сентябрь 20'!AE34</f>
        <v>0</v>
      </c>
      <c r="J35" s="328">
        <f>'[1]апрель 20'!AA34</f>
        <v>17.666</v>
      </c>
      <c r="K35" s="106"/>
      <c r="L35" s="328"/>
      <c r="M35" s="103">
        <f t="shared" si="5"/>
        <v>0</v>
      </c>
      <c r="N35" s="103">
        <f>'[1]июль 20'!AM34</f>
        <v>6.298</v>
      </c>
      <c r="O35" s="103">
        <f>'[1]апрель 20'!W34</f>
        <v>0</v>
      </c>
      <c r="P35" s="103">
        <v>302.55</v>
      </c>
      <c r="Q35" s="108">
        <f t="shared" si="6"/>
        <v>2.274004296810439</v>
      </c>
      <c r="R35" s="109">
        <f t="shared" si="7"/>
        <v>295.67000000000007</v>
      </c>
      <c r="S35" s="131">
        <v>13.91</v>
      </c>
      <c r="T35" s="109">
        <f t="shared" si="8"/>
        <v>295.67</v>
      </c>
      <c r="U35" s="110">
        <f t="shared" si="9"/>
        <v>1.448368766532772</v>
      </c>
      <c r="V35" s="136">
        <f t="shared" si="25"/>
        <v>204.14000000000001</v>
      </c>
      <c r="W35" s="136">
        <v>191.84</v>
      </c>
      <c r="X35" s="131">
        <v>0.61</v>
      </c>
      <c r="Y35" s="133">
        <v>547</v>
      </c>
      <c r="Z35" s="133">
        <v>1225</v>
      </c>
      <c r="AA35" s="144" t="s">
        <v>268</v>
      </c>
      <c r="AB35" s="131">
        <v>75.42</v>
      </c>
      <c r="AC35" s="133">
        <v>153</v>
      </c>
      <c r="AD35" s="134">
        <v>5</v>
      </c>
      <c r="AE35" s="166"/>
      <c r="AF35" s="115">
        <f t="shared" si="10"/>
        <v>0</v>
      </c>
      <c r="AG35" s="166">
        <v>133.69999999999999</v>
      </c>
      <c r="AH35" s="115">
        <f t="shared" si="11"/>
        <v>654.94268639169195</v>
      </c>
      <c r="AI35" s="139">
        <v>18.38</v>
      </c>
      <c r="AJ35" s="131"/>
      <c r="AK35" s="167">
        <v>8.5500000000000007</v>
      </c>
      <c r="AL35" s="167">
        <v>46.96</v>
      </c>
      <c r="AM35" s="110">
        <f t="shared" si="12"/>
        <v>0.18162831173854185</v>
      </c>
      <c r="AN35" s="168" t="s">
        <v>247</v>
      </c>
      <c r="AO35" s="405">
        <v>7.9249999999999998</v>
      </c>
      <c r="AP35" s="169">
        <v>6.98</v>
      </c>
      <c r="AQ35" s="170"/>
      <c r="AR35" s="171">
        <v>7.68</v>
      </c>
      <c r="AS35" s="427">
        <f t="shared" si="26"/>
        <v>258.55</v>
      </c>
      <c r="AT35" s="116">
        <v>1.1000000000000001</v>
      </c>
      <c r="AU35" s="116"/>
      <c r="AV35" s="131"/>
      <c r="AW35" s="109">
        <f t="shared" si="38"/>
        <v>0</v>
      </c>
      <c r="AX35" s="109">
        <f t="shared" si="13"/>
        <v>204.14</v>
      </c>
      <c r="AY35" s="115">
        <f t="shared" si="27"/>
        <v>226.11192755966053</v>
      </c>
      <c r="AZ35" s="140">
        <f t="shared" si="14"/>
        <v>7.9542084507042237</v>
      </c>
      <c r="BA35" s="141">
        <f t="shared" si="39"/>
        <v>8.1655999999999995</v>
      </c>
      <c r="BB35" s="128">
        <f t="shared" si="16"/>
        <v>0.788168151602606</v>
      </c>
      <c r="BC35" s="141">
        <f t="shared" si="17"/>
        <v>16.119808450704223</v>
      </c>
      <c r="BD35" s="165">
        <v>0.83399999999999996</v>
      </c>
      <c r="BE35" s="16">
        <f t="shared" si="28"/>
        <v>6283.2300000000005</v>
      </c>
      <c r="BF35" s="16">
        <f t="shared" si="18"/>
        <v>223.33333333333334</v>
      </c>
      <c r="BG35" s="16">
        <f t="shared" si="29"/>
        <v>6476.6666666666642</v>
      </c>
      <c r="BH35" s="17">
        <f t="shared" si="19"/>
        <v>1</v>
      </c>
      <c r="BI35" s="16">
        <f t="shared" si="30"/>
        <v>6476.6666666666642</v>
      </c>
      <c r="BJ35" s="441">
        <f t="shared" si="31"/>
        <v>525.053</v>
      </c>
      <c r="BK35" s="196"/>
      <c r="BL35" s="197"/>
      <c r="BM35" s="197"/>
      <c r="BN35" s="230"/>
      <c r="BO35" s="230"/>
      <c r="BP35" s="259"/>
      <c r="BQ35" s="199"/>
      <c r="BR35" s="200">
        <v>1.55</v>
      </c>
      <c r="BS35" s="200"/>
      <c r="BT35" s="200"/>
      <c r="BU35" s="200"/>
      <c r="BV35" s="208"/>
      <c r="BW35" s="208"/>
      <c r="BX35" s="201"/>
      <c r="BY35" s="202">
        <v>37.79</v>
      </c>
      <c r="BZ35" s="200"/>
      <c r="CA35" s="200"/>
      <c r="CB35" s="200"/>
      <c r="CC35" s="208"/>
      <c r="CD35" s="208"/>
      <c r="CE35" s="209"/>
      <c r="CF35" s="199"/>
      <c r="CG35" s="197"/>
      <c r="CH35" s="197"/>
      <c r="CI35" s="230">
        <f t="shared" si="40"/>
        <v>295.67</v>
      </c>
      <c r="CJ35" s="198"/>
      <c r="CK35" s="202"/>
      <c r="CL35" s="208"/>
      <c r="CM35" s="208"/>
      <c r="CN35" s="209"/>
      <c r="CP35" s="286">
        <f t="shared" si="20"/>
        <v>516.91467850000004</v>
      </c>
      <c r="CQ35" s="24">
        <f t="shared" si="20"/>
        <v>0</v>
      </c>
      <c r="CR35" s="24">
        <f t="shared" si="20"/>
        <v>0</v>
      </c>
      <c r="CS35" s="24">
        <f t="shared" si="20"/>
        <v>0</v>
      </c>
      <c r="CT35" s="27">
        <f t="shared" si="20"/>
        <v>0</v>
      </c>
      <c r="CU35" s="27">
        <f t="shared" si="20"/>
        <v>0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295.67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33"/>
        <v>0</v>
      </c>
      <c r="DH35" s="171">
        <v>246.25</v>
      </c>
      <c r="DI35" s="411">
        <f t="shared" si="34"/>
        <v>258.55</v>
      </c>
      <c r="DJ35" s="136">
        <v>191.84</v>
      </c>
      <c r="DK35" s="411">
        <f t="shared" si="35"/>
        <v>204.14000000000001</v>
      </c>
      <c r="DL35" s="254">
        <v>459.053</v>
      </c>
      <c r="DM35" s="247">
        <f t="shared" si="36"/>
        <v>525.053</v>
      </c>
      <c r="DN35" s="230">
        <v>268.57</v>
      </c>
      <c r="DO35" s="247">
        <f t="shared" si="41"/>
        <v>295.67</v>
      </c>
    </row>
    <row r="36" spans="1:119" ht="16.5" customHeight="1">
      <c r="A36" s="127">
        <v>30</v>
      </c>
      <c r="B36" s="103">
        <f t="shared" si="24"/>
        <v>511.298</v>
      </c>
      <c r="C36" s="104">
        <f t="shared" si="0"/>
        <v>2.27</v>
      </c>
      <c r="D36" s="143">
        <f t="shared" si="1"/>
        <v>499.69153540000002</v>
      </c>
      <c r="E36" s="104">
        <f t="shared" si="2"/>
        <v>37.729999999999997</v>
      </c>
      <c r="F36" s="128">
        <f t="shared" si="3"/>
        <v>2.3019833942967707</v>
      </c>
      <c r="G36" s="106"/>
      <c r="H36" s="107">
        <f t="shared" si="4"/>
        <v>2.3019833942967707</v>
      </c>
      <c r="I36" s="103">
        <f>'[1]сентябрь 20'!AE35</f>
        <v>0</v>
      </c>
      <c r="J36" s="328">
        <f>'[1]апрель 20'!AA35</f>
        <v>18.716999999999999</v>
      </c>
      <c r="K36" s="106"/>
      <c r="L36" s="328"/>
      <c r="M36" s="103">
        <f t="shared" si="5"/>
        <v>0</v>
      </c>
      <c r="N36" s="103">
        <f>'[1]июль 20'!AM35</f>
        <v>7.1239999999999997</v>
      </c>
      <c r="O36" s="103">
        <f>'[1]апрель 20'!W35</f>
        <v>0</v>
      </c>
      <c r="P36" s="103">
        <v>296.95</v>
      </c>
      <c r="Q36" s="108">
        <f t="shared" si="6"/>
        <v>1.8942582926418594</v>
      </c>
      <c r="R36" s="109">
        <f t="shared" si="7"/>
        <v>291.32499999999993</v>
      </c>
      <c r="S36" s="131">
        <v>13.17</v>
      </c>
      <c r="T36" s="109">
        <f t="shared" si="8"/>
        <v>291.32499999999999</v>
      </c>
      <c r="U36" s="110">
        <f t="shared" si="9"/>
        <v>1.3420785921592111</v>
      </c>
      <c r="V36" s="136">
        <f t="shared" si="25"/>
        <v>217.07000000000002</v>
      </c>
      <c r="W36" s="136">
        <v>202.77</v>
      </c>
      <c r="X36" s="131">
        <v>0.5</v>
      </c>
      <c r="Y36" s="133">
        <v>610</v>
      </c>
      <c r="Z36" s="133">
        <v>1232</v>
      </c>
      <c r="AA36" s="144" t="s">
        <v>275</v>
      </c>
      <c r="AB36" s="131">
        <v>75.97</v>
      </c>
      <c r="AC36" s="133">
        <v>149</v>
      </c>
      <c r="AD36" s="134">
        <v>5</v>
      </c>
      <c r="AE36" s="131">
        <v>3.85</v>
      </c>
      <c r="AF36" s="115">
        <f t="shared" si="10"/>
        <v>17.736214124475975</v>
      </c>
      <c r="AG36" s="131">
        <v>152.75</v>
      </c>
      <c r="AH36" s="115">
        <f t="shared" si="11"/>
        <v>703.69005389966378</v>
      </c>
      <c r="AI36" s="139">
        <v>20.010000000000002</v>
      </c>
      <c r="AJ36" s="131"/>
      <c r="AK36" s="136">
        <v>8.81</v>
      </c>
      <c r="AL36" s="136">
        <v>48.92</v>
      </c>
      <c r="AM36" s="110">
        <f t="shared" si="12"/>
        <v>0.17802037845705967</v>
      </c>
      <c r="AN36" s="137" t="s">
        <v>276</v>
      </c>
      <c r="AO36" s="150">
        <v>7.55</v>
      </c>
      <c r="AP36" s="138">
        <v>7.1</v>
      </c>
      <c r="AQ36" s="134"/>
      <c r="AR36" s="139">
        <v>9.06</v>
      </c>
      <c r="AS36" s="427">
        <f t="shared" si="26"/>
        <v>274.8</v>
      </c>
      <c r="AT36" s="116"/>
      <c r="AU36" s="116"/>
      <c r="AV36" s="131"/>
      <c r="AW36" s="109">
        <f t="shared" si="38"/>
        <v>0</v>
      </c>
      <c r="AX36" s="109">
        <f t="shared" si="13"/>
        <v>217.07</v>
      </c>
      <c r="AY36" s="115">
        <f t="shared" si="27"/>
        <v>216.65110837897149</v>
      </c>
      <c r="AZ36" s="140">
        <f t="shared" si="14"/>
        <v>10.720468309859154</v>
      </c>
      <c r="BA36" s="141">
        <f t="shared" si="39"/>
        <v>8.6828000000000003</v>
      </c>
      <c r="BB36" s="128">
        <f t="shared" si="16"/>
        <v>0.87468793221458241</v>
      </c>
      <c r="BC36" s="141">
        <f t="shared" si="17"/>
        <v>19.403268309859154</v>
      </c>
      <c r="BD36" s="165">
        <v>0.83399999999999996</v>
      </c>
      <c r="BE36" s="16">
        <f t="shared" si="28"/>
        <v>6500.3</v>
      </c>
      <c r="BF36" s="16">
        <f t="shared" si="18"/>
        <v>223.33333333333334</v>
      </c>
      <c r="BG36" s="16">
        <f t="shared" si="29"/>
        <v>6699.9999999999973</v>
      </c>
      <c r="BH36" s="17">
        <f t="shared" si="19"/>
        <v>1</v>
      </c>
      <c r="BI36" s="16">
        <f t="shared" si="30"/>
        <v>6699.9999999999973</v>
      </c>
      <c r="BJ36" s="441">
        <f t="shared" si="31"/>
        <v>511.298</v>
      </c>
      <c r="BK36" s="196"/>
      <c r="BL36" s="197"/>
      <c r="BM36" s="197"/>
      <c r="BN36" s="230"/>
      <c r="BO36" s="230"/>
      <c r="BP36" s="258"/>
      <c r="BQ36" s="199"/>
      <c r="BR36" s="200">
        <v>2.27</v>
      </c>
      <c r="BS36" s="200"/>
      <c r="BT36" s="200"/>
      <c r="BU36" s="200"/>
      <c r="BV36" s="208"/>
      <c r="BW36" s="208"/>
      <c r="BX36" s="201"/>
      <c r="BY36" s="202">
        <v>37.729999999999997</v>
      </c>
      <c r="BZ36" s="200"/>
      <c r="CA36" s="200"/>
      <c r="CB36" s="200"/>
      <c r="CC36" s="208"/>
      <c r="CD36" s="208"/>
      <c r="CE36" s="209"/>
      <c r="CF36" s="199"/>
      <c r="CG36" s="197"/>
      <c r="CH36" s="197"/>
      <c r="CI36" s="230">
        <f t="shared" si="40"/>
        <v>291.32499999999999</v>
      </c>
      <c r="CJ36" s="198"/>
      <c r="CK36" s="202"/>
      <c r="CL36" s="208"/>
      <c r="CM36" s="208"/>
      <c r="CN36" s="209"/>
      <c r="CP36" s="286">
        <f t="shared" si="20"/>
        <v>499.69153540000002</v>
      </c>
      <c r="CQ36" s="27">
        <f t="shared" si="20"/>
        <v>0</v>
      </c>
      <c r="CR36" s="28">
        <f t="shared" si="20"/>
        <v>0</v>
      </c>
      <c r="CS36" s="27">
        <f t="shared" si="20"/>
        <v>0</v>
      </c>
      <c r="CT36" s="27">
        <f t="shared" si="20"/>
        <v>0</v>
      </c>
      <c r="CU36" s="29">
        <f t="shared" si="20"/>
        <v>0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291.32499999999999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33"/>
        <v>0</v>
      </c>
      <c r="DH36" s="139">
        <v>260.5</v>
      </c>
      <c r="DI36" s="411">
        <f>DH36+14.3</f>
        <v>274.8</v>
      </c>
      <c r="DJ36" s="136">
        <v>202.77</v>
      </c>
      <c r="DK36" s="411">
        <f>DJ36+14.3</f>
        <v>217.07000000000002</v>
      </c>
      <c r="DL36" s="254">
        <v>446.97899999999998</v>
      </c>
      <c r="DM36" s="247">
        <f>DL36+64.319</f>
        <v>511.298</v>
      </c>
      <c r="DN36" s="230">
        <v>263.76</v>
      </c>
      <c r="DO36" s="247">
        <f>DN36+27.565</f>
        <v>291.32499999999999</v>
      </c>
    </row>
    <row r="37" spans="1:119" ht="16.5" customHeight="1" thickBot="1">
      <c r="A37" s="172">
        <v>31</v>
      </c>
      <c r="B37" s="103">
        <f>'[1]апрель 20'!K36</f>
        <v>0</v>
      </c>
      <c r="C37" s="104">
        <f t="shared" si="0"/>
        <v>0</v>
      </c>
      <c r="D37" s="173">
        <f t="shared" si="1"/>
        <v>0</v>
      </c>
      <c r="E37" s="104">
        <f t="shared" si="2"/>
        <v>0</v>
      </c>
      <c r="F37" s="174">
        <f t="shared" si="3"/>
        <v>0</v>
      </c>
      <c r="G37" s="106"/>
      <c r="H37" s="107">
        <f t="shared" si="4"/>
        <v>0</v>
      </c>
      <c r="I37" s="103">
        <f>'[1]сентябрь 20'!AE36</f>
        <v>0</v>
      </c>
      <c r="J37" s="328">
        <f>'[1]апрель 20'!AA36</f>
        <v>0</v>
      </c>
      <c r="K37" s="106"/>
      <c r="L37" s="328">
        <f>'[1]апрель 20'!AI36</f>
        <v>0</v>
      </c>
      <c r="M37" s="103">
        <f t="shared" si="5"/>
        <v>0</v>
      </c>
      <c r="N37" s="103">
        <f>'[1]июль 20'!AM36</f>
        <v>6.7409999999999997</v>
      </c>
      <c r="O37" s="103">
        <f>'[1]апрель 20'!W36</f>
        <v>0</v>
      </c>
      <c r="P37" s="103">
        <f>'[1]апрель 20'!S36</f>
        <v>0</v>
      </c>
      <c r="Q37" s="108">
        <f t="shared" si="6"/>
        <v>0</v>
      </c>
      <c r="R37" s="175">
        <f t="shared" si="7"/>
        <v>0</v>
      </c>
      <c r="S37" s="176"/>
      <c r="T37" s="109">
        <f t="shared" si="8"/>
        <v>0</v>
      </c>
      <c r="U37" s="227">
        <f t="shared" si="9"/>
        <v>0</v>
      </c>
      <c r="V37" s="177"/>
      <c r="W37" s="177"/>
      <c r="X37" s="176"/>
      <c r="Y37" s="178"/>
      <c r="Z37" s="178"/>
      <c r="AA37" s="179"/>
      <c r="AB37" s="176"/>
      <c r="AC37" s="178"/>
      <c r="AD37" s="180"/>
      <c r="AE37" s="176"/>
      <c r="AF37" s="115">
        <f t="shared" si="10"/>
        <v>0</v>
      </c>
      <c r="AG37" s="176"/>
      <c r="AH37" s="181">
        <f t="shared" si="11"/>
        <v>0</v>
      </c>
      <c r="AI37" s="182"/>
      <c r="AJ37" s="176"/>
      <c r="AK37" s="177"/>
      <c r="AL37" s="177"/>
      <c r="AM37" s="227">
        <f t="shared" si="12"/>
        <v>0</v>
      </c>
      <c r="AN37" s="183"/>
      <c r="AO37" s="406"/>
      <c r="AP37" s="184"/>
      <c r="AQ37" s="180"/>
      <c r="AR37" s="176"/>
      <c r="AS37" s="426"/>
      <c r="AT37" s="131"/>
      <c r="AU37" s="176"/>
      <c r="AV37" s="176"/>
      <c r="AW37" s="185">
        <f t="shared" si="38"/>
        <v>0</v>
      </c>
      <c r="AX37" s="109">
        <f t="shared" si="13"/>
        <v>0</v>
      </c>
      <c r="AY37" s="115">
        <f t="shared" si="27"/>
        <v>0</v>
      </c>
      <c r="AZ37" s="186">
        <f t="shared" si="14"/>
        <v>0</v>
      </c>
      <c r="BA37" s="181">
        <f t="shared" si="39"/>
        <v>0</v>
      </c>
      <c r="BB37" s="174">
        <f t="shared" si="16"/>
        <v>0</v>
      </c>
      <c r="BC37" s="181">
        <f t="shared" si="17"/>
        <v>0</v>
      </c>
      <c r="BD37" s="187"/>
      <c r="BE37" s="16">
        <f t="shared" si="28"/>
        <v>6500.3</v>
      </c>
      <c r="BF37" s="16">
        <f t="shared" si="18"/>
        <v>0</v>
      </c>
      <c r="BG37" s="16">
        <f t="shared" si="29"/>
        <v>6699.9999999999973</v>
      </c>
      <c r="BH37" s="17">
        <f t="shared" si="19"/>
        <v>0</v>
      </c>
      <c r="BI37" s="16">
        <f t="shared" si="30"/>
        <v>6699.9999999999973</v>
      </c>
      <c r="BJ37" s="442"/>
      <c r="BK37" s="430"/>
      <c r="BL37" s="257"/>
      <c r="BM37" s="257"/>
      <c r="BN37" s="261"/>
      <c r="BO37" s="261"/>
      <c r="BP37" s="262"/>
      <c r="BQ37" s="219"/>
      <c r="BR37" s="220"/>
      <c r="BS37" s="220"/>
      <c r="BT37" s="220"/>
      <c r="BU37" s="220"/>
      <c r="BV37" s="224"/>
      <c r="BW37" s="224"/>
      <c r="BX37" s="221"/>
      <c r="BY37" s="222"/>
      <c r="BZ37" s="220"/>
      <c r="CA37" s="220"/>
      <c r="CB37" s="220"/>
      <c r="CC37" s="224"/>
      <c r="CD37" s="224"/>
      <c r="CE37" s="221"/>
      <c r="CF37" s="219"/>
      <c r="CG37" s="217"/>
      <c r="CH37" s="217"/>
      <c r="CI37" s="234"/>
      <c r="CJ37" s="223"/>
      <c r="CK37" s="222"/>
      <c r="CL37" s="224"/>
      <c r="CM37" s="224"/>
      <c r="CN37" s="218"/>
      <c r="CP37" s="287">
        <f t="shared" si="20"/>
        <v>0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0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33"/>
        <v>0</v>
      </c>
    </row>
    <row r="38" spans="1:119" ht="16.5" customHeight="1" thickBot="1">
      <c r="A38" s="55" t="s">
        <v>58</v>
      </c>
      <c r="B38" s="188">
        <f>SUM(B7:B37)</f>
        <v>16096.623000199999</v>
      </c>
      <c r="C38" s="326"/>
      <c r="D38" s="327">
        <f>SUM(D7:D37)</f>
        <v>15795.729137000002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282.87399999999997</v>
      </c>
      <c r="K38" s="188">
        <f>SUM(K7:K37)</f>
        <v>0</v>
      </c>
      <c r="L38" s="331">
        <f>SUM(L7:L37)</f>
        <v>0</v>
      </c>
      <c r="M38" s="342"/>
      <c r="N38" s="342">
        <f>SUM(N7:N37)</f>
        <v>85.77</v>
      </c>
      <c r="O38" s="188">
        <f>SUM(O7:O37)</f>
        <v>0</v>
      </c>
      <c r="P38" s="188">
        <f>SUM(P7:P37)</f>
        <v>9505.9149999999991</v>
      </c>
      <c r="Q38" s="342"/>
      <c r="R38" s="341">
        <f>SUM(R7:R37)</f>
        <v>9165.4230002000022</v>
      </c>
      <c r="S38" s="343">
        <f>SUM(S7:S37)</f>
        <v>551.43999999999994</v>
      </c>
      <c r="T38" s="341">
        <f>SUM(T7:T37)</f>
        <v>9165.4230002000022</v>
      </c>
      <c r="U38" s="344"/>
      <c r="V38" s="194">
        <f>SUM(V7:V37)</f>
        <v>5826.880000000001</v>
      </c>
      <c r="W38" s="194">
        <f>SUM(W7:W37)</f>
        <v>4958.7500000000009</v>
      </c>
      <c r="X38" s="345"/>
      <c r="Y38" s="346"/>
      <c r="Z38" s="347"/>
      <c r="AA38" s="348"/>
      <c r="AB38" s="345"/>
      <c r="AC38" s="345"/>
      <c r="AD38" s="347">
        <f>SUM(AD7:AD37)</f>
        <v>148</v>
      </c>
      <c r="AE38" s="194">
        <f>SUM(AE7:AE37)</f>
        <v>61.400000000000013</v>
      </c>
      <c r="AF38" s="349"/>
      <c r="AG38" s="194">
        <f>SUM(AG7:AG37)</f>
        <v>3980.2999999999988</v>
      </c>
      <c r="AH38" s="343"/>
      <c r="AI38" s="338">
        <f>SUM(AI7:AI37)</f>
        <v>725.49</v>
      </c>
      <c r="AJ38" s="343">
        <f>SUM(AJ7:AJ37)</f>
        <v>0</v>
      </c>
      <c r="AK38" s="337">
        <f>SUM(AK7:AK37)</f>
        <v>323.2700000000001</v>
      </c>
      <c r="AL38" s="395">
        <f>SUM(AL7:AL37)</f>
        <v>1630.4200000000003</v>
      </c>
      <c r="AM38" s="350"/>
      <c r="AN38" s="351"/>
      <c r="AO38" s="343"/>
      <c r="AP38" s="351"/>
      <c r="AQ38" s="351"/>
      <c r="AR38" s="352"/>
      <c r="AS38" s="337">
        <f>SUM(AS7:AS37)</f>
        <v>8356.5499999999975</v>
      </c>
      <c r="AT38" s="341">
        <f>SUM(AT7:AT37)</f>
        <v>97.44</v>
      </c>
      <c r="AU38" s="343">
        <f>SUM(AU7:AU36)</f>
        <v>0</v>
      </c>
      <c r="AV38" s="343">
        <f>SUM(AV7:AV37)</f>
        <v>0</v>
      </c>
      <c r="AW38" s="340"/>
      <c r="AX38" s="252">
        <f>SUM(AX7:AX37)</f>
        <v>6500.3</v>
      </c>
      <c r="AY38" s="252">
        <f>SUM(AY7:AY37)</f>
        <v>6803.1708092767913</v>
      </c>
      <c r="AZ38" s="351">
        <f>SUM(AZ7:AZ36)</f>
        <v>241.18933485915485</v>
      </c>
      <c r="BA38" s="351">
        <f>SUM(BA7:BA36)</f>
        <v>251.07239999999996</v>
      </c>
      <c r="BB38" s="340"/>
      <c r="BC38" s="351">
        <f>SUM(BC7:BC37)</f>
        <v>492.26173485915496</v>
      </c>
      <c r="BD38" s="353"/>
      <c r="BE38" s="16"/>
      <c r="BF38" s="16">
        <f t="shared" si="18"/>
        <v>0</v>
      </c>
      <c r="BG38" s="16"/>
      <c r="BH38" s="17">
        <f>SUM(BH7:BH37)</f>
        <v>30</v>
      </c>
      <c r="BI38" s="33"/>
      <c r="BJ38" s="424">
        <f t="shared" ref="BJ38:BP38" si="42">SUM(BJ7:BJ37)</f>
        <v>15303.406000000001</v>
      </c>
      <c r="BK38" s="38">
        <f t="shared" si="42"/>
        <v>9.9999999999999995E-8</v>
      </c>
      <c r="BL38" s="38">
        <f t="shared" si="42"/>
        <v>9.9999999999999995E-8</v>
      </c>
      <c r="BM38" s="38">
        <f t="shared" si="42"/>
        <v>80.062000100000006</v>
      </c>
      <c r="BN38" s="38">
        <f t="shared" si="42"/>
        <v>9.9999999999999995E-8</v>
      </c>
      <c r="BO38" s="38">
        <f t="shared" si="42"/>
        <v>713.15500009999982</v>
      </c>
      <c r="BP38" s="38">
        <f t="shared" si="42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9.9999999999999995E-8</v>
      </c>
      <c r="CH38" s="39">
        <f>SUM(CH7:CH37)</f>
        <v>6285.4080000000013</v>
      </c>
      <c r="CI38" s="39">
        <f>SUM(CI7:CI37)</f>
        <v>2880.0149999999999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43">SUM(CP7:CP37)</f>
        <v>15029.4988507</v>
      </c>
      <c r="CQ38" s="190">
        <f t="shared" si="43"/>
        <v>9.99999999E-8</v>
      </c>
      <c r="CR38" s="191">
        <f t="shared" si="43"/>
        <v>9.99999999E-8</v>
      </c>
      <c r="CS38" s="192">
        <f t="shared" si="43"/>
        <v>68.092731099999995</v>
      </c>
      <c r="CT38" s="192">
        <f t="shared" si="43"/>
        <v>9.99999999E-8</v>
      </c>
      <c r="CU38" s="192">
        <f t="shared" si="43"/>
        <v>698.13755519999995</v>
      </c>
      <c r="CV38" s="278">
        <f t="shared" si="43"/>
        <v>9.99999999E-8</v>
      </c>
      <c r="CW38" s="278">
        <f t="shared" si="43"/>
        <v>9.99999999E-8</v>
      </c>
      <c r="CX38" s="192">
        <f t="shared" si="43"/>
        <v>6285.4079997276713</v>
      </c>
      <c r="CY38" s="192">
        <f t="shared" si="43"/>
        <v>2880.0149999999999</v>
      </c>
      <c r="CZ38" s="192">
        <f t="shared" si="43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9" ht="16.5" customHeight="1" thickBot="1">
      <c r="A39" s="56" t="s">
        <v>59</v>
      </c>
      <c r="B39" s="84">
        <f>B38/AS2</f>
        <v>536.55410000666666</v>
      </c>
      <c r="C39" s="84">
        <f>(BJ38*BR39+BK38*BS39+BM38*BU39+BP38*BX39+BL38*BT39+BO38*BW39+BN38*BV39)/B38</f>
        <v>1.8692980707584528</v>
      </c>
      <c r="D39" s="82"/>
      <c r="E39" s="354">
        <f>(BJ38*BY39+BK38*BZ39+BM38*CB39+BP38*CE39+BL38*CA39+BO38*CD39+BN38*CC39)/B38</f>
        <v>37.429756775226323</v>
      </c>
      <c r="F39" s="355">
        <f>IF(AX38=0,0,D38/AX38)</f>
        <v>2.4300000210759505</v>
      </c>
      <c r="G39" s="354">
        <f>G38/AS2</f>
        <v>0</v>
      </c>
      <c r="H39" s="355">
        <f>IF(AX38=0,0,(CV38+CS38+CU38+CP38+CT38)/AX38)</f>
        <v>2.4300000211067179</v>
      </c>
      <c r="I39" s="354">
        <f>I38/AS2</f>
        <v>0</v>
      </c>
      <c r="J39" s="354">
        <f>J38/AS2</f>
        <v>9.4291333333333327</v>
      </c>
      <c r="K39" s="354">
        <f>K38/AS2</f>
        <v>0</v>
      </c>
      <c r="L39" s="354">
        <f>L38/AS2</f>
        <v>0</v>
      </c>
      <c r="M39" s="355">
        <f>IF($AX$38=0,0,(CR38+CQ38)/$AX$38)</f>
        <v>3.0767810685660663E-11</v>
      </c>
      <c r="N39" s="354">
        <f>N38/AS2</f>
        <v>2.859</v>
      </c>
      <c r="O39" s="354">
        <f>O38/AS2</f>
        <v>0</v>
      </c>
      <c r="P39" s="356">
        <f>P38/AS2</f>
        <v>316.86383333333328</v>
      </c>
      <c r="Q39" s="354">
        <f>(SUMPRODUCT(P7:P37,Q7:Q37))/P38</f>
        <v>3.5818961120523327</v>
      </c>
      <c r="R39" s="357"/>
      <c r="S39" s="354">
        <f>S38/AS2</f>
        <v>18.38133333333333</v>
      </c>
      <c r="T39" s="354">
        <f>T38/AS2:AS2</f>
        <v>305.51410000666675</v>
      </c>
      <c r="U39" s="358">
        <f>IF($AX$38=0,0,R38/$AX$38)</f>
        <v>1.4100000000307682</v>
      </c>
      <c r="V39" s="354">
        <f>V38/AS2</f>
        <v>194.22933333333336</v>
      </c>
      <c r="W39" s="354">
        <f>W38/AS2</f>
        <v>165.29166666666669</v>
      </c>
      <c r="X39" s="354">
        <f>(SUMPRODUCT(X7:X37,AX7:AX37))/AX38</f>
        <v>0.72661478700983018</v>
      </c>
      <c r="Y39" s="359">
        <f>AVERAGE(Y7:Y37)</f>
        <v>609.4666666666667</v>
      </c>
      <c r="Z39" s="359">
        <f>AVERAGE(Z7:Z37)</f>
        <v>1230.7</v>
      </c>
      <c r="AA39" s="359"/>
      <c r="AB39" s="354">
        <f>(SUMPRODUCT(AB7:AB37,AX7:AX37))/AX38</f>
        <v>75.857204221343622</v>
      </c>
      <c r="AC39" s="360">
        <f>AVERAGE(AC7:AC37)</f>
        <v>156.83333333333334</v>
      </c>
      <c r="AD39" s="360">
        <f>AVERAGE(AD7:AD37)</f>
        <v>4.9333333333333336</v>
      </c>
      <c r="AE39" s="354">
        <f>AE38/AS2</f>
        <v>2.0466666666666673</v>
      </c>
      <c r="AF39" s="361">
        <f>IF(AX38=0,0,AE38/AX38*1000)</f>
        <v>9.445717889943543</v>
      </c>
      <c r="AG39" s="361">
        <f>AG38/AS2</f>
        <v>132.67666666666662</v>
      </c>
      <c r="AH39" s="361">
        <f>IF(AX38=0,0,AG38/AX38*1000)</f>
        <v>612.32558497300101</v>
      </c>
      <c r="AI39" s="354">
        <f>AI38/AS2</f>
        <v>24.183</v>
      </c>
      <c r="AJ39" s="359"/>
      <c r="AK39" s="354">
        <f>AK38/AS2</f>
        <v>10.77566666666667</v>
      </c>
      <c r="AL39" s="354">
        <f>AL38/AS2</f>
        <v>54.347333333333346</v>
      </c>
      <c r="AM39" s="346">
        <f>IF(AL39=0,0,AL39/AS39)</f>
        <v>0.19510683236503115</v>
      </c>
      <c r="AN39" s="361">
        <f>SUM(AN8:AN38)</f>
        <v>0</v>
      </c>
      <c r="AO39" s="354">
        <f>AVERAGE(AO7:AO37)</f>
        <v>8.4168333333333347</v>
      </c>
      <c r="AP39" s="354">
        <f>AVERAGE(AP7:AP37)</f>
        <v>7.1879999999999988</v>
      </c>
      <c r="AQ39" s="362"/>
      <c r="AR39" s="354">
        <f>AVERAGE(AR7:AR37)</f>
        <v>7.7893333333333343</v>
      </c>
      <c r="AS39" s="363">
        <f>AS38/AS2</f>
        <v>278.55166666666656</v>
      </c>
      <c r="AT39" s="363">
        <f>AT38/AS2</f>
        <v>3.2479999999999998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216.67666666666668</v>
      </c>
      <c r="AY39" s="354">
        <f>AY38/AS2</f>
        <v>226.77236030922637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0.83401440160034579</v>
      </c>
      <c r="BC39" s="354">
        <f>BC38/AS2</f>
        <v>16.408724495305165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1.7898443607913164</v>
      </c>
      <c r="BS39" s="42">
        <f t="shared" ref="BS39:BX39" si="44">(SUMPRODUCT(BK7:BK37,BS7:BS37))/BK38</f>
        <v>9.9999999999999982E-8</v>
      </c>
      <c r="BT39" s="42">
        <f t="shared" si="44"/>
        <v>9.9999999999999982E-8</v>
      </c>
      <c r="BU39" s="42">
        <f t="shared" si="44"/>
        <v>14.94999998132697</v>
      </c>
      <c r="BV39" s="42">
        <f t="shared" si="44"/>
        <v>9.9999999999999982E-8</v>
      </c>
      <c r="BW39" s="46">
        <f t="shared" si="44"/>
        <v>2.1057757286836982</v>
      </c>
      <c r="BX39" s="240">
        <f t="shared" si="44"/>
        <v>9.9999999999999982E-8</v>
      </c>
      <c r="BY39" s="41">
        <f t="shared" ref="BY39:CE39" si="45">(SUMPRODUCT(BJ7:BJ37,BY7:BY37))/BJ38</f>
        <v>37.336043542855741</v>
      </c>
      <c r="BZ39" s="42">
        <f t="shared" si="45"/>
        <v>9.9999999999999982E-8</v>
      </c>
      <c r="CA39" s="42">
        <f t="shared" si="45"/>
        <v>9.9999999999999982E-8</v>
      </c>
      <c r="CB39" s="42">
        <f t="shared" si="45"/>
        <v>43.36999994582947</v>
      </c>
      <c r="CC39" s="42">
        <f t="shared" si="45"/>
        <v>9.9999999999999982E-8</v>
      </c>
      <c r="CD39" s="46">
        <f t="shared" si="45"/>
        <v>38.773845918660903</v>
      </c>
      <c r="CE39" s="240">
        <f t="shared" si="45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9.9999999999999982E-8</v>
      </c>
      <c r="CL39" s="46">
        <f>(SUMPRODUCT(CH7:CH37,CL7:CL37))/CH38</f>
        <v>4.332733849576669E-9</v>
      </c>
      <c r="CM39" s="46">
        <f>(SUMPRODUCT(CI7:CI37,CM7:CM37))/CI38</f>
        <v>0</v>
      </c>
      <c r="CN39" s="44">
        <f>(SUMPRODUCT(CJ7:CJ37,CN7:CN37))/CJ38</f>
        <v>9.9999999999999982E-8</v>
      </c>
      <c r="CP39" s="667">
        <f>CP38+CQ38</f>
        <v>15029.498850800001</v>
      </c>
      <c r="CQ39" s="667"/>
      <c r="CR39" s="668">
        <f>CR38+CS38+CV38+CU38+CT38</f>
        <v>766.23028659999989</v>
      </c>
      <c r="CS39" s="668"/>
      <c r="CT39" s="668"/>
      <c r="CU39" s="668"/>
      <c r="CV39" s="668"/>
      <c r="CW39" s="669">
        <f>CW38+CX38+CZ38+CY38</f>
        <v>9165.4229999276704</v>
      </c>
      <c r="CX39" s="668"/>
      <c r="CY39" s="668"/>
      <c r="CZ39" s="668"/>
      <c r="DB39" s="302"/>
      <c r="DC39" s="303"/>
      <c r="DD39" s="303"/>
      <c r="DE39" s="304"/>
      <c r="DF39" s="305"/>
    </row>
    <row r="40" spans="1:119" ht="16.5" customHeight="1" thickBot="1">
      <c r="A40" s="57" t="s">
        <v>60</v>
      </c>
      <c r="B40" s="85"/>
      <c r="C40" s="86"/>
      <c r="D40" s="87"/>
      <c r="E40" s="365">
        <v>38</v>
      </c>
      <c r="F40" s="366">
        <v>2.13</v>
      </c>
      <c r="G40" s="366"/>
      <c r="H40" s="401">
        <v>1.7465999999999999</v>
      </c>
      <c r="I40" s="366"/>
      <c r="J40" s="408">
        <v>26.799959999999999</v>
      </c>
      <c r="K40" s="366">
        <v>23.405000000000001</v>
      </c>
      <c r="L40" s="366"/>
      <c r="M40" s="401">
        <v>0.38340000000000002</v>
      </c>
      <c r="N40" s="365"/>
      <c r="O40" s="366"/>
      <c r="P40" s="367"/>
      <c r="Q40" s="368"/>
      <c r="R40" s="367"/>
      <c r="S40" s="369">
        <v>26.531604000000002</v>
      </c>
      <c r="T40" s="367"/>
      <c r="U40" s="369">
        <v>1.32</v>
      </c>
      <c r="V40" s="370">
        <v>6700</v>
      </c>
      <c r="W40" s="370">
        <v>6700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730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6700</v>
      </c>
      <c r="AT40" s="379">
        <v>46.9</v>
      </c>
      <c r="AU40" s="380"/>
      <c r="AV40" s="381"/>
      <c r="AW40" s="382"/>
      <c r="AX40" s="365">
        <v>223.33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15795.7291374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9" ht="16.5" customHeight="1" thickBot="1">
      <c r="A41" s="58" t="s">
        <v>61</v>
      </c>
      <c r="B41" s="88"/>
      <c r="C41" s="88"/>
      <c r="D41" s="88"/>
      <c r="E41" s="384"/>
      <c r="F41" s="385">
        <f>F39-F40</f>
        <v>0.30000002107595058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3.5818961120523327</v>
      </c>
      <c r="R41" s="386"/>
      <c r="S41" s="388"/>
      <c r="T41" s="388"/>
      <c r="U41" s="385">
        <f>U39-U40</f>
        <v>9.0000000030768135E-2</v>
      </c>
      <c r="V41" s="385"/>
      <c r="W41" s="385"/>
      <c r="X41" s="385"/>
      <c r="Y41" s="385"/>
      <c r="Z41" s="389">
        <f>Z39-Z40</f>
        <v>-19.299999999999955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1656.5499999999975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9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9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223.33333333333334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30</v>
      </c>
    </row>
    <row r="44" spans="1:119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9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56.463175675675657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29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9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231.0344827586207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9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9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-199.69999999999709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-2.9805970149253298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  <mergeCell ref="DB5:DF5"/>
    <mergeCell ref="CP39:CQ39"/>
    <mergeCell ref="CR39:CV39"/>
    <mergeCell ref="CW39:CZ39"/>
    <mergeCell ref="CG3:CJ5"/>
    <mergeCell ref="CK3:CN5"/>
    <mergeCell ref="V3:V6"/>
    <mergeCell ref="S4:S6"/>
    <mergeCell ref="T4:T6"/>
    <mergeCell ref="U4:U6"/>
    <mergeCell ref="AE5:AE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L3:AL6"/>
    <mergeCell ref="AM3:AM6"/>
    <mergeCell ref="AN3:AN6"/>
    <mergeCell ref="AO3:AO6"/>
    <mergeCell ref="AP3:AP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ignoredErrors>
    <ignoredError sqref="AS7:AS8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CM24" activePane="bottomRight" state="frozen"/>
      <selection pane="topRight" activeCell="B1" sqref="B1"/>
      <selection pane="bottomLeft" activeCell="A7" sqref="A7"/>
      <selection pane="bottomRight" activeCell="CR50" sqref="CR50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7.140625" customWidth="1"/>
    <col min="16" max="16" width="9" customWidth="1"/>
    <col min="17" max="17" width="5.140625" customWidth="1"/>
    <col min="18" max="18" width="8.85546875" customWidth="1"/>
    <col min="19" max="19" width="7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31</v>
      </c>
      <c r="AT2" s="321"/>
      <c r="AU2" s="321"/>
      <c r="AV2" s="322"/>
      <c r="AW2" s="321"/>
      <c r="AX2" s="323" t="s">
        <v>261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23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296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296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232" t="s">
        <v>296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296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'[1]май 20'!K6</f>
        <v>425.97699999999998</v>
      </c>
      <c r="C7" s="104">
        <f t="shared" ref="C7:C37" si="0">IF(B7=0,0,(BJ7*BR7+BK7*BS7+BM7*BU7+BP7*BX7+BL7*BT7+BO7*BW7+BN7*BV7)/B7)</f>
        <v>1.1917377395904003</v>
      </c>
      <c r="D7" s="447">
        <f t="shared" ref="D7:D37" si="1">B7*((100-C7)/100)</f>
        <v>420.90047132902498</v>
      </c>
      <c r="E7" s="104">
        <f t="shared" ref="E7:E37" si="2">IF(B7=0,0,(BJ7*BY7+BK7*BZ7+BM7*CB7+BP7*CE7+BL7*CA7+BO7*CD7+BN7*CC7)/B7)</f>
        <v>38.864727203581424</v>
      </c>
      <c r="F7" s="103">
        <f t="shared" ref="F7:F37" si="3">IF(AX7=0,0,D7/AX7)</f>
        <v>2.2298181358816751</v>
      </c>
      <c r="G7" s="106"/>
      <c r="H7" s="107">
        <f t="shared" ref="H7:H37" si="4">IF(AX7=0,0,(CV7+CS7+CU7+CP7+CT7)/AX7)</f>
        <v>1.8538115691883876</v>
      </c>
      <c r="I7" s="103">
        <f>'[1]сентябрь 20'!AE6</f>
        <v>0</v>
      </c>
      <c r="J7" s="328">
        <f>'[1]май 20'!AA6</f>
        <v>18.466999999999999</v>
      </c>
      <c r="K7" s="106"/>
      <c r="L7" s="328">
        <f>'[1]май 20'!AI6</f>
        <v>70.974999999999994</v>
      </c>
      <c r="M7" s="103">
        <f t="shared" ref="M7:M37" si="5">IF(AX7=0,0,(CR7+CQ7)/AX7)</f>
        <v>0.37600656934215404</v>
      </c>
      <c r="N7" s="103">
        <f>'[1]июль 20'!AM6</f>
        <v>0</v>
      </c>
      <c r="O7" s="103">
        <f>'[1]май 20'!W6</f>
        <v>0</v>
      </c>
      <c r="P7" s="103">
        <f>'[1]май 20'!S6</f>
        <v>257.46300000000002</v>
      </c>
      <c r="Q7" s="108">
        <f t="shared" ref="Q7:Q37" si="6">IF(P7=0,0,(1-(T7/P7))*100)</f>
        <v>1.659655834042173</v>
      </c>
      <c r="R7" s="109">
        <f t="shared" ref="R7:R37" si="7">P7*((100-Q7)/100)</f>
        <v>253.19000030000001</v>
      </c>
      <c r="S7" s="106">
        <v>15.1</v>
      </c>
      <c r="T7" s="109">
        <f t="shared" ref="T7:T37" si="8">CG7+CH7+CJ7+CI7</f>
        <v>253.19000030000001</v>
      </c>
      <c r="U7" s="110">
        <f t="shared" ref="U7:U37" si="9">IF(AX7=0,0,R7/AX7)</f>
        <v>1.3413329111040475</v>
      </c>
      <c r="V7" s="136">
        <v>188.76</v>
      </c>
      <c r="W7" s="111">
        <v>188.76</v>
      </c>
      <c r="X7" s="106">
        <v>0.46</v>
      </c>
      <c r="Y7" s="112">
        <v>600</v>
      </c>
      <c r="Z7" s="238">
        <v>1234</v>
      </c>
      <c r="AA7" s="113" t="s">
        <v>160</v>
      </c>
      <c r="AB7" s="106">
        <v>75.97</v>
      </c>
      <c r="AC7" s="112">
        <v>142</v>
      </c>
      <c r="AD7" s="114">
        <v>4</v>
      </c>
      <c r="AE7" s="106">
        <v>1</v>
      </c>
      <c r="AF7" s="115">
        <f t="shared" ref="AF7:AF37" si="10">IF(AX7=0,0,AE7/AX7*1000)</f>
        <v>5.2977325704598437</v>
      </c>
      <c r="AG7" s="106">
        <v>125.75</v>
      </c>
      <c r="AH7" s="115">
        <f t="shared" ref="AH7:AH37" si="11">IF(AX7=0,0,AG7/AX7*1000)</f>
        <v>666.18987073532537</v>
      </c>
      <c r="AI7" s="106">
        <v>18.010000000000002</v>
      </c>
      <c r="AJ7" s="116"/>
      <c r="AK7" s="117">
        <v>7.89</v>
      </c>
      <c r="AL7" s="118">
        <v>42.95</v>
      </c>
      <c r="AM7" s="110">
        <f t="shared" ref="AM7:AM37" si="12">IF(AL7=0,0,AL7/AS7)</f>
        <v>0.18230050933786079</v>
      </c>
      <c r="AN7" s="119" t="s">
        <v>277</v>
      </c>
      <c r="AO7" s="403">
        <v>7.8</v>
      </c>
      <c r="AP7" s="120">
        <v>6.78</v>
      </c>
      <c r="AQ7" s="106"/>
      <c r="AR7" s="106">
        <v>8.18</v>
      </c>
      <c r="AS7" s="314">
        <v>235.6</v>
      </c>
      <c r="AT7" s="121">
        <v>4</v>
      </c>
      <c r="AU7" s="122"/>
      <c r="AV7" s="123"/>
      <c r="AW7" s="124"/>
      <c r="AX7" s="109">
        <f t="shared" ref="AX7:AX37" si="13">AS7-AL7-AK7+AV7+AT7</f>
        <v>188.76</v>
      </c>
      <c r="AY7" s="115">
        <f>IF(AB7=0,0,((D7*0.97)*(E7/100)*0.9)/(AB7/100))</f>
        <v>187.97805560494405</v>
      </c>
      <c r="AZ7" s="125">
        <f t="shared" ref="AZ7:AZ37" si="14">(AG7*AR7)/100*(55/71)</f>
        <v>7.9682992957746483</v>
      </c>
      <c r="BA7" s="115">
        <f t="shared" ref="BA7:BA23" si="15">AX7*$BA$6</f>
        <v>7.5503999999999998</v>
      </c>
      <c r="BB7" s="103">
        <f t="shared" ref="BB7:BB37" si="16">IF((D7*E7)=0,0,(AX7*AB7)/(D7*E7))</f>
        <v>0.87663147418823417</v>
      </c>
      <c r="BC7" s="115">
        <f t="shared" ref="BC7:BC37" si="17">AZ7+BA7</f>
        <v>15.518699295774649</v>
      </c>
      <c r="BD7" s="126">
        <v>0.877</v>
      </c>
      <c r="BE7" s="16">
        <f>AX7</f>
        <v>188.76</v>
      </c>
      <c r="BF7" s="16">
        <f t="shared" ref="BF7:BF38" si="18">IF(A7&lt;=$BD$43,$AS$43,0)</f>
        <v>175.80645161290323</v>
      </c>
      <c r="BG7" s="16">
        <f>BF7</f>
        <v>175.80645161290323</v>
      </c>
      <c r="BH7" s="17">
        <f t="shared" ref="BH7:BH37" si="19">IF(AX7&lt;&gt;0,1,0)</f>
        <v>1</v>
      </c>
      <c r="BI7" s="16">
        <f>BF7*BH7</f>
        <v>175.80645161290323</v>
      </c>
      <c r="BJ7" s="336">
        <v>355.00200000000001</v>
      </c>
      <c r="BK7" s="336">
        <v>70.974999999999994</v>
      </c>
      <c r="BL7" s="336">
        <v>9.9999999999999995E-8</v>
      </c>
      <c r="BM7" s="336">
        <v>9.9999999999999995E-8</v>
      </c>
      <c r="BN7" s="336">
        <v>9.9999999999999995E-8</v>
      </c>
      <c r="BO7" s="336">
        <v>9.9999999999999995E-8</v>
      </c>
      <c r="BP7" s="336">
        <v>9.9999999999999995E-8</v>
      </c>
      <c r="BQ7" s="336">
        <v>9.9999999999999995E-8</v>
      </c>
      <c r="BR7" s="336">
        <v>1.43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37.950000000000003</v>
      </c>
      <c r="BZ7" s="336">
        <v>43.44</v>
      </c>
      <c r="CA7" s="336">
        <v>9.9999999999999995E-8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253.19</v>
      </c>
      <c r="CJ7" s="336">
        <v>9.9999999999999995E-8</v>
      </c>
      <c r="CK7" s="336">
        <v>9.9999999999999995E-8</v>
      </c>
      <c r="CL7" s="336">
        <v>9.9999999999999995E-8</v>
      </c>
      <c r="CM7" s="336">
        <v>9.9999999999999995E-8</v>
      </c>
      <c r="CN7" s="336">
        <v>9.9999999999999995E-8</v>
      </c>
      <c r="CO7" s="284"/>
      <c r="CP7" s="285">
        <f t="shared" ref="CP7:CV37" si="20">BJ7*((100-BR7)/100)</f>
        <v>349.92547139999999</v>
      </c>
      <c r="CQ7" s="22">
        <f t="shared" si="20"/>
        <v>70.974999929025003</v>
      </c>
      <c r="CR7" s="22">
        <f t="shared" si="20"/>
        <v>9.99999999E-8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253.18999974681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02"/>
    </row>
    <row r="8" spans="1:112" ht="16.5" customHeight="1">
      <c r="A8" s="127">
        <v>2</v>
      </c>
      <c r="B8" s="103">
        <f>'[1]май 20'!K7</f>
        <v>443.94200000000001</v>
      </c>
      <c r="C8" s="104">
        <f t="shared" si="0"/>
        <v>1.154974478648112</v>
      </c>
      <c r="D8" s="447">
        <f t="shared" si="1"/>
        <v>438.81458319999996</v>
      </c>
      <c r="E8" s="104">
        <f t="shared" si="2"/>
        <v>38.409519261525155</v>
      </c>
      <c r="F8" s="128">
        <f t="shared" si="3"/>
        <v>2.3112534667649842</v>
      </c>
      <c r="G8" s="106"/>
      <c r="H8" s="107">
        <f t="shared" si="4"/>
        <v>1.9442567323290845</v>
      </c>
      <c r="I8" s="103">
        <f>'[1]сентябрь 20'!AE7</f>
        <v>0</v>
      </c>
      <c r="J8" s="328">
        <f>'[1]май 20'!AA7</f>
        <v>19.219000000000001</v>
      </c>
      <c r="K8" s="106"/>
      <c r="L8" s="328">
        <f>'[1]май 20'!AI7</f>
        <v>69.677999999999997</v>
      </c>
      <c r="M8" s="103">
        <f t="shared" si="5"/>
        <v>0.36699673443590008</v>
      </c>
      <c r="N8" s="103">
        <f>'[1]июль 20'!AM7</f>
        <v>0</v>
      </c>
      <c r="O8" s="103">
        <f>'[1]май 20'!W7</f>
        <v>0</v>
      </c>
      <c r="P8" s="103">
        <f>'[1]май 20'!S7</f>
        <v>269.512</v>
      </c>
      <c r="Q8" s="108">
        <f t="shared" si="6"/>
        <v>1.9041823740686858</v>
      </c>
      <c r="R8" s="109">
        <f t="shared" si="7"/>
        <v>264.38</v>
      </c>
      <c r="S8" s="106">
        <v>14.35</v>
      </c>
      <c r="T8" s="109">
        <f t="shared" si="8"/>
        <v>264.38</v>
      </c>
      <c r="U8" s="110">
        <f t="shared" si="9"/>
        <v>1.3924997366480563</v>
      </c>
      <c r="V8" s="136">
        <v>145.44999999999999</v>
      </c>
      <c r="W8" s="130">
        <v>146.80000000000001</v>
      </c>
      <c r="X8" s="131">
        <v>0.68</v>
      </c>
      <c r="Y8" s="112">
        <v>584</v>
      </c>
      <c r="Z8" s="112">
        <v>1241</v>
      </c>
      <c r="AA8" s="132" t="s">
        <v>278</v>
      </c>
      <c r="AB8" s="131">
        <v>76.03</v>
      </c>
      <c r="AC8" s="133">
        <v>148</v>
      </c>
      <c r="AD8" s="134">
        <v>4</v>
      </c>
      <c r="AE8" s="131">
        <v>0.4</v>
      </c>
      <c r="AF8" s="115">
        <f t="shared" si="10"/>
        <v>2.1068155482987465</v>
      </c>
      <c r="AG8" s="131">
        <v>118.45</v>
      </c>
      <c r="AH8" s="115">
        <f t="shared" si="11"/>
        <v>623.88075423996622</v>
      </c>
      <c r="AI8" s="131">
        <v>13.73</v>
      </c>
      <c r="AJ8" s="116"/>
      <c r="AK8" s="135">
        <v>9.1</v>
      </c>
      <c r="AL8" s="136">
        <v>43.16</v>
      </c>
      <c r="AM8" s="110">
        <f t="shared" si="12"/>
        <v>0.17953410981697168</v>
      </c>
      <c r="AN8" s="137" t="s">
        <v>212</v>
      </c>
      <c r="AO8" s="150">
        <v>8.2100000000000009</v>
      </c>
      <c r="AP8" s="138">
        <v>6.92</v>
      </c>
      <c r="AQ8" s="131"/>
      <c r="AR8" s="131">
        <v>7.18</v>
      </c>
      <c r="AS8" s="315">
        <v>240.4</v>
      </c>
      <c r="AT8" s="131">
        <v>1.72</v>
      </c>
      <c r="AU8" s="116"/>
      <c r="AV8" s="131"/>
      <c r="AW8" s="109"/>
      <c r="AX8" s="109">
        <f t="shared" si="13"/>
        <v>189.86</v>
      </c>
      <c r="AY8" s="115">
        <f t="shared" ref="AY8:AY37" si="24">IF(AB8=0,0,((D8*0.97)*(E8/100)*0.9)/(AB8/100))</f>
        <v>193.53039225410888</v>
      </c>
      <c r="AZ8" s="140">
        <f t="shared" si="14"/>
        <v>6.588155633802816</v>
      </c>
      <c r="BA8" s="141">
        <f t="shared" si="15"/>
        <v>7.5944000000000003</v>
      </c>
      <c r="BB8" s="128">
        <f t="shared" si="16"/>
        <v>0.85644315639256396</v>
      </c>
      <c r="BC8" s="141">
        <f t="shared" si="17"/>
        <v>14.182555633802817</v>
      </c>
      <c r="BD8" s="142">
        <v>0.86599999999999999</v>
      </c>
      <c r="BE8" s="16">
        <f t="shared" ref="BE8:BE37" si="25">BE7+AX8</f>
        <v>378.62</v>
      </c>
      <c r="BF8" s="16">
        <f t="shared" si="18"/>
        <v>175.80645161290323</v>
      </c>
      <c r="BG8" s="16">
        <f t="shared" ref="BG8:BG37" si="26">BF8+BG7</f>
        <v>351.61290322580646</v>
      </c>
      <c r="BH8" s="17">
        <f t="shared" si="19"/>
        <v>1</v>
      </c>
      <c r="BI8" s="16">
        <f t="shared" ref="BI8:BI37" si="27">BI7+BF8*BH8</f>
        <v>351.61290322580646</v>
      </c>
      <c r="BJ8" s="249">
        <v>374.26400000000001</v>
      </c>
      <c r="BK8" s="195">
        <v>69.677999999999997</v>
      </c>
      <c r="BL8" s="197"/>
      <c r="BM8" s="197"/>
      <c r="BN8" s="230"/>
      <c r="BO8" s="230"/>
      <c r="BP8" s="250"/>
      <c r="BQ8" s="199"/>
      <c r="BR8" s="200">
        <v>1.37</v>
      </c>
      <c r="BS8" s="200"/>
      <c r="BT8" s="200"/>
      <c r="BU8" s="200"/>
      <c r="BV8" s="208"/>
      <c r="BW8" s="208"/>
      <c r="BX8" s="198"/>
      <c r="BY8" s="202">
        <v>37.54</v>
      </c>
      <c r="BZ8" s="200">
        <v>43.08</v>
      </c>
      <c r="CA8" s="200"/>
      <c r="CB8" s="200"/>
      <c r="CC8" s="197"/>
      <c r="CD8" s="197"/>
      <c r="CE8" s="197"/>
      <c r="CF8" s="203"/>
      <c r="CG8" s="204"/>
      <c r="CH8" s="197"/>
      <c r="CI8" s="197">
        <v>264.38</v>
      </c>
      <c r="CJ8" s="198"/>
      <c r="CK8" s="205"/>
      <c r="CL8" s="206"/>
      <c r="CM8" s="269"/>
      <c r="CN8" s="207"/>
      <c r="CO8" s="284"/>
      <c r="CP8" s="286">
        <f t="shared" si="20"/>
        <v>369.13658320000002</v>
      </c>
      <c r="CQ8" s="24">
        <f t="shared" si="20"/>
        <v>69.677999999999997</v>
      </c>
      <c r="CR8" s="25">
        <f t="shared" si="20"/>
        <v>0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264.38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8">IF(I8=0,0,(DE8*DD8%)/(AB8/100))</f>
        <v>0</v>
      </c>
      <c r="DH8" s="402"/>
    </row>
    <row r="9" spans="1:112" ht="16.5" customHeight="1">
      <c r="A9" s="127">
        <v>3</v>
      </c>
      <c r="B9" s="103">
        <f>'[1]май 20'!K8</f>
        <v>425.71699999999998</v>
      </c>
      <c r="C9" s="104">
        <f t="shared" si="0"/>
        <v>1.7860040825243062</v>
      </c>
      <c r="D9" s="448">
        <f t="shared" si="1"/>
        <v>418.11367700000005</v>
      </c>
      <c r="E9" s="104">
        <f t="shared" si="2"/>
        <v>37.761370159049321</v>
      </c>
      <c r="F9" s="128">
        <f t="shared" si="3"/>
        <v>2.248285621336775</v>
      </c>
      <c r="G9" s="106"/>
      <c r="H9" s="107">
        <f t="shared" si="4"/>
        <v>1.9060046082701512</v>
      </c>
      <c r="I9" s="103">
        <f>'[1]сентябрь 20'!AE8</f>
        <v>0</v>
      </c>
      <c r="J9" s="328">
        <f>'[1]май 20'!AA8</f>
        <v>16.727</v>
      </c>
      <c r="K9" s="106"/>
      <c r="L9" s="328">
        <f>'[1]май 20'!AI8</f>
        <v>63.654000000000003</v>
      </c>
      <c r="M9" s="103">
        <f t="shared" si="5"/>
        <v>0.34228101306662367</v>
      </c>
      <c r="N9" s="103">
        <f>'[1]июль 20'!AM8</f>
        <v>0</v>
      </c>
      <c r="O9" s="103">
        <f>'[1]май 20'!W8</f>
        <v>0</v>
      </c>
      <c r="P9" s="103">
        <f>'[1]май 20'!S8</f>
        <v>258.90800000000002</v>
      </c>
      <c r="Q9" s="108">
        <f t="shared" si="6"/>
        <v>1.4437560832419316</v>
      </c>
      <c r="R9" s="109">
        <f t="shared" si="7"/>
        <v>255.17</v>
      </c>
      <c r="S9" s="106">
        <v>11.03</v>
      </c>
      <c r="T9" s="109">
        <f t="shared" si="8"/>
        <v>255.17</v>
      </c>
      <c r="U9" s="110">
        <f t="shared" si="9"/>
        <v>1.3721030273700059</v>
      </c>
      <c r="V9" s="136">
        <v>185.97</v>
      </c>
      <c r="W9" s="130">
        <v>141.28</v>
      </c>
      <c r="X9" s="131">
        <v>0.62</v>
      </c>
      <c r="Y9" s="112">
        <v>572</v>
      </c>
      <c r="Z9" s="112">
        <v>1237</v>
      </c>
      <c r="AA9" s="144" t="s">
        <v>279</v>
      </c>
      <c r="AB9" s="131">
        <v>76.2</v>
      </c>
      <c r="AC9" s="133">
        <v>154</v>
      </c>
      <c r="AD9" s="134">
        <v>4</v>
      </c>
      <c r="AE9" s="131">
        <v>1.1499999999999999</v>
      </c>
      <c r="AF9" s="115">
        <f t="shared" si="10"/>
        <v>6.1837930849061671</v>
      </c>
      <c r="AG9" s="131">
        <v>133.15</v>
      </c>
      <c r="AH9" s="115">
        <f t="shared" si="11"/>
        <v>715.97569500457075</v>
      </c>
      <c r="AI9" s="131">
        <v>14.47</v>
      </c>
      <c r="AJ9" s="116"/>
      <c r="AK9" s="135">
        <v>8.56</v>
      </c>
      <c r="AL9" s="136">
        <v>42.83</v>
      </c>
      <c r="AM9" s="110">
        <f t="shared" si="12"/>
        <v>0.18233290762026394</v>
      </c>
      <c r="AN9" s="137" t="s">
        <v>242</v>
      </c>
      <c r="AO9" s="150">
        <v>7.92</v>
      </c>
      <c r="AP9" s="131">
        <v>7.36</v>
      </c>
      <c r="AQ9" s="131"/>
      <c r="AR9" s="131">
        <v>8.32</v>
      </c>
      <c r="AS9" s="315">
        <v>234.9</v>
      </c>
      <c r="AT9" s="131">
        <v>2.46</v>
      </c>
      <c r="AU9" s="116"/>
      <c r="AV9" s="131"/>
      <c r="AW9" s="109"/>
      <c r="AX9" s="109">
        <f t="shared" si="13"/>
        <v>185.97</v>
      </c>
      <c r="AY9" s="115">
        <f t="shared" si="24"/>
        <v>180.88451534628479</v>
      </c>
      <c r="AZ9" s="140">
        <f t="shared" si="14"/>
        <v>8.5816112676056342</v>
      </c>
      <c r="BA9" s="141">
        <f t="shared" si="15"/>
        <v>7.4388000000000005</v>
      </c>
      <c r="BB9" s="128">
        <f t="shared" si="16"/>
        <v>0.89754399202825186</v>
      </c>
      <c r="BC9" s="141">
        <f t="shared" si="17"/>
        <v>16.020411267605635</v>
      </c>
      <c r="BD9" s="142">
        <v>0.876</v>
      </c>
      <c r="BE9" s="16">
        <f t="shared" si="25"/>
        <v>564.59</v>
      </c>
      <c r="BF9" s="16">
        <f t="shared" si="18"/>
        <v>175.80645161290323</v>
      </c>
      <c r="BG9" s="16">
        <f t="shared" si="26"/>
        <v>527.41935483870975</v>
      </c>
      <c r="BH9" s="17">
        <f t="shared" si="19"/>
        <v>1</v>
      </c>
      <c r="BI9" s="16">
        <f t="shared" si="27"/>
        <v>527.41935483870975</v>
      </c>
      <c r="BJ9" s="249">
        <v>362.06299999999999</v>
      </c>
      <c r="BK9" s="195">
        <v>24.707000000000001</v>
      </c>
      <c r="BL9" s="197">
        <v>38.947000000000003</v>
      </c>
      <c r="BM9" s="197"/>
      <c r="BN9" s="230"/>
      <c r="BO9" s="230"/>
      <c r="BP9" s="250"/>
      <c r="BQ9" s="199"/>
      <c r="BR9" s="200">
        <v>2.1</v>
      </c>
      <c r="BS9" s="200"/>
      <c r="BT9" s="200"/>
      <c r="BU9" s="200"/>
      <c r="BV9" s="208"/>
      <c r="BW9" s="208"/>
      <c r="BX9" s="201"/>
      <c r="BY9" s="202">
        <v>36.93</v>
      </c>
      <c r="BZ9" s="200">
        <v>42.79</v>
      </c>
      <c r="CA9" s="200">
        <v>42.3</v>
      </c>
      <c r="CB9" s="200"/>
      <c r="CC9" s="200"/>
      <c r="CD9" s="200"/>
      <c r="CE9" s="200"/>
      <c r="CF9" s="203"/>
      <c r="CG9" s="204"/>
      <c r="CH9" s="197"/>
      <c r="CI9" s="197">
        <v>255.17</v>
      </c>
      <c r="CJ9" s="198"/>
      <c r="CK9" s="202"/>
      <c r="CL9" s="208"/>
      <c r="CM9" s="208"/>
      <c r="CN9" s="201"/>
      <c r="CO9" s="284"/>
      <c r="CP9" s="286">
        <f t="shared" si="20"/>
        <v>354.459677</v>
      </c>
      <c r="CQ9" s="27">
        <f t="shared" si="20"/>
        <v>24.707000000000001</v>
      </c>
      <c r="CR9" s="28">
        <f t="shared" si="20"/>
        <v>38.947000000000003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255.17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8"/>
        <v>0</v>
      </c>
      <c r="DH9" s="402"/>
    </row>
    <row r="10" spans="1:112" ht="16.5" customHeight="1">
      <c r="A10" s="127">
        <v>4</v>
      </c>
      <c r="B10" s="103">
        <f>'[1]май 20'!K9</f>
        <v>423.01299999999998</v>
      </c>
      <c r="C10" s="104">
        <f t="shared" si="0"/>
        <v>1.0965730367624635</v>
      </c>
      <c r="D10" s="448">
        <f t="shared" si="1"/>
        <v>418.37435349999998</v>
      </c>
      <c r="E10" s="104">
        <f t="shared" si="2"/>
        <v>38.378724838243741</v>
      </c>
      <c r="F10" s="128">
        <f t="shared" si="3"/>
        <v>2.1297818850539603</v>
      </c>
      <c r="G10" s="106"/>
      <c r="H10" s="107">
        <f t="shared" si="4"/>
        <v>1.8068944894115251</v>
      </c>
      <c r="I10" s="103">
        <f>'[1]сентябрь 20'!AE9</f>
        <v>0</v>
      </c>
      <c r="J10" s="328">
        <f>'[1]май 20'!AA9</f>
        <v>16.452000000000002</v>
      </c>
      <c r="K10" s="106"/>
      <c r="L10" s="328">
        <f>'[1]май 20'!AI9</f>
        <v>63.427999999999997</v>
      </c>
      <c r="M10" s="103">
        <f t="shared" si="5"/>
        <v>0.32288739564243535</v>
      </c>
      <c r="N10" s="103">
        <f>'[1]июль 20'!AM9</f>
        <v>0</v>
      </c>
      <c r="O10" s="103">
        <f>'[1]май 20'!W9</f>
        <v>0</v>
      </c>
      <c r="P10" s="103">
        <f>'[1]май 20'!S9</f>
        <v>254.79599999999999</v>
      </c>
      <c r="Q10" s="108">
        <f t="shared" si="6"/>
        <v>1.4113251385422076</v>
      </c>
      <c r="R10" s="109">
        <f t="shared" si="7"/>
        <v>251.2</v>
      </c>
      <c r="S10" s="106">
        <v>14.09</v>
      </c>
      <c r="T10" s="109">
        <f t="shared" si="8"/>
        <v>251.2</v>
      </c>
      <c r="U10" s="110">
        <f t="shared" si="9"/>
        <v>1.2787619629403379</v>
      </c>
      <c r="V10" s="136">
        <v>196.44</v>
      </c>
      <c r="W10" s="130">
        <v>95.64</v>
      </c>
      <c r="X10" s="131">
        <v>0.97</v>
      </c>
      <c r="Y10" s="112">
        <v>593</v>
      </c>
      <c r="Z10" s="112">
        <v>1240</v>
      </c>
      <c r="AA10" s="144" t="s">
        <v>280</v>
      </c>
      <c r="AB10" s="131">
        <v>76.31</v>
      </c>
      <c r="AC10" s="133">
        <v>141</v>
      </c>
      <c r="AD10" s="134">
        <v>4</v>
      </c>
      <c r="AE10" s="131">
        <v>1.45</v>
      </c>
      <c r="AF10" s="115">
        <f t="shared" si="10"/>
        <v>7.3813887192017917</v>
      </c>
      <c r="AG10" s="131">
        <v>120.15</v>
      </c>
      <c r="AH10" s="115">
        <f t="shared" si="11"/>
        <v>611.6371411117899</v>
      </c>
      <c r="AI10" s="131">
        <v>15.33</v>
      </c>
      <c r="AJ10" s="116"/>
      <c r="AK10" s="135">
        <v>9.3699999999999992</v>
      </c>
      <c r="AL10" s="136">
        <v>40.06</v>
      </c>
      <c r="AM10" s="110">
        <f t="shared" si="12"/>
        <v>0.16458504519309777</v>
      </c>
      <c r="AN10" s="137" t="s">
        <v>281</v>
      </c>
      <c r="AO10" s="150">
        <v>8.4700000000000006</v>
      </c>
      <c r="AP10" s="138">
        <v>7.16</v>
      </c>
      <c r="AQ10" s="131"/>
      <c r="AR10" s="131">
        <v>7.54</v>
      </c>
      <c r="AS10" s="315">
        <v>243.4</v>
      </c>
      <c r="AT10" s="131">
        <v>2.4700000000000002</v>
      </c>
      <c r="AU10" s="116"/>
      <c r="AV10" s="131"/>
      <c r="AW10" s="109"/>
      <c r="AX10" s="109">
        <f t="shared" si="13"/>
        <v>196.44</v>
      </c>
      <c r="AY10" s="115">
        <f>IF(AB10=0,0,((D10*0.97)*(E10/100)*0.9)/(AB10/100))</f>
        <v>183.69121438770253</v>
      </c>
      <c r="AZ10" s="140">
        <f t="shared" si="14"/>
        <v>7.0177753521126753</v>
      </c>
      <c r="BA10" s="141">
        <f t="shared" si="15"/>
        <v>7.8575999999999997</v>
      </c>
      <c r="BB10" s="128">
        <f t="shared" si="16"/>
        <v>0.93358912439897723</v>
      </c>
      <c r="BC10" s="141">
        <f t="shared" si="17"/>
        <v>14.875375352112675</v>
      </c>
      <c r="BD10" s="142">
        <v>0.89100000000000001</v>
      </c>
      <c r="BE10" s="16">
        <f t="shared" si="25"/>
        <v>761.03</v>
      </c>
      <c r="BF10" s="16">
        <f t="shared" si="18"/>
        <v>175.80645161290323</v>
      </c>
      <c r="BG10" s="16">
        <f t="shared" si="26"/>
        <v>703.22580645161293</v>
      </c>
      <c r="BH10" s="17">
        <f t="shared" si="19"/>
        <v>1</v>
      </c>
      <c r="BI10" s="16">
        <f t="shared" si="27"/>
        <v>703.22580645161293</v>
      </c>
      <c r="BJ10" s="249">
        <v>359.58499999999998</v>
      </c>
      <c r="BK10" s="195"/>
      <c r="BL10" s="197">
        <v>63.427999999999997</v>
      </c>
      <c r="BM10" s="195"/>
      <c r="BN10" s="195"/>
      <c r="BO10" s="230"/>
      <c r="BP10" s="250"/>
      <c r="BQ10" s="199"/>
      <c r="BR10" s="200">
        <v>1.29</v>
      </c>
      <c r="BS10" s="200"/>
      <c r="BT10" s="200"/>
      <c r="BU10" s="200"/>
      <c r="BV10" s="208"/>
      <c r="BW10" s="208"/>
      <c r="BX10" s="201"/>
      <c r="BY10" s="202">
        <v>37.65</v>
      </c>
      <c r="BZ10" s="200"/>
      <c r="CA10" s="200">
        <v>42.51</v>
      </c>
      <c r="CB10" s="200"/>
      <c r="CC10" s="200"/>
      <c r="CD10" s="200"/>
      <c r="CE10" s="200"/>
      <c r="CF10" s="203"/>
      <c r="CG10" s="204"/>
      <c r="CH10" s="197">
        <v>28</v>
      </c>
      <c r="CI10" s="197">
        <v>223.2</v>
      </c>
      <c r="CJ10" s="198"/>
      <c r="CK10" s="202"/>
      <c r="CL10" s="208"/>
      <c r="CM10" s="208"/>
      <c r="CN10" s="201"/>
      <c r="CO10" s="284"/>
      <c r="CP10" s="286">
        <f t="shared" si="20"/>
        <v>354.94635349999999</v>
      </c>
      <c r="CQ10" s="29">
        <f t="shared" si="20"/>
        <v>0</v>
      </c>
      <c r="CR10" s="30">
        <f t="shared" si="20"/>
        <v>63.427999999999997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0</v>
      </c>
      <c r="CX10" s="26">
        <f t="shared" si="21"/>
        <v>28</v>
      </c>
      <c r="CY10" s="277">
        <f t="shared" si="21"/>
        <v>223.2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8"/>
        <v>0</v>
      </c>
      <c r="DH10" s="402"/>
    </row>
    <row r="11" spans="1:112" ht="16.5" customHeight="1">
      <c r="A11" s="127">
        <v>5</v>
      </c>
      <c r="B11" s="103">
        <f>'[1]май 20'!K10</f>
        <v>395.83199999999999</v>
      </c>
      <c r="C11" s="104">
        <f t="shared" si="0"/>
        <v>0.70561490733442467</v>
      </c>
      <c r="D11" s="448">
        <f t="shared" si="1"/>
        <v>393.03895040000003</v>
      </c>
      <c r="E11" s="104">
        <f t="shared" si="2"/>
        <v>38.014811940419172</v>
      </c>
      <c r="F11" s="128">
        <f t="shared" si="3"/>
        <v>2.1207519041709388</v>
      </c>
      <c r="G11" s="106"/>
      <c r="H11" s="107">
        <f>IF(AX11=0,0,(CV11+CS11+CU11+CP11+CT11)/AX11)</f>
        <v>1.8006742049317435</v>
      </c>
      <c r="I11" s="103">
        <f>'[1]сентябрь 20'!AE10</f>
        <v>0</v>
      </c>
      <c r="J11" s="328">
        <f>'[1]май 20'!AA10</f>
        <v>15.83</v>
      </c>
      <c r="K11" s="106"/>
      <c r="L11" s="328">
        <f>'[1]май 20'!AI10</f>
        <v>59.32</v>
      </c>
      <c r="M11" s="103">
        <f t="shared" si="5"/>
        <v>0.32007769923919499</v>
      </c>
      <c r="N11" s="103">
        <f>'[1]июль 20'!AM10</f>
        <v>0</v>
      </c>
      <c r="O11" s="103">
        <f>'[1]май 20'!W10</f>
        <v>0</v>
      </c>
      <c r="P11" s="103">
        <f>'[1]май 20'!S10</f>
        <v>242.31700000000001</v>
      </c>
      <c r="Q11" s="108">
        <f t="shared" si="6"/>
        <v>1.5504483796019319</v>
      </c>
      <c r="R11" s="109">
        <f t="shared" si="7"/>
        <v>238.56</v>
      </c>
      <c r="S11" s="106">
        <v>12.36</v>
      </c>
      <c r="T11" s="109">
        <f t="shared" si="8"/>
        <v>238.56</v>
      </c>
      <c r="U11" s="110">
        <f t="shared" si="9"/>
        <v>1.2872173959963309</v>
      </c>
      <c r="V11" s="136">
        <v>185.33</v>
      </c>
      <c r="W11" s="130">
        <v>138.80000000000001</v>
      </c>
      <c r="X11" s="131">
        <v>0.67</v>
      </c>
      <c r="Y11" s="112">
        <v>563</v>
      </c>
      <c r="Z11" s="112">
        <v>1234</v>
      </c>
      <c r="AA11" s="144" t="s">
        <v>282</v>
      </c>
      <c r="AB11" s="131">
        <v>76.150000000000006</v>
      </c>
      <c r="AC11" s="133">
        <v>133</v>
      </c>
      <c r="AD11" s="134">
        <v>4</v>
      </c>
      <c r="AE11" s="131">
        <v>1.1499999999999999</v>
      </c>
      <c r="AF11" s="115">
        <f t="shared" si="10"/>
        <v>6.2051475745966655</v>
      </c>
      <c r="AG11" s="131">
        <v>127.6</v>
      </c>
      <c r="AH11" s="115">
        <f t="shared" si="11"/>
        <v>688.50159175524743</v>
      </c>
      <c r="AI11" s="131">
        <v>17.68</v>
      </c>
      <c r="AJ11" s="116"/>
      <c r="AK11" s="135">
        <v>9.33</v>
      </c>
      <c r="AL11" s="136">
        <v>42.89</v>
      </c>
      <c r="AM11" s="110">
        <f t="shared" si="12"/>
        <v>0.18297781569965871</v>
      </c>
      <c r="AN11" s="137" t="s">
        <v>283</v>
      </c>
      <c r="AO11" s="150">
        <v>7.88</v>
      </c>
      <c r="AP11" s="138">
        <v>7.22</v>
      </c>
      <c r="AQ11" s="131"/>
      <c r="AR11" s="131">
        <v>7.78</v>
      </c>
      <c r="AS11" s="315">
        <v>234.4</v>
      </c>
      <c r="AT11" s="131">
        <v>3.15</v>
      </c>
      <c r="AU11" s="145"/>
      <c r="AV11" s="131"/>
      <c r="AW11" s="109"/>
      <c r="AX11" s="109">
        <f t="shared" si="13"/>
        <v>185.32999999999998</v>
      </c>
      <c r="AY11" s="115">
        <f t="shared" si="24"/>
        <v>171.29030148465975</v>
      </c>
      <c r="AZ11" s="140">
        <f t="shared" si="14"/>
        <v>7.6901464788732392</v>
      </c>
      <c r="BA11" s="141">
        <f t="shared" si="15"/>
        <v>7.4131999999999998</v>
      </c>
      <c r="BB11" s="128">
        <f t="shared" si="16"/>
        <v>0.94455487904252233</v>
      </c>
      <c r="BC11" s="141">
        <f t="shared" si="17"/>
        <v>15.103346478873238</v>
      </c>
      <c r="BD11" s="142">
        <v>0.90100000000000002</v>
      </c>
      <c r="BE11" s="16">
        <f t="shared" si="25"/>
        <v>946.3599999999999</v>
      </c>
      <c r="BF11" s="16">
        <f t="shared" si="18"/>
        <v>175.80645161290323</v>
      </c>
      <c r="BG11" s="16">
        <f t="shared" si="26"/>
        <v>879.0322580645161</v>
      </c>
      <c r="BH11" s="17">
        <f t="shared" si="19"/>
        <v>1</v>
      </c>
      <c r="BI11" s="16">
        <f t="shared" si="27"/>
        <v>879.0322580645161</v>
      </c>
      <c r="BJ11" s="249">
        <v>336.512</v>
      </c>
      <c r="BK11" s="195"/>
      <c r="BL11" s="197">
        <v>59.32</v>
      </c>
      <c r="BM11" s="197"/>
      <c r="BN11" s="230"/>
      <c r="BO11" s="230"/>
      <c r="BP11" s="250"/>
      <c r="BQ11" s="199"/>
      <c r="BR11" s="200">
        <v>0.83</v>
      </c>
      <c r="BS11" s="200"/>
      <c r="BT11" s="200"/>
      <c r="BU11" s="200"/>
      <c r="BV11" s="208"/>
      <c r="BW11" s="208"/>
      <c r="BX11" s="201"/>
      <c r="BY11" s="202">
        <v>37.270000000000003</v>
      </c>
      <c r="BZ11" s="200"/>
      <c r="CA11" s="200">
        <v>42.24</v>
      </c>
      <c r="CB11" s="200"/>
      <c r="CC11" s="200"/>
      <c r="CD11" s="200"/>
      <c r="CE11" s="200"/>
      <c r="CF11" s="203"/>
      <c r="CG11" s="204"/>
      <c r="CH11" s="197">
        <v>66</v>
      </c>
      <c r="CI11" s="230">
        <v>172.56</v>
      </c>
      <c r="CJ11" s="198"/>
      <c r="CK11" s="202"/>
      <c r="CL11" s="208"/>
      <c r="CM11" s="208"/>
      <c r="CN11" s="201"/>
      <c r="CO11" s="284"/>
      <c r="CP11" s="286">
        <f t="shared" si="20"/>
        <v>333.71895039999998</v>
      </c>
      <c r="CQ11" s="24">
        <f t="shared" si="20"/>
        <v>0</v>
      </c>
      <c r="CR11" s="25">
        <f t="shared" si="20"/>
        <v>59.32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0</v>
      </c>
      <c r="CX11" s="26">
        <f t="shared" si="21"/>
        <v>66</v>
      </c>
      <c r="CY11" s="277">
        <f t="shared" si="21"/>
        <v>172.56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8"/>
        <v>0</v>
      </c>
      <c r="DH11" s="402"/>
    </row>
    <row r="12" spans="1:112" ht="16.5" customHeight="1">
      <c r="A12" s="127">
        <v>6</v>
      </c>
      <c r="B12" s="103">
        <f>'[1]май 20'!K11</f>
        <v>441.22399999999999</v>
      </c>
      <c r="C12" s="104">
        <f t="shared" si="0"/>
        <v>1.0171363525102894</v>
      </c>
      <c r="D12" s="448">
        <f t="shared" si="1"/>
        <v>436.73615029999996</v>
      </c>
      <c r="E12" s="104">
        <f t="shared" si="2"/>
        <v>38.393113475241606</v>
      </c>
      <c r="F12" s="128">
        <f t="shared" si="3"/>
        <v>2.3394908415470321</v>
      </c>
      <c r="G12" s="106"/>
      <c r="H12" s="107">
        <f t="shared" si="4"/>
        <v>1.9659800208913651</v>
      </c>
      <c r="I12" s="103">
        <f>'[1]сентябрь 20'!AE11</f>
        <v>0</v>
      </c>
      <c r="J12" s="328">
        <f>'[1]май 20'!AA11</f>
        <v>14.637</v>
      </c>
      <c r="K12" s="106"/>
      <c r="L12" s="328">
        <f>'[1]май 20'!AI11</f>
        <v>69.727000000000004</v>
      </c>
      <c r="M12" s="103">
        <f t="shared" si="5"/>
        <v>0.37351082065566749</v>
      </c>
      <c r="N12" s="103">
        <f>'[1]июль 20'!AM11</f>
        <v>0</v>
      </c>
      <c r="O12" s="103">
        <f>'[1]май 20'!W11</f>
        <v>0</v>
      </c>
      <c r="P12" s="103">
        <f>'[1]май 20'!S11</f>
        <v>265.90300000000002</v>
      </c>
      <c r="Q12" s="108">
        <f t="shared" si="6"/>
        <v>1.4038954054674257</v>
      </c>
      <c r="R12" s="109">
        <f t="shared" si="7"/>
        <v>262.16999999999996</v>
      </c>
      <c r="S12" s="106">
        <v>38.950000000000003</v>
      </c>
      <c r="T12" s="109">
        <f t="shared" si="8"/>
        <v>262.16999999999996</v>
      </c>
      <c r="U12" s="110">
        <f t="shared" si="9"/>
        <v>1.4043818298692947</v>
      </c>
      <c r="V12" s="136">
        <v>186.68</v>
      </c>
      <c r="W12" s="130">
        <v>186.68</v>
      </c>
      <c r="X12" s="131">
        <v>0.74</v>
      </c>
      <c r="Y12" s="112">
        <v>567</v>
      </c>
      <c r="Z12" s="133">
        <v>1233</v>
      </c>
      <c r="AA12" s="144" t="s">
        <v>284</v>
      </c>
      <c r="AB12" s="131">
        <v>76.39</v>
      </c>
      <c r="AC12" s="133">
        <v>147</v>
      </c>
      <c r="AD12" s="134">
        <v>4</v>
      </c>
      <c r="AE12" s="131">
        <v>0.7</v>
      </c>
      <c r="AF12" s="115">
        <f t="shared" si="10"/>
        <v>3.7497321619884292</v>
      </c>
      <c r="AG12" s="131">
        <v>106.45</v>
      </c>
      <c r="AH12" s="115">
        <f t="shared" si="11"/>
        <v>570.22712663381196</v>
      </c>
      <c r="AI12" s="131">
        <v>14.81</v>
      </c>
      <c r="AJ12" s="116"/>
      <c r="AK12" s="135">
        <v>6.77</v>
      </c>
      <c r="AL12" s="136">
        <v>44.08</v>
      </c>
      <c r="AM12" s="110">
        <f t="shared" si="12"/>
        <v>0.18837606837606838</v>
      </c>
      <c r="AN12" s="137" t="s">
        <v>218</v>
      </c>
      <c r="AO12" s="150">
        <v>8.2200000000000006</v>
      </c>
      <c r="AP12" s="138">
        <v>7.62</v>
      </c>
      <c r="AQ12" s="131"/>
      <c r="AR12" s="131">
        <v>5.89</v>
      </c>
      <c r="AS12" s="315">
        <v>234</v>
      </c>
      <c r="AT12" s="131">
        <v>3.53</v>
      </c>
      <c r="AU12" s="116"/>
      <c r="AV12" s="131"/>
      <c r="AW12" s="109"/>
      <c r="AX12" s="109">
        <f t="shared" si="13"/>
        <v>186.68</v>
      </c>
      <c r="AY12" s="115">
        <f t="shared" si="24"/>
        <v>191.62413514730525</v>
      </c>
      <c r="AZ12" s="140">
        <f t="shared" si="14"/>
        <v>4.8569686619718304</v>
      </c>
      <c r="BA12" s="141">
        <f t="shared" si="15"/>
        <v>7.4672000000000001</v>
      </c>
      <c r="BB12" s="128">
        <f t="shared" si="16"/>
        <v>0.85047554095793054</v>
      </c>
      <c r="BC12" s="141">
        <f t="shared" si="17"/>
        <v>12.32416866197183</v>
      </c>
      <c r="BD12" s="142">
        <v>0.89200000000000002</v>
      </c>
      <c r="BE12" s="16">
        <f t="shared" si="25"/>
        <v>1133.04</v>
      </c>
      <c r="BF12" s="16">
        <f t="shared" si="18"/>
        <v>175.80645161290323</v>
      </c>
      <c r="BG12" s="16">
        <f t="shared" si="26"/>
        <v>1054.8387096774193</v>
      </c>
      <c r="BH12" s="17">
        <f t="shared" si="19"/>
        <v>1</v>
      </c>
      <c r="BI12" s="16">
        <f t="shared" si="27"/>
        <v>1054.8387096774193</v>
      </c>
      <c r="BJ12" s="249">
        <v>364.233</v>
      </c>
      <c r="BK12" s="195"/>
      <c r="BL12" s="271">
        <v>69.727000000000004</v>
      </c>
      <c r="BM12" s="197"/>
      <c r="BN12" s="230"/>
      <c r="BO12" s="230">
        <v>7.2640000000000002</v>
      </c>
      <c r="BP12" s="250"/>
      <c r="BQ12" s="199"/>
      <c r="BR12" s="200">
        <v>1.21</v>
      </c>
      <c r="BS12" s="200"/>
      <c r="BT12" s="200"/>
      <c r="BU12" s="200"/>
      <c r="BV12" s="208"/>
      <c r="BW12" s="208">
        <v>1.1100000000000001</v>
      </c>
      <c r="BX12" s="201"/>
      <c r="BY12" s="202">
        <v>37.64</v>
      </c>
      <c r="BZ12" s="200"/>
      <c r="CA12" s="200">
        <v>42.54</v>
      </c>
      <c r="CB12" s="200"/>
      <c r="CC12" s="200"/>
      <c r="CD12" s="200">
        <v>36.35</v>
      </c>
      <c r="CE12" s="200"/>
      <c r="CF12" s="203"/>
      <c r="CG12" s="204"/>
      <c r="CH12" s="197">
        <v>73.5</v>
      </c>
      <c r="CI12" s="230">
        <v>188.67</v>
      </c>
      <c r="CJ12" s="198"/>
      <c r="CK12" s="202"/>
      <c r="CL12" s="202"/>
      <c r="CM12" s="270"/>
      <c r="CN12" s="201"/>
      <c r="CO12" s="284"/>
      <c r="CP12" s="286">
        <f t="shared" si="20"/>
        <v>359.82578070000005</v>
      </c>
      <c r="CQ12" s="24">
        <f t="shared" si="20"/>
        <v>0</v>
      </c>
      <c r="CR12" s="25">
        <f t="shared" si="20"/>
        <v>69.727000000000004</v>
      </c>
      <c r="CS12" s="24">
        <f t="shared" si="20"/>
        <v>0</v>
      </c>
      <c r="CT12" s="27">
        <f t="shared" si="20"/>
        <v>0</v>
      </c>
      <c r="CU12" s="30">
        <f t="shared" si="20"/>
        <v>7.1833695999999998</v>
      </c>
      <c r="CV12" s="280">
        <f t="shared" si="20"/>
        <v>0</v>
      </c>
      <c r="CW12" s="237">
        <f t="shared" si="21"/>
        <v>0</v>
      </c>
      <c r="CX12" s="26">
        <f t="shared" si="21"/>
        <v>73.5</v>
      </c>
      <c r="CY12" s="277">
        <f t="shared" si="21"/>
        <v>188.67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8"/>
        <v>0</v>
      </c>
    </row>
    <row r="13" spans="1:112" ht="16.5" customHeight="1">
      <c r="A13" s="127">
        <v>7</v>
      </c>
      <c r="B13" s="103">
        <f>'[1]май 20'!K12</f>
        <v>420.553</v>
      </c>
      <c r="C13" s="104">
        <f t="shared" si="0"/>
        <v>0.8529658330816805</v>
      </c>
      <c r="D13" s="448">
        <f t="shared" si="1"/>
        <v>416.96582659999996</v>
      </c>
      <c r="E13" s="104">
        <f t="shared" si="2"/>
        <v>38.826950253594674</v>
      </c>
      <c r="F13" s="128">
        <f t="shared" si="3"/>
        <v>2.2423545393923092</v>
      </c>
      <c r="G13" s="106"/>
      <c r="H13" s="107">
        <f t="shared" si="4"/>
        <v>1.7932822081204625</v>
      </c>
      <c r="I13" s="103">
        <f>'[1]сентябрь 20'!AE12</f>
        <v>0</v>
      </c>
      <c r="J13" s="328">
        <f>'[1]май 20'!AA12</f>
        <v>0</v>
      </c>
      <c r="K13" s="106"/>
      <c r="L13" s="328">
        <f>'[1]май 20'!AI12</f>
        <v>83.504999999999995</v>
      </c>
      <c r="M13" s="103">
        <f t="shared" si="5"/>
        <v>0.4490723312718472</v>
      </c>
      <c r="N13" s="103">
        <f>'[1]июль 20'!AM12</f>
        <v>0</v>
      </c>
      <c r="O13" s="103">
        <f>'[1]май 20'!W12</f>
        <v>0</v>
      </c>
      <c r="P13" s="103">
        <f>'[1]май 20'!S12</f>
        <v>248.16399999999999</v>
      </c>
      <c r="Q13" s="108">
        <f t="shared" si="6"/>
        <v>1.3555551973694735</v>
      </c>
      <c r="R13" s="109">
        <f t="shared" si="7"/>
        <v>244.8</v>
      </c>
      <c r="S13" s="106"/>
      <c r="T13" s="109">
        <f t="shared" si="8"/>
        <v>244.8</v>
      </c>
      <c r="U13" s="110">
        <f t="shared" si="9"/>
        <v>1.3164829255176123</v>
      </c>
      <c r="V13" s="136">
        <v>185.95</v>
      </c>
      <c r="W13" s="130">
        <v>141.76</v>
      </c>
      <c r="X13" s="131">
        <v>0.8</v>
      </c>
      <c r="Y13" s="146">
        <v>596</v>
      </c>
      <c r="Z13" s="147">
        <v>1241</v>
      </c>
      <c r="AA13" s="144" t="s">
        <v>285</v>
      </c>
      <c r="AB13" s="131">
        <v>75.819999999999993</v>
      </c>
      <c r="AC13" s="133">
        <v>140</v>
      </c>
      <c r="AD13" s="134">
        <v>4</v>
      </c>
      <c r="AE13" s="131">
        <v>2.1</v>
      </c>
      <c r="AF13" s="115">
        <f t="shared" si="10"/>
        <v>11.293358429685398</v>
      </c>
      <c r="AG13" s="131">
        <v>126.5</v>
      </c>
      <c r="AH13" s="115">
        <f t="shared" si="11"/>
        <v>680.29040064533478</v>
      </c>
      <c r="AI13" s="131">
        <v>16.260000000000002</v>
      </c>
      <c r="AJ13" s="116"/>
      <c r="AK13" s="135">
        <v>9.4</v>
      </c>
      <c r="AL13" s="136">
        <v>41.05</v>
      </c>
      <c r="AM13" s="110">
        <f t="shared" si="12"/>
        <v>0.17479242069406004</v>
      </c>
      <c r="AN13" s="137" t="s">
        <v>228</v>
      </c>
      <c r="AO13" s="150">
        <v>8.9499999999999993</v>
      </c>
      <c r="AP13" s="138">
        <v>7.11</v>
      </c>
      <c r="AQ13" s="131"/>
      <c r="AR13" s="131">
        <v>7.25</v>
      </c>
      <c r="AS13" s="315">
        <v>234.85</v>
      </c>
      <c r="AT13" s="131">
        <v>1.55</v>
      </c>
      <c r="AU13" s="148"/>
      <c r="AV13" s="149"/>
      <c r="AW13" s="109"/>
      <c r="AX13" s="109">
        <f t="shared" si="13"/>
        <v>185.95000000000002</v>
      </c>
      <c r="AY13" s="115">
        <f t="shared" si="24"/>
        <v>186.40785357659706</v>
      </c>
      <c r="AZ13" s="140">
        <f t="shared" si="14"/>
        <v>7.1044894366197182</v>
      </c>
      <c r="BA13" s="141">
        <f t="shared" si="15"/>
        <v>7.4380000000000006</v>
      </c>
      <c r="BB13" s="128">
        <f t="shared" si="16"/>
        <v>0.87085574392548326</v>
      </c>
      <c r="BC13" s="141">
        <f t="shared" si="17"/>
        <v>14.542489436619718</v>
      </c>
      <c r="BD13" s="142">
        <v>0.88900000000000001</v>
      </c>
      <c r="BE13" s="16">
        <f t="shared" si="25"/>
        <v>1318.99</v>
      </c>
      <c r="BF13" s="16">
        <f t="shared" si="18"/>
        <v>175.80645161290323</v>
      </c>
      <c r="BG13" s="16">
        <f t="shared" si="26"/>
        <v>1230.6451612903224</v>
      </c>
      <c r="BH13" s="17">
        <f t="shared" si="19"/>
        <v>1</v>
      </c>
      <c r="BI13" s="16">
        <f t="shared" si="27"/>
        <v>1230.6451612903224</v>
      </c>
      <c r="BJ13" s="249">
        <v>294.101</v>
      </c>
      <c r="BK13" s="195"/>
      <c r="BL13" s="266">
        <v>83.504999999999995</v>
      </c>
      <c r="BM13" s="196"/>
      <c r="BN13" s="313"/>
      <c r="BO13" s="230">
        <v>42.947000000000003</v>
      </c>
      <c r="BP13" s="250"/>
      <c r="BQ13" s="199"/>
      <c r="BR13" s="200">
        <v>0.97</v>
      </c>
      <c r="BS13" s="200"/>
      <c r="BT13" s="200"/>
      <c r="BU13" s="200"/>
      <c r="BV13" s="208"/>
      <c r="BW13" s="208">
        <v>1.71</v>
      </c>
      <c r="BX13" s="201"/>
      <c r="BY13" s="202">
        <v>38.1</v>
      </c>
      <c r="BZ13" s="200"/>
      <c r="CA13" s="202">
        <v>42.62</v>
      </c>
      <c r="CB13" s="200"/>
      <c r="CC13" s="200"/>
      <c r="CD13" s="200">
        <v>36.43</v>
      </c>
      <c r="CE13" s="200"/>
      <c r="CF13" s="203"/>
      <c r="CG13" s="204"/>
      <c r="CH13" s="197">
        <v>70</v>
      </c>
      <c r="CI13" s="264">
        <v>174.8</v>
      </c>
      <c r="CJ13" s="265"/>
      <c r="CK13" s="202"/>
      <c r="CL13" s="202"/>
      <c r="CM13" s="270"/>
      <c r="CN13" s="201"/>
      <c r="CO13" s="284"/>
      <c r="CP13" s="286">
        <f t="shared" si="20"/>
        <v>291.24822030000001</v>
      </c>
      <c r="CQ13" s="24">
        <f t="shared" si="20"/>
        <v>0</v>
      </c>
      <c r="CR13" s="25">
        <f t="shared" si="20"/>
        <v>83.504999999999995</v>
      </c>
      <c r="CS13" s="24">
        <f t="shared" si="20"/>
        <v>0</v>
      </c>
      <c r="CT13" s="27">
        <f t="shared" si="20"/>
        <v>0</v>
      </c>
      <c r="CU13" s="24">
        <f t="shared" si="20"/>
        <v>42.212606300000004</v>
      </c>
      <c r="CV13" s="280">
        <f t="shared" si="20"/>
        <v>0</v>
      </c>
      <c r="CW13" s="237">
        <f t="shared" si="21"/>
        <v>0</v>
      </c>
      <c r="CX13" s="26">
        <f t="shared" si="21"/>
        <v>70</v>
      </c>
      <c r="CY13" s="277">
        <f t="shared" si="21"/>
        <v>174.8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8"/>
        <v>0</v>
      </c>
    </row>
    <row r="14" spans="1:112" ht="16.5" customHeight="1">
      <c r="A14" s="127">
        <v>8</v>
      </c>
      <c r="B14" s="103">
        <f>'[1]май 20'!K13</f>
        <v>432.06299999999999</v>
      </c>
      <c r="C14" s="104">
        <f>IF(B14=0,0,(BJ14*BR14+BK14*BS14+BM14*BU14+BP14*BX14+BL14*BT14+BO14*BW14+BN14*BV14)/B14)</f>
        <v>1.0930627015041789</v>
      </c>
      <c r="D14" s="448">
        <f>B14*((100-C14)/100)</f>
        <v>427.34028050000001</v>
      </c>
      <c r="E14" s="104">
        <f>IF(B14=0,0,(BJ14*BY14+BK14*BZ14+BM14*CB14+BP14*CE14+BL14*CA14+BO14*CD14+BN14*CC14)/B14)</f>
        <v>38.779039515070721</v>
      </c>
      <c r="F14" s="128">
        <f>IF(AX14=0,0,D14/AX14)</f>
        <v>2.217760550625357</v>
      </c>
      <c r="G14" s="106"/>
      <c r="H14" s="107">
        <f>IF(AX14=0,0,(CV14+CS14+CU14+CP14+CT14)/AX14)</f>
        <v>1.8065041283927552</v>
      </c>
      <c r="I14" s="103">
        <f>'[1]сентябрь 20'!AE13</f>
        <v>0</v>
      </c>
      <c r="J14" s="328">
        <f>'[1]май 20'!AA13</f>
        <v>0</v>
      </c>
      <c r="K14" s="106"/>
      <c r="L14" s="328">
        <f>'[1]май 20'!AI13</f>
        <v>79.245000000000005</v>
      </c>
      <c r="M14" s="103">
        <f>IF(AX14=0,0,(CR14+CQ14)/AX14)</f>
        <v>0.41125642223260162</v>
      </c>
      <c r="N14" s="103">
        <f>'[1]июль 20'!AM13</f>
        <v>0</v>
      </c>
      <c r="O14" s="103">
        <f>'[1]май 20'!W13</f>
        <v>0</v>
      </c>
      <c r="P14" s="103">
        <f>'[1]май 20'!S13</f>
        <v>250.804</v>
      </c>
      <c r="Q14" s="108">
        <f>IF(P14=0,0,(1-(T14/P14))*100)</f>
        <v>1.8117733369483746</v>
      </c>
      <c r="R14" s="109">
        <f>P14*((100-Q14)/100)</f>
        <v>246.26</v>
      </c>
      <c r="S14" s="106"/>
      <c r="T14" s="109">
        <f>CG14+CH14+CJ14+CI14</f>
        <v>246.26</v>
      </c>
      <c r="U14" s="110">
        <f>IF(AX14=0,0,R14/AX14)</f>
        <v>1.2780113135087445</v>
      </c>
      <c r="V14" s="136">
        <v>192.69</v>
      </c>
      <c r="W14" s="130">
        <v>99.84</v>
      </c>
      <c r="X14" s="131">
        <v>1.1100000000000001</v>
      </c>
      <c r="Y14" s="146">
        <v>595</v>
      </c>
      <c r="Z14" s="147">
        <v>1226</v>
      </c>
      <c r="AA14" s="144" t="s">
        <v>286</v>
      </c>
      <c r="AB14" s="131">
        <v>75.67</v>
      </c>
      <c r="AC14" s="133">
        <v>144</v>
      </c>
      <c r="AD14" s="134">
        <v>4</v>
      </c>
      <c r="AE14" s="131">
        <v>1.85</v>
      </c>
      <c r="AF14" s="115">
        <f t="shared" si="10"/>
        <v>9.600913384192225</v>
      </c>
      <c r="AG14" s="131">
        <v>112.15</v>
      </c>
      <c r="AH14" s="115">
        <f>IF(AX14=0,0,AG14/AX14*1000)</f>
        <v>582.02293839846391</v>
      </c>
      <c r="AI14" s="131">
        <v>16.690000000000001</v>
      </c>
      <c r="AJ14" s="116"/>
      <c r="AK14" s="135">
        <v>8.51</v>
      </c>
      <c r="AL14" s="136">
        <v>42.49</v>
      </c>
      <c r="AM14" s="110">
        <f>IF(AL14=0,0,AL14/AS14)</f>
        <v>0.17634363975928619</v>
      </c>
      <c r="AN14" s="137" t="s">
        <v>115</v>
      </c>
      <c r="AO14" s="150">
        <v>10.17</v>
      </c>
      <c r="AP14" s="138">
        <v>6.98</v>
      </c>
      <c r="AQ14" s="131"/>
      <c r="AR14" s="131">
        <v>7.33</v>
      </c>
      <c r="AS14" s="315">
        <v>240.95</v>
      </c>
      <c r="AT14" s="131">
        <v>2.74</v>
      </c>
      <c r="AU14" s="148"/>
      <c r="AV14" s="149"/>
      <c r="AW14" s="109"/>
      <c r="AX14" s="109">
        <f>AS14-AL14-AK14+AV14+AT14</f>
        <v>192.69</v>
      </c>
      <c r="AY14" s="115">
        <f>IF(AB14=0,0,((D14*0.97)*(E14/100)*0.9)/(AB14/100))</f>
        <v>191.18833394551024</v>
      </c>
      <c r="AZ14" s="140">
        <f>(AG14*AR14)/100*(55/71)</f>
        <v>6.3680665492957749</v>
      </c>
      <c r="BA14" s="141">
        <f>AX14*$BA$6</f>
        <v>7.7076000000000002</v>
      </c>
      <c r="BB14" s="128">
        <f>IF((D14*E14)=0,0,(AX14*AB14)/(D14*E14))</f>
        <v>0.8798568747816129</v>
      </c>
      <c r="BC14" s="141">
        <f>AZ14+BA14</f>
        <v>14.075666549295775</v>
      </c>
      <c r="BD14" s="142">
        <v>0.88800000000000001</v>
      </c>
      <c r="BE14" s="16">
        <f>BE13+AX14</f>
        <v>1511.68</v>
      </c>
      <c r="BF14" s="16">
        <f>IF(A14&lt;=$BD$43,$AS$43,0)</f>
        <v>175.80645161290323</v>
      </c>
      <c r="BG14" s="16">
        <f>BF14+BG13</f>
        <v>1406.4516129032256</v>
      </c>
      <c r="BH14" s="17">
        <f>IF(AX14&lt;&gt;0,1,0)</f>
        <v>1</v>
      </c>
      <c r="BI14" s="16">
        <f>BI13+BF14*BH14</f>
        <v>1406.4516129032256</v>
      </c>
      <c r="BJ14" s="249">
        <v>302.40100000000001</v>
      </c>
      <c r="BK14" s="195"/>
      <c r="BL14" s="266">
        <v>79.245000000000005</v>
      </c>
      <c r="BM14" s="196"/>
      <c r="BN14" s="313"/>
      <c r="BO14" s="230">
        <v>50.417000000000002</v>
      </c>
      <c r="BP14" s="250"/>
      <c r="BQ14" s="199"/>
      <c r="BR14" s="200">
        <v>1.34</v>
      </c>
      <c r="BS14" s="200"/>
      <c r="BT14" s="200"/>
      <c r="BU14" s="200"/>
      <c r="BV14" s="208"/>
      <c r="BW14" s="208">
        <v>1.33</v>
      </c>
      <c r="BX14" s="201"/>
      <c r="BY14" s="202">
        <v>37.89</v>
      </c>
      <c r="BZ14" s="200"/>
      <c r="CA14" s="202">
        <v>42.68</v>
      </c>
      <c r="CB14" s="200"/>
      <c r="CC14" s="200"/>
      <c r="CD14" s="200">
        <v>37.979999999999997</v>
      </c>
      <c r="CE14" s="200"/>
      <c r="CF14" s="203"/>
      <c r="CG14" s="204"/>
      <c r="CH14" s="197">
        <v>72</v>
      </c>
      <c r="CI14" s="264">
        <v>174.26</v>
      </c>
      <c r="CJ14" s="265"/>
      <c r="CK14" s="202"/>
      <c r="CL14" s="202"/>
      <c r="CM14" s="270"/>
      <c r="CN14" s="201"/>
      <c r="CO14" s="284"/>
      <c r="CP14" s="286">
        <f t="shared" si="20"/>
        <v>298.3488266</v>
      </c>
      <c r="CQ14" s="27">
        <f t="shared" si="20"/>
        <v>0</v>
      </c>
      <c r="CR14" s="28">
        <f t="shared" si="20"/>
        <v>79.245000000000005</v>
      </c>
      <c r="CS14" s="27">
        <f t="shared" si="20"/>
        <v>0</v>
      </c>
      <c r="CT14" s="27">
        <f t="shared" si="20"/>
        <v>0</v>
      </c>
      <c r="CU14" s="24">
        <f t="shared" si="20"/>
        <v>49.746453900000006</v>
      </c>
      <c r="CV14" s="282">
        <f t="shared" si="20"/>
        <v>0</v>
      </c>
      <c r="CW14" s="237">
        <f t="shared" si="21"/>
        <v>0</v>
      </c>
      <c r="CX14" s="26">
        <f t="shared" si="21"/>
        <v>72</v>
      </c>
      <c r="CY14" s="277">
        <f t="shared" si="21"/>
        <v>174.26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8"/>
        <v>0</v>
      </c>
    </row>
    <row r="15" spans="1:112" ht="16.5" customHeight="1">
      <c r="A15" s="253">
        <v>9</v>
      </c>
      <c r="B15" s="103">
        <f>'[1]май 20'!K14</f>
        <v>431.95699999999999</v>
      </c>
      <c r="C15" s="104">
        <f t="shared" si="0"/>
        <v>0.59968117196850612</v>
      </c>
      <c r="D15" s="448">
        <f t="shared" si="1"/>
        <v>429.36663519999996</v>
      </c>
      <c r="E15" s="104">
        <f t="shared" si="2"/>
        <v>38.663244559064907</v>
      </c>
      <c r="F15" s="128">
        <f t="shared" si="3"/>
        <v>2.2368670758009896</v>
      </c>
      <c r="G15" s="106"/>
      <c r="H15" s="107">
        <f t="shared" si="4"/>
        <v>1.8243481906746546</v>
      </c>
      <c r="I15" s="103">
        <f>'[1]сентябрь 20'!AE14</f>
        <v>0</v>
      </c>
      <c r="J15" s="328">
        <f>'[1]май 20'!AA14</f>
        <v>0</v>
      </c>
      <c r="K15" s="106"/>
      <c r="L15" s="328">
        <f>'[1]май 20'!AI14</f>
        <v>79.183000000000007</v>
      </c>
      <c r="M15" s="103">
        <f t="shared" si="5"/>
        <v>0.412518885126335</v>
      </c>
      <c r="N15" s="103">
        <f>'[1]июль 20'!AM14</f>
        <v>0</v>
      </c>
      <c r="O15" s="103">
        <f>'[1]май 20'!W14</f>
        <v>0</v>
      </c>
      <c r="P15" s="103">
        <f>'[1]май 20'!S14</f>
        <v>249.58799999999999</v>
      </c>
      <c r="Q15" s="108">
        <f t="shared" si="6"/>
        <v>1.3414106447425245</v>
      </c>
      <c r="R15" s="109">
        <f t="shared" si="7"/>
        <v>246.24</v>
      </c>
      <c r="S15" s="106">
        <v>46.07</v>
      </c>
      <c r="T15" s="109">
        <f t="shared" si="8"/>
        <v>246.24</v>
      </c>
      <c r="U15" s="110">
        <f t="shared" si="9"/>
        <v>1.2828340713727533</v>
      </c>
      <c r="V15" s="136">
        <v>191.95</v>
      </c>
      <c r="W15" s="130">
        <v>191.95</v>
      </c>
      <c r="X15" s="131">
        <v>0.62</v>
      </c>
      <c r="Y15" s="112">
        <v>572</v>
      </c>
      <c r="Z15" s="133">
        <v>1229</v>
      </c>
      <c r="AA15" s="144" t="s">
        <v>279</v>
      </c>
      <c r="AB15" s="131">
        <v>75.849999999999994</v>
      </c>
      <c r="AC15" s="133">
        <v>144</v>
      </c>
      <c r="AD15" s="134">
        <v>4</v>
      </c>
      <c r="AE15" s="131">
        <v>2</v>
      </c>
      <c r="AF15" s="115">
        <f t="shared" si="10"/>
        <v>10.419380046887211</v>
      </c>
      <c r="AG15" s="131">
        <v>125.25</v>
      </c>
      <c r="AH15" s="115">
        <f t="shared" si="11"/>
        <v>652.51367543631147</v>
      </c>
      <c r="AI15" s="131">
        <v>15.5</v>
      </c>
      <c r="AJ15" s="116"/>
      <c r="AK15" s="135">
        <v>6.25</v>
      </c>
      <c r="AL15" s="136">
        <v>43.3</v>
      </c>
      <c r="AM15" s="110">
        <f t="shared" si="12"/>
        <v>0.18090662210152494</v>
      </c>
      <c r="AN15" s="137" t="s">
        <v>247</v>
      </c>
      <c r="AO15" s="150">
        <v>9.73</v>
      </c>
      <c r="AP15" s="138">
        <v>6.95</v>
      </c>
      <c r="AQ15" s="131"/>
      <c r="AR15" s="131">
        <v>7.65</v>
      </c>
      <c r="AS15" s="315">
        <v>239.35</v>
      </c>
      <c r="AT15" s="131">
        <v>2.15</v>
      </c>
      <c r="AU15" s="116"/>
      <c r="AV15" s="131"/>
      <c r="AW15" s="109"/>
      <c r="AX15" s="109">
        <f t="shared" si="13"/>
        <v>191.95000000000002</v>
      </c>
      <c r="AY15" s="115">
        <f t="shared" si="24"/>
        <v>191.06680824015655</v>
      </c>
      <c r="AZ15" s="140">
        <f t="shared" si="14"/>
        <v>7.4223855633802822</v>
      </c>
      <c r="BA15" s="141">
        <f t="shared" si="15"/>
        <v>7.6780000000000008</v>
      </c>
      <c r="BB15" s="128">
        <f t="shared" si="16"/>
        <v>0.87703537596846337</v>
      </c>
      <c r="BC15" s="141">
        <f t="shared" si="17"/>
        <v>15.100385563380282</v>
      </c>
      <c r="BD15" s="142">
        <v>0.88600000000000001</v>
      </c>
      <c r="BE15" s="16">
        <f t="shared" si="25"/>
        <v>1703.63</v>
      </c>
      <c r="BF15" s="16">
        <f t="shared" si="18"/>
        <v>175.80645161290323</v>
      </c>
      <c r="BG15" s="16">
        <f t="shared" si="26"/>
        <v>1582.2580645161288</v>
      </c>
      <c r="BH15" s="17">
        <f t="shared" si="19"/>
        <v>1</v>
      </c>
      <c r="BI15" s="16">
        <f t="shared" si="27"/>
        <v>1582.2580645161288</v>
      </c>
      <c r="BJ15" s="249">
        <v>302.38200000000001</v>
      </c>
      <c r="BK15" s="195"/>
      <c r="BL15" s="197">
        <v>79.183000000000007</v>
      </c>
      <c r="BM15" s="197"/>
      <c r="BN15" s="230"/>
      <c r="BO15" s="195">
        <v>50.392000000000003</v>
      </c>
      <c r="BP15" s="329"/>
      <c r="BQ15" s="199"/>
      <c r="BR15" s="200">
        <v>0.72</v>
      </c>
      <c r="BS15" s="200"/>
      <c r="BT15" s="200"/>
      <c r="BU15" s="200"/>
      <c r="BV15" s="208"/>
      <c r="BW15" s="208">
        <v>0.82</v>
      </c>
      <c r="BX15" s="330"/>
      <c r="BY15" s="202">
        <v>37.950000000000003</v>
      </c>
      <c r="BZ15" s="200"/>
      <c r="CA15" s="200">
        <v>42.49</v>
      </c>
      <c r="CB15" s="200"/>
      <c r="CC15" s="200"/>
      <c r="CD15" s="200">
        <v>36.93</v>
      </c>
      <c r="CE15" s="200"/>
      <c r="CF15" s="203"/>
      <c r="CG15" s="204"/>
      <c r="CH15" s="230">
        <v>72</v>
      </c>
      <c r="CI15" s="266">
        <v>174.24</v>
      </c>
      <c r="CJ15" s="265"/>
      <c r="CK15" s="202"/>
      <c r="CL15" s="208"/>
      <c r="CM15" s="208"/>
      <c r="CN15" s="201"/>
      <c r="CO15" s="284"/>
      <c r="CP15" s="286">
        <f t="shared" si="20"/>
        <v>300.20484959999999</v>
      </c>
      <c r="CQ15" s="29">
        <f t="shared" si="20"/>
        <v>0</v>
      </c>
      <c r="CR15" s="30">
        <f t="shared" si="20"/>
        <v>79.183000000000007</v>
      </c>
      <c r="CS15" s="29">
        <f t="shared" si="20"/>
        <v>0</v>
      </c>
      <c r="CT15" s="27">
        <f t="shared" si="20"/>
        <v>0</v>
      </c>
      <c r="CU15" s="24">
        <f t="shared" si="20"/>
        <v>49.978785600000002</v>
      </c>
      <c r="CV15" s="283">
        <f t="shared" si="20"/>
        <v>0</v>
      </c>
      <c r="CW15" s="237">
        <f t="shared" si="21"/>
        <v>0</v>
      </c>
      <c r="CX15" s="24">
        <f t="shared" si="21"/>
        <v>72</v>
      </c>
      <c r="CY15" s="277">
        <f t="shared" si="21"/>
        <v>174.24</v>
      </c>
      <c r="CZ15" s="280">
        <f t="shared" si="21"/>
        <v>0</v>
      </c>
      <c r="DA15" s="247"/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8"/>
        <v>0</v>
      </c>
    </row>
    <row r="16" spans="1:112" ht="16.5" customHeight="1">
      <c r="A16" s="127">
        <v>10</v>
      </c>
      <c r="B16" s="103">
        <f>'[1]май 20'!K15</f>
        <v>450.11500000000001</v>
      </c>
      <c r="C16" s="104">
        <f t="shared" si="0"/>
        <v>0.53910960532308416</v>
      </c>
      <c r="D16" s="448">
        <f t="shared" si="1"/>
        <v>447.68838679999993</v>
      </c>
      <c r="E16" s="104">
        <f t="shared" si="2"/>
        <v>38.590657765237772</v>
      </c>
      <c r="F16" s="128">
        <f t="shared" si="3"/>
        <v>2.4022772418974023</v>
      </c>
      <c r="G16" s="106"/>
      <c r="H16" s="107">
        <f t="shared" si="4"/>
        <v>1.9597842176432707</v>
      </c>
      <c r="I16" s="103">
        <f>'[1]сентябрь 20'!AE15</f>
        <v>0</v>
      </c>
      <c r="J16" s="328">
        <f>'[1]май 20'!AA15</f>
        <v>0</v>
      </c>
      <c r="K16" s="106"/>
      <c r="L16" s="328">
        <f>'[1]май 20'!AI15</f>
        <v>82.462999999999994</v>
      </c>
      <c r="M16" s="103">
        <f t="shared" si="5"/>
        <v>0.44249302425413173</v>
      </c>
      <c r="N16" s="103">
        <f>'[1]июль 20'!AM15</f>
        <v>0</v>
      </c>
      <c r="O16" s="103">
        <f>'[1]май 20'!W15</f>
        <v>0</v>
      </c>
      <c r="P16" s="103">
        <f>'[1]май 20'!S15</f>
        <v>258.21499999999997</v>
      </c>
      <c r="Q16" s="108">
        <f t="shared" si="6"/>
        <v>1.3031775845709914</v>
      </c>
      <c r="R16" s="109">
        <f t="shared" si="7"/>
        <v>254.85</v>
      </c>
      <c r="S16" s="106">
        <v>14.42</v>
      </c>
      <c r="T16" s="109">
        <f t="shared" si="8"/>
        <v>254.85</v>
      </c>
      <c r="U16" s="110">
        <f t="shared" si="9"/>
        <v>1.3675144880875723</v>
      </c>
      <c r="V16" s="136">
        <v>186.36</v>
      </c>
      <c r="W16" s="130">
        <v>140.53</v>
      </c>
      <c r="X16" s="131">
        <v>0.79</v>
      </c>
      <c r="Y16" s="112">
        <v>574</v>
      </c>
      <c r="Z16" s="133">
        <v>1235</v>
      </c>
      <c r="AA16" s="144" t="s">
        <v>287</v>
      </c>
      <c r="AB16" s="131">
        <v>75.989999999999995</v>
      </c>
      <c r="AC16" s="133">
        <v>150</v>
      </c>
      <c r="AD16" s="134">
        <v>4</v>
      </c>
      <c r="AE16" s="131"/>
      <c r="AF16" s="115">
        <f t="shared" si="10"/>
        <v>0</v>
      </c>
      <c r="AG16" s="131">
        <v>128.15</v>
      </c>
      <c r="AH16" s="115">
        <f t="shared" si="11"/>
        <v>687.64756385490443</v>
      </c>
      <c r="AI16" s="139">
        <v>13.93</v>
      </c>
      <c r="AJ16" s="131"/>
      <c r="AK16" s="136">
        <v>7.59</v>
      </c>
      <c r="AL16" s="136">
        <v>43.59</v>
      </c>
      <c r="AM16" s="110">
        <f t="shared" si="12"/>
        <v>0.18486005089058524</v>
      </c>
      <c r="AN16" s="137" t="s">
        <v>215</v>
      </c>
      <c r="AO16" s="150">
        <v>9.2200000000000006</v>
      </c>
      <c r="AP16" s="138">
        <v>6.19</v>
      </c>
      <c r="AQ16" s="131"/>
      <c r="AR16" s="131">
        <v>8.4600000000000009</v>
      </c>
      <c r="AS16" s="315">
        <v>235.8</v>
      </c>
      <c r="AT16" s="131">
        <v>1.74</v>
      </c>
      <c r="AU16" s="116"/>
      <c r="AV16" s="131"/>
      <c r="AW16" s="109"/>
      <c r="AX16" s="109">
        <f t="shared" si="13"/>
        <v>186.36</v>
      </c>
      <c r="AY16" s="115">
        <f t="shared" si="24"/>
        <v>198.47956937452926</v>
      </c>
      <c r="AZ16" s="140">
        <f t="shared" si="14"/>
        <v>8.3983373239436627</v>
      </c>
      <c r="BA16" s="141">
        <f t="shared" si="15"/>
        <v>7.4544000000000006</v>
      </c>
      <c r="BB16" s="128">
        <f t="shared" si="16"/>
        <v>0.81969283041420293</v>
      </c>
      <c r="BC16" s="141">
        <f t="shared" si="17"/>
        <v>15.852737323943664</v>
      </c>
      <c r="BD16" s="142">
        <v>0.879</v>
      </c>
      <c r="BE16" s="16">
        <f t="shared" si="25"/>
        <v>1889.9900000000002</v>
      </c>
      <c r="BF16" s="16">
        <f t="shared" si="18"/>
        <v>175.80645161290323</v>
      </c>
      <c r="BG16" s="16">
        <f t="shared" si="26"/>
        <v>1758.064516129032</v>
      </c>
      <c r="BH16" s="17">
        <f t="shared" si="19"/>
        <v>1</v>
      </c>
      <c r="BI16" s="16">
        <f t="shared" si="27"/>
        <v>1758.064516129032</v>
      </c>
      <c r="BJ16" s="249">
        <v>315.09100000000001</v>
      </c>
      <c r="BK16" s="195"/>
      <c r="BL16" s="195">
        <v>82.462999999999994</v>
      </c>
      <c r="BM16" s="197"/>
      <c r="BN16" s="230"/>
      <c r="BO16" s="230">
        <v>52.561</v>
      </c>
      <c r="BP16" s="250"/>
      <c r="BQ16" s="199"/>
      <c r="BR16" s="200">
        <v>0.62</v>
      </c>
      <c r="BS16" s="200"/>
      <c r="BT16" s="200"/>
      <c r="BU16" s="200"/>
      <c r="BV16" s="208"/>
      <c r="BW16" s="208">
        <v>0.9</v>
      </c>
      <c r="BX16" s="201"/>
      <c r="BY16" s="202">
        <v>37.99</v>
      </c>
      <c r="BZ16" s="200"/>
      <c r="CA16" s="200">
        <v>42.69</v>
      </c>
      <c r="CB16" s="200"/>
      <c r="CC16" s="200"/>
      <c r="CD16" s="200">
        <v>35.76</v>
      </c>
      <c r="CE16" s="200"/>
      <c r="CF16" s="203"/>
      <c r="CG16" s="204"/>
      <c r="CH16" s="230">
        <v>75</v>
      </c>
      <c r="CI16" s="266">
        <v>179.85</v>
      </c>
      <c r="CJ16" s="265"/>
      <c r="CK16" s="202"/>
      <c r="CL16" s="208"/>
      <c r="CM16" s="208"/>
      <c r="CN16" s="201"/>
      <c r="CO16" s="284"/>
      <c r="CP16" s="286">
        <f t="shared" si="20"/>
        <v>313.13743579999999</v>
      </c>
      <c r="CQ16" s="24">
        <f t="shared" si="20"/>
        <v>0</v>
      </c>
      <c r="CR16" s="25">
        <f t="shared" si="20"/>
        <v>82.462999999999994</v>
      </c>
      <c r="CS16" s="24">
        <f t="shared" si="20"/>
        <v>0</v>
      </c>
      <c r="CT16" s="27">
        <f t="shared" si="20"/>
        <v>0</v>
      </c>
      <c r="CU16" s="24">
        <f t="shared" si="20"/>
        <v>52.087950999999997</v>
      </c>
      <c r="CV16" s="280">
        <f t="shared" si="20"/>
        <v>0</v>
      </c>
      <c r="CW16" s="237">
        <f t="shared" si="21"/>
        <v>0</v>
      </c>
      <c r="CX16" s="29">
        <f t="shared" si="21"/>
        <v>75</v>
      </c>
      <c r="CY16" s="277">
        <f t="shared" si="21"/>
        <v>179.85</v>
      </c>
      <c r="CZ16" s="280">
        <f t="shared" si="21"/>
        <v>0</v>
      </c>
      <c r="DA16" s="247"/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8"/>
        <v>0</v>
      </c>
    </row>
    <row r="17" spans="1:110" ht="16.5" customHeight="1">
      <c r="A17" s="127">
        <v>11</v>
      </c>
      <c r="B17" s="103">
        <f>'[1]май 20'!K16</f>
        <v>438.06799999999998</v>
      </c>
      <c r="C17" s="104">
        <f t="shared" si="0"/>
        <v>0.62652766237205171</v>
      </c>
      <c r="D17" s="448">
        <f t="shared" si="1"/>
        <v>435.32338279999999</v>
      </c>
      <c r="E17" s="104">
        <f t="shared" si="2"/>
        <v>38.582865103134672</v>
      </c>
      <c r="F17" s="128">
        <f t="shared" si="3"/>
        <v>2.3249486370433665</v>
      </c>
      <c r="G17" s="106"/>
      <c r="H17" s="107">
        <f t="shared" si="4"/>
        <v>1.8961834159367652</v>
      </c>
      <c r="I17" s="103">
        <f>'[1]сентябрь 20'!AE16</f>
        <v>0</v>
      </c>
      <c r="J17" s="328">
        <f>'[1]май 20'!AA16</f>
        <v>0</v>
      </c>
      <c r="K17" s="106"/>
      <c r="L17" s="328">
        <f>'[1]май 20'!AI16</f>
        <v>80.281999999999996</v>
      </c>
      <c r="M17" s="103">
        <f t="shared" si="5"/>
        <v>0.42876522110660109</v>
      </c>
      <c r="N17" s="103">
        <f>'[1]июль 20'!AM16</f>
        <v>0</v>
      </c>
      <c r="O17" s="103">
        <f>'[1]май 20'!W16</f>
        <v>0</v>
      </c>
      <c r="P17" s="103">
        <f>'[1]май 20'!S16</f>
        <v>252.84399999999999</v>
      </c>
      <c r="Q17" s="108">
        <f t="shared" si="6"/>
        <v>1.3541946813054762</v>
      </c>
      <c r="R17" s="109">
        <f t="shared" si="7"/>
        <v>249.42</v>
      </c>
      <c r="S17" s="106">
        <v>12.62</v>
      </c>
      <c r="T17" s="109">
        <f t="shared" si="8"/>
        <v>249.42</v>
      </c>
      <c r="U17" s="110">
        <f t="shared" si="9"/>
        <v>1.3320871608630633</v>
      </c>
      <c r="V17" s="136">
        <v>187.24</v>
      </c>
      <c r="W17" s="130">
        <v>187.24</v>
      </c>
      <c r="X17" s="131">
        <v>0.37</v>
      </c>
      <c r="Y17" s="112">
        <v>607</v>
      </c>
      <c r="Z17" s="133">
        <v>1237</v>
      </c>
      <c r="AA17" s="144" t="s">
        <v>280</v>
      </c>
      <c r="AB17" s="131">
        <v>75.69</v>
      </c>
      <c r="AC17" s="133">
        <v>146</v>
      </c>
      <c r="AD17" s="134">
        <v>4</v>
      </c>
      <c r="AE17" s="131"/>
      <c r="AF17" s="115">
        <f t="shared" si="10"/>
        <v>0</v>
      </c>
      <c r="AG17" s="131">
        <v>135.94999999999999</v>
      </c>
      <c r="AH17" s="115">
        <f t="shared" si="11"/>
        <v>726.07348857081809</v>
      </c>
      <c r="AI17" s="139">
        <v>16.47</v>
      </c>
      <c r="AJ17" s="131"/>
      <c r="AK17" s="136">
        <v>9.06</v>
      </c>
      <c r="AL17" s="136">
        <v>42.26</v>
      </c>
      <c r="AM17" s="110">
        <f t="shared" si="12"/>
        <v>0.17865144789685053</v>
      </c>
      <c r="AN17" s="137" t="s">
        <v>215</v>
      </c>
      <c r="AO17" s="150">
        <v>9.15</v>
      </c>
      <c r="AP17" s="138">
        <v>6.61</v>
      </c>
      <c r="AQ17" s="131"/>
      <c r="AR17" s="131">
        <v>9.8800000000000008</v>
      </c>
      <c r="AS17" s="315">
        <v>236.55</v>
      </c>
      <c r="AT17" s="131">
        <v>2.0099999999999998</v>
      </c>
      <c r="AU17" s="116"/>
      <c r="AV17" s="131"/>
      <c r="AW17" s="109"/>
      <c r="AX17" s="109">
        <f t="shared" si="13"/>
        <v>187.24</v>
      </c>
      <c r="AY17" s="115">
        <f t="shared" si="24"/>
        <v>193.7234560543196</v>
      </c>
      <c r="AZ17" s="140">
        <f t="shared" si="14"/>
        <v>10.404961971830984</v>
      </c>
      <c r="BA17" s="141">
        <f t="shared" si="15"/>
        <v>7.4896000000000003</v>
      </c>
      <c r="BB17" s="128">
        <f t="shared" si="16"/>
        <v>0.843782799095666</v>
      </c>
      <c r="BC17" s="141">
        <f t="shared" si="17"/>
        <v>17.894561971830985</v>
      </c>
      <c r="BD17" s="142">
        <v>0.876</v>
      </c>
      <c r="BE17" s="16">
        <f t="shared" si="25"/>
        <v>2077.2300000000005</v>
      </c>
      <c r="BF17" s="16">
        <f t="shared" si="18"/>
        <v>175.80645161290323</v>
      </c>
      <c r="BG17" s="16">
        <f t="shared" si="26"/>
        <v>1933.8709677419351</v>
      </c>
      <c r="BH17" s="17">
        <f t="shared" si="19"/>
        <v>1</v>
      </c>
      <c r="BI17" s="16">
        <f t="shared" si="27"/>
        <v>1933.8709677419351</v>
      </c>
      <c r="BJ17" s="249">
        <v>306.71699999999998</v>
      </c>
      <c r="BK17" s="195"/>
      <c r="BL17" s="195">
        <v>80.281999999999996</v>
      </c>
      <c r="BM17" s="197"/>
      <c r="BN17" s="230"/>
      <c r="BO17" s="230">
        <v>51.069000000000003</v>
      </c>
      <c r="BP17" s="250"/>
      <c r="BQ17" s="199"/>
      <c r="BR17" s="200">
        <v>0.73</v>
      </c>
      <c r="BS17" s="200"/>
      <c r="BT17" s="200"/>
      <c r="BU17" s="200"/>
      <c r="BV17" s="208"/>
      <c r="BW17" s="208">
        <v>0.99</v>
      </c>
      <c r="BX17" s="201"/>
      <c r="BY17" s="202">
        <v>37.74</v>
      </c>
      <c r="BZ17" s="200"/>
      <c r="CA17" s="200">
        <v>42.6</v>
      </c>
      <c r="CB17" s="200"/>
      <c r="CC17" s="208"/>
      <c r="CD17" s="208">
        <v>37.33</v>
      </c>
      <c r="CE17" s="201"/>
      <c r="CF17" s="199"/>
      <c r="CG17" s="197"/>
      <c r="CH17" s="244">
        <v>73</v>
      </c>
      <c r="CI17" s="266">
        <v>176.42</v>
      </c>
      <c r="CJ17" s="265"/>
      <c r="CK17" s="231"/>
      <c r="CL17" s="208"/>
      <c r="CM17" s="208"/>
      <c r="CN17" s="201"/>
      <c r="CO17" s="284"/>
      <c r="CP17" s="286">
        <f t="shared" si="20"/>
        <v>304.47796589999996</v>
      </c>
      <c r="CQ17" s="24">
        <f t="shared" si="20"/>
        <v>0</v>
      </c>
      <c r="CR17" s="25">
        <f t="shared" si="20"/>
        <v>80.281999999999996</v>
      </c>
      <c r="CS17" s="24">
        <f t="shared" si="20"/>
        <v>0</v>
      </c>
      <c r="CT17" s="27">
        <f t="shared" si="20"/>
        <v>0</v>
      </c>
      <c r="CU17" s="27">
        <f t="shared" si="20"/>
        <v>50.563416900000007</v>
      </c>
      <c r="CV17" s="280">
        <f t="shared" si="20"/>
        <v>0</v>
      </c>
      <c r="CW17" s="25">
        <f t="shared" si="21"/>
        <v>0</v>
      </c>
      <c r="CX17" s="26">
        <f t="shared" si="21"/>
        <v>73</v>
      </c>
      <c r="CY17" s="277">
        <f t="shared" si="21"/>
        <v>176.42</v>
      </c>
      <c r="CZ17" s="280">
        <f t="shared" si="21"/>
        <v>0</v>
      </c>
      <c r="DA17" s="247"/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8"/>
        <v>0</v>
      </c>
    </row>
    <row r="18" spans="1:110" ht="16.5" customHeight="1">
      <c r="A18" s="127">
        <v>12</v>
      </c>
      <c r="B18" s="103">
        <f>'[1]май 20'!K17</f>
        <v>418.76400000000001</v>
      </c>
      <c r="C18" s="104">
        <f t="shared" si="0"/>
        <v>0.83178090762338686</v>
      </c>
      <c r="D18" s="143">
        <f t="shared" si="1"/>
        <v>415.28080100000005</v>
      </c>
      <c r="E18" s="104">
        <f t="shared" si="2"/>
        <v>38.237685020679905</v>
      </c>
      <c r="F18" s="128">
        <f t="shared" si="3"/>
        <v>2.3599522702733422</v>
      </c>
      <c r="G18" s="106"/>
      <c r="H18" s="107">
        <f t="shared" si="4"/>
        <v>1.8808592430527928</v>
      </c>
      <c r="I18" s="103">
        <f>'[1]сентябрь 20'!AE17</f>
        <v>0</v>
      </c>
      <c r="J18" s="328">
        <f>'[1]май 20'!AA17</f>
        <v>0</v>
      </c>
      <c r="K18" s="106"/>
      <c r="L18" s="328">
        <f>'[1]май 20'!AI17</f>
        <v>84.305999999999997</v>
      </c>
      <c r="M18" s="103">
        <f t="shared" si="5"/>
        <v>0.47909302722054897</v>
      </c>
      <c r="N18" s="103">
        <f>'[1]июль 20'!AM17</f>
        <v>0</v>
      </c>
      <c r="O18" s="103">
        <f>'[1]май 20'!W17</f>
        <v>0</v>
      </c>
      <c r="P18" s="103">
        <f>'[1]май 20'!S17</f>
        <v>243.16800000000001</v>
      </c>
      <c r="Q18" s="108">
        <f t="shared" si="6"/>
        <v>1.3110277668114345</v>
      </c>
      <c r="R18" s="109">
        <f t="shared" si="7"/>
        <v>239.98</v>
      </c>
      <c r="S18" s="106">
        <v>21.26</v>
      </c>
      <c r="T18" s="109">
        <f t="shared" si="8"/>
        <v>239.98</v>
      </c>
      <c r="U18" s="110">
        <f t="shared" si="9"/>
        <v>1.3637551855429901</v>
      </c>
      <c r="V18" s="136">
        <v>175.97</v>
      </c>
      <c r="W18" s="130">
        <v>175.97</v>
      </c>
      <c r="X18" s="131">
        <v>0.63</v>
      </c>
      <c r="Y18" s="112">
        <v>619</v>
      </c>
      <c r="Z18" s="133">
        <v>1231</v>
      </c>
      <c r="AA18" s="144" t="s">
        <v>288</v>
      </c>
      <c r="AB18" s="131">
        <v>75.739999999999995</v>
      </c>
      <c r="AC18" s="133">
        <v>142</v>
      </c>
      <c r="AD18" s="134">
        <v>4</v>
      </c>
      <c r="AE18" s="131">
        <v>3.25</v>
      </c>
      <c r="AF18" s="115">
        <f t="shared" si="10"/>
        <v>18.469057225663462</v>
      </c>
      <c r="AG18" s="131">
        <v>125.5</v>
      </c>
      <c r="AH18" s="115">
        <f t="shared" si="11"/>
        <v>713.18974825254304</v>
      </c>
      <c r="AI18" s="139">
        <v>13.82</v>
      </c>
      <c r="AJ18" s="131"/>
      <c r="AK18" s="136">
        <v>9.19</v>
      </c>
      <c r="AL18" s="136">
        <v>41.96</v>
      </c>
      <c r="AM18" s="110">
        <f t="shared" si="12"/>
        <v>0.18665480427046263</v>
      </c>
      <c r="AN18" s="137" t="s">
        <v>289</v>
      </c>
      <c r="AO18" s="150">
        <v>9.16</v>
      </c>
      <c r="AP18" s="138">
        <v>6.97</v>
      </c>
      <c r="AQ18" s="131"/>
      <c r="AR18" s="131">
        <v>9.4499999999999993</v>
      </c>
      <c r="AS18" s="315">
        <v>224.8</v>
      </c>
      <c r="AT18" s="131">
        <v>2.3199999999999998</v>
      </c>
      <c r="AU18" s="116"/>
      <c r="AV18" s="131"/>
      <c r="AW18" s="109">
        <f t="shared" ref="AW18:AW37" si="29">IF(AX18=0,0,AV18/AX18*100)</f>
        <v>0</v>
      </c>
      <c r="AX18" s="109">
        <f t="shared" si="13"/>
        <v>175.97</v>
      </c>
      <c r="AY18" s="115">
        <f>IF(AB18=0,0,((D18*0.97)*(E18/100)*0.9)/(AB18/100))</f>
        <v>183.03004558851865</v>
      </c>
      <c r="AZ18" s="140">
        <f t="shared" si="14"/>
        <v>9.1871302816901395</v>
      </c>
      <c r="BA18" s="141">
        <f t="shared" si="15"/>
        <v>7.0388000000000002</v>
      </c>
      <c r="BB18" s="128">
        <f t="shared" si="16"/>
        <v>0.83932563916509562</v>
      </c>
      <c r="BC18" s="141">
        <f t="shared" si="17"/>
        <v>16.22593028169014</v>
      </c>
      <c r="BD18" s="142">
        <v>0.873</v>
      </c>
      <c r="BE18" s="16">
        <f t="shared" si="25"/>
        <v>2253.2000000000003</v>
      </c>
      <c r="BF18" s="16">
        <f t="shared" si="18"/>
        <v>175.80645161290323</v>
      </c>
      <c r="BG18" s="16">
        <f t="shared" si="26"/>
        <v>2109.6774193548385</v>
      </c>
      <c r="BH18" s="17">
        <f t="shared" si="19"/>
        <v>1</v>
      </c>
      <c r="BI18" s="16">
        <f t="shared" si="27"/>
        <v>2109.6774193548385</v>
      </c>
      <c r="BJ18" s="249">
        <v>281.14299999999997</v>
      </c>
      <c r="BK18" s="195"/>
      <c r="BL18" s="195">
        <v>84.305999999999997</v>
      </c>
      <c r="BM18" s="197"/>
      <c r="BN18" s="230"/>
      <c r="BO18" s="230">
        <v>53.314999999999998</v>
      </c>
      <c r="BP18" s="250"/>
      <c r="BQ18" s="199"/>
      <c r="BR18" s="200">
        <v>1</v>
      </c>
      <c r="BS18" s="200"/>
      <c r="BT18" s="200"/>
      <c r="BU18" s="200"/>
      <c r="BV18" s="208"/>
      <c r="BW18" s="208">
        <v>1.26</v>
      </c>
      <c r="BX18" s="201"/>
      <c r="BY18" s="202">
        <v>37.49</v>
      </c>
      <c r="BZ18" s="200"/>
      <c r="CA18" s="200">
        <v>42.26</v>
      </c>
      <c r="CB18" s="200"/>
      <c r="CC18" s="208"/>
      <c r="CD18" s="208">
        <v>35.82</v>
      </c>
      <c r="CE18" s="209"/>
      <c r="CF18" s="199"/>
      <c r="CG18" s="197"/>
      <c r="CH18" s="268">
        <v>71</v>
      </c>
      <c r="CI18" s="289">
        <v>168.98</v>
      </c>
      <c r="CJ18" s="267"/>
      <c r="CK18" s="202"/>
      <c r="CL18" s="208"/>
      <c r="CM18" s="208"/>
      <c r="CN18" s="201"/>
      <c r="CO18" s="284"/>
      <c r="CP18" s="286">
        <f t="shared" si="20"/>
        <v>278.33156999999994</v>
      </c>
      <c r="CQ18" s="24">
        <f t="shared" si="20"/>
        <v>0</v>
      </c>
      <c r="CR18" s="25">
        <f t="shared" si="20"/>
        <v>84.305999999999997</v>
      </c>
      <c r="CS18" s="24">
        <f t="shared" si="20"/>
        <v>0</v>
      </c>
      <c r="CT18" s="27">
        <f t="shared" si="20"/>
        <v>0</v>
      </c>
      <c r="CU18" s="30">
        <f t="shared" si="20"/>
        <v>52.643230999999993</v>
      </c>
      <c r="CV18" s="280">
        <f t="shared" si="20"/>
        <v>0</v>
      </c>
      <c r="CW18" s="30">
        <f t="shared" si="21"/>
        <v>0</v>
      </c>
      <c r="CX18" s="24">
        <f t="shared" si="21"/>
        <v>71</v>
      </c>
      <c r="CY18" s="277">
        <f t="shared" si="21"/>
        <v>168.98</v>
      </c>
      <c r="CZ18" s="280">
        <f t="shared" si="21"/>
        <v>0</v>
      </c>
      <c r="DA18" s="247"/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8"/>
        <v>0</v>
      </c>
    </row>
    <row r="19" spans="1:110" ht="16.5" customHeight="1">
      <c r="A19" s="127">
        <v>13</v>
      </c>
      <c r="B19" s="103">
        <f>'[1]май 20'!K18</f>
        <v>420.21899999999999</v>
      </c>
      <c r="C19" s="104">
        <f t="shared" si="0"/>
        <v>0.9226364824056027</v>
      </c>
      <c r="D19" s="143">
        <f t="shared" si="1"/>
        <v>416.34190619999998</v>
      </c>
      <c r="E19" s="104">
        <f>IF(B19=0,0,(BJ19*BY19+BK19*BZ19+BM19*CB19+BP19*CE19+BL19*CA19+BO19*CD19+BN19*CC19)/B19)</f>
        <v>38.806538804766078</v>
      </c>
      <c r="F19" s="128">
        <f t="shared" si="3"/>
        <v>2.4071571820074005</v>
      </c>
      <c r="G19" s="106"/>
      <c r="H19" s="107">
        <f t="shared" si="4"/>
        <v>1.9028671727567064</v>
      </c>
      <c r="I19" s="103">
        <f>'[1]сентябрь 20'!AE18</f>
        <v>0</v>
      </c>
      <c r="J19" s="328">
        <f>'[1]май 20'!AA18</f>
        <v>0</v>
      </c>
      <c r="K19" s="106"/>
      <c r="L19" s="328">
        <f>'[1]май 20'!AI18</f>
        <v>87.221999999999994</v>
      </c>
      <c r="M19" s="103">
        <f t="shared" si="5"/>
        <v>0.50429000925069378</v>
      </c>
      <c r="N19" s="103">
        <f>'[1]июль 20'!AM18</f>
        <v>0</v>
      </c>
      <c r="O19" s="103">
        <f>'[1]май 20'!W18</f>
        <v>2.105</v>
      </c>
      <c r="P19" s="103">
        <f>'[1]май 20'!S18</f>
        <v>242.87200000000001</v>
      </c>
      <c r="Q19" s="108">
        <f t="shared" si="6"/>
        <v>1.672485918508515</v>
      </c>
      <c r="R19" s="109">
        <f t="shared" si="7"/>
        <v>238.81</v>
      </c>
      <c r="S19" s="106">
        <v>5.97</v>
      </c>
      <c r="T19" s="109">
        <f t="shared" si="8"/>
        <v>238.81</v>
      </c>
      <c r="U19" s="110">
        <f t="shared" si="9"/>
        <v>1.3807238667900092</v>
      </c>
      <c r="V19" s="136"/>
      <c r="W19" s="130">
        <v>34.770000000000003</v>
      </c>
      <c r="X19" s="131">
        <v>1.0900000000000001</v>
      </c>
      <c r="Y19" s="112">
        <v>612</v>
      </c>
      <c r="Z19" s="133">
        <v>1237</v>
      </c>
      <c r="AA19" s="144" t="s">
        <v>279</v>
      </c>
      <c r="AB19" s="131">
        <v>74.44</v>
      </c>
      <c r="AC19" s="133">
        <v>141</v>
      </c>
      <c r="AD19" s="134">
        <v>4</v>
      </c>
      <c r="AE19" s="131">
        <v>0.85</v>
      </c>
      <c r="AF19" s="115">
        <f t="shared" si="10"/>
        <v>4.9144310823311743</v>
      </c>
      <c r="AG19" s="131">
        <v>116.45</v>
      </c>
      <c r="AH19" s="115">
        <f t="shared" si="11"/>
        <v>673.27705827937086</v>
      </c>
      <c r="AI19" s="139">
        <v>19.14</v>
      </c>
      <c r="AJ19" s="131"/>
      <c r="AK19" s="136">
        <v>7.85</v>
      </c>
      <c r="AL19" s="136">
        <v>42.58</v>
      </c>
      <c r="AM19" s="110">
        <f t="shared" si="12"/>
        <v>0.19275690357627884</v>
      </c>
      <c r="AN19" s="137" t="s">
        <v>290</v>
      </c>
      <c r="AO19" s="150">
        <v>9.09</v>
      </c>
      <c r="AP19" s="138">
        <v>6.5</v>
      </c>
      <c r="AQ19" s="134"/>
      <c r="AR19" s="131">
        <v>9.94</v>
      </c>
      <c r="AS19" s="315">
        <v>220.9</v>
      </c>
      <c r="AT19" s="131">
        <v>2.4900000000000002</v>
      </c>
      <c r="AU19" s="116"/>
      <c r="AV19" s="131"/>
      <c r="AW19" s="109">
        <f t="shared" si="29"/>
        <v>0</v>
      </c>
      <c r="AX19" s="109">
        <f t="shared" si="13"/>
        <v>172.96</v>
      </c>
      <c r="AY19" s="115">
        <f t="shared" si="24"/>
        <v>189.47979876340014</v>
      </c>
      <c r="AZ19" s="140">
        <f t="shared" si="14"/>
        <v>8.9666499999999996</v>
      </c>
      <c r="BA19" s="141">
        <f t="shared" si="15"/>
        <v>6.9184000000000001</v>
      </c>
      <c r="BB19" s="128">
        <f t="shared" si="16"/>
        <v>0.79688748344378124</v>
      </c>
      <c r="BC19" s="141">
        <f t="shared" si="17"/>
        <v>15.88505</v>
      </c>
      <c r="BD19" s="142">
        <v>0.86699999999999999</v>
      </c>
      <c r="BE19" s="16">
        <f t="shared" si="25"/>
        <v>2426.1600000000003</v>
      </c>
      <c r="BF19" s="16">
        <f t="shared" si="18"/>
        <v>175.80645161290323</v>
      </c>
      <c r="BG19" s="16">
        <f t="shared" si="26"/>
        <v>2285.483870967742</v>
      </c>
      <c r="BH19" s="17">
        <f t="shared" si="19"/>
        <v>1</v>
      </c>
      <c r="BI19" s="16">
        <f t="shared" si="27"/>
        <v>2285.483870967742</v>
      </c>
      <c r="BJ19" s="254">
        <v>269.76</v>
      </c>
      <c r="BK19" s="197"/>
      <c r="BL19" s="197">
        <v>87.221999999999994</v>
      </c>
      <c r="BM19" s="197"/>
      <c r="BN19" s="230"/>
      <c r="BO19" s="230">
        <v>63.237000000000002</v>
      </c>
      <c r="BP19" s="258"/>
      <c r="BQ19" s="199"/>
      <c r="BR19" s="200">
        <v>1.17</v>
      </c>
      <c r="BS19" s="200"/>
      <c r="BT19" s="200"/>
      <c r="BU19" s="200"/>
      <c r="BV19" s="208"/>
      <c r="BW19" s="208">
        <v>1.1399999999999999</v>
      </c>
      <c r="BX19" s="201"/>
      <c r="BY19" s="202">
        <v>37.86</v>
      </c>
      <c r="BZ19" s="200"/>
      <c r="CA19" s="200">
        <v>42.79</v>
      </c>
      <c r="CB19" s="200"/>
      <c r="CC19" s="208"/>
      <c r="CD19" s="208">
        <v>37.35</v>
      </c>
      <c r="CE19" s="209"/>
      <c r="CF19" s="199"/>
      <c r="CG19" s="197"/>
      <c r="CH19" s="197">
        <v>70.5</v>
      </c>
      <c r="CI19" s="197">
        <v>168.31</v>
      </c>
      <c r="CJ19" s="198"/>
      <c r="CK19" s="202"/>
      <c r="CL19" s="208"/>
      <c r="CM19" s="208"/>
      <c r="CN19" s="201"/>
      <c r="CO19" s="284"/>
      <c r="CP19" s="286">
        <f t="shared" si="20"/>
        <v>266.60380799999996</v>
      </c>
      <c r="CQ19" s="24">
        <f t="shared" si="20"/>
        <v>0</v>
      </c>
      <c r="CR19" s="25">
        <f t="shared" si="20"/>
        <v>87.221999999999994</v>
      </c>
      <c r="CS19" s="24">
        <f t="shared" si="20"/>
        <v>0</v>
      </c>
      <c r="CT19" s="27">
        <f t="shared" si="20"/>
        <v>0</v>
      </c>
      <c r="CU19" s="24">
        <f t="shared" si="20"/>
        <v>62.516098200000002</v>
      </c>
      <c r="CV19" s="280">
        <f t="shared" si="20"/>
        <v>0</v>
      </c>
      <c r="CW19" s="237">
        <f t="shared" si="21"/>
        <v>0</v>
      </c>
      <c r="CX19" s="24">
        <f t="shared" si="21"/>
        <v>70.5</v>
      </c>
      <c r="CY19" s="277">
        <f t="shared" si="21"/>
        <v>168.31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8"/>
        <v>0</v>
      </c>
    </row>
    <row r="20" spans="1:110" ht="16.5" customHeight="1">
      <c r="A20" s="127">
        <v>14</v>
      </c>
      <c r="B20" s="103">
        <f>'[1]май 20'!K19</f>
        <v>437.92899999999997</v>
      </c>
      <c r="C20" s="104">
        <f t="shared" si="0"/>
        <v>0.6296298030045967</v>
      </c>
      <c r="D20" s="143">
        <f t="shared" si="1"/>
        <v>435.17166850000001</v>
      </c>
      <c r="E20" s="104">
        <f t="shared" si="2"/>
        <v>38.186743536052653</v>
      </c>
      <c r="F20" s="128">
        <f t="shared" si="3"/>
        <v>2.4168147756303453</v>
      </c>
      <c r="G20" s="106"/>
      <c r="H20" s="107">
        <f t="shared" si="4"/>
        <v>1.9754952154837278</v>
      </c>
      <c r="I20" s="103">
        <f>'[1]сентябрь 20'!AE19</f>
        <v>0</v>
      </c>
      <c r="J20" s="328">
        <f>'[1]май 20'!AA19</f>
        <v>0</v>
      </c>
      <c r="K20" s="106"/>
      <c r="L20" s="328">
        <f>'[1]май 20'!AI19</f>
        <v>79.463999999999999</v>
      </c>
      <c r="M20" s="103">
        <f t="shared" si="5"/>
        <v>0.44131956014661777</v>
      </c>
      <c r="N20" s="103">
        <f>'[1]июль 20'!AM19</f>
        <v>0</v>
      </c>
      <c r="O20" s="103">
        <f>'[1]май 20'!W19</f>
        <v>8.3420000000000005</v>
      </c>
      <c r="P20" s="103">
        <f>'[1]май 20'!S19</f>
        <v>248.21</v>
      </c>
      <c r="Q20" s="108">
        <f t="shared" si="6"/>
        <v>1.3980097498086264</v>
      </c>
      <c r="R20" s="109">
        <f t="shared" si="7"/>
        <v>244.74</v>
      </c>
      <c r="S20" s="106">
        <v>3.67</v>
      </c>
      <c r="T20" s="109">
        <f t="shared" si="8"/>
        <v>244.74</v>
      </c>
      <c r="U20" s="110">
        <f t="shared" si="9"/>
        <v>1.3592135954681772</v>
      </c>
      <c r="V20" s="136">
        <v>43.79</v>
      </c>
      <c r="W20" s="130">
        <v>45.64</v>
      </c>
      <c r="X20" s="131">
        <v>1.58</v>
      </c>
      <c r="Y20" s="112">
        <v>610</v>
      </c>
      <c r="Z20" s="133">
        <v>1240</v>
      </c>
      <c r="AA20" s="151" t="s">
        <v>291</v>
      </c>
      <c r="AB20" s="131">
        <v>74.41</v>
      </c>
      <c r="AC20" s="133">
        <v>146</v>
      </c>
      <c r="AD20" s="134">
        <v>4</v>
      </c>
      <c r="AE20" s="131"/>
      <c r="AF20" s="115">
        <f t="shared" si="10"/>
        <v>0</v>
      </c>
      <c r="AG20" s="131">
        <v>133.69999999999999</v>
      </c>
      <c r="AH20" s="115">
        <f t="shared" si="11"/>
        <v>742.53026768854829</v>
      </c>
      <c r="AI20" s="139">
        <v>14.6</v>
      </c>
      <c r="AJ20" s="131"/>
      <c r="AK20" s="136">
        <v>10.17</v>
      </c>
      <c r="AL20" s="136">
        <v>42.86</v>
      </c>
      <c r="AM20" s="110">
        <f t="shared" si="12"/>
        <v>0.18610508033000434</v>
      </c>
      <c r="AN20" s="137" t="s">
        <v>292</v>
      </c>
      <c r="AO20" s="150">
        <v>9.34</v>
      </c>
      <c r="AP20" s="138">
        <v>6.19</v>
      </c>
      <c r="AQ20" s="131"/>
      <c r="AR20" s="131">
        <v>9.51</v>
      </c>
      <c r="AS20" s="315">
        <v>230.3</v>
      </c>
      <c r="AT20" s="131">
        <v>2.79</v>
      </c>
      <c r="AU20" s="148"/>
      <c r="AV20" s="131"/>
      <c r="AW20" s="109">
        <f t="shared" si="29"/>
        <v>0</v>
      </c>
      <c r="AX20" s="109">
        <f t="shared" si="13"/>
        <v>180.06</v>
      </c>
      <c r="AY20" s="115">
        <f t="shared" si="24"/>
        <v>194.96478576766009</v>
      </c>
      <c r="AZ20" s="140">
        <f t="shared" si="14"/>
        <v>9.8495471830985899</v>
      </c>
      <c r="BA20" s="141">
        <f t="shared" si="15"/>
        <v>7.2023999999999999</v>
      </c>
      <c r="BB20" s="128">
        <f t="shared" si="16"/>
        <v>0.80626036840994686</v>
      </c>
      <c r="BC20" s="141">
        <f t="shared" si="17"/>
        <v>17.051947183098591</v>
      </c>
      <c r="BD20" s="142">
        <v>0.86299999999999999</v>
      </c>
      <c r="BE20" s="16">
        <f t="shared" si="25"/>
        <v>2606.2200000000003</v>
      </c>
      <c r="BF20" s="16">
        <f t="shared" si="18"/>
        <v>175.80645161290323</v>
      </c>
      <c r="BG20" s="16">
        <f t="shared" si="26"/>
        <v>2461.2903225806454</v>
      </c>
      <c r="BH20" s="17">
        <f t="shared" si="19"/>
        <v>1</v>
      </c>
      <c r="BI20" s="16">
        <f t="shared" si="27"/>
        <v>2461.2903225806454</v>
      </c>
      <c r="BJ20" s="254">
        <v>292.47000000000003</v>
      </c>
      <c r="BK20" s="197"/>
      <c r="BL20" s="197">
        <v>79.463999999999999</v>
      </c>
      <c r="BM20" s="197"/>
      <c r="BN20" s="230"/>
      <c r="BO20" s="230">
        <v>65.995000000000005</v>
      </c>
      <c r="BP20" s="259"/>
      <c r="BQ20" s="199"/>
      <c r="BR20" s="200">
        <v>0.76</v>
      </c>
      <c r="BS20" s="200"/>
      <c r="BT20" s="200"/>
      <c r="BU20" s="200"/>
      <c r="BV20" s="208"/>
      <c r="BW20" s="208">
        <v>0.81</v>
      </c>
      <c r="BX20" s="201"/>
      <c r="BY20" s="202">
        <v>37.4</v>
      </c>
      <c r="BZ20" s="200"/>
      <c r="CA20" s="200">
        <v>42.94</v>
      </c>
      <c r="CB20" s="200"/>
      <c r="CC20" s="208"/>
      <c r="CD20" s="208">
        <v>35.950000000000003</v>
      </c>
      <c r="CE20" s="209"/>
      <c r="CF20" s="199"/>
      <c r="CG20" s="197"/>
      <c r="CH20" s="197">
        <v>73</v>
      </c>
      <c r="CI20" s="197">
        <v>171.74</v>
      </c>
      <c r="CJ20" s="198"/>
      <c r="CK20" s="202"/>
      <c r="CL20" s="208"/>
      <c r="CM20" s="208"/>
      <c r="CN20" s="201"/>
      <c r="CO20" s="284"/>
      <c r="CP20" s="286">
        <f t="shared" si="20"/>
        <v>290.24722800000001</v>
      </c>
      <c r="CQ20" s="24">
        <f t="shared" si="20"/>
        <v>0</v>
      </c>
      <c r="CR20" s="25">
        <f t="shared" si="20"/>
        <v>79.463999999999999</v>
      </c>
      <c r="CS20" s="24">
        <f t="shared" si="20"/>
        <v>0</v>
      </c>
      <c r="CT20" s="27">
        <f t="shared" si="20"/>
        <v>0</v>
      </c>
      <c r="CU20" s="30">
        <f t="shared" si="20"/>
        <v>65.460440500000004</v>
      </c>
      <c r="CV20" s="280">
        <f t="shared" si="20"/>
        <v>0</v>
      </c>
      <c r="CW20" s="237">
        <f t="shared" si="21"/>
        <v>0</v>
      </c>
      <c r="CX20" s="29">
        <f t="shared" si="21"/>
        <v>73</v>
      </c>
      <c r="CY20" s="277">
        <f t="shared" si="21"/>
        <v>171.74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8"/>
        <v>0</v>
      </c>
    </row>
    <row r="21" spans="1:110" ht="16.5" customHeight="1">
      <c r="A21" s="127">
        <v>15</v>
      </c>
      <c r="B21" s="103">
        <f>'[1]май 20'!K20</f>
        <v>474.89299999999997</v>
      </c>
      <c r="C21" s="104">
        <f t="shared" si="0"/>
        <v>0.55293908311977646</v>
      </c>
      <c r="D21" s="143">
        <f t="shared" si="1"/>
        <v>472.26713099999995</v>
      </c>
      <c r="E21" s="104">
        <f t="shared" si="2"/>
        <v>38.049363098634856</v>
      </c>
      <c r="F21" s="128">
        <f t="shared" si="3"/>
        <v>2.4057212113493955</v>
      </c>
      <c r="G21" s="106"/>
      <c r="H21" s="107">
        <f t="shared" si="4"/>
        <v>2.0407678213030409</v>
      </c>
      <c r="I21" s="103">
        <f>'[1]сентябрь 20'!AE20</f>
        <v>0</v>
      </c>
      <c r="J21" s="328">
        <f>'[1]май 20'!AA20</f>
        <v>0</v>
      </c>
      <c r="K21" s="106"/>
      <c r="L21" s="328">
        <f>'[1]май 20'!AI20</f>
        <v>71.644000000000005</v>
      </c>
      <c r="M21" s="103">
        <f t="shared" si="5"/>
        <v>0.36495339004635524</v>
      </c>
      <c r="N21" s="103">
        <f>'[1]июль 20'!AM20</f>
        <v>0</v>
      </c>
      <c r="O21" s="103">
        <f>'[1]май 20'!W20</f>
        <v>11.606999999999999</v>
      </c>
      <c r="P21" s="103">
        <f>'[1]май 20'!S20</f>
        <v>270.733</v>
      </c>
      <c r="Q21" s="108">
        <f t="shared" si="6"/>
        <v>1.423173384847809</v>
      </c>
      <c r="R21" s="109">
        <f t="shared" si="7"/>
        <v>266.88</v>
      </c>
      <c r="S21" s="106">
        <v>4.54</v>
      </c>
      <c r="T21" s="109">
        <f t="shared" si="8"/>
        <v>266.88</v>
      </c>
      <c r="U21" s="110">
        <f t="shared" si="9"/>
        <v>1.3594824512251029</v>
      </c>
      <c r="V21" s="136">
        <v>145.28</v>
      </c>
      <c r="W21" s="130">
        <v>149.49</v>
      </c>
      <c r="X21" s="131">
        <v>0.78</v>
      </c>
      <c r="Y21" s="112">
        <v>601</v>
      </c>
      <c r="Z21" s="133">
        <v>1243</v>
      </c>
      <c r="AA21" s="151" t="s">
        <v>288</v>
      </c>
      <c r="AB21" s="131">
        <v>74.97</v>
      </c>
      <c r="AC21" s="133">
        <v>159</v>
      </c>
      <c r="AD21" s="134">
        <v>4</v>
      </c>
      <c r="AE21" s="131">
        <v>1.6</v>
      </c>
      <c r="AF21" s="115">
        <f t="shared" si="10"/>
        <v>8.1503744078243585</v>
      </c>
      <c r="AG21" s="131">
        <v>140.35</v>
      </c>
      <c r="AH21" s="115">
        <f t="shared" si="11"/>
        <v>714.94065508634287</v>
      </c>
      <c r="AI21" s="139">
        <v>16.05</v>
      </c>
      <c r="AJ21" s="131"/>
      <c r="AK21" s="136">
        <v>8.01</v>
      </c>
      <c r="AL21" s="136">
        <v>41.61</v>
      </c>
      <c r="AM21" s="110">
        <f t="shared" si="12"/>
        <v>0.17169383123581597</v>
      </c>
      <c r="AN21" s="137" t="s">
        <v>293</v>
      </c>
      <c r="AO21" s="150">
        <v>9.1300000000000008</v>
      </c>
      <c r="AP21" s="138">
        <v>6.2</v>
      </c>
      <c r="AQ21" s="131"/>
      <c r="AR21" s="131">
        <v>9.7899999999999991</v>
      </c>
      <c r="AS21" s="315">
        <v>242.35</v>
      </c>
      <c r="AT21" s="131">
        <v>3.58</v>
      </c>
      <c r="AU21" s="116"/>
      <c r="AV21" s="131"/>
      <c r="AW21" s="109">
        <f t="shared" si="29"/>
        <v>0</v>
      </c>
      <c r="AX21" s="109">
        <f t="shared" si="13"/>
        <v>196.31000000000003</v>
      </c>
      <c r="AY21" s="115">
        <f t="shared" si="24"/>
        <v>209.24825498872107</v>
      </c>
      <c r="AZ21" s="140">
        <f t="shared" si="14"/>
        <v>10.643867253521124</v>
      </c>
      <c r="BA21" s="141">
        <f t="shared" si="15"/>
        <v>7.8524000000000012</v>
      </c>
      <c r="BB21" s="128">
        <f t="shared" si="16"/>
        <v>0.81902059354921597</v>
      </c>
      <c r="BC21" s="141">
        <f t="shared" si="17"/>
        <v>18.496267253521125</v>
      </c>
      <c r="BD21" s="142">
        <v>0.86</v>
      </c>
      <c r="BE21" s="16">
        <f t="shared" si="25"/>
        <v>2802.53</v>
      </c>
      <c r="BF21" s="16">
        <f t="shared" si="18"/>
        <v>175.80645161290323</v>
      </c>
      <c r="BG21" s="16">
        <f t="shared" si="26"/>
        <v>2637.0967741935488</v>
      </c>
      <c r="BH21" s="17">
        <f t="shared" si="19"/>
        <v>1</v>
      </c>
      <c r="BI21" s="16">
        <f t="shared" si="27"/>
        <v>2637.0967741935488</v>
      </c>
      <c r="BJ21" s="254">
        <v>323.87400000000002</v>
      </c>
      <c r="BK21" s="197"/>
      <c r="BL21" s="197">
        <v>71.644000000000005</v>
      </c>
      <c r="BM21" s="197"/>
      <c r="BN21" s="230"/>
      <c r="BO21" s="230">
        <v>79.375</v>
      </c>
      <c r="BP21" s="259"/>
      <c r="BQ21" s="199"/>
      <c r="BR21" s="200">
        <v>0.6</v>
      </c>
      <c r="BS21" s="200"/>
      <c r="BT21" s="200"/>
      <c r="BU21" s="200"/>
      <c r="BV21" s="208"/>
      <c r="BW21" s="208">
        <v>0.86</v>
      </c>
      <c r="BX21" s="201"/>
      <c r="BY21" s="202">
        <v>37.86</v>
      </c>
      <c r="BZ21" s="200"/>
      <c r="CA21" s="200">
        <v>42.45</v>
      </c>
      <c r="CB21" s="200"/>
      <c r="CC21" s="208"/>
      <c r="CD21" s="208">
        <v>34.85</v>
      </c>
      <c r="CE21" s="209"/>
      <c r="CF21" s="199"/>
      <c r="CG21" s="197"/>
      <c r="CH21" s="197">
        <v>79.5</v>
      </c>
      <c r="CI21" s="197">
        <v>187.38</v>
      </c>
      <c r="CJ21" s="198"/>
      <c r="CK21" s="202"/>
      <c r="CL21" s="208"/>
      <c r="CM21" s="208"/>
      <c r="CN21" s="201"/>
      <c r="CO21" s="284"/>
      <c r="CP21" s="286">
        <f t="shared" si="20"/>
        <v>321.93075600000003</v>
      </c>
      <c r="CQ21" s="27">
        <f t="shared" si="20"/>
        <v>0</v>
      </c>
      <c r="CR21" s="28">
        <f t="shared" si="20"/>
        <v>71.644000000000005</v>
      </c>
      <c r="CS21" s="27">
        <f t="shared" si="20"/>
        <v>0</v>
      </c>
      <c r="CT21" s="27">
        <f t="shared" si="20"/>
        <v>0</v>
      </c>
      <c r="CU21" s="24">
        <f t="shared" si="20"/>
        <v>78.692374999999998</v>
      </c>
      <c r="CV21" s="281">
        <f t="shared" si="20"/>
        <v>0</v>
      </c>
      <c r="CW21" s="237">
        <f t="shared" si="21"/>
        <v>0</v>
      </c>
      <c r="CX21" s="24">
        <f t="shared" si="21"/>
        <v>79.5</v>
      </c>
      <c r="CY21" s="277">
        <f t="shared" si="21"/>
        <v>187.38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8"/>
        <v>0</v>
      </c>
    </row>
    <row r="22" spans="1:110" ht="16.5" customHeight="1">
      <c r="A22" s="127">
        <v>16</v>
      </c>
      <c r="B22" s="103">
        <f>'[1]май 20'!K21</f>
        <v>435.04</v>
      </c>
      <c r="C22" s="104">
        <f t="shared" si="0"/>
        <v>0.67292777675616033</v>
      </c>
      <c r="D22" s="143">
        <f t="shared" si="1"/>
        <v>432.11249500000008</v>
      </c>
      <c r="E22" s="104">
        <f t="shared" si="2"/>
        <v>37.668999954027214</v>
      </c>
      <c r="F22" s="128">
        <f t="shared" si="3"/>
        <v>2.3922520899075468</v>
      </c>
      <c r="G22" s="106"/>
      <c r="H22" s="107">
        <f t="shared" si="4"/>
        <v>2.0307617505397775</v>
      </c>
      <c r="I22" s="103">
        <f>'[1]сентябрь 20'!AE21</f>
        <v>0</v>
      </c>
      <c r="J22" s="328">
        <f>'[1]май 20'!AA21</f>
        <v>0</v>
      </c>
      <c r="K22" s="106"/>
      <c r="L22" s="328">
        <f>'[1]май 20'!AI21</f>
        <v>65.296000000000006</v>
      </c>
      <c r="M22" s="103">
        <f t="shared" si="5"/>
        <v>0.36149033936776848</v>
      </c>
      <c r="N22" s="103">
        <f>'[1]июль 20'!AM21</f>
        <v>0</v>
      </c>
      <c r="O22" s="103">
        <f>'[1]май 20'!W21</f>
        <v>12.693</v>
      </c>
      <c r="P22" s="103">
        <f>'[1]май 20'!S21</f>
        <v>245.983</v>
      </c>
      <c r="Q22" s="108">
        <f t="shared" si="6"/>
        <v>1.4403434383676972</v>
      </c>
      <c r="R22" s="109">
        <f t="shared" si="7"/>
        <v>242.44000000000003</v>
      </c>
      <c r="S22" s="106"/>
      <c r="T22" s="109">
        <f t="shared" si="8"/>
        <v>242.44</v>
      </c>
      <c r="U22" s="110">
        <f t="shared" si="9"/>
        <v>1.3421912196202186</v>
      </c>
      <c r="V22" s="136">
        <v>136.97</v>
      </c>
      <c r="W22" s="129">
        <v>138.88999999999999</v>
      </c>
      <c r="X22" s="131">
        <v>0.79</v>
      </c>
      <c r="Y22" s="112">
        <v>610</v>
      </c>
      <c r="Z22" s="152">
        <v>1236</v>
      </c>
      <c r="AA22" s="144" t="s">
        <v>279</v>
      </c>
      <c r="AB22" s="131">
        <v>75.599999999999994</v>
      </c>
      <c r="AC22" s="133">
        <v>145</v>
      </c>
      <c r="AD22" s="134">
        <v>4</v>
      </c>
      <c r="AE22" s="131">
        <v>0.15</v>
      </c>
      <c r="AF22" s="115">
        <f t="shared" si="10"/>
        <v>0.83042683939544937</v>
      </c>
      <c r="AG22" s="131">
        <v>145.4</v>
      </c>
      <c r="AH22" s="115">
        <f t="shared" si="11"/>
        <v>804.96041632065567</v>
      </c>
      <c r="AI22" s="139">
        <v>15.04</v>
      </c>
      <c r="AJ22" s="131"/>
      <c r="AK22" s="136">
        <v>10.18</v>
      </c>
      <c r="AL22" s="136">
        <v>43.2</v>
      </c>
      <c r="AM22" s="110">
        <f t="shared" si="12"/>
        <v>0.18652849740932645</v>
      </c>
      <c r="AN22" s="137" t="s">
        <v>294</v>
      </c>
      <c r="AO22" s="150">
        <v>8.73</v>
      </c>
      <c r="AP22" s="138">
        <v>6.13</v>
      </c>
      <c r="AQ22" s="134"/>
      <c r="AR22" s="131">
        <v>10.5</v>
      </c>
      <c r="AS22" s="315">
        <v>231.6</v>
      </c>
      <c r="AT22" s="131">
        <v>2.41</v>
      </c>
      <c r="AU22" s="116"/>
      <c r="AV22" s="131"/>
      <c r="AW22" s="109">
        <f t="shared" si="29"/>
        <v>0</v>
      </c>
      <c r="AX22" s="109">
        <f t="shared" si="13"/>
        <v>180.62999999999997</v>
      </c>
      <c r="AY22" s="115">
        <f t="shared" si="24"/>
        <v>187.96343080548692</v>
      </c>
      <c r="AZ22" s="140">
        <f t="shared" si="14"/>
        <v>11.826549295774649</v>
      </c>
      <c r="BA22" s="141">
        <f t="shared" si="15"/>
        <v>7.2251999999999992</v>
      </c>
      <c r="BB22" s="128">
        <f t="shared" si="16"/>
        <v>0.83893973058613047</v>
      </c>
      <c r="BC22" s="141">
        <f t="shared" si="17"/>
        <v>19.051749295774648</v>
      </c>
      <c r="BD22" s="142">
        <v>0.85799999999999998</v>
      </c>
      <c r="BE22" s="16">
        <f t="shared" si="25"/>
        <v>2983.1600000000003</v>
      </c>
      <c r="BF22" s="16">
        <f t="shared" si="18"/>
        <v>175.80645161290323</v>
      </c>
      <c r="BG22" s="16">
        <f t="shared" si="26"/>
        <v>2812.9032258064522</v>
      </c>
      <c r="BH22" s="17">
        <f t="shared" si="19"/>
        <v>1</v>
      </c>
      <c r="BI22" s="16">
        <f t="shared" si="27"/>
        <v>2812.9032258064522</v>
      </c>
      <c r="BJ22" s="254">
        <v>297.24099999999999</v>
      </c>
      <c r="BK22" s="197"/>
      <c r="BL22" s="197">
        <v>65.296000000000006</v>
      </c>
      <c r="BM22" s="197"/>
      <c r="BN22" s="230"/>
      <c r="BO22" s="230">
        <v>72.503</v>
      </c>
      <c r="BP22" s="258"/>
      <c r="BQ22" s="199"/>
      <c r="BR22" s="200">
        <v>0.78</v>
      </c>
      <c r="BS22" s="200"/>
      <c r="BT22" s="200"/>
      <c r="BU22" s="200"/>
      <c r="BV22" s="208"/>
      <c r="BW22" s="208">
        <v>0.84</v>
      </c>
      <c r="BX22" s="201"/>
      <c r="BY22" s="202">
        <v>37.340000000000003</v>
      </c>
      <c r="BZ22" s="200"/>
      <c r="CA22" s="200">
        <v>42.53</v>
      </c>
      <c r="CB22" s="200"/>
      <c r="CC22" s="208"/>
      <c r="CD22" s="208">
        <v>34.64</v>
      </c>
      <c r="CE22" s="201"/>
      <c r="CF22" s="199"/>
      <c r="CG22" s="197"/>
      <c r="CH22" s="197">
        <v>72.5</v>
      </c>
      <c r="CI22" s="197">
        <v>169.94</v>
      </c>
      <c r="CJ22" s="198"/>
      <c r="CK22" s="202"/>
      <c r="CL22" s="200"/>
      <c r="CM22" s="208"/>
      <c r="CN22" s="201"/>
      <c r="CO22" s="284"/>
      <c r="CP22" s="286">
        <f t="shared" si="20"/>
        <v>294.92252019999995</v>
      </c>
      <c r="CQ22" s="29">
        <f t="shared" si="20"/>
        <v>0</v>
      </c>
      <c r="CR22" s="30">
        <f t="shared" si="20"/>
        <v>65.296000000000006</v>
      </c>
      <c r="CS22" s="29">
        <f t="shared" si="20"/>
        <v>0</v>
      </c>
      <c r="CT22" s="27">
        <f t="shared" si="20"/>
        <v>0</v>
      </c>
      <c r="CU22" s="24">
        <f t="shared" si="20"/>
        <v>71.893974799999995</v>
      </c>
      <c r="CV22" s="282">
        <f t="shared" si="20"/>
        <v>0</v>
      </c>
      <c r="CW22" s="237">
        <f t="shared" si="21"/>
        <v>0</v>
      </c>
      <c r="CX22" s="24">
        <f t="shared" si="21"/>
        <v>72.5</v>
      </c>
      <c r="CY22" s="277">
        <f t="shared" si="21"/>
        <v>169.94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8"/>
        <v>0</v>
      </c>
    </row>
    <row r="23" spans="1:110" ht="16.5" customHeight="1">
      <c r="A23" s="127">
        <v>17</v>
      </c>
      <c r="B23" s="103">
        <f>'[1]май 20'!K22</f>
        <v>441.36399999999998</v>
      </c>
      <c r="C23" s="104">
        <f t="shared" si="0"/>
        <v>0.18020015225528138</v>
      </c>
      <c r="D23" s="143">
        <f t="shared" si="1"/>
        <v>440.56866139999994</v>
      </c>
      <c r="E23" s="104">
        <f t="shared" si="2"/>
        <v>37.870767393806474</v>
      </c>
      <c r="F23" s="128">
        <f t="shared" si="3"/>
        <v>2.3588834470203994</v>
      </c>
      <c r="G23" s="106"/>
      <c r="H23" s="107">
        <f t="shared" si="4"/>
        <v>2.0047152187182098</v>
      </c>
      <c r="I23" s="103">
        <f>'[1]сентябрь 20'!AE22</f>
        <v>0</v>
      </c>
      <c r="J23" s="328">
        <f>'[1]май 20'!AA22</f>
        <v>0</v>
      </c>
      <c r="K23" s="106"/>
      <c r="L23" s="328">
        <f>'[1]май 20'!AI22</f>
        <v>66.147999999999996</v>
      </c>
      <c r="M23" s="103">
        <f t="shared" si="5"/>
        <v>0.35416822830218986</v>
      </c>
      <c r="N23" s="103">
        <f>'[1]июль 20'!AM22</f>
        <v>0</v>
      </c>
      <c r="O23" s="103">
        <f>'[1]май 20'!W22</f>
        <v>14.071</v>
      </c>
      <c r="P23" s="103">
        <f>'[1]май 20'!S22</f>
        <v>250.68</v>
      </c>
      <c r="Q23" s="108">
        <f t="shared" si="6"/>
        <v>1.4121589277166224</v>
      </c>
      <c r="R23" s="109">
        <f t="shared" si="7"/>
        <v>247.14</v>
      </c>
      <c r="S23" s="106">
        <v>40.89</v>
      </c>
      <c r="T23" s="109">
        <f t="shared" si="8"/>
        <v>247.14</v>
      </c>
      <c r="U23" s="110">
        <f t="shared" si="9"/>
        <v>1.3232317824061681</v>
      </c>
      <c r="V23" s="136">
        <v>186.77</v>
      </c>
      <c r="W23" s="129">
        <v>186.77</v>
      </c>
      <c r="X23" s="131">
        <v>0.65</v>
      </c>
      <c r="Y23" s="112">
        <v>608</v>
      </c>
      <c r="Z23" s="133">
        <v>1234</v>
      </c>
      <c r="AA23" s="144" t="s">
        <v>295</v>
      </c>
      <c r="AB23" s="131">
        <v>75.62</v>
      </c>
      <c r="AC23" s="133">
        <v>147</v>
      </c>
      <c r="AD23" s="134">
        <v>4</v>
      </c>
      <c r="AE23" s="131">
        <v>0.15</v>
      </c>
      <c r="AF23" s="115">
        <f t="shared" si="10"/>
        <v>0.80312684049900951</v>
      </c>
      <c r="AG23" s="131">
        <v>145.1</v>
      </c>
      <c r="AH23" s="115">
        <f t="shared" si="11"/>
        <v>776.89136370937513</v>
      </c>
      <c r="AI23" s="139">
        <v>15.36</v>
      </c>
      <c r="AJ23" s="131"/>
      <c r="AK23" s="136">
        <v>9.3000000000000007</v>
      </c>
      <c r="AL23" s="136">
        <v>40.58</v>
      </c>
      <c r="AM23" s="110">
        <f t="shared" si="12"/>
        <v>0.1729384189217984</v>
      </c>
      <c r="AN23" s="137" t="s">
        <v>197</v>
      </c>
      <c r="AO23" s="150">
        <v>8.92</v>
      </c>
      <c r="AP23" s="138">
        <v>6.12</v>
      </c>
      <c r="AQ23" s="134"/>
      <c r="AR23" s="131">
        <v>9.26</v>
      </c>
      <c r="AS23" s="315">
        <v>234.65</v>
      </c>
      <c r="AT23" s="131">
        <v>2</v>
      </c>
      <c r="AU23" s="116"/>
      <c r="AV23" s="131"/>
      <c r="AW23" s="109">
        <f t="shared" si="29"/>
        <v>0</v>
      </c>
      <c r="AX23" s="109">
        <f t="shared" si="13"/>
        <v>186.76999999999998</v>
      </c>
      <c r="AY23" s="115">
        <f t="shared" si="24"/>
        <v>192.61729421021306</v>
      </c>
      <c r="AZ23" s="140">
        <f t="shared" si="14"/>
        <v>10.40837042253521</v>
      </c>
      <c r="BA23" s="141">
        <f t="shared" si="15"/>
        <v>7.4707999999999997</v>
      </c>
      <c r="BB23" s="128">
        <f t="shared" si="16"/>
        <v>0.84649828909991331</v>
      </c>
      <c r="BC23" s="141">
        <f t="shared" si="17"/>
        <v>17.879170422535211</v>
      </c>
      <c r="BD23" s="142">
        <v>0.85799999999999998</v>
      </c>
      <c r="BE23" s="16">
        <f t="shared" si="25"/>
        <v>3169.9300000000003</v>
      </c>
      <c r="BF23" s="16">
        <f t="shared" si="18"/>
        <v>175.80645161290323</v>
      </c>
      <c r="BG23" s="16">
        <f t="shared" si="26"/>
        <v>2988.7096774193556</v>
      </c>
      <c r="BH23" s="17">
        <f t="shared" si="19"/>
        <v>1</v>
      </c>
      <c r="BI23" s="16">
        <f t="shared" si="27"/>
        <v>2988.7096774193556</v>
      </c>
      <c r="BJ23" s="254">
        <v>301.36599999999999</v>
      </c>
      <c r="BK23" s="197"/>
      <c r="BL23" s="197">
        <v>66.147999999999996</v>
      </c>
      <c r="BM23" s="197"/>
      <c r="BN23" s="230"/>
      <c r="BO23" s="230">
        <v>73.849999999999994</v>
      </c>
      <c r="BP23" s="258"/>
      <c r="BQ23" s="199"/>
      <c r="BR23" s="200">
        <v>0.21</v>
      </c>
      <c r="BS23" s="200"/>
      <c r="BT23" s="200"/>
      <c r="BU23" s="200"/>
      <c r="BV23" s="208"/>
      <c r="BW23" s="208">
        <v>0.22</v>
      </c>
      <c r="BX23" s="201"/>
      <c r="BY23" s="202">
        <v>37.49</v>
      </c>
      <c r="BZ23" s="200"/>
      <c r="CA23" s="200">
        <v>42.23</v>
      </c>
      <c r="CB23" s="200"/>
      <c r="CC23" s="208"/>
      <c r="CD23" s="208">
        <v>35.520000000000003</v>
      </c>
      <c r="CE23" s="209"/>
      <c r="CF23" s="199"/>
      <c r="CG23" s="197"/>
      <c r="CH23" s="197">
        <v>73.55</v>
      </c>
      <c r="CI23" s="197">
        <v>173.59</v>
      </c>
      <c r="CJ23" s="198"/>
      <c r="CK23" s="202"/>
      <c r="CL23" s="208"/>
      <c r="CM23" s="208"/>
      <c r="CN23" s="201"/>
      <c r="CO23" s="284"/>
      <c r="CP23" s="286">
        <f t="shared" si="20"/>
        <v>300.73313139999999</v>
      </c>
      <c r="CQ23" s="24">
        <f t="shared" si="20"/>
        <v>0</v>
      </c>
      <c r="CR23" s="25">
        <f t="shared" si="20"/>
        <v>66.147999999999996</v>
      </c>
      <c r="CS23" s="24">
        <f t="shared" si="20"/>
        <v>0</v>
      </c>
      <c r="CT23" s="27">
        <f t="shared" si="20"/>
        <v>0</v>
      </c>
      <c r="CU23" s="24">
        <f t="shared" si="20"/>
        <v>73.687529999999995</v>
      </c>
      <c r="CV23" s="280">
        <f t="shared" si="20"/>
        <v>0</v>
      </c>
      <c r="CW23" s="237">
        <f t="shared" si="21"/>
        <v>0</v>
      </c>
      <c r="CX23" s="29">
        <f t="shared" si="21"/>
        <v>73.55</v>
      </c>
      <c r="CY23" s="277">
        <f t="shared" si="21"/>
        <v>173.59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8"/>
        <v>0</v>
      </c>
    </row>
    <row r="24" spans="1:110" ht="16.5" customHeight="1">
      <c r="A24" s="127">
        <v>18</v>
      </c>
      <c r="B24" s="103">
        <f>'[1]май 20'!K23</f>
        <v>435.548</v>
      </c>
      <c r="C24" s="104">
        <f t="shared" si="0"/>
        <v>0.45864777246135907</v>
      </c>
      <c r="D24" s="143">
        <f t="shared" si="1"/>
        <v>433.5503688</v>
      </c>
      <c r="E24" s="104">
        <f t="shared" si="2"/>
        <v>38.519025388705714</v>
      </c>
      <c r="F24" s="128">
        <f t="shared" si="3"/>
        <v>2.4370453558178746</v>
      </c>
      <c r="G24" s="106"/>
      <c r="H24" s="107">
        <f t="shared" si="4"/>
        <v>2.0705754288926363</v>
      </c>
      <c r="I24" s="103">
        <f>'[1]сентябрь 20'!AE23</f>
        <v>0</v>
      </c>
      <c r="J24" s="328">
        <f>'[1]май 20'!AA23</f>
        <v>0</v>
      </c>
      <c r="K24" s="106">
        <v>30.11</v>
      </c>
      <c r="L24" s="328">
        <f>'[1]май 20'!AI23</f>
        <v>65.194999999999993</v>
      </c>
      <c r="M24" s="103">
        <f t="shared" si="5"/>
        <v>0.36646992692523878</v>
      </c>
      <c r="N24" s="103">
        <f>'[1]июль 20'!AM23</f>
        <v>0</v>
      </c>
      <c r="O24" s="103">
        <f>'[1]май 20'!W23</f>
        <v>14.615</v>
      </c>
      <c r="P24" s="103">
        <f>'[1]май 20'!S23</f>
        <v>248.078</v>
      </c>
      <c r="Q24" s="108">
        <f t="shared" si="6"/>
        <v>1.3737614782447505</v>
      </c>
      <c r="R24" s="109">
        <f t="shared" si="7"/>
        <v>244.67</v>
      </c>
      <c r="S24" s="106">
        <v>7.47</v>
      </c>
      <c r="T24" s="109">
        <f t="shared" si="8"/>
        <v>244.67</v>
      </c>
      <c r="U24" s="110">
        <f t="shared" si="9"/>
        <v>1.3753232152894881</v>
      </c>
      <c r="V24" s="136">
        <v>131.88</v>
      </c>
      <c r="W24" s="129">
        <v>131.08000000000001</v>
      </c>
      <c r="X24" s="131">
        <v>0.8</v>
      </c>
      <c r="Y24" s="133">
        <v>607</v>
      </c>
      <c r="Z24" s="133">
        <v>1246</v>
      </c>
      <c r="AA24" s="144" t="s">
        <v>297</v>
      </c>
      <c r="AB24" s="131">
        <v>76.02</v>
      </c>
      <c r="AC24" s="133">
        <v>145</v>
      </c>
      <c r="AD24" s="134">
        <v>4</v>
      </c>
      <c r="AE24" s="131"/>
      <c r="AF24" s="115">
        <f t="shared" si="10"/>
        <v>0</v>
      </c>
      <c r="AG24" s="131">
        <v>136.25</v>
      </c>
      <c r="AH24" s="115">
        <f t="shared" si="11"/>
        <v>765.87970770095546</v>
      </c>
      <c r="AI24" s="139">
        <v>13.65</v>
      </c>
      <c r="AJ24" s="131"/>
      <c r="AK24" s="136">
        <v>12.26</v>
      </c>
      <c r="AL24" s="136">
        <v>41.14</v>
      </c>
      <c r="AM24" s="110">
        <f t="shared" si="12"/>
        <v>0.18024096385542168</v>
      </c>
      <c r="AN24" s="137" t="s">
        <v>298</v>
      </c>
      <c r="AO24" s="150">
        <v>8.51</v>
      </c>
      <c r="AP24" s="138">
        <v>6.21</v>
      </c>
      <c r="AQ24" s="134"/>
      <c r="AR24" s="131">
        <v>11</v>
      </c>
      <c r="AS24" s="315">
        <v>228.25</v>
      </c>
      <c r="AT24" s="131">
        <v>3.05</v>
      </c>
      <c r="AU24" s="116"/>
      <c r="AV24" s="131"/>
      <c r="AW24" s="109">
        <f t="shared" si="29"/>
        <v>0</v>
      </c>
      <c r="AX24" s="109">
        <f t="shared" si="13"/>
        <v>177.90000000000003</v>
      </c>
      <c r="AY24" s="115">
        <f t="shared" si="24"/>
        <v>191.77907892498689</v>
      </c>
      <c r="AZ24" s="140">
        <f t="shared" si="14"/>
        <v>11.610035211267606</v>
      </c>
      <c r="BA24" s="141"/>
      <c r="BB24" s="128">
        <f t="shared" si="16"/>
        <v>0.80982086716949564</v>
      </c>
      <c r="BC24" s="141">
        <f t="shared" si="17"/>
        <v>11.610035211267606</v>
      </c>
      <c r="BD24" s="142">
        <v>0.85499999999999998</v>
      </c>
      <c r="BE24" s="16">
        <f t="shared" si="25"/>
        <v>3347.8300000000004</v>
      </c>
      <c r="BF24" s="16">
        <f t="shared" si="18"/>
        <v>175.80645161290323</v>
      </c>
      <c r="BG24" s="16">
        <f t="shared" si="26"/>
        <v>3164.516129032259</v>
      </c>
      <c r="BH24" s="17">
        <f t="shared" si="19"/>
        <v>1</v>
      </c>
      <c r="BI24" s="16">
        <f t="shared" si="27"/>
        <v>3164.516129032259</v>
      </c>
      <c r="BJ24" s="254">
        <v>186.499</v>
      </c>
      <c r="BK24" s="197"/>
      <c r="BL24" s="197">
        <v>65.194999999999993</v>
      </c>
      <c r="BM24" s="197"/>
      <c r="BN24" s="230">
        <v>127.26</v>
      </c>
      <c r="BO24" s="230">
        <v>56.594000000000001</v>
      </c>
      <c r="BP24" s="258"/>
      <c r="BQ24" s="199"/>
      <c r="BR24" s="200">
        <v>0.72</v>
      </c>
      <c r="BS24" s="200"/>
      <c r="BT24" s="200"/>
      <c r="BU24" s="200"/>
      <c r="BV24" s="208">
        <v>0.31</v>
      </c>
      <c r="BW24" s="208">
        <v>0.46</v>
      </c>
      <c r="BX24" s="201"/>
      <c r="BY24" s="202">
        <v>38.03</v>
      </c>
      <c r="BZ24" s="200"/>
      <c r="CA24" s="200">
        <v>41.88</v>
      </c>
      <c r="CB24" s="200"/>
      <c r="CC24" s="208">
        <v>39.19</v>
      </c>
      <c r="CD24" s="208">
        <v>34.75</v>
      </c>
      <c r="CE24" s="209"/>
      <c r="CF24" s="199"/>
      <c r="CG24" s="197"/>
      <c r="CH24" s="197">
        <v>72.5</v>
      </c>
      <c r="CI24" s="197">
        <v>172.17</v>
      </c>
      <c r="CJ24" s="198"/>
      <c r="CK24" s="202"/>
      <c r="CL24" s="208"/>
      <c r="CM24" s="208"/>
      <c r="CN24" s="201"/>
      <c r="CO24" s="284"/>
      <c r="CP24" s="286">
        <f t="shared" si="20"/>
        <v>185.15620720000001</v>
      </c>
      <c r="CQ24" s="29">
        <f t="shared" si="20"/>
        <v>0</v>
      </c>
      <c r="CR24" s="30">
        <f t="shared" si="20"/>
        <v>65.194999999999993</v>
      </c>
      <c r="CS24" s="29">
        <f t="shared" si="20"/>
        <v>0</v>
      </c>
      <c r="CT24" s="27">
        <f t="shared" si="20"/>
        <v>126.86549400000001</v>
      </c>
      <c r="CU24" s="27">
        <f t="shared" si="20"/>
        <v>56.333667600000005</v>
      </c>
      <c r="CV24" s="282">
        <f t="shared" si="20"/>
        <v>0</v>
      </c>
      <c r="CW24" s="25">
        <f t="shared" si="21"/>
        <v>0</v>
      </c>
      <c r="CX24" s="26">
        <f t="shared" si="21"/>
        <v>72.5</v>
      </c>
      <c r="CY24" s="277">
        <f t="shared" si="21"/>
        <v>172.17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8"/>
        <v>0</v>
      </c>
    </row>
    <row r="25" spans="1:110" ht="16.5" customHeight="1">
      <c r="A25" s="127">
        <v>19</v>
      </c>
      <c r="B25" s="103">
        <f>'[1]май 20'!K24</f>
        <v>431.96</v>
      </c>
      <c r="C25" s="104">
        <f t="shared" si="0"/>
        <v>0.30168617464580055</v>
      </c>
      <c r="D25" s="143">
        <f t="shared" si="1"/>
        <v>430.65683639999997</v>
      </c>
      <c r="E25" s="104">
        <f t="shared" si="2"/>
        <v>38.628088110010182</v>
      </c>
      <c r="F25" s="128">
        <f t="shared" si="3"/>
        <v>2.1847445028409087</v>
      </c>
      <c r="G25" s="106"/>
      <c r="H25" s="107">
        <f t="shared" si="4"/>
        <v>1.8561629281655843</v>
      </c>
      <c r="I25" s="103">
        <f>'[1]сентябрь 20'!AE24</f>
        <v>0</v>
      </c>
      <c r="J25" s="328">
        <f>'[1]май 20'!AA24</f>
        <v>0</v>
      </c>
      <c r="K25" s="106"/>
      <c r="L25" s="328">
        <f>'[1]май 20'!AI24</f>
        <v>64.77</v>
      </c>
      <c r="M25" s="103">
        <f t="shared" si="5"/>
        <v>0.32858157467532467</v>
      </c>
      <c r="N25" s="103">
        <f>'[1]июль 20'!AM24</f>
        <v>2.8069999999999999</v>
      </c>
      <c r="O25" s="103">
        <f>'[1]май 20'!W24</f>
        <v>17.981999999999999</v>
      </c>
      <c r="P25" s="103">
        <f>'[1]май 20'!S24</f>
        <v>249.14</v>
      </c>
      <c r="Q25" s="108">
        <f t="shared" si="6"/>
        <v>1.3807497792405865</v>
      </c>
      <c r="R25" s="109">
        <f t="shared" si="7"/>
        <v>245.7</v>
      </c>
      <c r="S25" s="106">
        <v>35.22</v>
      </c>
      <c r="T25" s="109">
        <f t="shared" si="8"/>
        <v>245.7</v>
      </c>
      <c r="U25" s="110">
        <f t="shared" si="9"/>
        <v>1.2464488636363635</v>
      </c>
      <c r="V25" s="136">
        <v>100.91</v>
      </c>
      <c r="W25" s="129">
        <v>197.12</v>
      </c>
      <c r="X25" s="131">
        <v>0.55000000000000004</v>
      </c>
      <c r="Y25" s="133">
        <v>615</v>
      </c>
      <c r="Z25" s="133">
        <v>1244</v>
      </c>
      <c r="AA25" s="144" t="s">
        <v>299</v>
      </c>
      <c r="AB25" s="131">
        <v>75.06</v>
      </c>
      <c r="AC25" s="133">
        <v>144</v>
      </c>
      <c r="AD25" s="134">
        <v>4</v>
      </c>
      <c r="AE25" s="131">
        <v>2.7</v>
      </c>
      <c r="AF25" s="115">
        <f t="shared" si="10"/>
        <v>13.69724025974026</v>
      </c>
      <c r="AG25" s="131">
        <v>135.4</v>
      </c>
      <c r="AH25" s="115">
        <f t="shared" si="11"/>
        <v>686.89123376623377</v>
      </c>
      <c r="AI25" s="139">
        <v>17.29</v>
      </c>
      <c r="AJ25" s="131"/>
      <c r="AK25" s="136">
        <v>8.7899999999999991</v>
      </c>
      <c r="AL25" s="136">
        <v>38.99</v>
      </c>
      <c r="AM25" s="110">
        <f t="shared" si="12"/>
        <v>0.16154961673917548</v>
      </c>
      <c r="AN25" s="137" t="s">
        <v>300</v>
      </c>
      <c r="AO25" s="150">
        <v>8.44</v>
      </c>
      <c r="AP25" s="138">
        <v>7</v>
      </c>
      <c r="AQ25" s="153"/>
      <c r="AR25" s="131">
        <v>10.8</v>
      </c>
      <c r="AS25" s="315">
        <v>241.35</v>
      </c>
      <c r="AT25" s="131">
        <v>3.55</v>
      </c>
      <c r="AU25" s="148"/>
      <c r="AV25" s="131"/>
      <c r="AW25" s="109">
        <f t="shared" si="29"/>
        <v>0</v>
      </c>
      <c r="AX25" s="109">
        <f t="shared" si="13"/>
        <v>197.12</v>
      </c>
      <c r="AY25" s="115">
        <f t="shared" si="24"/>
        <v>193.48185509578317</v>
      </c>
      <c r="AZ25" s="140">
        <f t="shared" si="14"/>
        <v>11.327830985915494</v>
      </c>
      <c r="BA25" s="141">
        <f t="shared" ref="BA25:BA37" si="30">AX25*$BA$6</f>
        <v>7.8848000000000003</v>
      </c>
      <c r="BB25" s="128">
        <f t="shared" si="16"/>
        <v>0.88941549539520903</v>
      </c>
      <c r="BC25" s="141">
        <f t="shared" si="17"/>
        <v>19.212630985915496</v>
      </c>
      <c r="BD25" s="142">
        <v>0.85699999999999998</v>
      </c>
      <c r="BE25" s="16">
        <f t="shared" si="25"/>
        <v>3544.9500000000003</v>
      </c>
      <c r="BF25" s="16">
        <f t="shared" si="18"/>
        <v>175.80645161290323</v>
      </c>
      <c r="BG25" s="16">
        <f t="shared" si="26"/>
        <v>3340.3225806451624</v>
      </c>
      <c r="BH25" s="17">
        <f t="shared" si="19"/>
        <v>1</v>
      </c>
      <c r="BI25" s="16">
        <f t="shared" si="27"/>
        <v>3340.3225806451624</v>
      </c>
      <c r="BJ25" s="254">
        <v>143.99199999999999</v>
      </c>
      <c r="BK25" s="197"/>
      <c r="BL25" s="197">
        <v>64.77</v>
      </c>
      <c r="BM25" s="197"/>
      <c r="BN25" s="230">
        <v>172.798</v>
      </c>
      <c r="BO25" s="230">
        <v>50.4</v>
      </c>
      <c r="BP25" s="258"/>
      <c r="BQ25" s="199"/>
      <c r="BR25" s="200">
        <v>0.39</v>
      </c>
      <c r="BS25" s="200"/>
      <c r="BT25" s="200"/>
      <c r="BU25" s="200"/>
      <c r="BV25" s="208">
        <v>0.26</v>
      </c>
      <c r="BW25" s="208">
        <v>0.57999999999999996</v>
      </c>
      <c r="BX25" s="201"/>
      <c r="BY25" s="202">
        <v>37.94</v>
      </c>
      <c r="BZ25" s="200"/>
      <c r="CA25" s="200">
        <v>42.34</v>
      </c>
      <c r="CB25" s="200"/>
      <c r="CC25" s="208">
        <v>38.67</v>
      </c>
      <c r="CD25" s="208">
        <v>35.68</v>
      </c>
      <c r="CE25" s="201"/>
      <c r="CF25" s="199"/>
      <c r="CG25" s="197"/>
      <c r="CH25" s="197">
        <v>70.5</v>
      </c>
      <c r="CI25" s="197">
        <v>175.2</v>
      </c>
      <c r="CJ25" s="198"/>
      <c r="CK25" s="202"/>
      <c r="CL25" s="208"/>
      <c r="CM25" s="208"/>
      <c r="CN25" s="201"/>
      <c r="CO25" s="284"/>
      <c r="CP25" s="286">
        <f t="shared" si="20"/>
        <v>143.43043119999999</v>
      </c>
      <c r="CQ25" s="24">
        <f t="shared" si="20"/>
        <v>0</v>
      </c>
      <c r="CR25" s="25">
        <f t="shared" si="20"/>
        <v>64.77</v>
      </c>
      <c r="CS25" s="24">
        <f t="shared" si="20"/>
        <v>0</v>
      </c>
      <c r="CT25" s="27">
        <f t="shared" si="20"/>
        <v>172.34872519999999</v>
      </c>
      <c r="CU25" s="30">
        <f t="shared" si="20"/>
        <v>50.107679999999995</v>
      </c>
      <c r="CV25" s="280">
        <f t="shared" si="20"/>
        <v>0</v>
      </c>
      <c r="CW25" s="25">
        <f t="shared" si="21"/>
        <v>0</v>
      </c>
      <c r="CX25" s="26">
        <f t="shared" si="21"/>
        <v>70.5</v>
      </c>
      <c r="CY25" s="277">
        <f t="shared" si="21"/>
        <v>175.2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8"/>
        <v>0</v>
      </c>
    </row>
    <row r="26" spans="1:110" ht="16.5" customHeight="1">
      <c r="A26" s="127">
        <v>20</v>
      </c>
      <c r="B26" s="103">
        <f>'[1]май 20'!K25</f>
        <v>245.411</v>
      </c>
      <c r="C26" s="104">
        <f t="shared" si="0"/>
        <v>0.39959101262779584</v>
      </c>
      <c r="D26" s="143">
        <f t="shared" si="1"/>
        <v>244.4303597</v>
      </c>
      <c r="E26" s="104">
        <f t="shared" si="2"/>
        <v>38.827343517609236</v>
      </c>
      <c r="F26" s="128">
        <f t="shared" si="3"/>
        <v>2.0740802689859992</v>
      </c>
      <c r="G26" s="106"/>
      <c r="H26" s="107">
        <f t="shared" si="4"/>
        <v>1.761123120067883</v>
      </c>
      <c r="I26" s="103">
        <f>'[1]сентябрь 20'!AE25</f>
        <v>0</v>
      </c>
      <c r="J26" s="328">
        <f>'[1]май 20'!AA25</f>
        <v>0</v>
      </c>
      <c r="K26" s="106"/>
      <c r="L26" s="328">
        <f>'[1]май 20'!AI25</f>
        <v>36.881999999999998</v>
      </c>
      <c r="M26" s="103">
        <f t="shared" si="5"/>
        <v>0.31295714891811627</v>
      </c>
      <c r="N26" s="103">
        <f>'[1]июль 20'!AM25</f>
        <v>7.1479999999999997</v>
      </c>
      <c r="O26" s="103">
        <f>'[1]май 20'!W25</f>
        <v>10.67</v>
      </c>
      <c r="P26" s="103">
        <f>'[1]май 20'!S25</f>
        <v>145.91300000000001</v>
      </c>
      <c r="Q26" s="108">
        <f t="shared" si="6"/>
        <v>1.4481231966994024</v>
      </c>
      <c r="R26" s="109">
        <f t="shared" si="7"/>
        <v>143.80000000000001</v>
      </c>
      <c r="S26" s="106">
        <v>20.46</v>
      </c>
      <c r="T26" s="109">
        <f t="shared" si="8"/>
        <v>143.80000000000001</v>
      </c>
      <c r="U26" s="110">
        <f t="shared" si="9"/>
        <v>1.2201951633432331</v>
      </c>
      <c r="V26" s="136">
        <v>93.92</v>
      </c>
      <c r="W26" s="154">
        <v>117.85</v>
      </c>
      <c r="X26" s="149">
        <v>0.55000000000000004</v>
      </c>
      <c r="Y26" s="147">
        <v>601</v>
      </c>
      <c r="Z26" s="147">
        <v>1195</v>
      </c>
      <c r="AA26" s="144" t="s">
        <v>279</v>
      </c>
      <c r="AB26" s="149">
        <v>75.400000000000006</v>
      </c>
      <c r="AC26" s="147">
        <v>83</v>
      </c>
      <c r="AD26" s="155">
        <v>3</v>
      </c>
      <c r="AE26" s="149">
        <v>1.5</v>
      </c>
      <c r="AF26" s="115">
        <f t="shared" si="10"/>
        <v>12.728044123886296</v>
      </c>
      <c r="AG26" s="149">
        <v>90.55</v>
      </c>
      <c r="AH26" s="115">
        <f t="shared" si="11"/>
        <v>768.34959694526935</v>
      </c>
      <c r="AI26" s="156">
        <v>16.600000000000001</v>
      </c>
      <c r="AJ26" s="149"/>
      <c r="AK26" s="157">
        <v>8.25</v>
      </c>
      <c r="AL26" s="157">
        <v>23.98</v>
      </c>
      <c r="AM26" s="110">
        <f t="shared" si="12"/>
        <v>0.16202702702702704</v>
      </c>
      <c r="AN26" s="158" t="s">
        <v>301</v>
      </c>
      <c r="AO26" s="404">
        <v>7.92</v>
      </c>
      <c r="AP26" s="159">
        <v>6.77</v>
      </c>
      <c r="AQ26" s="155"/>
      <c r="AR26" s="149">
        <v>13.93</v>
      </c>
      <c r="AS26" s="315">
        <v>148</v>
      </c>
      <c r="AT26" s="131">
        <v>2.08</v>
      </c>
      <c r="AU26" s="148"/>
      <c r="AV26" s="149"/>
      <c r="AW26" s="160">
        <f t="shared" si="29"/>
        <v>0</v>
      </c>
      <c r="AX26" s="109">
        <f t="shared" si="13"/>
        <v>117.85</v>
      </c>
      <c r="AY26" s="115">
        <f t="shared" si="24"/>
        <v>109.88431944754234</v>
      </c>
      <c r="AZ26" s="140">
        <f t="shared" si="14"/>
        <v>9.7711102112676045</v>
      </c>
      <c r="BA26" s="140">
        <f t="shared" si="30"/>
        <v>4.7139999999999995</v>
      </c>
      <c r="BB26" s="161">
        <f t="shared" si="16"/>
        <v>0.93628509069590504</v>
      </c>
      <c r="BC26" s="140">
        <f t="shared" si="17"/>
        <v>14.485110211267603</v>
      </c>
      <c r="BD26" s="162">
        <v>0.85899999999999999</v>
      </c>
      <c r="BE26" s="16">
        <f t="shared" si="25"/>
        <v>3662.8</v>
      </c>
      <c r="BF26" s="16">
        <f t="shared" si="18"/>
        <v>175.80645161290323</v>
      </c>
      <c r="BG26" s="16">
        <f t="shared" si="26"/>
        <v>3516.1290322580658</v>
      </c>
      <c r="BH26" s="17">
        <f t="shared" si="19"/>
        <v>1</v>
      </c>
      <c r="BI26" s="16">
        <f t="shared" si="27"/>
        <v>3516.1290322580658</v>
      </c>
      <c r="BJ26" s="254">
        <v>81.900999999999996</v>
      </c>
      <c r="BK26" s="197"/>
      <c r="BL26" s="197">
        <v>36.881999999999998</v>
      </c>
      <c r="BM26" s="197"/>
      <c r="BN26" s="230">
        <v>98.367999999999995</v>
      </c>
      <c r="BO26" s="230">
        <v>28.26</v>
      </c>
      <c r="BP26" s="258"/>
      <c r="BQ26" s="199"/>
      <c r="BR26" s="200">
        <v>0.63</v>
      </c>
      <c r="BS26" s="200"/>
      <c r="BT26" s="200"/>
      <c r="BU26" s="200"/>
      <c r="BV26" s="208">
        <v>0.3</v>
      </c>
      <c r="BW26" s="208">
        <v>0.6</v>
      </c>
      <c r="BX26" s="201"/>
      <c r="BY26" s="202">
        <v>38.200000000000003</v>
      </c>
      <c r="BZ26" s="200"/>
      <c r="CA26" s="200">
        <v>42.3</v>
      </c>
      <c r="CB26" s="200"/>
      <c r="CC26" s="208">
        <v>39.4</v>
      </c>
      <c r="CD26" s="208">
        <v>34.119999999999997</v>
      </c>
      <c r="CE26" s="209"/>
      <c r="CF26" s="199"/>
      <c r="CG26" s="197"/>
      <c r="CH26" s="197"/>
      <c r="CI26" s="197">
        <v>143.80000000000001</v>
      </c>
      <c r="CJ26" s="198"/>
      <c r="CK26" s="202"/>
      <c r="CL26" s="208"/>
      <c r="CM26" s="208"/>
      <c r="CN26" s="201"/>
      <c r="CO26" s="284"/>
      <c r="CP26" s="286">
        <f t="shared" si="20"/>
        <v>81.385023700000005</v>
      </c>
      <c r="CQ26" s="24">
        <f t="shared" si="20"/>
        <v>0</v>
      </c>
      <c r="CR26" s="25">
        <f t="shared" si="20"/>
        <v>36.881999999999998</v>
      </c>
      <c r="CS26" s="24">
        <f t="shared" si="20"/>
        <v>0</v>
      </c>
      <c r="CT26" s="27">
        <f t="shared" si="20"/>
        <v>98.072896</v>
      </c>
      <c r="CU26" s="24">
        <f t="shared" si="20"/>
        <v>28.090440000000005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143.80000000000001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8"/>
        <v>0</v>
      </c>
    </row>
    <row r="27" spans="1:110" ht="16.5" customHeight="1">
      <c r="A27" s="127">
        <v>21</v>
      </c>
      <c r="B27" s="103">
        <f>'[1]май 20'!K26</f>
        <v>440.95499999999998</v>
      </c>
      <c r="C27" s="104">
        <f t="shared" si="0"/>
        <v>0.40306112868660071</v>
      </c>
      <c r="D27" s="143">
        <f t="shared" si="1"/>
        <v>439.17768180000002</v>
      </c>
      <c r="E27" s="104">
        <f t="shared" si="2"/>
        <v>37.981334195099279</v>
      </c>
      <c r="F27" s="128">
        <f t="shared" si="3"/>
        <v>2.2926377208185431</v>
      </c>
      <c r="G27" s="106"/>
      <c r="H27" s="107">
        <f t="shared" si="4"/>
        <v>1.9474769356859472</v>
      </c>
      <c r="I27" s="103">
        <f>'[1]сентябрь 20'!AE26</f>
        <v>0</v>
      </c>
      <c r="J27" s="328">
        <f>'[1]май 20'!AA26</f>
        <v>0</v>
      </c>
      <c r="K27" s="106">
        <v>26.75</v>
      </c>
      <c r="L27" s="328">
        <f>'[1]май 20'!AI26</f>
        <v>66.119</v>
      </c>
      <c r="M27" s="103">
        <f t="shared" si="5"/>
        <v>0.34516078513259557</v>
      </c>
      <c r="N27" s="103">
        <f>'[1]июль 20'!AM26</f>
        <v>7.0339999999999998</v>
      </c>
      <c r="O27" s="103">
        <f>'[1]май 20'!W26</f>
        <v>19.236999999999998</v>
      </c>
      <c r="P27" s="103">
        <f>'[1]май 20'!S26</f>
        <v>257.44200000000001</v>
      </c>
      <c r="Q27" s="108">
        <f t="shared" si="6"/>
        <v>1.4224563202585472</v>
      </c>
      <c r="R27" s="109">
        <f t="shared" si="7"/>
        <v>253.78</v>
      </c>
      <c r="S27" s="106">
        <v>27.22</v>
      </c>
      <c r="T27" s="109">
        <f t="shared" si="8"/>
        <v>253.78</v>
      </c>
      <c r="U27" s="110">
        <f t="shared" si="9"/>
        <v>1.324806849029025</v>
      </c>
      <c r="V27" s="129">
        <v>191.56</v>
      </c>
      <c r="W27" s="129">
        <v>191.56</v>
      </c>
      <c r="X27" s="131">
        <v>0.41</v>
      </c>
      <c r="Y27" s="133">
        <v>582</v>
      </c>
      <c r="Z27" s="133">
        <v>1214</v>
      </c>
      <c r="AA27" s="144" t="s">
        <v>302</v>
      </c>
      <c r="AB27" s="131">
        <v>75.19</v>
      </c>
      <c r="AC27" s="133">
        <v>147</v>
      </c>
      <c r="AD27" s="134">
        <v>4</v>
      </c>
      <c r="AE27" s="131">
        <v>1.75</v>
      </c>
      <c r="AF27" s="115">
        <f t="shared" si="10"/>
        <v>9.1355188974733768</v>
      </c>
      <c r="AG27" s="131">
        <v>135.15</v>
      </c>
      <c r="AH27" s="115">
        <f t="shared" si="11"/>
        <v>705.52307371058691</v>
      </c>
      <c r="AI27" s="139">
        <v>17.55</v>
      </c>
      <c r="AJ27" s="131"/>
      <c r="AK27" s="136">
        <v>7.5</v>
      </c>
      <c r="AL27" s="136">
        <v>42.36</v>
      </c>
      <c r="AM27" s="110">
        <f t="shared" si="12"/>
        <v>0.17690540822718731</v>
      </c>
      <c r="AN27" s="137" t="s">
        <v>303</v>
      </c>
      <c r="AO27" s="150">
        <v>8.5399999999999991</v>
      </c>
      <c r="AP27" s="138">
        <v>6.86</v>
      </c>
      <c r="AQ27" s="134"/>
      <c r="AR27" s="131">
        <v>11.03</v>
      </c>
      <c r="AS27" s="139">
        <v>239.45</v>
      </c>
      <c r="AT27" s="131">
        <v>1.97</v>
      </c>
      <c r="AU27" s="148"/>
      <c r="AV27" s="131"/>
      <c r="AW27" s="109">
        <f t="shared" si="29"/>
        <v>0</v>
      </c>
      <c r="AX27" s="109">
        <f t="shared" si="13"/>
        <v>191.55999999999997</v>
      </c>
      <c r="AY27" s="115">
        <f t="shared" si="24"/>
        <v>193.67101884470642</v>
      </c>
      <c r="AZ27" s="140">
        <f t="shared" si="14"/>
        <v>11.547710915492956</v>
      </c>
      <c r="BA27" s="141">
        <f t="shared" si="30"/>
        <v>7.662399999999999</v>
      </c>
      <c r="BB27" s="128">
        <f t="shared" si="16"/>
        <v>0.86348427863692678</v>
      </c>
      <c r="BC27" s="141">
        <f t="shared" si="17"/>
        <v>19.210110915492955</v>
      </c>
      <c r="BD27" s="142">
        <v>0.85899999999999999</v>
      </c>
      <c r="BE27" s="16">
        <f t="shared" si="25"/>
        <v>3854.36</v>
      </c>
      <c r="BF27" s="16">
        <f t="shared" si="18"/>
        <v>175.80645161290323</v>
      </c>
      <c r="BG27" s="16">
        <f t="shared" si="26"/>
        <v>3691.9354838709692</v>
      </c>
      <c r="BH27" s="17">
        <f t="shared" si="19"/>
        <v>1</v>
      </c>
      <c r="BI27" s="16">
        <f t="shared" si="27"/>
        <v>3691.9354838709692</v>
      </c>
      <c r="BJ27" s="254">
        <v>146.97999999999999</v>
      </c>
      <c r="BK27" s="197"/>
      <c r="BL27" s="197">
        <v>66.119</v>
      </c>
      <c r="BM27" s="197"/>
      <c r="BN27" s="230">
        <v>176.49</v>
      </c>
      <c r="BO27" s="230">
        <v>51.366</v>
      </c>
      <c r="BP27" s="258"/>
      <c r="BQ27" s="199"/>
      <c r="BR27" s="200">
        <v>0.51</v>
      </c>
      <c r="BS27" s="200"/>
      <c r="BT27" s="200"/>
      <c r="BU27" s="200"/>
      <c r="BV27" s="208">
        <v>0.3</v>
      </c>
      <c r="BW27" s="208">
        <v>0.97</v>
      </c>
      <c r="BX27" s="201"/>
      <c r="BY27" s="202">
        <v>37.33</v>
      </c>
      <c r="BZ27" s="200"/>
      <c r="CA27" s="200">
        <v>42.32</v>
      </c>
      <c r="CB27" s="200"/>
      <c r="CC27" s="208">
        <v>38.06</v>
      </c>
      <c r="CD27" s="208">
        <v>33.99</v>
      </c>
      <c r="CE27" s="209"/>
      <c r="CF27" s="199"/>
      <c r="CG27" s="197"/>
      <c r="CH27" s="197"/>
      <c r="CI27" s="197">
        <v>253.78</v>
      </c>
      <c r="CJ27" s="198"/>
      <c r="CK27" s="202"/>
      <c r="CL27" s="208"/>
      <c r="CM27" s="208"/>
      <c r="CN27" s="201"/>
      <c r="CO27" s="284"/>
      <c r="CP27" s="286">
        <f t="shared" si="20"/>
        <v>146.23040199999997</v>
      </c>
      <c r="CQ27" s="24">
        <f t="shared" si="20"/>
        <v>0</v>
      </c>
      <c r="CR27" s="25">
        <f t="shared" si="20"/>
        <v>66.119</v>
      </c>
      <c r="CS27" s="24">
        <f t="shared" si="20"/>
        <v>0</v>
      </c>
      <c r="CT27" s="27">
        <f t="shared" si="20"/>
        <v>175.96053000000001</v>
      </c>
      <c r="CU27" s="29">
        <f t="shared" si="20"/>
        <v>50.867749799999999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253.78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8"/>
        <v>0</v>
      </c>
    </row>
    <row r="28" spans="1:110" ht="16.5" customHeight="1">
      <c r="A28" s="127">
        <v>22</v>
      </c>
      <c r="B28" s="103">
        <f>'[1]май 20'!K27</f>
        <v>429.096</v>
      </c>
      <c r="C28" s="104">
        <f t="shared" si="0"/>
        <v>0.71067397505453322</v>
      </c>
      <c r="D28" s="143">
        <f t="shared" si="1"/>
        <v>426.0465264</v>
      </c>
      <c r="E28" s="104">
        <f t="shared" si="2"/>
        <v>37.565220696534112</v>
      </c>
      <c r="F28" s="128">
        <f t="shared" si="3"/>
        <v>2.3881531748878921</v>
      </c>
      <c r="G28" s="106"/>
      <c r="H28" s="107">
        <f t="shared" si="4"/>
        <v>2.0276430852017935</v>
      </c>
      <c r="I28" s="103">
        <f>'[1]сентябрь 20'!AE27</f>
        <v>0</v>
      </c>
      <c r="J28" s="328">
        <f>'[1]май 20'!AA27</f>
        <v>0</v>
      </c>
      <c r="K28" s="106"/>
      <c r="L28" s="328">
        <f>'[1]май 20'!AI27</f>
        <v>64.314999999999998</v>
      </c>
      <c r="M28" s="103">
        <f t="shared" si="5"/>
        <v>0.36051008968609866</v>
      </c>
      <c r="N28" s="103">
        <f>'[1]июль 20'!AM27</f>
        <v>6.6520000000000001</v>
      </c>
      <c r="O28" s="103">
        <f>'[1]май 20'!W27</f>
        <v>18.431999999999999</v>
      </c>
      <c r="P28" s="103">
        <f>'[1]май 20'!S27</f>
        <v>252.47900000000001</v>
      </c>
      <c r="Q28" s="108">
        <f t="shared" si="6"/>
        <v>1.4492294408643969</v>
      </c>
      <c r="R28" s="109">
        <f t="shared" si="7"/>
        <v>248.82</v>
      </c>
      <c r="S28" s="106">
        <v>21.82</v>
      </c>
      <c r="T28" s="109">
        <f t="shared" si="8"/>
        <v>248.82</v>
      </c>
      <c r="U28" s="110">
        <f t="shared" si="9"/>
        <v>1.3947309417040359</v>
      </c>
      <c r="V28" s="129">
        <v>134.68</v>
      </c>
      <c r="W28" s="136">
        <v>178.4</v>
      </c>
      <c r="X28" s="131">
        <v>0.57999999999999996</v>
      </c>
      <c r="Y28" s="133">
        <v>614</v>
      </c>
      <c r="Z28" s="133">
        <v>1234</v>
      </c>
      <c r="AA28" s="144" t="s">
        <v>304</v>
      </c>
      <c r="AB28" s="131">
        <v>74.930000000000007</v>
      </c>
      <c r="AC28" s="133">
        <v>143</v>
      </c>
      <c r="AD28" s="134">
        <v>4</v>
      </c>
      <c r="AE28" s="131">
        <v>1</v>
      </c>
      <c r="AF28" s="115">
        <f t="shared" si="10"/>
        <v>5.6053811659192823</v>
      </c>
      <c r="AG28" s="131">
        <v>133.55000000000001</v>
      </c>
      <c r="AH28" s="115">
        <f t="shared" si="11"/>
        <v>748.59865470852026</v>
      </c>
      <c r="AI28" s="139">
        <v>14.16</v>
      </c>
      <c r="AJ28" s="131"/>
      <c r="AK28" s="136">
        <v>13.11</v>
      </c>
      <c r="AL28" s="136">
        <v>42.72</v>
      </c>
      <c r="AM28" s="110">
        <f t="shared" si="12"/>
        <v>0.18421733505821475</v>
      </c>
      <c r="AN28" s="137" t="s">
        <v>303</v>
      </c>
      <c r="AO28" s="150">
        <v>8.68</v>
      </c>
      <c r="AP28" s="138">
        <v>6.97</v>
      </c>
      <c r="AQ28" s="134"/>
      <c r="AR28" s="131">
        <v>10</v>
      </c>
      <c r="AS28" s="139">
        <v>231.9</v>
      </c>
      <c r="AT28" s="131">
        <v>2.33</v>
      </c>
      <c r="AU28" s="148"/>
      <c r="AV28" s="131"/>
      <c r="AW28" s="109">
        <f t="shared" si="29"/>
        <v>0</v>
      </c>
      <c r="AX28" s="109">
        <f t="shared" si="13"/>
        <v>178.4</v>
      </c>
      <c r="AY28" s="115">
        <f t="shared" si="24"/>
        <v>186.46678571632674</v>
      </c>
      <c r="AZ28" s="140">
        <f t="shared" si="14"/>
        <v>10.345422535211268</v>
      </c>
      <c r="BA28" s="141">
        <f t="shared" si="30"/>
        <v>7.1360000000000001</v>
      </c>
      <c r="BB28" s="128">
        <f t="shared" si="16"/>
        <v>0.83523293117163111</v>
      </c>
      <c r="BC28" s="141">
        <f t="shared" si="17"/>
        <v>17.481422535211269</v>
      </c>
      <c r="BD28" s="142">
        <v>0.85799999999999998</v>
      </c>
      <c r="BE28" s="16">
        <f t="shared" si="25"/>
        <v>4032.76</v>
      </c>
      <c r="BF28" s="16">
        <f t="shared" si="18"/>
        <v>175.80645161290323</v>
      </c>
      <c r="BG28" s="16">
        <f t="shared" si="26"/>
        <v>3867.7419354838726</v>
      </c>
      <c r="BH28" s="17">
        <f t="shared" si="19"/>
        <v>1</v>
      </c>
      <c r="BI28" s="16">
        <f t="shared" si="27"/>
        <v>3867.7419354838726</v>
      </c>
      <c r="BJ28" s="254">
        <v>143.00200000000001</v>
      </c>
      <c r="BK28" s="197"/>
      <c r="BL28" s="197">
        <v>64.314999999999998</v>
      </c>
      <c r="BM28" s="197"/>
      <c r="BN28" s="230">
        <v>171.762</v>
      </c>
      <c r="BO28" s="230">
        <v>50.017000000000003</v>
      </c>
      <c r="BP28" s="258"/>
      <c r="BQ28" s="199"/>
      <c r="BR28" s="200">
        <v>1</v>
      </c>
      <c r="BS28" s="200"/>
      <c r="BT28" s="200"/>
      <c r="BU28" s="200"/>
      <c r="BV28" s="208">
        <v>0.64</v>
      </c>
      <c r="BW28" s="208">
        <v>1.04</v>
      </c>
      <c r="BX28" s="201"/>
      <c r="BY28" s="202">
        <v>36.85</v>
      </c>
      <c r="BZ28" s="200"/>
      <c r="CA28" s="200">
        <v>42.01</v>
      </c>
      <c r="CB28" s="200"/>
      <c r="CC28" s="208">
        <v>37.520000000000003</v>
      </c>
      <c r="CD28" s="208">
        <v>34.049999999999997</v>
      </c>
      <c r="CE28" s="209"/>
      <c r="CF28" s="199"/>
      <c r="CG28" s="197"/>
      <c r="CH28" s="197"/>
      <c r="CI28" s="197">
        <v>248.82</v>
      </c>
      <c r="CJ28" s="198"/>
      <c r="CK28" s="202"/>
      <c r="CL28" s="208"/>
      <c r="CM28" s="208"/>
      <c r="CN28" s="201"/>
      <c r="CO28" s="284"/>
      <c r="CP28" s="286">
        <f t="shared" si="20"/>
        <v>141.57198</v>
      </c>
      <c r="CQ28" s="29">
        <f t="shared" si="20"/>
        <v>0</v>
      </c>
      <c r="CR28" s="30">
        <f t="shared" si="20"/>
        <v>64.314999999999998</v>
      </c>
      <c r="CS28" s="29">
        <f t="shared" si="20"/>
        <v>0</v>
      </c>
      <c r="CT28" s="27">
        <f t="shared" si="20"/>
        <v>170.66272320000002</v>
      </c>
      <c r="CU28" s="24">
        <f t="shared" si="20"/>
        <v>49.496823200000001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248.82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8"/>
        <v>0</v>
      </c>
    </row>
    <row r="29" spans="1:110" ht="16.5" customHeight="1">
      <c r="A29" s="127">
        <v>23</v>
      </c>
      <c r="B29" s="103">
        <f>'[1]май 20'!K28</f>
        <v>414.16300000000001</v>
      </c>
      <c r="C29" s="104">
        <f t="shared" si="0"/>
        <v>0.67722756499252701</v>
      </c>
      <c r="D29" s="143">
        <f t="shared" si="1"/>
        <v>411.35817400000002</v>
      </c>
      <c r="E29" s="104">
        <f t="shared" si="2"/>
        <v>38.399635578262661</v>
      </c>
      <c r="F29" s="128">
        <f t="shared" si="3"/>
        <v>2.2149374003876803</v>
      </c>
      <c r="G29" s="106"/>
      <c r="H29" s="107">
        <f t="shared" si="4"/>
        <v>1.8807084535860432</v>
      </c>
      <c r="I29" s="103">
        <f>'[1]сентябрь 20'!AE28</f>
        <v>0</v>
      </c>
      <c r="J29" s="328">
        <f>'[1]май 20'!AA28</f>
        <v>0</v>
      </c>
      <c r="K29" s="106">
        <v>21.41</v>
      </c>
      <c r="L29" s="328">
        <f>'[1]май 20'!AI28</f>
        <v>62.073</v>
      </c>
      <c r="M29" s="103">
        <f t="shared" si="5"/>
        <v>0.33422894680163684</v>
      </c>
      <c r="N29" s="103">
        <f>'[1]июль 20'!AM28</f>
        <v>7.056</v>
      </c>
      <c r="O29" s="103">
        <f>'[1]май 20'!W28</f>
        <v>17.942</v>
      </c>
      <c r="P29" s="103">
        <f>'[1]май 20'!S28</f>
        <v>245.196</v>
      </c>
      <c r="Q29" s="108">
        <f t="shared" si="6"/>
        <v>1.3850144374296436</v>
      </c>
      <c r="R29" s="109">
        <f t="shared" si="7"/>
        <v>241.8</v>
      </c>
      <c r="S29" s="106">
        <v>13.71</v>
      </c>
      <c r="T29" s="109">
        <f t="shared" si="8"/>
        <v>241.8</v>
      </c>
      <c r="U29" s="110">
        <f t="shared" si="9"/>
        <v>1.301959939694163</v>
      </c>
      <c r="V29" s="129">
        <v>50.25</v>
      </c>
      <c r="W29" s="136">
        <v>185.72</v>
      </c>
      <c r="X29" s="131">
        <v>0.34</v>
      </c>
      <c r="Y29" s="133">
        <v>635</v>
      </c>
      <c r="Z29" s="133">
        <v>1229</v>
      </c>
      <c r="AA29" s="144" t="s">
        <v>305</v>
      </c>
      <c r="AB29" s="131">
        <v>74.540000000000006</v>
      </c>
      <c r="AC29" s="133">
        <v>138</v>
      </c>
      <c r="AD29" s="134">
        <v>4</v>
      </c>
      <c r="AE29" s="131"/>
      <c r="AF29" s="115">
        <f t="shared" si="10"/>
        <v>0</v>
      </c>
      <c r="AG29" s="131">
        <v>140.9</v>
      </c>
      <c r="AH29" s="115">
        <f t="shared" si="11"/>
        <v>758.66896403187593</v>
      </c>
      <c r="AI29" s="139">
        <v>15.46</v>
      </c>
      <c r="AJ29" s="131"/>
      <c r="AK29" s="136">
        <v>12.26</v>
      </c>
      <c r="AL29" s="136">
        <v>41.83</v>
      </c>
      <c r="AM29" s="110">
        <f t="shared" si="12"/>
        <v>0.17796213571580513</v>
      </c>
      <c r="AN29" s="137" t="s">
        <v>301</v>
      </c>
      <c r="AO29" s="150">
        <v>8.8800000000000008</v>
      </c>
      <c r="AP29" s="138">
        <v>6.84</v>
      </c>
      <c r="AQ29" s="134"/>
      <c r="AR29" s="131">
        <v>9.9700000000000006</v>
      </c>
      <c r="AS29" s="139">
        <v>235.05</v>
      </c>
      <c r="AT29" s="131">
        <v>4.76</v>
      </c>
      <c r="AU29" s="148"/>
      <c r="AV29" s="131"/>
      <c r="AW29" s="109">
        <f t="shared" si="29"/>
        <v>0</v>
      </c>
      <c r="AX29" s="109">
        <f t="shared" si="13"/>
        <v>185.72000000000003</v>
      </c>
      <c r="AY29" s="115">
        <f t="shared" si="24"/>
        <v>185.0001538646986</v>
      </c>
      <c r="AZ29" s="140">
        <f t="shared" si="14"/>
        <v>10.882044366197183</v>
      </c>
      <c r="BA29" s="141">
        <f t="shared" si="30"/>
        <v>7.4288000000000016</v>
      </c>
      <c r="BB29" s="128">
        <f t="shared" si="16"/>
        <v>0.87639689272138499</v>
      </c>
      <c r="BC29" s="141">
        <f t="shared" si="17"/>
        <v>18.310844366197184</v>
      </c>
      <c r="BD29" s="142">
        <v>0.86499999999999999</v>
      </c>
      <c r="BE29" s="16">
        <f t="shared" si="25"/>
        <v>4218.4800000000005</v>
      </c>
      <c r="BF29" s="16">
        <f t="shared" si="18"/>
        <v>175.80645161290323</v>
      </c>
      <c r="BG29" s="16">
        <f t="shared" si="26"/>
        <v>4043.548387096776</v>
      </c>
      <c r="BH29" s="17">
        <f t="shared" si="19"/>
        <v>1</v>
      </c>
      <c r="BI29" s="16">
        <f t="shared" si="27"/>
        <v>4043.548387096776</v>
      </c>
      <c r="BJ29" s="254">
        <v>138.18199999999999</v>
      </c>
      <c r="BK29" s="197"/>
      <c r="BL29" s="197">
        <v>62.073</v>
      </c>
      <c r="BM29" s="197"/>
      <c r="BN29" s="230">
        <v>165.583</v>
      </c>
      <c r="BO29" s="230">
        <v>48.325000000000003</v>
      </c>
      <c r="BP29" s="258"/>
      <c r="BQ29" s="199"/>
      <c r="BR29" s="200">
        <v>1.04</v>
      </c>
      <c r="BS29" s="200"/>
      <c r="BT29" s="200"/>
      <c r="BU29" s="200"/>
      <c r="BV29" s="208">
        <v>0.54</v>
      </c>
      <c r="BW29" s="208">
        <v>0.98</v>
      </c>
      <c r="BX29" s="201"/>
      <c r="BY29" s="202">
        <v>37.630000000000003</v>
      </c>
      <c r="BZ29" s="200"/>
      <c r="CA29" s="200">
        <v>42.91</v>
      </c>
      <c r="CB29" s="200"/>
      <c r="CC29" s="208">
        <v>38.46</v>
      </c>
      <c r="CD29" s="208">
        <v>34.6</v>
      </c>
      <c r="CE29" s="201"/>
      <c r="CF29" s="199"/>
      <c r="CG29" s="197"/>
      <c r="CH29" s="197"/>
      <c r="CI29" s="230">
        <v>241.8</v>
      </c>
      <c r="CJ29" s="198"/>
      <c r="CK29" s="202"/>
      <c r="CL29" s="208"/>
      <c r="CM29" s="208"/>
      <c r="CN29" s="201"/>
      <c r="CO29" s="284"/>
      <c r="CP29" s="286">
        <f t="shared" si="20"/>
        <v>136.74490719999997</v>
      </c>
      <c r="CQ29" s="24">
        <f t="shared" si="20"/>
        <v>0</v>
      </c>
      <c r="CR29" s="25">
        <f t="shared" si="20"/>
        <v>62.073</v>
      </c>
      <c r="CS29" s="24">
        <f t="shared" si="20"/>
        <v>0</v>
      </c>
      <c r="CT29" s="27">
        <f t="shared" si="20"/>
        <v>164.68885179999998</v>
      </c>
      <c r="CU29" s="29">
        <f t="shared" si="20"/>
        <v>47.851415000000003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241.8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8"/>
        <v>0</v>
      </c>
    </row>
    <row r="30" spans="1:110" ht="16.5" customHeight="1">
      <c r="A30" s="127">
        <v>24</v>
      </c>
      <c r="B30" s="103">
        <f>'[1]май 20'!K29</f>
        <v>423.06900000000002</v>
      </c>
      <c r="C30" s="104">
        <f t="shared" si="0"/>
        <v>0.77016340124187777</v>
      </c>
      <c r="D30" s="143">
        <f t="shared" si="1"/>
        <v>419.81067740000003</v>
      </c>
      <c r="E30" s="104">
        <f t="shared" si="2"/>
        <v>38.325640876547325</v>
      </c>
      <c r="F30" s="128">
        <f t="shared" si="3"/>
        <v>2.2580178431583482</v>
      </c>
      <c r="G30" s="106"/>
      <c r="H30" s="107">
        <f t="shared" si="4"/>
        <v>1.9165430152753871</v>
      </c>
      <c r="I30" s="103">
        <f>'[1]сентябрь 20'!AE29</f>
        <v>0</v>
      </c>
      <c r="J30" s="328">
        <f>'[1]май 20'!AA29</f>
        <v>0</v>
      </c>
      <c r="K30" s="106"/>
      <c r="L30" s="328">
        <f>'[1]май 20'!AI29</f>
        <v>63.487000000000002</v>
      </c>
      <c r="M30" s="103">
        <f t="shared" si="5"/>
        <v>0.34147482788296046</v>
      </c>
      <c r="N30" s="103">
        <f>'[1]июль 20'!AM29</f>
        <v>6.6029999999999998</v>
      </c>
      <c r="O30" s="103">
        <f>'[1]май 20'!W29</f>
        <v>20.815999999999999</v>
      </c>
      <c r="P30" s="103">
        <f>'[1]май 20'!S29</f>
        <v>251.60599999999999</v>
      </c>
      <c r="Q30" s="108">
        <f t="shared" si="6"/>
        <v>1.3696016788152909</v>
      </c>
      <c r="R30" s="109">
        <f t="shared" si="7"/>
        <v>248.16</v>
      </c>
      <c r="S30" s="163">
        <v>16.3</v>
      </c>
      <c r="T30" s="109">
        <f t="shared" si="8"/>
        <v>248.16</v>
      </c>
      <c r="U30" s="110">
        <f t="shared" si="9"/>
        <v>1.3347676419965577</v>
      </c>
      <c r="V30" s="154">
        <v>94.6</v>
      </c>
      <c r="W30" s="157">
        <v>185.92</v>
      </c>
      <c r="X30" s="149">
        <v>0.5</v>
      </c>
      <c r="Y30" s="147">
        <v>634</v>
      </c>
      <c r="Z30" s="147">
        <v>1230</v>
      </c>
      <c r="AA30" s="144" t="s">
        <v>279</v>
      </c>
      <c r="AB30" s="149">
        <v>74.88</v>
      </c>
      <c r="AC30" s="147">
        <v>141</v>
      </c>
      <c r="AD30" s="155">
        <v>4</v>
      </c>
      <c r="AE30" s="149">
        <v>4.95</v>
      </c>
      <c r="AF30" s="115">
        <f t="shared" si="10"/>
        <v>26.624354561101555</v>
      </c>
      <c r="AG30" s="131">
        <v>137.80000000000001</v>
      </c>
      <c r="AH30" s="115">
        <f t="shared" si="11"/>
        <v>741.17900172117049</v>
      </c>
      <c r="AI30" s="139">
        <v>14.92</v>
      </c>
      <c r="AJ30" s="131"/>
      <c r="AK30" s="157">
        <v>7.46</v>
      </c>
      <c r="AL30" s="157">
        <v>37.270000000000003</v>
      </c>
      <c r="AM30" s="110">
        <f t="shared" si="12"/>
        <v>0.16389621811785401</v>
      </c>
      <c r="AN30" s="158" t="s">
        <v>306</v>
      </c>
      <c r="AO30" s="404">
        <v>8.33</v>
      </c>
      <c r="AP30" s="159">
        <v>6.69</v>
      </c>
      <c r="AQ30" s="155"/>
      <c r="AR30" s="149">
        <v>10.99</v>
      </c>
      <c r="AS30" s="156">
        <v>227.4</v>
      </c>
      <c r="AT30" s="131">
        <v>3.25</v>
      </c>
      <c r="AU30" s="164"/>
      <c r="AV30" s="149"/>
      <c r="AW30" s="109">
        <f t="shared" si="29"/>
        <v>0</v>
      </c>
      <c r="AX30" s="109">
        <f t="shared" si="13"/>
        <v>185.92</v>
      </c>
      <c r="AY30" s="115">
        <f t="shared" si="24"/>
        <v>187.58206563013576</v>
      </c>
      <c r="AZ30" s="140">
        <f t="shared" si="14"/>
        <v>11.731438028169016</v>
      </c>
      <c r="BA30" s="141">
        <f t="shared" si="30"/>
        <v>7.4367999999999999</v>
      </c>
      <c r="BB30" s="128">
        <f t="shared" si="16"/>
        <v>0.86526480799092254</v>
      </c>
      <c r="BC30" s="141">
        <f t="shared" si="17"/>
        <v>19.168238028169014</v>
      </c>
      <c r="BD30" s="162">
        <v>0.85899999999999999</v>
      </c>
      <c r="BE30" s="16">
        <f t="shared" si="25"/>
        <v>4404.4000000000005</v>
      </c>
      <c r="BF30" s="16">
        <f t="shared" si="18"/>
        <v>175.80645161290323</v>
      </c>
      <c r="BG30" s="16">
        <f t="shared" si="26"/>
        <v>4219.3548387096789</v>
      </c>
      <c r="BH30" s="17">
        <f t="shared" si="19"/>
        <v>1</v>
      </c>
      <c r="BI30" s="16">
        <f t="shared" si="27"/>
        <v>4219.3548387096789</v>
      </c>
      <c r="BJ30" s="255">
        <v>141.006</v>
      </c>
      <c r="BK30" s="210"/>
      <c r="BL30" s="210">
        <v>63.487000000000002</v>
      </c>
      <c r="BM30" s="210"/>
      <c r="BN30" s="233">
        <v>169.18799999999999</v>
      </c>
      <c r="BO30" s="233">
        <v>49.387999999999998</v>
      </c>
      <c r="BP30" s="260"/>
      <c r="BQ30" s="212"/>
      <c r="BR30" s="213">
        <v>0.97</v>
      </c>
      <c r="BS30" s="213"/>
      <c r="BT30" s="213"/>
      <c r="BU30" s="213"/>
      <c r="BV30" s="235">
        <v>0.7</v>
      </c>
      <c r="BW30" s="235">
        <v>1.43</v>
      </c>
      <c r="BX30" s="214"/>
      <c r="BY30" s="215">
        <v>37.54</v>
      </c>
      <c r="BZ30" s="213"/>
      <c r="CA30" s="216">
        <v>43.16</v>
      </c>
      <c r="CB30" s="213"/>
      <c r="CC30" s="235">
        <v>38.07</v>
      </c>
      <c r="CD30" s="235">
        <v>35.229999999999997</v>
      </c>
      <c r="CE30" s="214"/>
      <c r="CF30" s="212"/>
      <c r="CG30" s="210"/>
      <c r="CH30" s="210"/>
      <c r="CI30" s="233">
        <v>248.16</v>
      </c>
      <c r="CJ30" s="198"/>
      <c r="CK30" s="202"/>
      <c r="CL30" s="208"/>
      <c r="CM30" s="208"/>
      <c r="CN30" s="201"/>
      <c r="CO30" s="284"/>
      <c r="CP30" s="286">
        <f t="shared" si="20"/>
        <v>139.6382418</v>
      </c>
      <c r="CQ30" s="24">
        <f t="shared" si="20"/>
        <v>0</v>
      </c>
      <c r="CR30" s="25">
        <f t="shared" si="20"/>
        <v>63.487000000000002</v>
      </c>
      <c r="CS30" s="24">
        <f t="shared" si="20"/>
        <v>0</v>
      </c>
      <c r="CT30" s="27">
        <f t="shared" si="20"/>
        <v>168.00368399999999</v>
      </c>
      <c r="CU30" s="24">
        <f t="shared" si="20"/>
        <v>48.681751599999991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248.16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8"/>
        <v>0</v>
      </c>
    </row>
    <row r="31" spans="1:110" ht="16.5" customHeight="1">
      <c r="A31" s="127">
        <v>25</v>
      </c>
      <c r="B31" s="103">
        <f>'[1]май 20'!K30</f>
        <v>426.05</v>
      </c>
      <c r="C31" s="104">
        <f t="shared" si="0"/>
        <v>0.63033287172867025</v>
      </c>
      <c r="D31" s="143">
        <f t="shared" si="1"/>
        <v>423.3644668</v>
      </c>
      <c r="E31" s="104">
        <f t="shared" si="2"/>
        <v>38.232354934866798</v>
      </c>
      <c r="F31" s="128">
        <f t="shared" si="3"/>
        <v>2.2519386531914893</v>
      </c>
      <c r="G31" s="106"/>
      <c r="H31" s="107">
        <f t="shared" si="4"/>
        <v>1.9120663127659574</v>
      </c>
      <c r="I31" s="103">
        <f>'[1]сентябрь 20'!AE30</f>
        <v>0</v>
      </c>
      <c r="J31" s="328">
        <f>'[1]май 20'!AA30</f>
        <v>0</v>
      </c>
      <c r="K31" s="106"/>
      <c r="L31" s="328">
        <f>'[1]май 20'!AI30</f>
        <v>63.896000000000001</v>
      </c>
      <c r="M31" s="103">
        <f t="shared" si="5"/>
        <v>0.33987234042553194</v>
      </c>
      <c r="N31" s="103">
        <f>'[1]июль 20'!AM30</f>
        <v>7.069</v>
      </c>
      <c r="O31" s="103">
        <f>'[1]май 20'!W30</f>
        <v>21.091000000000001</v>
      </c>
      <c r="P31" s="103">
        <f>'[1]май 20'!S30</f>
        <v>254.90799999999999</v>
      </c>
      <c r="Q31" s="108">
        <f t="shared" si="6"/>
        <v>1.4114896354763262</v>
      </c>
      <c r="R31" s="109">
        <f t="shared" si="7"/>
        <v>251.31</v>
      </c>
      <c r="S31" s="106">
        <v>7.59</v>
      </c>
      <c r="T31" s="109">
        <f t="shared" si="8"/>
        <v>251.31</v>
      </c>
      <c r="U31" s="110">
        <f t="shared" si="9"/>
        <v>1.3367553191489361</v>
      </c>
      <c r="V31" s="136"/>
      <c r="W31" s="136">
        <v>188</v>
      </c>
      <c r="X31" s="131">
        <v>0.49</v>
      </c>
      <c r="Y31" s="133">
        <v>625</v>
      </c>
      <c r="Z31" s="133">
        <v>1225</v>
      </c>
      <c r="AA31" s="144" t="s">
        <v>307</v>
      </c>
      <c r="AB31" s="131">
        <v>74.47</v>
      </c>
      <c r="AC31" s="133">
        <v>142</v>
      </c>
      <c r="AD31" s="134">
        <v>4</v>
      </c>
      <c r="AE31" s="131"/>
      <c r="AF31" s="115">
        <f t="shared" si="10"/>
        <v>0</v>
      </c>
      <c r="AG31" s="131">
        <v>145.05000000000001</v>
      </c>
      <c r="AH31" s="115">
        <f t="shared" si="11"/>
        <v>771.54255319148945</v>
      </c>
      <c r="AI31" s="139">
        <v>17.170000000000002</v>
      </c>
      <c r="AJ31" s="131"/>
      <c r="AK31" s="136">
        <v>7.1</v>
      </c>
      <c r="AL31" s="136">
        <v>41.65</v>
      </c>
      <c r="AM31" s="110">
        <f t="shared" si="12"/>
        <v>0.17723404255319147</v>
      </c>
      <c r="AN31" s="137" t="s">
        <v>306</v>
      </c>
      <c r="AO31" s="150">
        <v>8.33</v>
      </c>
      <c r="AP31" s="138">
        <v>6.53</v>
      </c>
      <c r="AQ31" s="134"/>
      <c r="AR31" s="131">
        <v>12.16</v>
      </c>
      <c r="AS31" s="139">
        <v>235</v>
      </c>
      <c r="AT31" s="131">
        <v>1.75</v>
      </c>
      <c r="AU31" s="148"/>
      <c r="AV31" s="131"/>
      <c r="AW31" s="109">
        <f t="shared" si="29"/>
        <v>0</v>
      </c>
      <c r="AX31" s="109">
        <f t="shared" si="13"/>
        <v>188</v>
      </c>
      <c r="AY31" s="115">
        <f t="shared" si="24"/>
        <v>189.74849671272574</v>
      </c>
      <c r="AZ31" s="140">
        <f t="shared" si="14"/>
        <v>13.663301408450705</v>
      </c>
      <c r="BA31" s="141">
        <f t="shared" si="30"/>
        <v>7.5200000000000005</v>
      </c>
      <c r="BB31" s="128">
        <f t="shared" si="16"/>
        <v>0.86495546917812716</v>
      </c>
      <c r="BC31" s="141">
        <f t="shared" si="17"/>
        <v>21.183301408450706</v>
      </c>
      <c r="BD31" s="142">
        <v>0.86</v>
      </c>
      <c r="BE31" s="16">
        <f t="shared" si="25"/>
        <v>4592.4000000000005</v>
      </c>
      <c r="BF31" s="16">
        <f t="shared" si="18"/>
        <v>175.80645161290323</v>
      </c>
      <c r="BG31" s="16">
        <f t="shared" si="26"/>
        <v>4395.1612903225823</v>
      </c>
      <c r="BH31" s="17">
        <f t="shared" si="19"/>
        <v>1</v>
      </c>
      <c r="BI31" s="16">
        <f t="shared" si="27"/>
        <v>4395.1612903225823</v>
      </c>
      <c r="BJ31" s="254">
        <v>145.38800000000001</v>
      </c>
      <c r="BK31" s="197"/>
      <c r="BL31" s="197">
        <v>63.896000000000001</v>
      </c>
      <c r="BM31" s="197"/>
      <c r="BN31" s="230">
        <v>160.197</v>
      </c>
      <c r="BO31" s="230">
        <v>56.569000000000003</v>
      </c>
      <c r="BP31" s="259"/>
      <c r="BQ31" s="199"/>
      <c r="BR31" s="200">
        <v>0.64</v>
      </c>
      <c r="BS31" s="200"/>
      <c r="BT31" s="200"/>
      <c r="BU31" s="200"/>
      <c r="BV31" s="208">
        <v>0.57999999999999996</v>
      </c>
      <c r="BW31" s="208">
        <v>1.46</v>
      </c>
      <c r="BX31" s="201"/>
      <c r="BY31" s="202">
        <v>37.520000000000003</v>
      </c>
      <c r="BZ31" s="200"/>
      <c r="CA31" s="200">
        <v>42.73</v>
      </c>
      <c r="CB31" s="200"/>
      <c r="CC31" s="208">
        <v>38.47</v>
      </c>
      <c r="CD31" s="208">
        <v>34.31</v>
      </c>
      <c r="CE31" s="209"/>
      <c r="CF31" s="199"/>
      <c r="CG31" s="197"/>
      <c r="CH31" s="197"/>
      <c r="CI31" s="230">
        <v>251.31</v>
      </c>
      <c r="CJ31" s="198"/>
      <c r="CK31" s="202"/>
      <c r="CL31" s="208"/>
      <c r="CM31" s="208"/>
      <c r="CN31" s="201"/>
      <c r="CO31" s="284"/>
      <c r="CP31" s="286">
        <f t="shared" si="20"/>
        <v>144.45751680000001</v>
      </c>
      <c r="CQ31" s="24">
        <f t="shared" si="20"/>
        <v>0</v>
      </c>
      <c r="CR31" s="25">
        <f t="shared" si="20"/>
        <v>63.896000000000001</v>
      </c>
      <c r="CS31" s="24">
        <f t="shared" si="20"/>
        <v>0</v>
      </c>
      <c r="CT31" s="27">
        <f t="shared" si="20"/>
        <v>159.2678574</v>
      </c>
      <c r="CU31" s="24">
        <f t="shared" si="20"/>
        <v>55.743092600000004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251.31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8"/>
        <v>0</v>
      </c>
    </row>
    <row r="32" spans="1:110" ht="16.5" customHeight="1">
      <c r="A32" s="127">
        <v>26</v>
      </c>
      <c r="B32" s="103">
        <f>'[1]май 20'!K31</f>
        <v>426.096</v>
      </c>
      <c r="C32" s="104">
        <f t="shared" si="0"/>
        <v>0.72941435732792614</v>
      </c>
      <c r="D32" s="143">
        <f t="shared" si="1"/>
        <v>422.98799459999998</v>
      </c>
      <c r="E32" s="104">
        <f t="shared" si="2"/>
        <v>37.801872230671023</v>
      </c>
      <c r="F32" s="128">
        <f t="shared" si="3"/>
        <v>2.3827624752140601</v>
      </c>
      <c r="G32" s="106"/>
      <c r="H32" s="107">
        <f t="shared" si="4"/>
        <v>2.0229494963947725</v>
      </c>
      <c r="I32" s="103">
        <f>'[1]сентябрь 20'!AE31</f>
        <v>0</v>
      </c>
      <c r="J32" s="328">
        <f>'[1]май 20'!AA31</f>
        <v>0</v>
      </c>
      <c r="K32" s="106"/>
      <c r="L32" s="328">
        <f>'[1]май 20'!AI31</f>
        <v>63.874000000000002</v>
      </c>
      <c r="M32" s="103">
        <f t="shared" si="5"/>
        <v>0.35981297881928798</v>
      </c>
      <c r="N32" s="103">
        <f>'[1]июль 20'!AM31</f>
        <v>7.0679999999999996</v>
      </c>
      <c r="O32" s="103">
        <f>'[1]май 20'!W31</f>
        <v>24.157</v>
      </c>
      <c r="P32" s="103">
        <f>'[1]май 20'!S31</f>
        <v>254.39599999999999</v>
      </c>
      <c r="Q32" s="108">
        <f t="shared" si="6"/>
        <v>1.2995487350429991</v>
      </c>
      <c r="R32" s="109">
        <f t="shared" si="7"/>
        <v>251.09</v>
      </c>
      <c r="S32" s="106">
        <v>3.95</v>
      </c>
      <c r="T32" s="109">
        <f t="shared" si="8"/>
        <v>251.09</v>
      </c>
      <c r="U32" s="110">
        <f t="shared" si="9"/>
        <v>1.4144321766561514</v>
      </c>
      <c r="V32" s="136">
        <v>44.63</v>
      </c>
      <c r="W32" s="136">
        <v>45.43</v>
      </c>
      <c r="X32" s="131">
        <v>1.34</v>
      </c>
      <c r="Y32" s="133">
        <v>625</v>
      </c>
      <c r="Z32" s="133">
        <v>1242</v>
      </c>
      <c r="AA32" s="144" t="s">
        <v>309</v>
      </c>
      <c r="AB32" s="131">
        <v>74.95</v>
      </c>
      <c r="AC32" s="133">
        <v>142</v>
      </c>
      <c r="AD32" s="134">
        <v>4</v>
      </c>
      <c r="AE32" s="131">
        <v>3.6</v>
      </c>
      <c r="AF32" s="115">
        <f t="shared" si="10"/>
        <v>20.279405137449302</v>
      </c>
      <c r="AG32" s="131">
        <v>137.65</v>
      </c>
      <c r="AH32" s="115">
        <f t="shared" si="11"/>
        <v>775.40558810274899</v>
      </c>
      <c r="AI32" s="139">
        <v>15.63</v>
      </c>
      <c r="AJ32" s="131"/>
      <c r="AK32" s="136">
        <v>15.01</v>
      </c>
      <c r="AL32" s="136">
        <v>44.2</v>
      </c>
      <c r="AM32" s="110">
        <f t="shared" si="12"/>
        <v>0.18792517006802723</v>
      </c>
      <c r="AN32" s="137" t="s">
        <v>310</v>
      </c>
      <c r="AO32" s="150">
        <v>8.74</v>
      </c>
      <c r="AP32" s="138">
        <v>6.24</v>
      </c>
      <c r="AQ32" s="134"/>
      <c r="AR32" s="131">
        <v>10.43</v>
      </c>
      <c r="AS32" s="139">
        <v>235.2</v>
      </c>
      <c r="AT32" s="131">
        <v>1.53</v>
      </c>
      <c r="AU32" s="148"/>
      <c r="AV32" s="131"/>
      <c r="AW32" s="109">
        <f t="shared" si="29"/>
        <v>0</v>
      </c>
      <c r="AX32" s="109">
        <f t="shared" si="13"/>
        <v>177.52</v>
      </c>
      <c r="AY32" s="115">
        <f t="shared" si="24"/>
        <v>186.24471494130603</v>
      </c>
      <c r="AZ32" s="140">
        <f t="shared" si="14"/>
        <v>11.12153838028169</v>
      </c>
      <c r="BA32" s="141">
        <f t="shared" si="30"/>
        <v>7.1008000000000004</v>
      </c>
      <c r="BB32" s="128">
        <f t="shared" si="16"/>
        <v>0.83210393405707905</v>
      </c>
      <c r="BC32" s="141">
        <f t="shared" si="17"/>
        <v>18.222338380281691</v>
      </c>
      <c r="BD32" s="142">
        <v>0.85899999999999999</v>
      </c>
      <c r="BE32" s="16">
        <f t="shared" si="25"/>
        <v>4769.920000000001</v>
      </c>
      <c r="BF32" s="16">
        <f t="shared" si="18"/>
        <v>175.80645161290323</v>
      </c>
      <c r="BG32" s="16">
        <f t="shared" si="26"/>
        <v>4570.9677419354857</v>
      </c>
      <c r="BH32" s="17">
        <f t="shared" si="19"/>
        <v>1</v>
      </c>
      <c r="BI32" s="16">
        <f t="shared" si="27"/>
        <v>4570.9677419354857</v>
      </c>
      <c r="BJ32" s="254">
        <v>157.19900000000001</v>
      </c>
      <c r="BK32" s="197"/>
      <c r="BL32" s="197">
        <v>63.874000000000002</v>
      </c>
      <c r="BM32" s="197"/>
      <c r="BN32" s="230">
        <v>141.09299999999999</v>
      </c>
      <c r="BO32" s="230">
        <v>63.93</v>
      </c>
      <c r="BP32" s="258"/>
      <c r="BQ32" s="199"/>
      <c r="BR32" s="200">
        <v>1.05</v>
      </c>
      <c r="BS32" s="200"/>
      <c r="BT32" s="200"/>
      <c r="BU32" s="200"/>
      <c r="BV32" s="208">
        <v>0.53</v>
      </c>
      <c r="BW32" s="208">
        <v>1.1100000000000001</v>
      </c>
      <c r="BX32" s="201"/>
      <c r="BY32" s="202">
        <v>37.29</v>
      </c>
      <c r="BZ32" s="200"/>
      <c r="CA32" s="200">
        <v>42.56</v>
      </c>
      <c r="CB32" s="200"/>
      <c r="CC32" s="208">
        <v>37.9</v>
      </c>
      <c r="CD32" s="208">
        <v>34.090000000000003</v>
      </c>
      <c r="CE32" s="209"/>
      <c r="CF32" s="199"/>
      <c r="CG32" s="197"/>
      <c r="CH32" s="197"/>
      <c r="CI32" s="230">
        <v>251.09</v>
      </c>
      <c r="CJ32" s="198"/>
      <c r="CK32" s="202"/>
      <c r="CL32" s="208"/>
      <c r="CM32" s="208"/>
      <c r="CN32" s="201"/>
      <c r="CO32" s="284"/>
      <c r="CP32" s="286">
        <f t="shared" si="20"/>
        <v>155.54841050000002</v>
      </c>
      <c r="CQ32" s="24">
        <f t="shared" si="20"/>
        <v>0</v>
      </c>
      <c r="CR32" s="25">
        <f t="shared" si="20"/>
        <v>63.874000000000002</v>
      </c>
      <c r="CS32" s="24">
        <f t="shared" si="20"/>
        <v>0</v>
      </c>
      <c r="CT32" s="27">
        <f t="shared" si="20"/>
        <v>140.34520709999998</v>
      </c>
      <c r="CU32" s="24">
        <f t="shared" si="20"/>
        <v>63.220376999999999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251.09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8"/>
        <v>0</v>
      </c>
    </row>
    <row r="33" spans="1:110" ht="16.5" customHeight="1">
      <c r="A33" s="127">
        <v>27</v>
      </c>
      <c r="B33" s="103">
        <f>'[1]май 20'!K32</f>
        <v>419.88200000000001</v>
      </c>
      <c r="C33" s="104">
        <f t="shared" si="0"/>
        <v>0.46197998485288722</v>
      </c>
      <c r="D33" s="143">
        <f t="shared" si="1"/>
        <v>417.94222919999999</v>
      </c>
      <c r="E33" s="104">
        <f t="shared" si="2"/>
        <v>37.80996522832605</v>
      </c>
      <c r="F33" s="128">
        <f t="shared" si="3"/>
        <v>2.2786077265292772</v>
      </c>
      <c r="G33" s="106"/>
      <c r="H33" s="107">
        <f t="shared" si="4"/>
        <v>1.9352645796532548</v>
      </c>
      <c r="I33" s="103">
        <f>'[1]сентябрь 20'!AE32</f>
        <v>0</v>
      </c>
      <c r="J33" s="328">
        <f>'[1]май 20'!AA32</f>
        <v>0</v>
      </c>
      <c r="K33" s="106">
        <v>27.57</v>
      </c>
      <c r="L33" s="328">
        <f>'[1]май 20'!AI32</f>
        <v>62.975999999999999</v>
      </c>
      <c r="M33" s="103">
        <f t="shared" si="5"/>
        <v>0.34334314687602224</v>
      </c>
      <c r="N33" s="103">
        <f>'[1]июль 20'!AM32</f>
        <v>6.9580000000000002</v>
      </c>
      <c r="O33" s="103">
        <f>'[1]май 20'!W32</f>
        <v>23.477</v>
      </c>
      <c r="P33" s="103">
        <f>'[1]май 20'!S32</f>
        <v>249.32499999999999</v>
      </c>
      <c r="Q33" s="108">
        <f t="shared" si="6"/>
        <v>1.3376115511882003</v>
      </c>
      <c r="R33" s="109">
        <f t="shared" si="7"/>
        <v>245.99</v>
      </c>
      <c r="S33" s="131">
        <v>21.84</v>
      </c>
      <c r="T33" s="109">
        <f t="shared" si="8"/>
        <v>245.99</v>
      </c>
      <c r="U33" s="110">
        <f t="shared" si="9"/>
        <v>1.3411296478028569</v>
      </c>
      <c r="V33" s="136">
        <v>135.41999999999999</v>
      </c>
      <c r="W33" s="136">
        <v>94.47</v>
      </c>
      <c r="X33" s="131">
        <v>0.93</v>
      </c>
      <c r="Y33" s="133">
        <v>596</v>
      </c>
      <c r="Z33" s="133">
        <v>1233</v>
      </c>
      <c r="AA33" s="144" t="s">
        <v>311</v>
      </c>
      <c r="AB33" s="131">
        <v>75.23</v>
      </c>
      <c r="AC33" s="133">
        <v>141</v>
      </c>
      <c r="AD33" s="134">
        <v>4</v>
      </c>
      <c r="AE33" s="131">
        <v>1.7</v>
      </c>
      <c r="AF33" s="115">
        <f t="shared" si="10"/>
        <v>9.2683458728601025</v>
      </c>
      <c r="AG33" s="131">
        <v>137.85</v>
      </c>
      <c r="AH33" s="115">
        <f t="shared" si="11"/>
        <v>751.5538109257443</v>
      </c>
      <c r="AI33" s="139">
        <v>15.6</v>
      </c>
      <c r="AJ33" s="131"/>
      <c r="AK33" s="136">
        <v>8.02</v>
      </c>
      <c r="AL33" s="136">
        <v>42.35</v>
      </c>
      <c r="AM33" s="110">
        <f t="shared" si="12"/>
        <v>0.18578635665716167</v>
      </c>
      <c r="AN33" s="137" t="s">
        <v>197</v>
      </c>
      <c r="AO33" s="150">
        <v>8.75</v>
      </c>
      <c r="AP33" s="138">
        <v>6.23</v>
      </c>
      <c r="AQ33" s="134"/>
      <c r="AR33" s="131">
        <v>9.6300000000000008</v>
      </c>
      <c r="AS33" s="139">
        <v>227.95</v>
      </c>
      <c r="AT33" s="131">
        <v>5.84</v>
      </c>
      <c r="AU33" s="116"/>
      <c r="AV33" s="131"/>
      <c r="AW33" s="109">
        <f t="shared" si="29"/>
        <v>0</v>
      </c>
      <c r="AX33" s="109">
        <f t="shared" si="13"/>
        <v>183.42</v>
      </c>
      <c r="AY33" s="115">
        <f t="shared" si="24"/>
        <v>183.37735939128589</v>
      </c>
      <c r="AZ33" s="140">
        <f t="shared" si="14"/>
        <v>10.283415845070422</v>
      </c>
      <c r="BA33" s="141">
        <f t="shared" si="30"/>
        <v>7.3367999999999993</v>
      </c>
      <c r="BB33" s="128">
        <f t="shared" si="16"/>
        <v>0.87320299807746693</v>
      </c>
      <c r="BC33" s="141">
        <f t="shared" si="17"/>
        <v>17.620215845070422</v>
      </c>
      <c r="BD33" s="142">
        <v>0.85899999999999999</v>
      </c>
      <c r="BE33" s="16">
        <f t="shared" si="25"/>
        <v>4953.3400000000011</v>
      </c>
      <c r="BF33" s="16">
        <f t="shared" si="18"/>
        <v>175.80645161290323</v>
      </c>
      <c r="BG33" s="16">
        <f t="shared" si="26"/>
        <v>4746.7741935483891</v>
      </c>
      <c r="BH33" s="17">
        <f t="shared" si="19"/>
        <v>1</v>
      </c>
      <c r="BI33" s="16">
        <f t="shared" si="27"/>
        <v>4746.7741935483891</v>
      </c>
      <c r="BJ33" s="254">
        <v>160.91200000000001</v>
      </c>
      <c r="BK33" s="197"/>
      <c r="BL33" s="197">
        <v>62.975999999999999</v>
      </c>
      <c r="BM33" s="197"/>
      <c r="BN33" s="230">
        <v>132.78700000000001</v>
      </c>
      <c r="BO33" s="230">
        <v>63.207000000000001</v>
      </c>
      <c r="BP33" s="258"/>
      <c r="BQ33" s="199"/>
      <c r="BR33" s="200">
        <v>0.56000000000000005</v>
      </c>
      <c r="BS33" s="200"/>
      <c r="BT33" s="200"/>
      <c r="BU33" s="200"/>
      <c r="BV33" s="208">
        <v>0.33</v>
      </c>
      <c r="BW33" s="208">
        <v>0.95</v>
      </c>
      <c r="BX33" s="201"/>
      <c r="BY33" s="202">
        <v>37.229999999999997</v>
      </c>
      <c r="BZ33" s="200"/>
      <c r="CA33" s="200">
        <v>42.93</v>
      </c>
      <c r="CB33" s="200"/>
      <c r="CC33" s="208">
        <v>37.86</v>
      </c>
      <c r="CD33" s="208">
        <v>34.08</v>
      </c>
      <c r="CE33" s="209"/>
      <c r="CF33" s="199"/>
      <c r="CG33" s="197"/>
      <c r="CH33" s="197"/>
      <c r="CI33" s="230">
        <v>245.99</v>
      </c>
      <c r="CJ33" s="198"/>
      <c r="CK33" s="202"/>
      <c r="CL33" s="208"/>
      <c r="CM33" s="208"/>
      <c r="CN33" s="209"/>
      <c r="CO33" s="284"/>
      <c r="CP33" s="286">
        <f t="shared" si="20"/>
        <v>160.01089279999999</v>
      </c>
      <c r="CQ33" s="24">
        <f t="shared" si="20"/>
        <v>0</v>
      </c>
      <c r="CR33" s="25">
        <f t="shared" si="20"/>
        <v>62.975999999999999</v>
      </c>
      <c r="CS33" s="24">
        <f t="shared" si="20"/>
        <v>0</v>
      </c>
      <c r="CT33" s="27">
        <f t="shared" si="20"/>
        <v>132.34880290000001</v>
      </c>
      <c r="CU33" s="24">
        <f t="shared" si="20"/>
        <v>62.606533499999998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245.99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8"/>
        <v>0</v>
      </c>
    </row>
    <row r="34" spans="1:110" ht="16.5" customHeight="1">
      <c r="A34" s="127">
        <v>28</v>
      </c>
      <c r="B34" s="103">
        <f>'[1]май 20'!K33</f>
        <v>438.38</v>
      </c>
      <c r="C34" s="104">
        <f t="shared" si="0"/>
        <v>0.56336644007482084</v>
      </c>
      <c r="D34" s="143">
        <f t="shared" si="1"/>
        <v>435.91031420000002</v>
      </c>
      <c r="E34" s="104">
        <f t="shared" si="2"/>
        <v>38.21152723664401</v>
      </c>
      <c r="F34" s="128">
        <f t="shared" si="3"/>
        <v>2.3226252887894292</v>
      </c>
      <c r="G34" s="106"/>
      <c r="H34" s="107">
        <f t="shared" si="4"/>
        <v>1.9702329187979539</v>
      </c>
      <c r="I34" s="103">
        <f>'[1]сентябрь 20'!AE33</f>
        <v>0</v>
      </c>
      <c r="J34" s="328">
        <f>'[1]май 20'!AA33</f>
        <v>0</v>
      </c>
      <c r="K34" s="106"/>
      <c r="L34" s="328">
        <f>'[1]май 20'!AI33</f>
        <v>66.137</v>
      </c>
      <c r="M34" s="103">
        <f t="shared" si="5"/>
        <v>0.35239236999147489</v>
      </c>
      <c r="N34" s="103">
        <f>'[1]июль 20'!AM33</f>
        <v>7.2119999999999997</v>
      </c>
      <c r="O34" s="103">
        <f>'[1]май 20'!W33</f>
        <v>24.143999999999998</v>
      </c>
      <c r="P34" s="103">
        <f>'[1]май 20'!S33</f>
        <v>259.11900000000003</v>
      </c>
      <c r="Q34" s="108">
        <f t="shared" si="6"/>
        <v>1.4931363581983659</v>
      </c>
      <c r="R34" s="109">
        <f t="shared" si="7"/>
        <v>255.25</v>
      </c>
      <c r="S34" s="149">
        <v>3.39</v>
      </c>
      <c r="T34" s="109">
        <f t="shared" si="8"/>
        <v>255.25</v>
      </c>
      <c r="U34" s="110">
        <f t="shared" si="9"/>
        <v>1.3600277067348681</v>
      </c>
      <c r="V34" s="157">
        <v>187.68</v>
      </c>
      <c r="W34" s="157">
        <v>187.68</v>
      </c>
      <c r="X34" s="149">
        <v>0.82</v>
      </c>
      <c r="Y34" s="147">
        <v>568</v>
      </c>
      <c r="Z34" s="147">
        <v>1242</v>
      </c>
      <c r="AA34" s="144" t="s">
        <v>284</v>
      </c>
      <c r="AB34" s="149">
        <v>75.459999999999994</v>
      </c>
      <c r="AC34" s="147">
        <v>146</v>
      </c>
      <c r="AD34" s="155">
        <v>4</v>
      </c>
      <c r="AE34" s="149">
        <v>3.7</v>
      </c>
      <c r="AF34" s="115">
        <f t="shared" si="10"/>
        <v>19.714407502131291</v>
      </c>
      <c r="AG34" s="149">
        <v>145.75</v>
      </c>
      <c r="AH34" s="115">
        <f t="shared" si="11"/>
        <v>776.5878090366582</v>
      </c>
      <c r="AI34" s="156">
        <v>17.36</v>
      </c>
      <c r="AJ34" s="149"/>
      <c r="AK34" s="157">
        <v>9.58</v>
      </c>
      <c r="AL34" s="157">
        <v>42.16</v>
      </c>
      <c r="AM34" s="110">
        <f t="shared" si="12"/>
        <v>0.17781526781948545</v>
      </c>
      <c r="AN34" s="158" t="s">
        <v>312</v>
      </c>
      <c r="AO34" s="404">
        <v>8.4</v>
      </c>
      <c r="AP34" s="159">
        <v>6.17</v>
      </c>
      <c r="AQ34" s="155"/>
      <c r="AR34" s="149">
        <v>10.65</v>
      </c>
      <c r="AS34" s="156">
        <v>237.1</v>
      </c>
      <c r="AT34" s="131">
        <v>2.3199999999999998</v>
      </c>
      <c r="AU34" s="148"/>
      <c r="AV34" s="149"/>
      <c r="AW34" s="109">
        <f t="shared" si="29"/>
        <v>0</v>
      </c>
      <c r="AX34" s="109">
        <f t="shared" si="13"/>
        <v>187.67999999999998</v>
      </c>
      <c r="AY34" s="115">
        <f t="shared" si="24"/>
        <v>192.70322542574024</v>
      </c>
      <c r="AZ34" s="140">
        <f t="shared" si="14"/>
        <v>12.024374999999999</v>
      </c>
      <c r="BA34" s="141">
        <f t="shared" si="30"/>
        <v>7.5071999999999992</v>
      </c>
      <c r="BB34" s="128">
        <f t="shared" si="16"/>
        <v>0.8502433710593954</v>
      </c>
      <c r="BC34" s="141">
        <f t="shared" si="17"/>
        <v>19.531574999999997</v>
      </c>
      <c r="BD34" s="165">
        <v>0.85899999999999999</v>
      </c>
      <c r="BE34" s="16">
        <f t="shared" si="25"/>
        <v>5141.0200000000013</v>
      </c>
      <c r="BF34" s="16">
        <f t="shared" si="18"/>
        <v>175.80645161290323</v>
      </c>
      <c r="BG34" s="16">
        <f t="shared" si="26"/>
        <v>4922.5806451612925</v>
      </c>
      <c r="BH34" s="17">
        <f t="shared" si="19"/>
        <v>1</v>
      </c>
      <c r="BI34" s="16">
        <f t="shared" si="27"/>
        <v>4922.5806451612925</v>
      </c>
      <c r="BJ34" s="255">
        <v>173.589</v>
      </c>
      <c r="BK34" s="210"/>
      <c r="BL34" s="210">
        <v>66.137</v>
      </c>
      <c r="BM34" s="210"/>
      <c r="BN34" s="233">
        <v>133.97399999999999</v>
      </c>
      <c r="BO34" s="233">
        <v>64.680000000000007</v>
      </c>
      <c r="BP34" s="260"/>
      <c r="BQ34" s="212"/>
      <c r="BR34" s="213">
        <v>0.64</v>
      </c>
      <c r="BS34" s="213"/>
      <c r="BT34" s="213"/>
      <c r="BU34" s="213"/>
      <c r="BV34" s="235">
        <v>0.43</v>
      </c>
      <c r="BW34" s="235">
        <v>1.21</v>
      </c>
      <c r="BX34" s="214"/>
      <c r="BY34" s="215">
        <v>37.49</v>
      </c>
      <c r="BZ34" s="213"/>
      <c r="CA34" s="213">
        <v>43.4</v>
      </c>
      <c r="CB34" s="213"/>
      <c r="CC34" s="235">
        <v>37.450000000000003</v>
      </c>
      <c r="CD34" s="235">
        <v>36.42</v>
      </c>
      <c r="CE34" s="211"/>
      <c r="CF34" s="212"/>
      <c r="CG34" s="210"/>
      <c r="CH34" s="210"/>
      <c r="CI34" s="233">
        <v>255.25</v>
      </c>
      <c r="CJ34" s="198"/>
      <c r="CK34" s="202"/>
      <c r="CL34" s="208"/>
      <c r="CM34" s="208"/>
      <c r="CN34" s="209"/>
      <c r="CO34" s="284"/>
      <c r="CP34" s="286">
        <f t="shared" si="20"/>
        <v>172.47803039999999</v>
      </c>
      <c r="CQ34" s="24">
        <f t="shared" si="20"/>
        <v>0</v>
      </c>
      <c r="CR34" s="25">
        <f t="shared" si="20"/>
        <v>66.137</v>
      </c>
      <c r="CS34" s="24">
        <f t="shared" si="20"/>
        <v>0</v>
      </c>
      <c r="CT34" s="27">
        <f t="shared" si="20"/>
        <v>133.39791179999997</v>
      </c>
      <c r="CU34" s="24">
        <f t="shared" si="20"/>
        <v>63.897372000000011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255.25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8"/>
        <v>0</v>
      </c>
    </row>
    <row r="35" spans="1:110" ht="16.5" customHeight="1">
      <c r="A35" s="127">
        <v>29</v>
      </c>
      <c r="B35" s="103">
        <f>'[1]май 20'!K34</f>
        <v>452.81299999999999</v>
      </c>
      <c r="C35" s="104">
        <f t="shared" si="0"/>
        <v>0.40924927067023253</v>
      </c>
      <c r="D35" s="143">
        <f t="shared" si="1"/>
        <v>450.9598661</v>
      </c>
      <c r="E35" s="104">
        <f t="shared" si="2"/>
        <v>38.251785284433083</v>
      </c>
      <c r="F35" s="128">
        <f t="shared" si="3"/>
        <v>2.2350194087327155</v>
      </c>
      <c r="G35" s="106"/>
      <c r="H35" s="107">
        <f t="shared" si="4"/>
        <v>1.8308909456311644</v>
      </c>
      <c r="I35" s="103">
        <f>'[1]сентябрь 20'!AE34</f>
        <v>0</v>
      </c>
      <c r="J35" s="328">
        <f>'[1]май 20'!AA34</f>
        <v>0</v>
      </c>
      <c r="K35" s="106"/>
      <c r="L35" s="328">
        <f>'[1]май 20'!AI34</f>
        <v>81.540999999999997</v>
      </c>
      <c r="M35" s="103">
        <f t="shared" si="5"/>
        <v>0.40412846310155132</v>
      </c>
      <c r="N35" s="103">
        <f>'[1]июль 20'!AM34</f>
        <v>6.298</v>
      </c>
      <c r="O35" s="103">
        <f>'[1]май 20'!W34</f>
        <v>0</v>
      </c>
      <c r="P35" s="103">
        <f>'[1]май 20'!S34</f>
        <v>260.43700000000001</v>
      </c>
      <c r="Q35" s="108">
        <f t="shared" si="6"/>
        <v>1.3849798607724839</v>
      </c>
      <c r="R35" s="109">
        <f t="shared" si="7"/>
        <v>256.83</v>
      </c>
      <c r="S35" s="131">
        <v>28.11</v>
      </c>
      <c r="T35" s="109">
        <f t="shared" si="8"/>
        <v>256.83</v>
      </c>
      <c r="U35" s="110">
        <f t="shared" si="9"/>
        <v>1.2728849680329088</v>
      </c>
      <c r="V35" s="136">
        <v>55.31</v>
      </c>
      <c r="W35" s="136">
        <v>154.03</v>
      </c>
      <c r="X35" s="131">
        <v>0.72</v>
      </c>
      <c r="Y35" s="133">
        <v>578</v>
      </c>
      <c r="Z35" s="133">
        <v>1239</v>
      </c>
      <c r="AA35" s="144" t="s">
        <v>279</v>
      </c>
      <c r="AB35" s="131">
        <v>74.92</v>
      </c>
      <c r="AC35" s="133">
        <v>151</v>
      </c>
      <c r="AD35" s="134">
        <v>4</v>
      </c>
      <c r="AE35" s="166">
        <v>3</v>
      </c>
      <c r="AF35" s="115">
        <f t="shared" si="10"/>
        <v>14.868414531397136</v>
      </c>
      <c r="AG35" s="166">
        <v>134.35</v>
      </c>
      <c r="AH35" s="115">
        <f t="shared" si="11"/>
        <v>665.85716409773511</v>
      </c>
      <c r="AI35" s="139">
        <v>17.149999999999999</v>
      </c>
      <c r="AJ35" s="131"/>
      <c r="AK35" s="167">
        <v>6.08</v>
      </c>
      <c r="AL35" s="167">
        <v>43.77</v>
      </c>
      <c r="AM35" s="110">
        <f t="shared" si="12"/>
        <v>0.17560682046138418</v>
      </c>
      <c r="AN35" s="168" t="s">
        <v>276</v>
      </c>
      <c r="AO35" s="405">
        <v>8.69</v>
      </c>
      <c r="AP35" s="169">
        <v>6.88</v>
      </c>
      <c r="AQ35" s="170"/>
      <c r="AR35" s="166">
        <v>9.81</v>
      </c>
      <c r="AS35" s="171">
        <v>249.25</v>
      </c>
      <c r="AT35" s="131">
        <v>2.37</v>
      </c>
      <c r="AU35" s="116"/>
      <c r="AV35" s="131"/>
      <c r="AW35" s="109">
        <f t="shared" si="29"/>
        <v>0</v>
      </c>
      <c r="AX35" s="109">
        <f t="shared" si="13"/>
        <v>201.76999999999998</v>
      </c>
      <c r="AY35" s="115">
        <f t="shared" si="24"/>
        <v>201.0046373968199</v>
      </c>
      <c r="AZ35" s="140">
        <f t="shared" si="14"/>
        <v>10.209653873239438</v>
      </c>
      <c r="BA35" s="141">
        <f t="shared" si="30"/>
        <v>8.0708000000000002</v>
      </c>
      <c r="BB35" s="128">
        <f t="shared" si="16"/>
        <v>0.87632411013611156</v>
      </c>
      <c r="BC35" s="141">
        <f t="shared" si="17"/>
        <v>18.280453873239438</v>
      </c>
      <c r="BD35" s="165">
        <v>0.85899999999999999</v>
      </c>
      <c r="BE35" s="16">
        <f t="shared" si="25"/>
        <v>5342.7900000000009</v>
      </c>
      <c r="BF35" s="16">
        <f t="shared" si="18"/>
        <v>175.80645161290323</v>
      </c>
      <c r="BG35" s="16">
        <f t="shared" si="26"/>
        <v>5098.3870967741959</v>
      </c>
      <c r="BH35" s="17">
        <f t="shared" si="19"/>
        <v>1</v>
      </c>
      <c r="BI35" s="16">
        <f t="shared" si="27"/>
        <v>5098.3870967741959</v>
      </c>
      <c r="BJ35" s="254">
        <v>226.488</v>
      </c>
      <c r="BK35" s="197"/>
      <c r="BL35" s="197">
        <v>81.540999999999997</v>
      </c>
      <c r="BM35" s="197"/>
      <c r="BN35" s="230">
        <v>117.803</v>
      </c>
      <c r="BO35" s="230">
        <v>26.981000000000002</v>
      </c>
      <c r="BP35" s="259"/>
      <c r="BQ35" s="199"/>
      <c r="BR35" s="200">
        <v>0.52</v>
      </c>
      <c r="BS35" s="200"/>
      <c r="BT35" s="200"/>
      <c r="BU35" s="200"/>
      <c r="BV35" s="208">
        <v>0.2</v>
      </c>
      <c r="BW35" s="208">
        <v>1.63</v>
      </c>
      <c r="BX35" s="201"/>
      <c r="BY35" s="202">
        <v>37.47</v>
      </c>
      <c r="BZ35" s="200"/>
      <c r="CA35" s="200">
        <v>43.19</v>
      </c>
      <c r="CB35" s="200"/>
      <c r="CC35" s="208">
        <v>37.479999999999997</v>
      </c>
      <c r="CD35" s="208">
        <v>33.26</v>
      </c>
      <c r="CE35" s="209"/>
      <c r="CF35" s="199"/>
      <c r="CG35" s="197"/>
      <c r="CH35" s="197"/>
      <c r="CI35" s="230">
        <v>256.83</v>
      </c>
      <c r="CJ35" s="198"/>
      <c r="CK35" s="202"/>
      <c r="CL35" s="208"/>
      <c r="CM35" s="208"/>
      <c r="CN35" s="209"/>
      <c r="CP35" s="286">
        <f t="shared" si="20"/>
        <v>225.3102624</v>
      </c>
      <c r="CQ35" s="24">
        <f t="shared" si="20"/>
        <v>0</v>
      </c>
      <c r="CR35" s="24">
        <f t="shared" si="20"/>
        <v>81.540999999999997</v>
      </c>
      <c r="CS35" s="24">
        <f t="shared" si="20"/>
        <v>0</v>
      </c>
      <c r="CT35" s="27">
        <f t="shared" si="20"/>
        <v>117.56739399999999</v>
      </c>
      <c r="CU35" s="27">
        <f t="shared" si="20"/>
        <v>26.541209700000003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256.83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8"/>
        <v>0</v>
      </c>
    </row>
    <row r="36" spans="1:110" ht="16.5" customHeight="1">
      <c r="A36" s="127">
        <v>30</v>
      </c>
      <c r="B36" s="103">
        <f>'[1]май 20'!K35</f>
        <v>423.36500000000001</v>
      </c>
      <c r="C36" s="104">
        <f t="shared" si="0"/>
        <v>0.44774525527618014</v>
      </c>
      <c r="D36" s="143">
        <f t="shared" si="1"/>
        <v>421.46940330000001</v>
      </c>
      <c r="E36" s="104">
        <f t="shared" si="2"/>
        <v>38.249238293198538</v>
      </c>
      <c r="F36" s="128">
        <f t="shared" si="3"/>
        <v>2.1756628293413169</v>
      </c>
      <c r="G36" s="106"/>
      <c r="H36" s="107">
        <f t="shared" si="4"/>
        <v>1.7826935953954157</v>
      </c>
      <c r="I36" s="103">
        <f>'[1]сентябрь 20'!AE35</f>
        <v>0</v>
      </c>
      <c r="J36" s="328">
        <f>'[1]май 20'!AA35</f>
        <v>0</v>
      </c>
      <c r="K36" s="106"/>
      <c r="L36" s="328">
        <f>'[1]май 20'!AI35</f>
        <v>76.126000000000005</v>
      </c>
      <c r="M36" s="103">
        <f t="shared" si="5"/>
        <v>0.39296923394590128</v>
      </c>
      <c r="N36" s="103">
        <f>'[1]июль 20'!AM35</f>
        <v>7.1239999999999997</v>
      </c>
      <c r="O36" s="103">
        <f>'[1]май 20'!W35</f>
        <v>0</v>
      </c>
      <c r="P36" s="103">
        <f>'[1]май 20'!S35</f>
        <v>244.536</v>
      </c>
      <c r="Q36" s="108">
        <f t="shared" si="6"/>
        <v>1.4010207086073145</v>
      </c>
      <c r="R36" s="109">
        <f t="shared" si="7"/>
        <v>241.11</v>
      </c>
      <c r="S36" s="131">
        <v>1.69</v>
      </c>
      <c r="T36" s="109">
        <f t="shared" si="8"/>
        <v>241.11</v>
      </c>
      <c r="U36" s="110">
        <f t="shared" si="9"/>
        <v>1.2446314268015692</v>
      </c>
      <c r="V36" s="136">
        <v>93.26</v>
      </c>
      <c r="W36" s="136">
        <v>193.72</v>
      </c>
      <c r="X36" s="131">
        <v>0.57999999999999996</v>
      </c>
      <c r="Y36" s="133">
        <v>620</v>
      </c>
      <c r="Z36" s="133">
        <v>1242</v>
      </c>
      <c r="AA36" s="144" t="s">
        <v>313</v>
      </c>
      <c r="AB36" s="131">
        <v>75.05</v>
      </c>
      <c r="AC36" s="133">
        <v>141</v>
      </c>
      <c r="AD36" s="134">
        <v>4</v>
      </c>
      <c r="AE36" s="131">
        <v>1.4</v>
      </c>
      <c r="AF36" s="115">
        <f t="shared" si="10"/>
        <v>7.2269254594259742</v>
      </c>
      <c r="AG36" s="131">
        <v>122.7</v>
      </c>
      <c r="AH36" s="115">
        <f t="shared" si="11"/>
        <v>633.38839562254793</v>
      </c>
      <c r="AI36" s="139">
        <v>16.53</v>
      </c>
      <c r="AJ36" s="131"/>
      <c r="AK36" s="136">
        <v>9.35</v>
      </c>
      <c r="AL36" s="136">
        <v>43.73</v>
      </c>
      <c r="AM36" s="110">
        <f t="shared" si="12"/>
        <v>0.17718800648298216</v>
      </c>
      <c r="AN36" s="137" t="s">
        <v>206</v>
      </c>
      <c r="AO36" s="150">
        <v>9.0299999999999994</v>
      </c>
      <c r="AP36" s="138">
        <v>7.33</v>
      </c>
      <c r="AQ36" s="134"/>
      <c r="AR36" s="131">
        <v>8.51</v>
      </c>
      <c r="AS36" s="139">
        <v>246.8</v>
      </c>
      <c r="AT36" s="131"/>
      <c r="AU36" s="116"/>
      <c r="AV36" s="131"/>
      <c r="AW36" s="109">
        <f t="shared" si="29"/>
        <v>0</v>
      </c>
      <c r="AX36" s="109">
        <f t="shared" si="13"/>
        <v>193.72000000000003</v>
      </c>
      <c r="AY36" s="115">
        <f t="shared" si="24"/>
        <v>187.52207085702111</v>
      </c>
      <c r="AZ36" s="140">
        <f t="shared" si="14"/>
        <v>8.0886950704225331</v>
      </c>
      <c r="BA36" s="141">
        <f t="shared" si="30"/>
        <v>7.748800000000001</v>
      </c>
      <c r="BB36" s="128">
        <f t="shared" si="16"/>
        <v>0.90185416163063892</v>
      </c>
      <c r="BC36" s="141">
        <f t="shared" si="17"/>
        <v>15.837495070422534</v>
      </c>
      <c r="BD36" s="165">
        <v>0.86099999999999999</v>
      </c>
      <c r="BE36" s="16">
        <f t="shared" si="25"/>
        <v>5536.5100000000011</v>
      </c>
      <c r="BF36" s="16">
        <f t="shared" si="18"/>
        <v>175.80645161290323</v>
      </c>
      <c r="BG36" s="16">
        <f t="shared" si="26"/>
        <v>5274.1935483870993</v>
      </c>
      <c r="BH36" s="17">
        <f t="shared" si="19"/>
        <v>1</v>
      </c>
      <c r="BI36" s="16">
        <f t="shared" si="27"/>
        <v>5274.1935483870993</v>
      </c>
      <c r="BJ36" s="254">
        <v>211.57499999999999</v>
      </c>
      <c r="BK36" s="197"/>
      <c r="BL36" s="197">
        <v>76.126000000000005</v>
      </c>
      <c r="BM36" s="197"/>
      <c r="BN36" s="230">
        <v>110.078</v>
      </c>
      <c r="BO36" s="230">
        <v>25.585999999999999</v>
      </c>
      <c r="BP36" s="258"/>
      <c r="BQ36" s="199"/>
      <c r="BR36" s="200">
        <v>0.55000000000000004</v>
      </c>
      <c r="BS36" s="200"/>
      <c r="BT36" s="200"/>
      <c r="BU36" s="200"/>
      <c r="BV36" s="208">
        <v>0.3</v>
      </c>
      <c r="BW36" s="208">
        <v>1.57</v>
      </c>
      <c r="BX36" s="201"/>
      <c r="BY36" s="202">
        <v>37.43</v>
      </c>
      <c r="BZ36" s="200"/>
      <c r="CA36" s="200">
        <v>43.13</v>
      </c>
      <c r="CB36" s="200"/>
      <c r="CC36" s="208">
        <v>37.22</v>
      </c>
      <c r="CD36" s="208">
        <v>34.93</v>
      </c>
      <c r="CE36" s="209"/>
      <c r="CF36" s="199"/>
      <c r="CG36" s="197"/>
      <c r="CH36" s="197"/>
      <c r="CI36" s="230">
        <v>241.11</v>
      </c>
      <c r="CJ36" s="198"/>
      <c r="CK36" s="202"/>
      <c r="CL36" s="208"/>
      <c r="CM36" s="208"/>
      <c r="CN36" s="209"/>
      <c r="CP36" s="286">
        <f t="shared" si="20"/>
        <v>210.4113375</v>
      </c>
      <c r="CQ36" s="27">
        <f t="shared" si="20"/>
        <v>0</v>
      </c>
      <c r="CR36" s="28">
        <f t="shared" si="20"/>
        <v>76.126000000000005</v>
      </c>
      <c r="CS36" s="27">
        <f t="shared" si="20"/>
        <v>0</v>
      </c>
      <c r="CT36" s="27">
        <f t="shared" si="20"/>
        <v>109.747766</v>
      </c>
      <c r="CU36" s="29">
        <f t="shared" si="20"/>
        <v>25.184299800000002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241.11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8"/>
        <v>0</v>
      </c>
    </row>
    <row r="37" spans="1:110" ht="16.5" customHeight="1" thickBot="1">
      <c r="A37" s="172">
        <v>31</v>
      </c>
      <c r="B37" s="103">
        <f>'[1]май 20'!K36</f>
        <v>467.85199999999998</v>
      </c>
      <c r="C37" s="104">
        <f t="shared" si="0"/>
        <v>0.35024520574882656</v>
      </c>
      <c r="D37" s="173">
        <f t="shared" si="1"/>
        <v>466.21337080000001</v>
      </c>
      <c r="E37" s="104">
        <f t="shared" si="2"/>
        <v>38.479035763446561</v>
      </c>
      <c r="F37" s="174">
        <f t="shared" si="3"/>
        <v>2.3071874637501857</v>
      </c>
      <c r="G37" s="106"/>
      <c r="H37" s="107">
        <f t="shared" si="4"/>
        <v>1.890609050329094</v>
      </c>
      <c r="I37" s="103">
        <f>'[1]сентябрь 20'!AE36</f>
        <v>0</v>
      </c>
      <c r="J37" s="328">
        <f>'[1]май 20'!AA36</f>
        <v>0</v>
      </c>
      <c r="K37" s="106"/>
      <c r="L37" s="328">
        <f>'[1]май 20'!AI36</f>
        <v>84.177999999999997</v>
      </c>
      <c r="M37" s="103">
        <f t="shared" si="5"/>
        <v>0.4165784134210917</v>
      </c>
      <c r="N37" s="103">
        <f>'[1]июль 20'!AM36</f>
        <v>6.7409999999999997</v>
      </c>
      <c r="O37" s="103">
        <f>'[1]май 20'!W36</f>
        <v>0</v>
      </c>
      <c r="P37" s="103">
        <f>'[1]май 20'!S36</f>
        <v>271.09800000000001</v>
      </c>
      <c r="Q37" s="108">
        <f t="shared" si="6"/>
        <v>1.3825258762513837</v>
      </c>
      <c r="R37" s="175">
        <f t="shared" si="7"/>
        <v>267.35000000000002</v>
      </c>
      <c r="S37" s="176">
        <v>30.82</v>
      </c>
      <c r="T37" s="109">
        <f t="shared" si="8"/>
        <v>267.35000000000002</v>
      </c>
      <c r="U37" s="227">
        <f t="shared" si="9"/>
        <v>1.3230563666056319</v>
      </c>
      <c r="V37" s="177">
        <v>153.53</v>
      </c>
      <c r="W37" s="177">
        <v>202.07</v>
      </c>
      <c r="X37" s="176">
        <v>0.41</v>
      </c>
      <c r="Y37" s="178">
        <v>572</v>
      </c>
      <c r="Z37" s="178">
        <v>1236</v>
      </c>
      <c r="AA37" s="179" t="s">
        <v>314</v>
      </c>
      <c r="AB37" s="176">
        <v>75.040000000000006</v>
      </c>
      <c r="AC37" s="178">
        <v>156</v>
      </c>
      <c r="AD37" s="180">
        <v>4</v>
      </c>
      <c r="AE37" s="176"/>
      <c r="AF37" s="115">
        <f t="shared" si="10"/>
        <v>0</v>
      </c>
      <c r="AG37" s="176">
        <v>121.5</v>
      </c>
      <c r="AH37" s="181">
        <f t="shared" si="11"/>
        <v>601.27678527243029</v>
      </c>
      <c r="AI37" s="182">
        <v>18.59</v>
      </c>
      <c r="AJ37" s="176"/>
      <c r="AK37" s="177">
        <v>8.93</v>
      </c>
      <c r="AL37" s="177">
        <v>42.35</v>
      </c>
      <c r="AM37" s="227">
        <f t="shared" si="12"/>
        <v>0.16716005525952241</v>
      </c>
      <c r="AN37" s="183" t="s">
        <v>315</v>
      </c>
      <c r="AO37" s="406">
        <v>9.31</v>
      </c>
      <c r="AP37" s="184">
        <v>7.83</v>
      </c>
      <c r="AQ37" s="180"/>
      <c r="AR37" s="176">
        <v>7.05</v>
      </c>
      <c r="AS37" s="176">
        <v>253.35</v>
      </c>
      <c r="AT37" s="131"/>
      <c r="AU37" s="176"/>
      <c r="AV37" s="176"/>
      <c r="AW37" s="185">
        <f t="shared" si="29"/>
        <v>0</v>
      </c>
      <c r="AX37" s="109">
        <f t="shared" si="13"/>
        <v>202.07</v>
      </c>
      <c r="AY37" s="115">
        <f t="shared" si="24"/>
        <v>208.70378418739446</v>
      </c>
      <c r="AZ37" s="186">
        <f t="shared" si="14"/>
        <v>6.6354401408450698</v>
      </c>
      <c r="BA37" s="181">
        <f t="shared" si="30"/>
        <v>8.0828000000000007</v>
      </c>
      <c r="BB37" s="174">
        <f t="shared" si="16"/>
        <v>0.84525113278063324</v>
      </c>
      <c r="BC37" s="181">
        <f t="shared" si="17"/>
        <v>14.71824014084507</v>
      </c>
      <c r="BD37" s="187">
        <v>0.86</v>
      </c>
      <c r="BE37" s="16">
        <f t="shared" si="25"/>
        <v>5738.5800000000008</v>
      </c>
      <c r="BF37" s="16">
        <f t="shared" si="18"/>
        <v>175.80645161290323</v>
      </c>
      <c r="BG37" s="16">
        <f t="shared" si="26"/>
        <v>5450.0000000000027</v>
      </c>
      <c r="BH37" s="17">
        <f t="shared" si="19"/>
        <v>1</v>
      </c>
      <c r="BI37" s="16">
        <f t="shared" si="27"/>
        <v>5450.0000000000027</v>
      </c>
      <c r="BJ37" s="256">
        <v>233.95400000000001</v>
      </c>
      <c r="BK37" s="257"/>
      <c r="BL37" s="257">
        <v>84.177999999999997</v>
      </c>
      <c r="BM37" s="257"/>
      <c r="BN37" s="261">
        <v>121.52200000000001</v>
      </c>
      <c r="BO37" s="261">
        <v>28.198</v>
      </c>
      <c r="BP37" s="262"/>
      <c r="BQ37" s="219"/>
      <c r="BR37" s="220">
        <v>0.38</v>
      </c>
      <c r="BS37" s="220"/>
      <c r="BT37" s="220"/>
      <c r="BU37" s="220"/>
      <c r="BV37" s="224">
        <v>0.35</v>
      </c>
      <c r="BW37" s="224">
        <v>1.1499999999999999</v>
      </c>
      <c r="BX37" s="221"/>
      <c r="BY37" s="222">
        <v>37.58</v>
      </c>
      <c r="BZ37" s="220"/>
      <c r="CA37" s="220">
        <v>43.21</v>
      </c>
      <c r="CB37" s="220"/>
      <c r="CC37" s="224">
        <v>38.159999999999997</v>
      </c>
      <c r="CD37" s="224">
        <v>33.19</v>
      </c>
      <c r="CE37" s="221"/>
      <c r="CF37" s="219"/>
      <c r="CG37" s="217"/>
      <c r="CH37" s="217"/>
      <c r="CI37" s="234">
        <v>267.35000000000002</v>
      </c>
      <c r="CJ37" s="223"/>
      <c r="CK37" s="222"/>
      <c r="CL37" s="224"/>
      <c r="CM37" s="224"/>
      <c r="CN37" s="218"/>
      <c r="CP37" s="287">
        <f t="shared" si="20"/>
        <v>233.06497480000002</v>
      </c>
      <c r="CQ37" s="32">
        <f t="shared" si="20"/>
        <v>0</v>
      </c>
      <c r="CR37" s="30">
        <f t="shared" si="20"/>
        <v>84.177999999999997</v>
      </c>
      <c r="CS37" s="246">
        <f t="shared" si="20"/>
        <v>0</v>
      </c>
      <c r="CT37" s="27">
        <f t="shared" si="20"/>
        <v>121.09667300000001</v>
      </c>
      <c r="CU37" s="26">
        <f t="shared" si="20"/>
        <v>27.873722999999998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267.35000000000002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8"/>
        <v>0</v>
      </c>
    </row>
    <row r="38" spans="1:110" ht="16.5" customHeight="1" thickBot="1">
      <c r="A38" s="55" t="s">
        <v>58</v>
      </c>
      <c r="B38" s="188">
        <f>SUM(B7:B37)</f>
        <v>13231.309999999998</v>
      </c>
      <c r="C38" s="326"/>
      <c r="D38" s="327">
        <f>SUM(D7:D37)</f>
        <v>13138.283630229025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101.33199999999999</v>
      </c>
      <c r="K38" s="188">
        <f>SUM(K7:K37)</f>
        <v>105.84</v>
      </c>
      <c r="L38" s="331">
        <f>SUM(L7:L37)</f>
        <v>2177.1089999999999</v>
      </c>
      <c r="M38" s="342"/>
      <c r="N38" s="342">
        <f>SUM(N7:N37)</f>
        <v>85.77</v>
      </c>
      <c r="O38" s="331">
        <f>SUM(O7:O37)</f>
        <v>261.38100000000003</v>
      </c>
      <c r="P38" s="188">
        <f>SUM(P7:P37)</f>
        <v>7753.8330000000005</v>
      </c>
      <c r="Q38" s="342"/>
      <c r="R38" s="341">
        <f>SUM(R7:R37)</f>
        <v>7641.8900002999999</v>
      </c>
      <c r="S38" s="343">
        <f>SUM(S7:S37)</f>
        <v>494.90999999999985</v>
      </c>
      <c r="T38" s="341">
        <f>SUM(T7:T37)</f>
        <v>7641.8900002999999</v>
      </c>
      <c r="U38" s="344"/>
      <c r="V38" s="194">
        <f>SUM(V7:V37)</f>
        <v>4189.2299999999996</v>
      </c>
      <c r="W38" s="194">
        <f>SUM(W7:W37)</f>
        <v>4643.8599999999988</v>
      </c>
      <c r="X38" s="345"/>
      <c r="Y38" s="346"/>
      <c r="Z38" s="347"/>
      <c r="AA38" s="348"/>
      <c r="AB38" s="345"/>
      <c r="AC38" s="345"/>
      <c r="AD38" s="347">
        <f>SUM(AD7:AD37)</f>
        <v>123</v>
      </c>
      <c r="AE38" s="194">
        <f>SUM(AE7:AE37)</f>
        <v>43.1</v>
      </c>
      <c r="AF38" s="349"/>
      <c r="AG38" s="194">
        <f>SUM(AG7:AG37)</f>
        <v>4020.5000000000009</v>
      </c>
      <c r="AH38" s="343"/>
      <c r="AI38" s="338">
        <f>SUM(AI7:AI37)</f>
        <v>494.55000000000013</v>
      </c>
      <c r="AJ38" s="343">
        <f>SUM(AJ7:AJ37)</f>
        <v>0</v>
      </c>
      <c r="AK38" s="337">
        <f>SUM(AK7:AK37)</f>
        <v>280.23</v>
      </c>
      <c r="AL38" s="395">
        <f>SUM(AL7:AL37)</f>
        <v>1289.95</v>
      </c>
      <c r="AM38" s="350"/>
      <c r="AN38" s="351"/>
      <c r="AO38" s="343"/>
      <c r="AP38" s="351"/>
      <c r="AQ38" s="351"/>
      <c r="AR38" s="352"/>
      <c r="AS38" s="337">
        <f>SUM(AS7:AS37)</f>
        <v>7230.8500000000013</v>
      </c>
      <c r="AT38" s="341">
        <f>SUM(AT7:AT37)</f>
        <v>77.91</v>
      </c>
      <c r="AU38" s="343">
        <f>SUM(AU7:AU36)</f>
        <v>0</v>
      </c>
      <c r="AV38" s="343">
        <f>SUM(AV7:AV37)</f>
        <v>0</v>
      </c>
      <c r="AW38" s="340"/>
      <c r="AX38" s="252">
        <f>SUM(AX7:AX37)</f>
        <v>5738.5800000000008</v>
      </c>
      <c r="AY38" s="252">
        <f>SUM(AY7:AY37)</f>
        <v>5824.3378119765903</v>
      </c>
      <c r="AZ38" s="351">
        <f>SUM(AZ7:AZ36)</f>
        <v>285.88988380281694</v>
      </c>
      <c r="BA38" s="351">
        <f>SUM(BA7:BA36)</f>
        <v>214.34440000000001</v>
      </c>
      <c r="BB38" s="340"/>
      <c r="BC38" s="351">
        <f>SUM(BC7:BC37)</f>
        <v>514.95252394366196</v>
      </c>
      <c r="BD38" s="353"/>
      <c r="BE38" s="16"/>
      <c r="BF38" s="16">
        <f t="shared" si="18"/>
        <v>0</v>
      </c>
      <c r="BG38" s="16"/>
      <c r="BH38" s="17">
        <f>SUM(BH7:BH37)</f>
        <v>31</v>
      </c>
      <c r="BI38" s="33"/>
      <c r="BJ38" s="228">
        <f t="shared" ref="BJ38:BP38" si="31">SUM(BJ7:BJ37)</f>
        <v>7728.8719999999994</v>
      </c>
      <c r="BK38" s="38">
        <f t="shared" si="31"/>
        <v>165.35999999999999</v>
      </c>
      <c r="BL38" s="38">
        <f t="shared" si="31"/>
        <v>2011.7490001000001</v>
      </c>
      <c r="BM38" s="38">
        <f t="shared" si="31"/>
        <v>9.9999999999999995E-8</v>
      </c>
      <c r="BN38" s="38">
        <f t="shared" si="31"/>
        <v>1998.9030001000001</v>
      </c>
      <c r="BO38" s="38">
        <f t="shared" si="31"/>
        <v>1326.4260001000005</v>
      </c>
      <c r="BP38" s="38">
        <f t="shared" si="31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9.9999999999999995E-8</v>
      </c>
      <c r="CH38" s="39">
        <f>SUM(CH7:CH37)</f>
        <v>1112.5500001</v>
      </c>
      <c r="CI38" s="39">
        <f>SUM(CI7:CI37)</f>
        <v>6529.34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2">SUM(CP7:CP37)</f>
        <v>7657.637746299999</v>
      </c>
      <c r="CQ38" s="190">
        <f t="shared" si="32"/>
        <v>165.35999992902498</v>
      </c>
      <c r="CR38" s="191">
        <f t="shared" si="32"/>
        <v>2011.7490001000001</v>
      </c>
      <c r="CS38" s="192">
        <f t="shared" si="32"/>
        <v>9.99999999E-8</v>
      </c>
      <c r="CT38" s="192">
        <f t="shared" si="32"/>
        <v>1990.3745164999996</v>
      </c>
      <c r="CU38" s="192">
        <f t="shared" si="32"/>
        <v>1313.1623677</v>
      </c>
      <c r="CV38" s="278">
        <f t="shared" si="32"/>
        <v>9.99999999E-8</v>
      </c>
      <c r="CW38" s="278">
        <f t="shared" si="32"/>
        <v>9.99999999E-8</v>
      </c>
      <c r="CX38" s="192">
        <f t="shared" si="32"/>
        <v>1112.5500001</v>
      </c>
      <c r="CY38" s="192">
        <f t="shared" si="32"/>
        <v>6529.3399997468105</v>
      </c>
      <c r="CZ38" s="192">
        <f t="shared" si="32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426.81645161290317</v>
      </c>
      <c r="C39" s="84">
        <f>(BJ38*BR39+BK38*BS39+BM38*BU39+BP38*BX39+BL38*BT39+BO38*BW39+BN38*BV39)/B38</f>
        <v>0.70307754690181856</v>
      </c>
      <c r="D39" s="82"/>
      <c r="E39" s="354">
        <f>(BJ38*BY39+BK38*BZ39+BM38*CB39+BP38*CE39+BL38*CA39+BO38*CD39+BN38*CC39)/B38</f>
        <v>38.294970769334263</v>
      </c>
      <c r="F39" s="355">
        <f>IF(AX38=0,0,D38/AX38)</f>
        <v>2.289465970715582</v>
      </c>
      <c r="G39" s="354">
        <f>G38/AS2</f>
        <v>0</v>
      </c>
      <c r="H39" s="355">
        <f>IF(AX38=0,0,(CV38+CS38+CU38+CP38+CT38)/AX38)</f>
        <v>1.9100848346977819</v>
      </c>
      <c r="I39" s="354">
        <f>I38/AS2</f>
        <v>0</v>
      </c>
      <c r="J39" s="354">
        <f>J38/AS2</f>
        <v>3.2687741935483867</v>
      </c>
      <c r="K39" s="354">
        <f>K38/AS2</f>
        <v>3.4141935483870971</v>
      </c>
      <c r="L39" s="354">
        <f>L38/AS2</f>
        <v>70.22932258064516</v>
      </c>
      <c r="M39" s="355">
        <f>IF($AX$38=0,0,(CR38+CQ38)/$AX$38)</f>
        <v>0.37938113610492924</v>
      </c>
      <c r="N39" s="354">
        <f>N38/AS2</f>
        <v>2.7667741935483869</v>
      </c>
      <c r="O39" s="354">
        <f>O38/AS2</f>
        <v>8.4316451612903229</v>
      </c>
      <c r="P39" s="356">
        <f>P38/AS2</f>
        <v>250.12364516129034</v>
      </c>
      <c r="Q39" s="354">
        <f>(SUMPRODUCT(P7:P37,Q7:Q37))/P38</f>
        <v>1.443711770681676</v>
      </c>
      <c r="R39" s="357"/>
      <c r="S39" s="354">
        <f>S38/AS2</f>
        <v>15.964838709677414</v>
      </c>
      <c r="T39" s="354">
        <f>T38/AS2:AS2</f>
        <v>246.5125806548387</v>
      </c>
      <c r="U39" s="358">
        <f>IF($AX$38=0,0,R38/$AX$38)</f>
        <v>1.3316691586246072</v>
      </c>
      <c r="V39" s="354">
        <f>V38/AS2</f>
        <v>135.13645161290322</v>
      </c>
      <c r="W39" s="354">
        <f>W38/AS2</f>
        <v>149.80193548387092</v>
      </c>
      <c r="X39" s="354">
        <f>(SUMPRODUCT(X7:X37,AX7:AX37))/AX38</f>
        <v>0.72003577540088315</v>
      </c>
      <c r="Y39" s="359">
        <f>AVERAGE(Y7:Y37)</f>
        <v>598.54838709677415</v>
      </c>
      <c r="Z39" s="359">
        <f>AVERAGE(Z7:Z37)</f>
        <v>1234.1612903225807</v>
      </c>
      <c r="AA39" s="359"/>
      <c r="AB39" s="354">
        <f>(SUMPRODUCT(AB7:AB37,AX7:AX37))/AX38</f>
        <v>75.42063235155733</v>
      </c>
      <c r="AC39" s="360">
        <f>AVERAGE(AC7:AC37)</f>
        <v>142.87096774193549</v>
      </c>
      <c r="AD39" s="360">
        <f>AVERAGE(AD7:AD37)</f>
        <v>3.967741935483871</v>
      </c>
      <c r="AE39" s="354">
        <f>AE38/AS2</f>
        <v>1.3903225806451613</v>
      </c>
      <c r="AF39" s="361">
        <f>IF(AX38=0,0,AE38/AX38*1000)</f>
        <v>7.5105688166759021</v>
      </c>
      <c r="AG39" s="361">
        <f>AG38/AS2</f>
        <v>129.6935483870968</v>
      </c>
      <c r="AH39" s="361">
        <f>IF(AX38=0,0,AG38/AX38*1000)</f>
        <v>700.60886142564891</v>
      </c>
      <c r="AI39" s="354">
        <f>AI38/AS2</f>
        <v>15.953225806451616</v>
      </c>
      <c r="AJ39" s="359"/>
      <c r="AK39" s="354">
        <f>AK38/AS2</f>
        <v>9.0396774193548399</v>
      </c>
      <c r="AL39" s="354">
        <f>AL38/AS2</f>
        <v>41.611290322580643</v>
      </c>
      <c r="AM39" s="346">
        <f>IF(AL39=0,0,AL39/AS39)</f>
        <v>0.17839534771154147</v>
      </c>
      <c r="AN39" s="361">
        <f>SUM(AN8:AN38)</f>
        <v>0</v>
      </c>
      <c r="AO39" s="354">
        <f>AVERAGE(AO7:AO37)</f>
        <v>8.7303225806451614</v>
      </c>
      <c r="AP39" s="354">
        <f>AVERAGE(AP7:AP37)</f>
        <v>6.76</v>
      </c>
      <c r="AQ39" s="362"/>
      <c r="AR39" s="354">
        <f>AVERAGE(AR7:AR37)</f>
        <v>9.3506451612903234</v>
      </c>
      <c r="AS39" s="363">
        <f>AS38/AS2</f>
        <v>233.25322580645167</v>
      </c>
      <c r="AT39" s="363">
        <f>AT38/AS2</f>
        <v>2.5132258064516129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185.11548387096778</v>
      </c>
      <c r="AY39" s="354">
        <f>AY38/AS2</f>
        <v>187.88186490247065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0.86022930661892871</v>
      </c>
      <c r="BC39" s="354">
        <f>BC38/AS2</f>
        <v>16.611371740118127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0.92166429590242926</v>
      </c>
      <c r="BS39" s="42">
        <f t="shared" ref="BS39:BX39" si="33">(SUMPRODUCT(BK7:BK37,BS7:BS37))/BK38</f>
        <v>4.2921504596032898E-8</v>
      </c>
      <c r="BT39" s="42">
        <f t="shared" si="33"/>
        <v>4.9707990407863593E-18</v>
      </c>
      <c r="BU39" s="42">
        <f t="shared" si="33"/>
        <v>9.9999999999999982E-8</v>
      </c>
      <c r="BV39" s="42">
        <f t="shared" si="33"/>
        <v>0.42665820200246546</v>
      </c>
      <c r="BW39" s="46">
        <f t="shared" si="33"/>
        <v>0.9999526848086544</v>
      </c>
      <c r="BX39" s="240">
        <f t="shared" si="33"/>
        <v>9.9999999999999982E-8</v>
      </c>
      <c r="BY39" s="41">
        <f t="shared" ref="BY39:CE39" si="34">(SUMPRODUCT(BJ7:BJ37,BY7:BY37))/BJ38</f>
        <v>37.607707079377171</v>
      </c>
      <c r="BZ39" s="42">
        <f t="shared" si="34"/>
        <v>43.191187530237052</v>
      </c>
      <c r="CA39" s="42">
        <f t="shared" si="34"/>
        <v>42.640592710987271</v>
      </c>
      <c r="CB39" s="42">
        <f t="shared" si="34"/>
        <v>9.9999999999999982E-8</v>
      </c>
      <c r="CC39" s="42">
        <f t="shared" si="34"/>
        <v>38.131230362947505</v>
      </c>
      <c r="CD39" s="46">
        <f t="shared" si="34"/>
        <v>35.345040105113654</v>
      </c>
      <c r="CE39" s="240">
        <f t="shared" si="34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9.9999999999999982E-8</v>
      </c>
      <c r="CL39" s="46">
        <f>(SUMPRODUCT(CH7:CH37,CL7:CL37))/CH38</f>
        <v>8.9883600728966442E-18</v>
      </c>
      <c r="CM39" s="46">
        <f>(SUMPRODUCT(CI7:CI37,CM7:CM37))/CI38</f>
        <v>3.8777273047505561E-9</v>
      </c>
      <c r="CN39" s="44">
        <f>(SUMPRODUCT(CJ7:CJ37,CN7:CN37))/CJ38</f>
        <v>9.9999999999999982E-8</v>
      </c>
      <c r="CP39" s="667">
        <f>CP38+CQ38</f>
        <v>7822.9977462290244</v>
      </c>
      <c r="CQ39" s="667"/>
      <c r="CR39" s="668">
        <f>CR38+CS38+CV38+CU38+CT38</f>
        <v>5315.2858844999992</v>
      </c>
      <c r="CS39" s="668"/>
      <c r="CT39" s="668"/>
      <c r="CU39" s="668"/>
      <c r="CV39" s="668"/>
      <c r="CW39" s="669">
        <f>CW38+CX38+CZ38+CY38</f>
        <v>7641.8900000468111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38.6</v>
      </c>
      <c r="F40" s="366">
        <v>2.1</v>
      </c>
      <c r="G40" s="366"/>
      <c r="H40" s="366">
        <v>1.68</v>
      </c>
      <c r="I40" s="366"/>
      <c r="J40" s="408"/>
      <c r="K40" s="366"/>
      <c r="L40" s="366"/>
      <c r="M40" s="366">
        <v>0.42</v>
      </c>
      <c r="N40" s="365"/>
      <c r="O40" s="366"/>
      <c r="P40" s="367"/>
      <c r="Q40" s="368"/>
      <c r="R40" s="367"/>
      <c r="S40" s="369">
        <v>20.340754199999999</v>
      </c>
      <c r="T40" s="367"/>
      <c r="U40" s="369">
        <v>1.2849999999999999</v>
      </c>
      <c r="V40" s="370">
        <v>5450</v>
      </c>
      <c r="W40" s="370">
        <v>5450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620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5450</v>
      </c>
      <c r="AT40" s="379">
        <v>38.15</v>
      </c>
      <c r="AU40" s="380"/>
      <c r="AV40" s="381"/>
      <c r="AW40" s="382"/>
      <c r="AX40" s="365">
        <v>175.81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13138.283630729024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0.18946597071558191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1.443711770681676</v>
      </c>
      <c r="R41" s="386"/>
      <c r="S41" s="388"/>
      <c r="T41" s="388"/>
      <c r="U41" s="385">
        <f>U39-U40</f>
        <v>4.6669158624607299E-2</v>
      </c>
      <c r="V41" s="385"/>
      <c r="W41" s="385"/>
      <c r="X41" s="385"/>
      <c r="Y41" s="385"/>
      <c r="Z41" s="389">
        <f>Z39-Z40</f>
        <v>-15.838709677419274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1780.8500000000013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175.80645161290323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31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58.787398373983748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30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  <c r="CS45">
        <v>13138.284</v>
      </c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181.66666666666666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288.57999999999811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5.2950458715595987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L3:AL6"/>
    <mergeCell ref="AM3:AM6"/>
    <mergeCell ref="AN3:AN6"/>
    <mergeCell ref="AO3:AO6"/>
    <mergeCell ref="AP3:AP6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V3:V6"/>
    <mergeCell ref="S4:S6"/>
    <mergeCell ref="T4:T6"/>
    <mergeCell ref="U4:U6"/>
    <mergeCell ref="AE5:AE6"/>
    <mergeCell ref="DB5:DF5"/>
    <mergeCell ref="CP39:CQ39"/>
    <mergeCell ref="CR39:CV39"/>
    <mergeCell ref="CW39:CZ39"/>
    <mergeCell ref="CG3:CJ5"/>
    <mergeCell ref="CK3:CN5"/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CN21" activePane="bottomRight" state="frozen"/>
      <selection pane="topRight" activeCell="B1" sqref="B1"/>
      <selection pane="bottomLeft" activeCell="A7" sqref="A7"/>
      <selection pane="bottomRight" activeCell="CU44" sqref="CU44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7.140625" customWidth="1"/>
    <col min="16" max="16" width="9" customWidth="1"/>
    <col min="17" max="17" width="5.140625" customWidth="1"/>
    <col min="18" max="18" width="8.85546875" customWidth="1"/>
    <col min="19" max="19" width="7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1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7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31</v>
      </c>
      <c r="AT2" s="321"/>
      <c r="AU2" s="321"/>
      <c r="AV2" s="322"/>
      <c r="AW2" s="321"/>
      <c r="AX2" s="323" t="s">
        <v>261</v>
      </c>
      <c r="AY2" s="323"/>
      <c r="AZ2" s="323"/>
      <c r="BA2" s="323"/>
      <c r="BB2" s="323" t="s">
        <v>107</v>
      </c>
      <c r="BC2" s="324"/>
      <c r="BD2" s="49"/>
      <c r="BL2" s="2"/>
    </row>
    <row r="3" spans="1:117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7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7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7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51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104</v>
      </c>
      <c r="BN6" s="232" t="s">
        <v>296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104</v>
      </c>
      <c r="BV6" s="232" t="s">
        <v>296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104</v>
      </c>
      <c r="CC6" s="232" t="s">
        <v>296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104</v>
      </c>
      <c r="CT6" s="51" t="s">
        <v>296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7" ht="16.5" customHeight="1">
      <c r="A7" s="102">
        <v>1</v>
      </c>
      <c r="B7" s="103">
        <f>BJ7+BN7+BO7</f>
        <v>451.97700030000004</v>
      </c>
      <c r="C7" s="104">
        <f t="shared" ref="C7:C37" si="0">IF(B7=0,0,(BJ7*BR7+BK7*BS7+BM7*BU7+BP7*BX7+BL7*BT7+BO7*BW7+BN7*BV7)/B7)</f>
        <v>1.4299999993672241</v>
      </c>
      <c r="D7" s="447">
        <f t="shared" ref="D7:D37" si="1">B7*((100-C7)/100)</f>
        <v>445.51372919857005</v>
      </c>
      <c r="E7" s="104">
        <f t="shared" ref="E7:E37" si="2">IF(B7=0,0,(BJ7*BY7+BK7*BZ7+BM7*CB7+BP7*CE7+BL7*CA7+BO7*CD7+BN7*CC7)/B7)</f>
        <v>37.949999992818228</v>
      </c>
      <c r="F7" s="103">
        <f t="shared" ref="F7:F37" si="3">IF(AX7=0,0,D7/AX7)</f>
        <v>2.3602125937622911</v>
      </c>
      <c r="G7" s="106"/>
      <c r="H7" s="107">
        <f t="shared" ref="H7:H37" si="4">IF(AX7=0,0,(CV7+CS7+CU7+CP7+CT7)/AX7)</f>
        <v>2.3602125948218373</v>
      </c>
      <c r="I7" s="103">
        <f>'[1]сентябрь 20'!AE6</f>
        <v>0</v>
      </c>
      <c r="J7" s="328">
        <f>'[1]май 20'!AA6</f>
        <v>18.466999999999999</v>
      </c>
      <c r="K7" s="106"/>
      <c r="L7" s="328"/>
      <c r="M7" s="103">
        <f t="shared" ref="M7:M37" si="5">IF(AX7=0,0,(CR7+CQ7)/AX7)</f>
        <v>1.0595465130324221E-9</v>
      </c>
      <c r="N7" s="103">
        <f>'[1]июль 20'!AM6</f>
        <v>0</v>
      </c>
      <c r="O7" s="103">
        <f>'[1]май 20'!W6</f>
        <v>0</v>
      </c>
      <c r="P7" s="103">
        <v>274.27999999999997</v>
      </c>
      <c r="Q7" s="108">
        <f t="shared" ref="Q7:Q37" si="6">IF(P7=0,0,(1-(T7/P7))*100)</f>
        <v>1.6625345267609504</v>
      </c>
      <c r="R7" s="109">
        <f t="shared" ref="R7:R37" si="7">P7*((100-Q7)/100)</f>
        <v>269.72000030000004</v>
      </c>
      <c r="S7" s="106">
        <v>15.1</v>
      </c>
      <c r="T7" s="109">
        <f t="shared" ref="T7:T37" si="8">CG7+CH7+CJ7+CI7</f>
        <v>269.72000030000004</v>
      </c>
      <c r="U7" s="110">
        <f t="shared" ref="U7:U37" si="9">IF(AX7=0,0,R7/AX7)</f>
        <v>1.428904430493749</v>
      </c>
      <c r="V7" s="136">
        <v>188.76</v>
      </c>
      <c r="W7" s="111">
        <v>188.76</v>
      </c>
      <c r="X7" s="106">
        <v>0.46</v>
      </c>
      <c r="Y7" s="112">
        <v>600</v>
      </c>
      <c r="Z7" s="238">
        <v>1234</v>
      </c>
      <c r="AA7" s="113" t="s">
        <v>160</v>
      </c>
      <c r="AB7" s="106">
        <v>75.97</v>
      </c>
      <c r="AC7" s="112">
        <v>142</v>
      </c>
      <c r="AD7" s="114">
        <v>4</v>
      </c>
      <c r="AE7" s="106">
        <v>1</v>
      </c>
      <c r="AF7" s="115">
        <f t="shared" ref="AF7:AF37" si="10">IF(AX7=0,0,AE7/AX7*1000)</f>
        <v>5.2977325704598437</v>
      </c>
      <c r="AG7" s="106">
        <v>125.75</v>
      </c>
      <c r="AH7" s="115">
        <f t="shared" ref="AH7:AH37" si="11">IF(AX7=0,0,AG7/AX7*1000)</f>
        <v>666.18987073532537</v>
      </c>
      <c r="AI7" s="106">
        <v>18.010000000000002</v>
      </c>
      <c r="AJ7" s="116"/>
      <c r="AK7" s="117">
        <v>7.89</v>
      </c>
      <c r="AL7" s="118">
        <v>42.95</v>
      </c>
      <c r="AM7" s="110">
        <f t="shared" ref="AM7:AM37" si="12">IF(AL7=0,0,AL7/AS7)</f>
        <v>0.18230050933786079</v>
      </c>
      <c r="AN7" s="119" t="s">
        <v>277</v>
      </c>
      <c r="AO7" s="403">
        <v>7.8</v>
      </c>
      <c r="AP7" s="120">
        <v>6.78</v>
      </c>
      <c r="AQ7" s="106"/>
      <c r="AR7" s="106">
        <v>8.18</v>
      </c>
      <c r="AS7" s="314">
        <v>235.6</v>
      </c>
      <c r="AT7" s="121">
        <v>4</v>
      </c>
      <c r="AU7" s="122"/>
      <c r="AV7" s="123"/>
      <c r="AW7" s="124"/>
      <c r="AX7" s="109">
        <f t="shared" ref="AX7:AX37" si="13">AS7-AL7-AK7+AV7+AT7</f>
        <v>188.76</v>
      </c>
      <c r="AY7" s="115">
        <f>IF(AB7=0,0,((D7*0.97)*(E7/100)*0.9)/(AB7/100))</f>
        <v>194.28755792234585</v>
      </c>
      <c r="AZ7" s="125">
        <f t="shared" ref="AZ7:AZ37" si="14">(AG7*AR7)/100*(55/71)</f>
        <v>7.9682992957746483</v>
      </c>
      <c r="BA7" s="115">
        <f t="shared" ref="BA7:BA23" si="15">AX7*$BA$6</f>
        <v>7.5503999999999998</v>
      </c>
      <c r="BB7" s="103">
        <f t="shared" ref="BB7:BB37" si="16">IF((D7*E7)=0,0,(AX7*AB7)/(D7*E7))</f>
        <v>0.84816280446462433</v>
      </c>
      <c r="BC7" s="115">
        <f t="shared" ref="BC7:BC37" si="17">AZ7+BA7</f>
        <v>15.518699295774649</v>
      </c>
      <c r="BD7" s="126">
        <v>0.84799999999999998</v>
      </c>
      <c r="BE7" s="16">
        <f>AX7</f>
        <v>188.76</v>
      </c>
      <c r="BF7" s="16">
        <f t="shared" ref="BF7:BF38" si="18">IF(A7&lt;=$BD$43,$AS$43,0)</f>
        <v>175.80645161290323</v>
      </c>
      <c r="BG7" s="16">
        <f>BF7</f>
        <v>175.80645161290323</v>
      </c>
      <c r="BH7" s="17">
        <f t="shared" ref="BH7:BH37" si="19">IF(AX7&lt;&gt;0,1,0)</f>
        <v>1</v>
      </c>
      <c r="BI7" s="16">
        <f>BF7*BH7</f>
        <v>175.80645161290323</v>
      </c>
      <c r="BJ7" s="431">
        <f>DK7</f>
        <v>451.9770001</v>
      </c>
      <c r="BK7" s="336">
        <v>9.9999999999999995E-8</v>
      </c>
      <c r="BL7" s="336">
        <v>9.9999999999999995E-8</v>
      </c>
      <c r="BM7" s="336">
        <v>9.9999999999999995E-8</v>
      </c>
      <c r="BN7" s="336">
        <v>9.9999999999999995E-8</v>
      </c>
      <c r="BO7" s="336">
        <v>9.9999999999999995E-8</v>
      </c>
      <c r="BP7" s="440">
        <v>9.9999999999999995E-8</v>
      </c>
      <c r="BQ7" s="336">
        <v>9.9999999999999995E-8</v>
      </c>
      <c r="BR7" s="336">
        <v>1.43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9.9999999999999995E-8</v>
      </c>
      <c r="BY7" s="336">
        <v>37.950000000000003</v>
      </c>
      <c r="BZ7" s="336">
        <v>43.44</v>
      </c>
      <c r="CA7" s="336">
        <v>9.9999999999999995E-8</v>
      </c>
      <c r="CB7" s="336">
        <v>9.9999999999999995E-8</v>
      </c>
      <c r="CC7" s="336">
        <v>9.9999999999999995E-8</v>
      </c>
      <c r="CD7" s="336">
        <v>9.9999999999999995E-8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431">
        <f>DM7</f>
        <v>269.72000000000003</v>
      </c>
      <c r="CJ7" s="336">
        <v>9.9999999999999995E-8</v>
      </c>
      <c r="CK7" s="336">
        <v>9.9999999999999995E-8</v>
      </c>
      <c r="CL7" s="336">
        <v>9.9999999999999995E-8</v>
      </c>
      <c r="CM7" s="336">
        <v>9.9999999999999995E-8</v>
      </c>
      <c r="CN7" s="336">
        <v>9.9999999999999995E-8</v>
      </c>
      <c r="CO7" s="284"/>
      <c r="CP7" s="285">
        <f t="shared" ref="CP7:CV37" si="20">BJ7*((100-BR7)/100)</f>
        <v>445.51372899856995</v>
      </c>
      <c r="CQ7" s="22">
        <f t="shared" si="20"/>
        <v>9.99999999E-8</v>
      </c>
      <c r="CR7" s="22">
        <f t="shared" si="20"/>
        <v>9.99999999E-8</v>
      </c>
      <c r="CS7" s="27">
        <f t="shared" si="20"/>
        <v>9.99999999E-8</v>
      </c>
      <c r="CT7" s="27">
        <f t="shared" si="20"/>
        <v>9.99999999E-8</v>
      </c>
      <c r="CU7" s="276">
        <f t="shared" si="20"/>
        <v>9.99999999E-8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269.71999973028005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336">
        <v>355.00200000000001</v>
      </c>
      <c r="DI7" s="336">
        <v>70.974999999999994</v>
      </c>
      <c r="DJ7" s="336">
        <v>9.9999999999999995E-8</v>
      </c>
      <c r="DK7" s="247">
        <f>DH7+DI7+DJ7+26</f>
        <v>451.9770001</v>
      </c>
      <c r="DL7" s="336">
        <v>253.19</v>
      </c>
      <c r="DM7" s="247">
        <f>DL7+16.53</f>
        <v>269.72000000000003</v>
      </c>
    </row>
    <row r="8" spans="1:117" ht="16.5" customHeight="1">
      <c r="A8" s="127">
        <v>2</v>
      </c>
      <c r="B8" s="103">
        <f t="shared" ref="B8:B37" si="24">BJ8+BN8+BO8</f>
        <v>469.94200000000001</v>
      </c>
      <c r="C8" s="104">
        <f t="shared" si="0"/>
        <v>1.37</v>
      </c>
      <c r="D8" s="447">
        <f t="shared" si="1"/>
        <v>463.50379459999999</v>
      </c>
      <c r="E8" s="104">
        <f t="shared" si="2"/>
        <v>37.54</v>
      </c>
      <c r="F8" s="128">
        <f t="shared" si="3"/>
        <v>2.4412925028968711</v>
      </c>
      <c r="G8" s="106"/>
      <c r="H8" s="107">
        <f t="shared" si="4"/>
        <v>2.4412925028968711</v>
      </c>
      <c r="I8" s="103">
        <f>'[1]сентябрь 20'!AE7</f>
        <v>0</v>
      </c>
      <c r="J8" s="328">
        <f>'[1]май 20'!AA7</f>
        <v>19.219000000000001</v>
      </c>
      <c r="K8" s="106"/>
      <c r="L8" s="328"/>
      <c r="M8" s="103">
        <f t="shared" si="5"/>
        <v>0</v>
      </c>
      <c r="N8" s="103">
        <f>'[1]июль 20'!AM7</f>
        <v>0</v>
      </c>
      <c r="O8" s="103">
        <f>'[1]май 20'!W7</f>
        <v>0</v>
      </c>
      <c r="P8" s="103">
        <v>286.35000000000002</v>
      </c>
      <c r="Q8" s="108">
        <f t="shared" si="6"/>
        <v>1.899773005063754</v>
      </c>
      <c r="R8" s="109">
        <f t="shared" si="7"/>
        <v>280.90999999999997</v>
      </c>
      <c r="S8" s="106">
        <v>14.35</v>
      </c>
      <c r="T8" s="109">
        <f t="shared" si="8"/>
        <v>280.90999999999997</v>
      </c>
      <c r="U8" s="110">
        <f t="shared" si="9"/>
        <v>1.4795638891815019</v>
      </c>
      <c r="V8" s="136">
        <v>145.44999999999999</v>
      </c>
      <c r="W8" s="130">
        <v>146.80000000000001</v>
      </c>
      <c r="X8" s="131">
        <v>0.68</v>
      </c>
      <c r="Y8" s="112">
        <v>584</v>
      </c>
      <c r="Z8" s="112">
        <v>1241</v>
      </c>
      <c r="AA8" s="132" t="s">
        <v>278</v>
      </c>
      <c r="AB8" s="131">
        <v>76.03</v>
      </c>
      <c r="AC8" s="133">
        <v>148</v>
      </c>
      <c r="AD8" s="134">
        <v>4</v>
      </c>
      <c r="AE8" s="131">
        <v>0.4</v>
      </c>
      <c r="AF8" s="115">
        <f t="shared" si="10"/>
        <v>2.1068155482987465</v>
      </c>
      <c r="AG8" s="131">
        <v>118.45</v>
      </c>
      <c r="AH8" s="115">
        <f t="shared" si="11"/>
        <v>623.88075423996622</v>
      </c>
      <c r="AI8" s="131">
        <v>13.73</v>
      </c>
      <c r="AJ8" s="116"/>
      <c r="AK8" s="135">
        <v>9.1</v>
      </c>
      <c r="AL8" s="136">
        <v>43.16</v>
      </c>
      <c r="AM8" s="110">
        <f t="shared" si="12"/>
        <v>0.17953410981697168</v>
      </c>
      <c r="AN8" s="137" t="s">
        <v>212</v>
      </c>
      <c r="AO8" s="150">
        <v>8.2100000000000009</v>
      </c>
      <c r="AP8" s="138">
        <v>6.92</v>
      </c>
      <c r="AQ8" s="131"/>
      <c r="AR8" s="131">
        <v>7.18</v>
      </c>
      <c r="AS8" s="315">
        <v>240.4</v>
      </c>
      <c r="AT8" s="131">
        <v>1.72</v>
      </c>
      <c r="AU8" s="116"/>
      <c r="AV8" s="131"/>
      <c r="AW8" s="109"/>
      <c r="AX8" s="109">
        <f t="shared" si="13"/>
        <v>189.86</v>
      </c>
      <c r="AY8" s="115">
        <f t="shared" ref="AY8:AY37" si="25">IF(AB8=0,0,((D8*0.97)*(E8/100)*0.9)/(AB8/100))</f>
        <v>199.79141165625322</v>
      </c>
      <c r="AZ8" s="140">
        <f t="shared" si="14"/>
        <v>6.588155633802816</v>
      </c>
      <c r="BA8" s="141">
        <f t="shared" si="15"/>
        <v>7.5944000000000003</v>
      </c>
      <c r="BB8" s="128">
        <f t="shared" si="16"/>
        <v>0.82960412875591361</v>
      </c>
      <c r="BC8" s="141">
        <f t="shared" si="17"/>
        <v>14.182555633802817</v>
      </c>
      <c r="BD8" s="142">
        <v>0.83899999999999997</v>
      </c>
      <c r="BE8" s="16">
        <f t="shared" ref="BE8:BE37" si="26">BE7+AX8</f>
        <v>378.62</v>
      </c>
      <c r="BF8" s="16">
        <f t="shared" si="18"/>
        <v>175.80645161290323</v>
      </c>
      <c r="BG8" s="16">
        <f t="shared" ref="BG8:BG37" si="27">BF8+BG7</f>
        <v>351.61290322580646</v>
      </c>
      <c r="BH8" s="17">
        <f t="shared" si="19"/>
        <v>1</v>
      </c>
      <c r="BI8" s="16">
        <f t="shared" ref="BI8:BI37" si="28">BI7+BF8*BH8</f>
        <v>351.61290322580646</v>
      </c>
      <c r="BJ8" s="441">
        <f t="shared" ref="BJ8:BJ37" si="29">DK8</f>
        <v>469.94200000000001</v>
      </c>
      <c r="BK8" s="244"/>
      <c r="BL8" s="197"/>
      <c r="BM8" s="197"/>
      <c r="BN8" s="230"/>
      <c r="BO8" s="230"/>
      <c r="BP8" s="250"/>
      <c r="BQ8" s="199"/>
      <c r="BR8" s="200">
        <v>1.37</v>
      </c>
      <c r="BS8" s="200"/>
      <c r="BT8" s="200"/>
      <c r="BU8" s="200"/>
      <c r="BV8" s="208"/>
      <c r="BW8" s="208"/>
      <c r="BX8" s="198"/>
      <c r="BY8" s="202">
        <v>37.54</v>
      </c>
      <c r="BZ8" s="200">
        <v>43.08</v>
      </c>
      <c r="CA8" s="200"/>
      <c r="CB8" s="200"/>
      <c r="CC8" s="197"/>
      <c r="CD8" s="197"/>
      <c r="CE8" s="197"/>
      <c r="CF8" s="203"/>
      <c r="CG8" s="204"/>
      <c r="CH8" s="230"/>
      <c r="CI8" s="266">
        <f t="shared" ref="CI8:CI37" si="30">DM8</f>
        <v>280.90999999999997</v>
      </c>
      <c r="CJ8" s="453"/>
      <c r="CK8" s="205"/>
      <c r="CL8" s="206"/>
      <c r="CM8" s="269"/>
      <c r="CN8" s="207"/>
      <c r="CO8" s="284"/>
      <c r="CP8" s="286">
        <f t="shared" si="20"/>
        <v>463.50379459999999</v>
      </c>
      <c r="CQ8" s="24">
        <f t="shared" si="20"/>
        <v>0</v>
      </c>
      <c r="CR8" s="25">
        <f t="shared" si="20"/>
        <v>0</v>
      </c>
      <c r="CS8" s="24">
        <f t="shared" si="20"/>
        <v>0</v>
      </c>
      <c r="CT8" s="27">
        <f t="shared" si="20"/>
        <v>0</v>
      </c>
      <c r="CU8" s="237">
        <f t="shared" si="20"/>
        <v>0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280.90999999999997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31">IF(I8=0,0,(DE8*DD8%)/(AB8/100))</f>
        <v>0</v>
      </c>
      <c r="DH8" s="249">
        <v>374.26400000000001</v>
      </c>
      <c r="DI8" s="195">
        <v>69.677999999999997</v>
      </c>
      <c r="DJ8" s="197"/>
      <c r="DK8" s="247">
        <f t="shared" ref="DK8:DK36" si="32">DH8+DI8+DJ8+26</f>
        <v>469.94200000000001</v>
      </c>
      <c r="DL8" s="197">
        <v>264.38</v>
      </c>
      <c r="DM8" s="247">
        <f t="shared" ref="DM8:DM36" si="33">DL8+16.53</f>
        <v>280.90999999999997</v>
      </c>
    </row>
    <row r="9" spans="1:117" ht="16.5" customHeight="1">
      <c r="A9" s="127">
        <v>3</v>
      </c>
      <c r="B9" s="103">
        <f t="shared" si="24"/>
        <v>451.71699999999998</v>
      </c>
      <c r="C9" s="104">
        <f t="shared" si="0"/>
        <v>2.1</v>
      </c>
      <c r="D9" s="448">
        <f t="shared" si="1"/>
        <v>442.23094300000002</v>
      </c>
      <c r="E9" s="104">
        <f t="shared" si="2"/>
        <v>36.93</v>
      </c>
      <c r="F9" s="128">
        <f t="shared" si="3"/>
        <v>2.3779692584825511</v>
      </c>
      <c r="G9" s="106"/>
      <c r="H9" s="107">
        <f t="shared" si="4"/>
        <v>2.3779692584825511</v>
      </c>
      <c r="I9" s="103">
        <f>'[1]сентябрь 20'!AE8</f>
        <v>0</v>
      </c>
      <c r="J9" s="328">
        <f>'[1]май 20'!AA8</f>
        <v>16.727</v>
      </c>
      <c r="K9" s="106"/>
      <c r="L9" s="328"/>
      <c r="M9" s="103">
        <f t="shared" si="5"/>
        <v>0</v>
      </c>
      <c r="N9" s="103">
        <f>'[1]июль 20'!AM8</f>
        <v>0</v>
      </c>
      <c r="O9" s="103">
        <f>'[1]май 20'!W8</f>
        <v>0</v>
      </c>
      <c r="P9" s="103">
        <v>275.67</v>
      </c>
      <c r="Q9" s="108">
        <f t="shared" si="6"/>
        <v>1.4401276889034142</v>
      </c>
      <c r="R9" s="109">
        <f t="shared" si="7"/>
        <v>271.7</v>
      </c>
      <c r="S9" s="106">
        <v>11.03</v>
      </c>
      <c r="T9" s="109">
        <f t="shared" si="8"/>
        <v>271.7</v>
      </c>
      <c r="U9" s="110">
        <f t="shared" si="9"/>
        <v>1.4609883314513092</v>
      </c>
      <c r="V9" s="136">
        <v>185.97</v>
      </c>
      <c r="W9" s="130">
        <v>141.28</v>
      </c>
      <c r="X9" s="131">
        <v>0.62</v>
      </c>
      <c r="Y9" s="112">
        <v>572</v>
      </c>
      <c r="Z9" s="112">
        <v>1237</v>
      </c>
      <c r="AA9" s="144" t="s">
        <v>279</v>
      </c>
      <c r="AB9" s="131">
        <v>76.2</v>
      </c>
      <c r="AC9" s="133">
        <v>154</v>
      </c>
      <c r="AD9" s="134">
        <v>4</v>
      </c>
      <c r="AE9" s="131">
        <v>1.1499999999999999</v>
      </c>
      <c r="AF9" s="115">
        <f t="shared" si="10"/>
        <v>6.1837930849061671</v>
      </c>
      <c r="AG9" s="131">
        <v>133.15</v>
      </c>
      <c r="AH9" s="115">
        <f t="shared" si="11"/>
        <v>715.97569500457075</v>
      </c>
      <c r="AI9" s="131">
        <v>14.47</v>
      </c>
      <c r="AJ9" s="116"/>
      <c r="AK9" s="135">
        <v>8.56</v>
      </c>
      <c r="AL9" s="136">
        <v>42.83</v>
      </c>
      <c r="AM9" s="110">
        <f t="shared" si="12"/>
        <v>0.18233290762026394</v>
      </c>
      <c r="AN9" s="137" t="s">
        <v>242</v>
      </c>
      <c r="AO9" s="150">
        <v>7.92</v>
      </c>
      <c r="AP9" s="131">
        <v>7.36</v>
      </c>
      <c r="AQ9" s="131"/>
      <c r="AR9" s="131">
        <v>8.32</v>
      </c>
      <c r="AS9" s="315">
        <v>234.9</v>
      </c>
      <c r="AT9" s="131">
        <v>2.46</v>
      </c>
      <c r="AU9" s="116"/>
      <c r="AV9" s="131"/>
      <c r="AW9" s="109"/>
      <c r="AX9" s="109">
        <f t="shared" si="13"/>
        <v>185.97</v>
      </c>
      <c r="AY9" s="115">
        <f t="shared" si="25"/>
        <v>187.10599680992479</v>
      </c>
      <c r="AZ9" s="140">
        <f t="shared" si="14"/>
        <v>8.5816112676056342</v>
      </c>
      <c r="BA9" s="141">
        <f t="shared" si="15"/>
        <v>7.4388000000000005</v>
      </c>
      <c r="BB9" s="128">
        <f t="shared" si="16"/>
        <v>0.86769966098375872</v>
      </c>
      <c r="BC9" s="141">
        <f t="shared" si="17"/>
        <v>16.020411267605635</v>
      </c>
      <c r="BD9" s="142">
        <v>0.84799999999999998</v>
      </c>
      <c r="BE9" s="16">
        <f t="shared" si="26"/>
        <v>564.59</v>
      </c>
      <c r="BF9" s="16">
        <f t="shared" si="18"/>
        <v>175.80645161290323</v>
      </c>
      <c r="BG9" s="16">
        <f t="shared" si="27"/>
        <v>527.41935483870975</v>
      </c>
      <c r="BH9" s="17">
        <f t="shared" si="19"/>
        <v>1</v>
      </c>
      <c r="BI9" s="16">
        <f t="shared" si="28"/>
        <v>527.41935483870975</v>
      </c>
      <c r="BJ9" s="441">
        <f t="shared" si="29"/>
        <v>451.71699999999998</v>
      </c>
      <c r="BK9" s="244"/>
      <c r="BL9" s="197"/>
      <c r="BM9" s="197"/>
      <c r="BN9" s="230"/>
      <c r="BO9" s="230"/>
      <c r="BP9" s="250"/>
      <c r="BQ9" s="199"/>
      <c r="BR9" s="200">
        <v>2.1</v>
      </c>
      <c r="BS9" s="200"/>
      <c r="BT9" s="200"/>
      <c r="BU9" s="200"/>
      <c r="BV9" s="208"/>
      <c r="BW9" s="208"/>
      <c r="BX9" s="201"/>
      <c r="BY9" s="202">
        <v>36.93</v>
      </c>
      <c r="BZ9" s="200">
        <v>42.79</v>
      </c>
      <c r="CA9" s="200">
        <v>42.3</v>
      </c>
      <c r="CB9" s="200"/>
      <c r="CC9" s="200"/>
      <c r="CD9" s="200"/>
      <c r="CE9" s="200"/>
      <c r="CF9" s="203"/>
      <c r="CG9" s="204"/>
      <c r="CH9" s="230"/>
      <c r="CI9" s="266">
        <f t="shared" si="30"/>
        <v>271.7</v>
      </c>
      <c r="CJ9" s="453"/>
      <c r="CK9" s="202"/>
      <c r="CL9" s="208"/>
      <c r="CM9" s="208"/>
      <c r="CN9" s="201"/>
      <c r="CO9" s="284"/>
      <c r="CP9" s="286">
        <f t="shared" si="20"/>
        <v>442.23094300000002</v>
      </c>
      <c r="CQ9" s="27">
        <f t="shared" si="20"/>
        <v>0</v>
      </c>
      <c r="CR9" s="28">
        <f t="shared" si="20"/>
        <v>0</v>
      </c>
      <c r="CS9" s="27">
        <f t="shared" si="20"/>
        <v>0</v>
      </c>
      <c r="CT9" s="27">
        <f t="shared" si="20"/>
        <v>0</v>
      </c>
      <c r="CU9" s="237">
        <f t="shared" si="20"/>
        <v>0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271.7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31"/>
        <v>0</v>
      </c>
      <c r="DH9" s="249">
        <v>362.06299999999999</v>
      </c>
      <c r="DI9" s="195">
        <v>24.707000000000001</v>
      </c>
      <c r="DJ9" s="197">
        <v>38.947000000000003</v>
      </c>
      <c r="DK9" s="247">
        <f t="shared" si="32"/>
        <v>451.71699999999998</v>
      </c>
      <c r="DL9" s="197">
        <v>255.17</v>
      </c>
      <c r="DM9" s="247">
        <f t="shared" si="33"/>
        <v>271.7</v>
      </c>
    </row>
    <row r="10" spans="1:117" ht="16.5" customHeight="1">
      <c r="A10" s="127">
        <v>4</v>
      </c>
      <c r="B10" s="103">
        <f t="shared" si="24"/>
        <v>449.01299999999998</v>
      </c>
      <c r="C10" s="104">
        <f t="shared" si="0"/>
        <v>1.29</v>
      </c>
      <c r="D10" s="448">
        <f t="shared" si="1"/>
        <v>443.22073229999995</v>
      </c>
      <c r="E10" s="104">
        <f t="shared" si="2"/>
        <v>37.65</v>
      </c>
      <c r="F10" s="128">
        <f t="shared" si="3"/>
        <v>2.2562651817348804</v>
      </c>
      <c r="G10" s="106"/>
      <c r="H10" s="107">
        <f t="shared" si="4"/>
        <v>2.2562651817348804</v>
      </c>
      <c r="I10" s="103">
        <f>'[1]сентябрь 20'!AE9</f>
        <v>0</v>
      </c>
      <c r="J10" s="328">
        <f>'[1]май 20'!AA9</f>
        <v>16.452000000000002</v>
      </c>
      <c r="K10" s="106"/>
      <c r="L10" s="328"/>
      <c r="M10" s="103">
        <f t="shared" si="5"/>
        <v>0</v>
      </c>
      <c r="N10" s="103">
        <f>'[1]июль 20'!AM9</f>
        <v>0</v>
      </c>
      <c r="O10" s="103">
        <f>'[1]май 20'!W9</f>
        <v>0</v>
      </c>
      <c r="P10" s="103">
        <v>271.55</v>
      </c>
      <c r="Q10" s="108">
        <f t="shared" si="6"/>
        <v>1.4067390904069166</v>
      </c>
      <c r="R10" s="109">
        <f t="shared" si="7"/>
        <v>267.73</v>
      </c>
      <c r="S10" s="106">
        <v>14.09</v>
      </c>
      <c r="T10" s="109">
        <f t="shared" si="8"/>
        <v>267.73</v>
      </c>
      <c r="U10" s="110">
        <f t="shared" si="9"/>
        <v>1.3629097943392385</v>
      </c>
      <c r="V10" s="136">
        <v>196.44</v>
      </c>
      <c r="W10" s="130">
        <v>95.64</v>
      </c>
      <c r="X10" s="131">
        <v>0.97</v>
      </c>
      <c r="Y10" s="112">
        <v>593</v>
      </c>
      <c r="Z10" s="112">
        <v>1240</v>
      </c>
      <c r="AA10" s="144" t="s">
        <v>280</v>
      </c>
      <c r="AB10" s="131">
        <v>76.31</v>
      </c>
      <c r="AC10" s="133">
        <v>141</v>
      </c>
      <c r="AD10" s="134">
        <v>4</v>
      </c>
      <c r="AE10" s="131">
        <v>1.45</v>
      </c>
      <c r="AF10" s="115">
        <f t="shared" si="10"/>
        <v>7.3813887192017917</v>
      </c>
      <c r="AG10" s="131">
        <v>120.15</v>
      </c>
      <c r="AH10" s="115">
        <f t="shared" si="11"/>
        <v>611.6371411117899</v>
      </c>
      <c r="AI10" s="131">
        <v>15.33</v>
      </c>
      <c r="AJ10" s="116"/>
      <c r="AK10" s="135">
        <v>9.3699999999999992</v>
      </c>
      <c r="AL10" s="136">
        <v>40.06</v>
      </c>
      <c r="AM10" s="110">
        <f t="shared" si="12"/>
        <v>0.16458504519309777</v>
      </c>
      <c r="AN10" s="137" t="s">
        <v>281</v>
      </c>
      <c r="AO10" s="150">
        <v>8.4700000000000006</v>
      </c>
      <c r="AP10" s="138">
        <v>7.16</v>
      </c>
      <c r="AQ10" s="131"/>
      <c r="AR10" s="131">
        <v>7.54</v>
      </c>
      <c r="AS10" s="315">
        <v>243.4</v>
      </c>
      <c r="AT10" s="131">
        <v>2.4700000000000002</v>
      </c>
      <c r="AU10" s="116"/>
      <c r="AV10" s="131"/>
      <c r="AW10" s="109"/>
      <c r="AX10" s="109">
        <f t="shared" si="13"/>
        <v>196.44</v>
      </c>
      <c r="AY10" s="115">
        <f>IF(AB10=0,0,((D10*0.97)*(E10/100)*0.9)/(AB10/100))</f>
        <v>190.90523494385971</v>
      </c>
      <c r="AZ10" s="140">
        <f t="shared" si="14"/>
        <v>7.0177753521126753</v>
      </c>
      <c r="BA10" s="141">
        <f t="shared" si="15"/>
        <v>7.8575999999999997</v>
      </c>
      <c r="BB10" s="128">
        <f t="shared" si="16"/>
        <v>0.89831020113425075</v>
      </c>
      <c r="BC10" s="141">
        <f t="shared" si="17"/>
        <v>14.875375352112675</v>
      </c>
      <c r="BD10" s="142">
        <v>0.86099999999999999</v>
      </c>
      <c r="BE10" s="16">
        <f t="shared" si="26"/>
        <v>761.03</v>
      </c>
      <c r="BF10" s="16">
        <f t="shared" si="18"/>
        <v>175.80645161290323</v>
      </c>
      <c r="BG10" s="16">
        <f t="shared" si="27"/>
        <v>703.22580645161293</v>
      </c>
      <c r="BH10" s="17">
        <f t="shared" si="19"/>
        <v>1</v>
      </c>
      <c r="BI10" s="16">
        <f t="shared" si="28"/>
        <v>703.22580645161293</v>
      </c>
      <c r="BJ10" s="441">
        <f t="shared" si="29"/>
        <v>449.01299999999998</v>
      </c>
      <c r="BK10" s="244"/>
      <c r="BL10" s="197"/>
      <c r="BM10" s="195"/>
      <c r="BN10" s="195"/>
      <c r="BO10" s="230"/>
      <c r="BP10" s="250"/>
      <c r="BQ10" s="199"/>
      <c r="BR10" s="200">
        <v>1.29</v>
      </c>
      <c r="BS10" s="200"/>
      <c r="BT10" s="200"/>
      <c r="BU10" s="200"/>
      <c r="BV10" s="208"/>
      <c r="BW10" s="208"/>
      <c r="BX10" s="201"/>
      <c r="BY10" s="202">
        <v>37.65</v>
      </c>
      <c r="BZ10" s="200"/>
      <c r="CA10" s="200">
        <v>42.51</v>
      </c>
      <c r="CB10" s="200"/>
      <c r="CC10" s="200"/>
      <c r="CD10" s="200"/>
      <c r="CE10" s="200"/>
      <c r="CF10" s="203"/>
      <c r="CG10" s="204"/>
      <c r="CH10" s="230">
        <v>28</v>
      </c>
      <c r="CI10" s="266">
        <f t="shared" si="30"/>
        <v>239.73</v>
      </c>
      <c r="CJ10" s="453"/>
      <c r="CK10" s="202"/>
      <c r="CL10" s="208"/>
      <c r="CM10" s="208"/>
      <c r="CN10" s="201"/>
      <c r="CO10" s="284"/>
      <c r="CP10" s="286">
        <f t="shared" si="20"/>
        <v>443.22073229999995</v>
      </c>
      <c r="CQ10" s="29">
        <f t="shared" si="20"/>
        <v>0</v>
      </c>
      <c r="CR10" s="30">
        <f t="shared" si="20"/>
        <v>0</v>
      </c>
      <c r="CS10" s="29">
        <f t="shared" si="20"/>
        <v>0</v>
      </c>
      <c r="CT10" s="27">
        <f t="shared" si="20"/>
        <v>0</v>
      </c>
      <c r="CU10" s="24">
        <f t="shared" si="20"/>
        <v>0</v>
      </c>
      <c r="CV10" s="282">
        <f t="shared" si="20"/>
        <v>0</v>
      </c>
      <c r="CW10" s="237">
        <f t="shared" si="21"/>
        <v>0</v>
      </c>
      <c r="CX10" s="26">
        <f t="shared" si="21"/>
        <v>28</v>
      </c>
      <c r="CY10" s="277">
        <f t="shared" si="21"/>
        <v>239.73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31"/>
        <v>0</v>
      </c>
      <c r="DH10" s="249">
        <v>359.58499999999998</v>
      </c>
      <c r="DI10" s="195"/>
      <c r="DJ10" s="197">
        <v>63.427999999999997</v>
      </c>
      <c r="DK10" s="247">
        <f t="shared" si="32"/>
        <v>449.01299999999998</v>
      </c>
      <c r="DL10" s="197">
        <v>223.2</v>
      </c>
      <c r="DM10" s="247">
        <f t="shared" si="33"/>
        <v>239.73</v>
      </c>
    </row>
    <row r="11" spans="1:117" ht="16.5" customHeight="1">
      <c r="A11" s="127">
        <v>5</v>
      </c>
      <c r="B11" s="103">
        <f t="shared" si="24"/>
        <v>421.83199999999999</v>
      </c>
      <c r="C11" s="104">
        <f t="shared" si="0"/>
        <v>0.83</v>
      </c>
      <c r="D11" s="448">
        <f t="shared" si="1"/>
        <v>418.3307944</v>
      </c>
      <c r="E11" s="104">
        <f t="shared" si="2"/>
        <v>37.270000000000003</v>
      </c>
      <c r="F11" s="128">
        <f t="shared" si="3"/>
        <v>2.2572211428263098</v>
      </c>
      <c r="G11" s="106"/>
      <c r="H11" s="107">
        <f>IF(AX11=0,0,(CV11+CS11+CU11+CP11+CT11)/AX11)</f>
        <v>2.2572211428263098</v>
      </c>
      <c r="I11" s="103">
        <f>'[1]сентябрь 20'!AE10</f>
        <v>0</v>
      </c>
      <c r="J11" s="328">
        <f>'[1]май 20'!AA10</f>
        <v>15.83</v>
      </c>
      <c r="K11" s="106"/>
      <c r="L11" s="328"/>
      <c r="M11" s="103">
        <f t="shared" si="5"/>
        <v>0</v>
      </c>
      <c r="N11" s="103">
        <f>'[1]июль 20'!AM10</f>
        <v>0</v>
      </c>
      <c r="O11" s="103">
        <f>'[1]май 20'!W10</f>
        <v>0</v>
      </c>
      <c r="P11" s="103">
        <v>259.10000000000002</v>
      </c>
      <c r="Q11" s="108">
        <f t="shared" si="6"/>
        <v>1.5476649942107401</v>
      </c>
      <c r="R11" s="109">
        <f t="shared" si="7"/>
        <v>255.09000000000003</v>
      </c>
      <c r="S11" s="106">
        <v>12.36</v>
      </c>
      <c r="T11" s="109">
        <f t="shared" si="8"/>
        <v>255.09</v>
      </c>
      <c r="U11" s="110">
        <f t="shared" si="9"/>
        <v>1.3764096476555336</v>
      </c>
      <c r="V11" s="136">
        <v>185.33</v>
      </c>
      <c r="W11" s="130">
        <v>138.80000000000001</v>
      </c>
      <c r="X11" s="131">
        <v>0.67</v>
      </c>
      <c r="Y11" s="112">
        <v>563</v>
      </c>
      <c r="Z11" s="112">
        <v>1234</v>
      </c>
      <c r="AA11" s="144" t="s">
        <v>282</v>
      </c>
      <c r="AB11" s="131">
        <v>76.150000000000006</v>
      </c>
      <c r="AC11" s="133">
        <v>133</v>
      </c>
      <c r="AD11" s="134">
        <v>4</v>
      </c>
      <c r="AE11" s="131">
        <v>1.1499999999999999</v>
      </c>
      <c r="AF11" s="115">
        <f t="shared" si="10"/>
        <v>6.2051475745966655</v>
      </c>
      <c r="AG11" s="131">
        <v>127.6</v>
      </c>
      <c r="AH11" s="115">
        <f t="shared" si="11"/>
        <v>688.50159175524743</v>
      </c>
      <c r="AI11" s="131">
        <v>17.68</v>
      </c>
      <c r="AJ11" s="116"/>
      <c r="AK11" s="135">
        <v>9.33</v>
      </c>
      <c r="AL11" s="136">
        <v>42.89</v>
      </c>
      <c r="AM11" s="110">
        <f t="shared" si="12"/>
        <v>0.18297781569965871</v>
      </c>
      <c r="AN11" s="137" t="s">
        <v>283</v>
      </c>
      <c r="AO11" s="150">
        <v>7.88</v>
      </c>
      <c r="AP11" s="138">
        <v>7.22</v>
      </c>
      <c r="AQ11" s="131"/>
      <c r="AR11" s="131">
        <v>7.78</v>
      </c>
      <c r="AS11" s="315">
        <v>234.4</v>
      </c>
      <c r="AT11" s="131">
        <v>3.15</v>
      </c>
      <c r="AU11" s="145"/>
      <c r="AV11" s="131"/>
      <c r="AW11" s="109"/>
      <c r="AX11" s="109">
        <f t="shared" si="13"/>
        <v>185.32999999999998</v>
      </c>
      <c r="AY11" s="115">
        <f t="shared" si="25"/>
        <v>178.74074512754331</v>
      </c>
      <c r="AZ11" s="140">
        <f t="shared" si="14"/>
        <v>7.6901464788732392</v>
      </c>
      <c r="BA11" s="141">
        <f t="shared" si="15"/>
        <v>7.4131999999999998</v>
      </c>
      <c r="BB11" s="128">
        <f t="shared" si="16"/>
        <v>0.90518303414562762</v>
      </c>
      <c r="BC11" s="141">
        <f t="shared" si="17"/>
        <v>15.103346478873238</v>
      </c>
      <c r="BD11" s="142">
        <v>0.86899999999999999</v>
      </c>
      <c r="BE11" s="16">
        <f t="shared" si="26"/>
        <v>946.3599999999999</v>
      </c>
      <c r="BF11" s="16">
        <f t="shared" si="18"/>
        <v>175.80645161290323</v>
      </c>
      <c r="BG11" s="16">
        <f t="shared" si="27"/>
        <v>879.0322580645161</v>
      </c>
      <c r="BH11" s="17">
        <f t="shared" si="19"/>
        <v>1</v>
      </c>
      <c r="BI11" s="16">
        <f t="shared" si="28"/>
        <v>879.0322580645161</v>
      </c>
      <c r="BJ11" s="441">
        <f t="shared" si="29"/>
        <v>421.83199999999999</v>
      </c>
      <c r="BK11" s="244"/>
      <c r="BL11" s="197"/>
      <c r="BM11" s="197"/>
      <c r="BN11" s="230"/>
      <c r="BO11" s="230"/>
      <c r="BP11" s="250"/>
      <c r="BQ11" s="199"/>
      <c r="BR11" s="200">
        <v>0.83</v>
      </c>
      <c r="BS11" s="200"/>
      <c r="BT11" s="200"/>
      <c r="BU11" s="200"/>
      <c r="BV11" s="208"/>
      <c r="BW11" s="208"/>
      <c r="BX11" s="201"/>
      <c r="BY11" s="202">
        <v>37.270000000000003</v>
      </c>
      <c r="BZ11" s="200"/>
      <c r="CA11" s="200">
        <v>42.24</v>
      </c>
      <c r="CB11" s="200"/>
      <c r="CC11" s="200"/>
      <c r="CD11" s="200"/>
      <c r="CE11" s="200"/>
      <c r="CF11" s="203"/>
      <c r="CG11" s="204"/>
      <c r="CH11" s="230">
        <v>66</v>
      </c>
      <c r="CI11" s="266">
        <f t="shared" si="30"/>
        <v>189.09</v>
      </c>
      <c r="CJ11" s="453"/>
      <c r="CK11" s="202"/>
      <c r="CL11" s="208"/>
      <c r="CM11" s="208"/>
      <c r="CN11" s="201"/>
      <c r="CO11" s="284"/>
      <c r="CP11" s="286">
        <f t="shared" si="20"/>
        <v>418.3307944</v>
      </c>
      <c r="CQ11" s="24">
        <f t="shared" si="20"/>
        <v>0</v>
      </c>
      <c r="CR11" s="25">
        <f t="shared" si="20"/>
        <v>0</v>
      </c>
      <c r="CS11" s="24">
        <f t="shared" si="20"/>
        <v>0</v>
      </c>
      <c r="CT11" s="27">
        <f t="shared" si="20"/>
        <v>0</v>
      </c>
      <c r="CU11" s="24">
        <f t="shared" si="20"/>
        <v>0</v>
      </c>
      <c r="CV11" s="280">
        <f t="shared" si="20"/>
        <v>0</v>
      </c>
      <c r="CW11" s="237">
        <f t="shared" si="21"/>
        <v>0</v>
      </c>
      <c r="CX11" s="26">
        <f t="shared" si="21"/>
        <v>66</v>
      </c>
      <c r="CY11" s="277">
        <f t="shared" si="21"/>
        <v>189.09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31"/>
        <v>0</v>
      </c>
      <c r="DH11" s="249">
        <v>336.512</v>
      </c>
      <c r="DI11" s="195"/>
      <c r="DJ11" s="197">
        <v>59.32</v>
      </c>
      <c r="DK11" s="247">
        <f t="shared" si="32"/>
        <v>421.83199999999999</v>
      </c>
      <c r="DL11" s="230">
        <v>172.56</v>
      </c>
      <c r="DM11" s="247">
        <f t="shared" si="33"/>
        <v>189.09</v>
      </c>
    </row>
    <row r="12" spans="1:117" ht="16.5" customHeight="1">
      <c r="A12" s="127">
        <v>6</v>
      </c>
      <c r="B12" s="103">
        <f t="shared" si="24"/>
        <v>467.22400000000005</v>
      </c>
      <c r="C12" s="104">
        <f t="shared" si="0"/>
        <v>1.2084452853449308</v>
      </c>
      <c r="D12" s="448">
        <f t="shared" si="1"/>
        <v>461.57785360000003</v>
      </c>
      <c r="E12" s="104">
        <f t="shared" si="2"/>
        <v>37.619944180949602</v>
      </c>
      <c r="F12" s="128">
        <f t="shared" si="3"/>
        <v>2.4725618898650099</v>
      </c>
      <c r="G12" s="106"/>
      <c r="H12" s="107">
        <f t="shared" si="4"/>
        <v>2.4725618898650099</v>
      </c>
      <c r="I12" s="103">
        <f>'[1]сентябрь 20'!AE11</f>
        <v>0</v>
      </c>
      <c r="J12" s="328">
        <f>'[1]май 20'!AA11</f>
        <v>14.637</v>
      </c>
      <c r="K12" s="106"/>
      <c r="L12" s="328"/>
      <c r="M12" s="103">
        <f t="shared" si="5"/>
        <v>0</v>
      </c>
      <c r="N12" s="103">
        <f>'[1]июль 20'!AM11</f>
        <v>0</v>
      </c>
      <c r="O12" s="103">
        <f>'[1]май 20'!W11</f>
        <v>0</v>
      </c>
      <c r="P12" s="103">
        <v>282.67</v>
      </c>
      <c r="Q12" s="108">
        <f t="shared" si="6"/>
        <v>1.4044645699932912</v>
      </c>
      <c r="R12" s="109">
        <f t="shared" si="7"/>
        <v>278.7</v>
      </c>
      <c r="S12" s="106">
        <v>38.950000000000003</v>
      </c>
      <c r="T12" s="109">
        <f t="shared" si="8"/>
        <v>278.7</v>
      </c>
      <c r="U12" s="110">
        <f t="shared" si="9"/>
        <v>1.492929076494536</v>
      </c>
      <c r="V12" s="136">
        <v>186.68</v>
      </c>
      <c r="W12" s="130">
        <v>186.68</v>
      </c>
      <c r="X12" s="131">
        <v>0.74</v>
      </c>
      <c r="Y12" s="112">
        <v>567</v>
      </c>
      <c r="Z12" s="133">
        <v>1233</v>
      </c>
      <c r="AA12" s="144" t="s">
        <v>284</v>
      </c>
      <c r="AB12" s="131">
        <v>76.39</v>
      </c>
      <c r="AC12" s="133">
        <v>147</v>
      </c>
      <c r="AD12" s="134">
        <v>4</v>
      </c>
      <c r="AE12" s="131">
        <v>0.7</v>
      </c>
      <c r="AF12" s="115">
        <f t="shared" si="10"/>
        <v>3.7497321619884292</v>
      </c>
      <c r="AG12" s="131">
        <v>106.45</v>
      </c>
      <c r="AH12" s="115">
        <f t="shared" si="11"/>
        <v>570.22712663381196</v>
      </c>
      <c r="AI12" s="131">
        <v>14.81</v>
      </c>
      <c r="AJ12" s="116"/>
      <c r="AK12" s="135">
        <v>6.77</v>
      </c>
      <c r="AL12" s="136">
        <v>44.08</v>
      </c>
      <c r="AM12" s="110">
        <f t="shared" si="12"/>
        <v>0.18837606837606838</v>
      </c>
      <c r="AN12" s="137" t="s">
        <v>218</v>
      </c>
      <c r="AO12" s="150">
        <v>8.2200000000000006</v>
      </c>
      <c r="AP12" s="138">
        <v>7.62</v>
      </c>
      <c r="AQ12" s="131"/>
      <c r="AR12" s="131">
        <v>5.89</v>
      </c>
      <c r="AS12" s="315">
        <v>234</v>
      </c>
      <c r="AT12" s="131">
        <v>3.53</v>
      </c>
      <c r="AU12" s="116"/>
      <c r="AV12" s="131"/>
      <c r="AW12" s="109"/>
      <c r="AX12" s="109">
        <f t="shared" si="13"/>
        <v>186.68</v>
      </c>
      <c r="AY12" s="115">
        <f t="shared" si="25"/>
        <v>198.44531202343265</v>
      </c>
      <c r="AZ12" s="140">
        <f t="shared" si="14"/>
        <v>4.8569686619718304</v>
      </c>
      <c r="BA12" s="141">
        <f t="shared" si="15"/>
        <v>7.4672000000000001</v>
      </c>
      <c r="BB12" s="128">
        <f t="shared" si="16"/>
        <v>0.8212420759063136</v>
      </c>
      <c r="BC12" s="141">
        <f t="shared" si="17"/>
        <v>12.32416866197183</v>
      </c>
      <c r="BD12" s="142">
        <v>0.86099999999999999</v>
      </c>
      <c r="BE12" s="16">
        <f t="shared" si="26"/>
        <v>1133.04</v>
      </c>
      <c r="BF12" s="16">
        <f t="shared" si="18"/>
        <v>175.80645161290323</v>
      </c>
      <c r="BG12" s="16">
        <f t="shared" si="27"/>
        <v>1054.8387096774193</v>
      </c>
      <c r="BH12" s="17">
        <f t="shared" si="19"/>
        <v>1</v>
      </c>
      <c r="BI12" s="16">
        <f t="shared" si="28"/>
        <v>1054.8387096774193</v>
      </c>
      <c r="BJ12" s="441">
        <f t="shared" si="29"/>
        <v>459.96000000000004</v>
      </c>
      <c r="BK12" s="244"/>
      <c r="BL12" s="271"/>
      <c r="BM12" s="197"/>
      <c r="BN12" s="230"/>
      <c r="BO12" s="230">
        <v>7.2640000000000002</v>
      </c>
      <c r="BP12" s="250"/>
      <c r="BQ12" s="199"/>
      <c r="BR12" s="200">
        <v>1.21</v>
      </c>
      <c r="BS12" s="200"/>
      <c r="BT12" s="200"/>
      <c r="BU12" s="200"/>
      <c r="BV12" s="208"/>
      <c r="BW12" s="208">
        <v>1.1100000000000001</v>
      </c>
      <c r="BX12" s="201"/>
      <c r="BY12" s="202">
        <v>37.64</v>
      </c>
      <c r="BZ12" s="200"/>
      <c r="CA12" s="200">
        <v>42.54</v>
      </c>
      <c r="CB12" s="200"/>
      <c r="CC12" s="200"/>
      <c r="CD12" s="200">
        <v>36.35</v>
      </c>
      <c r="CE12" s="200"/>
      <c r="CF12" s="203"/>
      <c r="CG12" s="204"/>
      <c r="CH12" s="230">
        <v>73.5</v>
      </c>
      <c r="CI12" s="266">
        <f t="shared" si="30"/>
        <v>205.2</v>
      </c>
      <c r="CJ12" s="453"/>
      <c r="CK12" s="202"/>
      <c r="CL12" s="202"/>
      <c r="CM12" s="270"/>
      <c r="CN12" s="201"/>
      <c r="CO12" s="284"/>
      <c r="CP12" s="286">
        <f t="shared" si="20"/>
        <v>454.39448400000009</v>
      </c>
      <c r="CQ12" s="24">
        <f t="shared" si="20"/>
        <v>0</v>
      </c>
      <c r="CR12" s="25">
        <f t="shared" si="20"/>
        <v>0</v>
      </c>
      <c r="CS12" s="24">
        <f t="shared" si="20"/>
        <v>0</v>
      </c>
      <c r="CT12" s="27">
        <f t="shared" si="20"/>
        <v>0</v>
      </c>
      <c r="CU12" s="30">
        <f t="shared" si="20"/>
        <v>7.1833695999999998</v>
      </c>
      <c r="CV12" s="280">
        <f t="shared" si="20"/>
        <v>0</v>
      </c>
      <c r="CW12" s="237">
        <f t="shared" si="21"/>
        <v>0</v>
      </c>
      <c r="CX12" s="26">
        <f t="shared" si="21"/>
        <v>73.5</v>
      </c>
      <c r="CY12" s="277">
        <f t="shared" si="21"/>
        <v>205.2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31"/>
        <v>0</v>
      </c>
      <c r="DH12" s="249">
        <v>364.233</v>
      </c>
      <c r="DI12" s="195"/>
      <c r="DJ12" s="271">
        <v>69.727000000000004</v>
      </c>
      <c r="DK12" s="247">
        <f t="shared" si="32"/>
        <v>459.96000000000004</v>
      </c>
      <c r="DL12" s="230">
        <v>188.67</v>
      </c>
      <c r="DM12" s="247">
        <f t="shared" si="33"/>
        <v>205.2</v>
      </c>
    </row>
    <row r="13" spans="1:117" ht="16.5" customHeight="1">
      <c r="A13" s="127">
        <v>7</v>
      </c>
      <c r="B13" s="103">
        <f t="shared" si="24"/>
        <v>446.553</v>
      </c>
      <c r="C13" s="104">
        <f t="shared" si="0"/>
        <v>1.0411691109453973</v>
      </c>
      <c r="D13" s="448">
        <f t="shared" si="1"/>
        <v>441.90362809999993</v>
      </c>
      <c r="E13" s="104">
        <f t="shared" si="2"/>
        <v>37.939388628001609</v>
      </c>
      <c r="F13" s="128">
        <f t="shared" si="3"/>
        <v>2.3764647921484263</v>
      </c>
      <c r="G13" s="106"/>
      <c r="H13" s="107">
        <f t="shared" si="4"/>
        <v>2.3764647921484268</v>
      </c>
      <c r="I13" s="103">
        <f>'[1]сентябрь 20'!AE12</f>
        <v>0</v>
      </c>
      <c r="J13" s="328">
        <f>'[1]май 20'!AA12</f>
        <v>0</v>
      </c>
      <c r="K13" s="106"/>
      <c r="L13" s="328"/>
      <c r="M13" s="103">
        <f t="shared" si="5"/>
        <v>0</v>
      </c>
      <c r="N13" s="103">
        <f>'[1]июль 20'!AM12</f>
        <v>0</v>
      </c>
      <c r="O13" s="103">
        <f>'[1]май 20'!W12</f>
        <v>0</v>
      </c>
      <c r="P13" s="103">
        <v>264.93</v>
      </c>
      <c r="Q13" s="108">
        <f t="shared" si="6"/>
        <v>1.358849507417037</v>
      </c>
      <c r="R13" s="109">
        <f t="shared" si="7"/>
        <v>261.33000000000004</v>
      </c>
      <c r="S13" s="106"/>
      <c r="T13" s="109">
        <f t="shared" si="8"/>
        <v>261.33000000000004</v>
      </c>
      <c r="U13" s="110">
        <f t="shared" si="9"/>
        <v>1.4053777897284216</v>
      </c>
      <c r="V13" s="136">
        <v>185.95</v>
      </c>
      <c r="W13" s="130">
        <v>141.76</v>
      </c>
      <c r="X13" s="131">
        <v>0.8</v>
      </c>
      <c r="Y13" s="146">
        <v>596</v>
      </c>
      <c r="Z13" s="147">
        <v>1241</v>
      </c>
      <c r="AA13" s="144" t="s">
        <v>285</v>
      </c>
      <c r="AB13" s="131">
        <v>75.819999999999993</v>
      </c>
      <c r="AC13" s="133">
        <v>140</v>
      </c>
      <c r="AD13" s="134">
        <v>4</v>
      </c>
      <c r="AE13" s="131">
        <v>2.1</v>
      </c>
      <c r="AF13" s="115">
        <f t="shared" si="10"/>
        <v>11.293358429685398</v>
      </c>
      <c r="AG13" s="131">
        <v>126.5</v>
      </c>
      <c r="AH13" s="115">
        <f t="shared" si="11"/>
        <v>680.29040064533478</v>
      </c>
      <c r="AI13" s="131">
        <v>16.260000000000002</v>
      </c>
      <c r="AJ13" s="116"/>
      <c r="AK13" s="135">
        <v>9.4</v>
      </c>
      <c r="AL13" s="136">
        <v>41.05</v>
      </c>
      <c r="AM13" s="110">
        <f t="shared" si="12"/>
        <v>0.17479242069406004</v>
      </c>
      <c r="AN13" s="137" t="s">
        <v>228</v>
      </c>
      <c r="AO13" s="150">
        <v>8.9499999999999993</v>
      </c>
      <c r="AP13" s="138">
        <v>7.11</v>
      </c>
      <c r="AQ13" s="131"/>
      <c r="AR13" s="131">
        <v>7.25</v>
      </c>
      <c r="AS13" s="315">
        <v>234.85</v>
      </c>
      <c r="AT13" s="131">
        <v>1.55</v>
      </c>
      <c r="AU13" s="148"/>
      <c r="AV13" s="149"/>
      <c r="AW13" s="109"/>
      <c r="AX13" s="109">
        <f t="shared" si="13"/>
        <v>185.95000000000002</v>
      </c>
      <c r="AY13" s="115">
        <f t="shared" si="25"/>
        <v>193.04046676758568</v>
      </c>
      <c r="AZ13" s="140">
        <f t="shared" si="14"/>
        <v>7.1044894366197182</v>
      </c>
      <c r="BA13" s="141">
        <f t="shared" si="15"/>
        <v>7.4380000000000006</v>
      </c>
      <c r="BB13" s="128">
        <f t="shared" si="16"/>
        <v>0.84093430107297218</v>
      </c>
      <c r="BC13" s="141">
        <f t="shared" si="17"/>
        <v>14.542489436619718</v>
      </c>
      <c r="BD13" s="142">
        <v>0.85799999999999998</v>
      </c>
      <c r="BE13" s="16">
        <f t="shared" si="26"/>
        <v>1318.99</v>
      </c>
      <c r="BF13" s="16">
        <f t="shared" si="18"/>
        <v>175.80645161290323</v>
      </c>
      <c r="BG13" s="16">
        <f t="shared" si="27"/>
        <v>1230.6451612903224</v>
      </c>
      <c r="BH13" s="17">
        <f t="shared" si="19"/>
        <v>1</v>
      </c>
      <c r="BI13" s="16">
        <f t="shared" si="28"/>
        <v>1230.6451612903224</v>
      </c>
      <c r="BJ13" s="441">
        <f t="shared" si="29"/>
        <v>403.60599999999999</v>
      </c>
      <c r="BK13" s="244"/>
      <c r="BL13" s="266"/>
      <c r="BM13" s="196"/>
      <c r="BN13" s="313"/>
      <c r="BO13" s="230">
        <v>42.947000000000003</v>
      </c>
      <c r="BP13" s="250"/>
      <c r="BQ13" s="199"/>
      <c r="BR13" s="200">
        <v>0.97</v>
      </c>
      <c r="BS13" s="200"/>
      <c r="BT13" s="200"/>
      <c r="BU13" s="200"/>
      <c r="BV13" s="208"/>
      <c r="BW13" s="208">
        <v>1.71</v>
      </c>
      <c r="BX13" s="201"/>
      <c r="BY13" s="202">
        <v>38.1</v>
      </c>
      <c r="BZ13" s="200"/>
      <c r="CA13" s="202">
        <v>42.62</v>
      </c>
      <c r="CB13" s="200"/>
      <c r="CC13" s="200"/>
      <c r="CD13" s="200">
        <v>36.43</v>
      </c>
      <c r="CE13" s="200"/>
      <c r="CF13" s="203"/>
      <c r="CG13" s="204"/>
      <c r="CH13" s="230">
        <v>70</v>
      </c>
      <c r="CI13" s="266">
        <f t="shared" si="30"/>
        <v>191.33</v>
      </c>
      <c r="CJ13" s="454"/>
      <c r="CK13" s="202"/>
      <c r="CL13" s="202"/>
      <c r="CM13" s="270"/>
      <c r="CN13" s="201"/>
      <c r="CO13" s="284"/>
      <c r="CP13" s="286">
        <f t="shared" si="20"/>
        <v>399.69102179999999</v>
      </c>
      <c r="CQ13" s="24">
        <f t="shared" si="20"/>
        <v>0</v>
      </c>
      <c r="CR13" s="25">
        <f t="shared" si="20"/>
        <v>0</v>
      </c>
      <c r="CS13" s="24">
        <f t="shared" si="20"/>
        <v>0</v>
      </c>
      <c r="CT13" s="27">
        <f t="shared" si="20"/>
        <v>0</v>
      </c>
      <c r="CU13" s="24">
        <f t="shared" si="20"/>
        <v>42.212606300000004</v>
      </c>
      <c r="CV13" s="280">
        <f t="shared" si="20"/>
        <v>0</v>
      </c>
      <c r="CW13" s="237">
        <f t="shared" si="21"/>
        <v>0</v>
      </c>
      <c r="CX13" s="26">
        <f t="shared" si="21"/>
        <v>70</v>
      </c>
      <c r="CY13" s="277">
        <f t="shared" si="21"/>
        <v>191.33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31"/>
        <v>0</v>
      </c>
      <c r="DH13" s="249">
        <v>294.101</v>
      </c>
      <c r="DI13" s="195"/>
      <c r="DJ13" s="266">
        <v>83.504999999999995</v>
      </c>
      <c r="DK13" s="247">
        <f t="shared" si="32"/>
        <v>403.60599999999999</v>
      </c>
      <c r="DL13" s="264">
        <v>174.8</v>
      </c>
      <c r="DM13" s="247">
        <f t="shared" si="33"/>
        <v>191.33</v>
      </c>
    </row>
    <row r="14" spans="1:117" ht="16.5" customHeight="1">
      <c r="A14" s="127">
        <v>8</v>
      </c>
      <c r="B14" s="103">
        <f t="shared" si="24"/>
        <v>458.06299999999999</v>
      </c>
      <c r="C14" s="104">
        <f>IF(B14=0,0,(BJ14*BR14+BK14*BS14+BM14*BU14+BP14*BX14+BL14*BT14+BO14*BW14+BN14*BV14)/B14)</f>
        <v>1.3388993435400811</v>
      </c>
      <c r="D14" s="448">
        <f>B14*((100-C14)/100)</f>
        <v>451.92999750000001</v>
      </c>
      <c r="E14" s="104">
        <f>IF(B14=0,0,(BJ14*BY14+BK14*BZ14+BM14*CB14+BP14*CE14+BL14*CA14+BO14*CD14+BN14*CC14)/B14)</f>
        <v>37.899905908139274</v>
      </c>
      <c r="F14" s="128">
        <f>IF(AX14=0,0,D14/AX14)</f>
        <v>2.3453733847111944</v>
      </c>
      <c r="G14" s="106"/>
      <c r="H14" s="107">
        <f>IF(AX14=0,0,(CV14+CS14+CU14+CP14+CT14)/AX14)</f>
        <v>2.3453733847111944</v>
      </c>
      <c r="I14" s="103">
        <f>'[1]сентябрь 20'!AE13</f>
        <v>0</v>
      </c>
      <c r="J14" s="328">
        <f>'[1]май 20'!AA13</f>
        <v>0</v>
      </c>
      <c r="K14" s="106"/>
      <c r="L14" s="328"/>
      <c r="M14" s="103">
        <f>IF(AX14=0,0,(CR14+CQ14)/AX14)</f>
        <v>0</v>
      </c>
      <c r="N14" s="103">
        <f>'[1]июль 20'!AM13</f>
        <v>0</v>
      </c>
      <c r="O14" s="103">
        <f>'[1]май 20'!W13</f>
        <v>0</v>
      </c>
      <c r="P14" s="103">
        <v>267.63</v>
      </c>
      <c r="Q14" s="108">
        <f>IF(P14=0,0,(1-(T14/P14))*100)</f>
        <v>1.808466913275808</v>
      </c>
      <c r="R14" s="109">
        <f>P14*((100-Q14)/100)</f>
        <v>262.78999999999996</v>
      </c>
      <c r="S14" s="106"/>
      <c r="T14" s="109">
        <f>CG14+CH14+CJ14+CI14</f>
        <v>262.78999999999996</v>
      </c>
      <c r="U14" s="110">
        <f>IF(AX14=0,0,R14/AX14)</f>
        <v>1.3637967720172295</v>
      </c>
      <c r="V14" s="136">
        <v>192.69</v>
      </c>
      <c r="W14" s="130">
        <v>99.84</v>
      </c>
      <c r="X14" s="131">
        <v>1.1100000000000001</v>
      </c>
      <c r="Y14" s="146">
        <v>595</v>
      </c>
      <c r="Z14" s="147">
        <v>1226</v>
      </c>
      <c r="AA14" s="144" t="s">
        <v>286</v>
      </c>
      <c r="AB14" s="131">
        <v>75.67</v>
      </c>
      <c r="AC14" s="133">
        <v>144</v>
      </c>
      <c r="AD14" s="134">
        <v>4</v>
      </c>
      <c r="AE14" s="131">
        <v>1.85</v>
      </c>
      <c r="AF14" s="115">
        <f t="shared" si="10"/>
        <v>9.600913384192225</v>
      </c>
      <c r="AG14" s="131">
        <v>112.15</v>
      </c>
      <c r="AH14" s="115">
        <f>IF(AX14=0,0,AG14/AX14*1000)</f>
        <v>582.02293839846391</v>
      </c>
      <c r="AI14" s="131">
        <v>16.690000000000001</v>
      </c>
      <c r="AJ14" s="116"/>
      <c r="AK14" s="135">
        <v>8.51</v>
      </c>
      <c r="AL14" s="136">
        <v>42.49</v>
      </c>
      <c r="AM14" s="110">
        <f>IF(AL14=0,0,AL14/AS14)</f>
        <v>0.17634363975928619</v>
      </c>
      <c r="AN14" s="137" t="s">
        <v>115</v>
      </c>
      <c r="AO14" s="150">
        <v>10.17</v>
      </c>
      <c r="AP14" s="138">
        <v>6.98</v>
      </c>
      <c r="AQ14" s="131"/>
      <c r="AR14" s="131">
        <v>7.33</v>
      </c>
      <c r="AS14" s="315">
        <v>240.95</v>
      </c>
      <c r="AT14" s="131">
        <v>2.74</v>
      </c>
      <c r="AU14" s="148"/>
      <c r="AV14" s="149"/>
      <c r="AW14" s="109"/>
      <c r="AX14" s="109">
        <f>AS14-AL14-AK14+AV14+AT14</f>
        <v>192.69</v>
      </c>
      <c r="AY14" s="115">
        <f>IF(AB14=0,0,((D14*0.97)*(E14/100)*0.9)/(AB14/100))</f>
        <v>197.60585602962252</v>
      </c>
      <c r="AZ14" s="140">
        <f>(AG14*AR14)/100*(55/71)</f>
        <v>6.3680665492957749</v>
      </c>
      <c r="BA14" s="141">
        <f>AX14*$BA$6</f>
        <v>7.7076000000000002</v>
      </c>
      <c r="BB14" s="128">
        <f>IF((D14*E14)=0,0,(AX14*AB14)/(D14*E14))</f>
        <v>0.85128231207268923</v>
      </c>
      <c r="BC14" s="141">
        <f>AZ14+BA14</f>
        <v>14.075666549295775</v>
      </c>
      <c r="BD14" s="142">
        <v>0.85699999999999998</v>
      </c>
      <c r="BE14" s="16">
        <f>BE13+AX14</f>
        <v>1511.68</v>
      </c>
      <c r="BF14" s="16">
        <f>IF(A14&lt;=$BD$43,$AS$43,0)</f>
        <v>175.80645161290323</v>
      </c>
      <c r="BG14" s="16">
        <f>BF14+BG13</f>
        <v>1406.4516129032256</v>
      </c>
      <c r="BH14" s="17">
        <f>IF(AX14&lt;&gt;0,1,0)</f>
        <v>1</v>
      </c>
      <c r="BI14" s="16">
        <f>BI13+BF14*BH14</f>
        <v>1406.4516129032256</v>
      </c>
      <c r="BJ14" s="441">
        <f t="shared" si="29"/>
        <v>407.64600000000002</v>
      </c>
      <c r="BK14" s="244"/>
      <c r="BL14" s="266"/>
      <c r="BM14" s="196"/>
      <c r="BN14" s="313"/>
      <c r="BO14" s="230">
        <v>50.417000000000002</v>
      </c>
      <c r="BP14" s="250"/>
      <c r="BQ14" s="199"/>
      <c r="BR14" s="200">
        <v>1.34</v>
      </c>
      <c r="BS14" s="200"/>
      <c r="BT14" s="200"/>
      <c r="BU14" s="200"/>
      <c r="BV14" s="208"/>
      <c r="BW14" s="208">
        <v>1.33</v>
      </c>
      <c r="BX14" s="201"/>
      <c r="BY14" s="202">
        <v>37.89</v>
      </c>
      <c r="BZ14" s="200"/>
      <c r="CA14" s="202">
        <v>42.68</v>
      </c>
      <c r="CB14" s="200"/>
      <c r="CC14" s="200"/>
      <c r="CD14" s="200">
        <v>37.979999999999997</v>
      </c>
      <c r="CE14" s="200"/>
      <c r="CF14" s="203"/>
      <c r="CG14" s="204"/>
      <c r="CH14" s="230">
        <v>72</v>
      </c>
      <c r="CI14" s="266">
        <f t="shared" si="30"/>
        <v>190.79</v>
      </c>
      <c r="CJ14" s="454"/>
      <c r="CK14" s="202"/>
      <c r="CL14" s="202"/>
      <c r="CM14" s="270"/>
      <c r="CN14" s="201"/>
      <c r="CO14" s="284"/>
      <c r="CP14" s="286">
        <f t="shared" si="20"/>
        <v>402.18354360000001</v>
      </c>
      <c r="CQ14" s="27">
        <f t="shared" si="20"/>
        <v>0</v>
      </c>
      <c r="CR14" s="28">
        <f t="shared" si="20"/>
        <v>0</v>
      </c>
      <c r="CS14" s="27">
        <f t="shared" si="20"/>
        <v>0</v>
      </c>
      <c r="CT14" s="27">
        <f t="shared" si="20"/>
        <v>0</v>
      </c>
      <c r="CU14" s="24">
        <f t="shared" si="20"/>
        <v>49.746453900000006</v>
      </c>
      <c r="CV14" s="282">
        <f t="shared" si="20"/>
        <v>0</v>
      </c>
      <c r="CW14" s="237">
        <f t="shared" si="21"/>
        <v>0</v>
      </c>
      <c r="CX14" s="26">
        <f t="shared" si="21"/>
        <v>72</v>
      </c>
      <c r="CY14" s="277">
        <f t="shared" si="21"/>
        <v>190.79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31"/>
        <v>0</v>
      </c>
      <c r="DH14" s="249">
        <v>302.40100000000001</v>
      </c>
      <c r="DI14" s="195"/>
      <c r="DJ14" s="266">
        <v>79.245000000000005</v>
      </c>
      <c r="DK14" s="247">
        <f t="shared" si="32"/>
        <v>407.64600000000002</v>
      </c>
      <c r="DL14" s="264">
        <v>174.26</v>
      </c>
      <c r="DM14" s="247">
        <f t="shared" si="33"/>
        <v>190.79</v>
      </c>
    </row>
    <row r="15" spans="1:117" ht="16.5" customHeight="1">
      <c r="A15" s="253">
        <v>9</v>
      </c>
      <c r="B15" s="103">
        <f t="shared" si="24"/>
        <v>457.95699999999999</v>
      </c>
      <c r="C15" s="104">
        <f t="shared" si="0"/>
        <v>0.73100365318141225</v>
      </c>
      <c r="D15" s="448">
        <f t="shared" si="1"/>
        <v>454.6093176</v>
      </c>
      <c r="E15" s="104">
        <f t="shared" si="2"/>
        <v>37.837762737549603</v>
      </c>
      <c r="F15" s="128">
        <f t="shared" si="3"/>
        <v>2.3683736264652251</v>
      </c>
      <c r="G15" s="106"/>
      <c r="H15" s="107">
        <f t="shared" si="4"/>
        <v>2.3683736264652251</v>
      </c>
      <c r="I15" s="103">
        <f>'[1]сентябрь 20'!AE14</f>
        <v>0</v>
      </c>
      <c r="J15" s="328">
        <f>'[1]май 20'!AA14</f>
        <v>0</v>
      </c>
      <c r="K15" s="106"/>
      <c r="L15" s="328"/>
      <c r="M15" s="103">
        <f t="shared" si="5"/>
        <v>0</v>
      </c>
      <c r="N15" s="103">
        <f>'[1]июль 20'!AM14</f>
        <v>0</v>
      </c>
      <c r="O15" s="103">
        <f>'[1]май 20'!W14</f>
        <v>0</v>
      </c>
      <c r="P15" s="103">
        <v>266.35000000000002</v>
      </c>
      <c r="Q15" s="108">
        <f t="shared" si="6"/>
        <v>1.3440961141355512</v>
      </c>
      <c r="R15" s="109">
        <f t="shared" si="7"/>
        <v>262.77</v>
      </c>
      <c r="S15" s="106">
        <v>46.07</v>
      </c>
      <c r="T15" s="109">
        <f t="shared" si="8"/>
        <v>262.77</v>
      </c>
      <c r="U15" s="110">
        <f t="shared" si="9"/>
        <v>1.3689502474602759</v>
      </c>
      <c r="V15" s="136">
        <v>191.95</v>
      </c>
      <c r="W15" s="130">
        <v>191.95</v>
      </c>
      <c r="X15" s="131">
        <v>0.62</v>
      </c>
      <c r="Y15" s="112">
        <v>572</v>
      </c>
      <c r="Z15" s="133">
        <v>1229</v>
      </c>
      <c r="AA15" s="144" t="s">
        <v>279</v>
      </c>
      <c r="AB15" s="131">
        <v>75.849999999999994</v>
      </c>
      <c r="AC15" s="133">
        <v>144</v>
      </c>
      <c r="AD15" s="134">
        <v>4</v>
      </c>
      <c r="AE15" s="131">
        <v>2</v>
      </c>
      <c r="AF15" s="115">
        <f t="shared" si="10"/>
        <v>10.419380046887211</v>
      </c>
      <c r="AG15" s="131">
        <v>125.25</v>
      </c>
      <c r="AH15" s="115">
        <f t="shared" si="11"/>
        <v>652.51367543631147</v>
      </c>
      <c r="AI15" s="131">
        <v>15.5</v>
      </c>
      <c r="AJ15" s="116"/>
      <c r="AK15" s="135">
        <v>6.25</v>
      </c>
      <c r="AL15" s="136">
        <v>43.3</v>
      </c>
      <c r="AM15" s="110">
        <f t="shared" si="12"/>
        <v>0.18090662210152494</v>
      </c>
      <c r="AN15" s="137" t="s">
        <v>247</v>
      </c>
      <c r="AO15" s="150">
        <v>9.73</v>
      </c>
      <c r="AP15" s="138">
        <v>6.95</v>
      </c>
      <c r="AQ15" s="131"/>
      <c r="AR15" s="131">
        <v>7.65</v>
      </c>
      <c r="AS15" s="315">
        <v>239.35</v>
      </c>
      <c r="AT15" s="131">
        <v>2.15</v>
      </c>
      <c r="AU15" s="116"/>
      <c r="AV15" s="131"/>
      <c r="AW15" s="109"/>
      <c r="AX15" s="109">
        <f t="shared" si="13"/>
        <v>191.95000000000002</v>
      </c>
      <c r="AY15" s="115">
        <f t="shared" si="25"/>
        <v>197.98051102741414</v>
      </c>
      <c r="AZ15" s="140">
        <f t="shared" si="14"/>
        <v>7.4223855633802822</v>
      </c>
      <c r="BA15" s="141">
        <f t="shared" si="15"/>
        <v>7.6780000000000008</v>
      </c>
      <c r="BB15" s="128">
        <f t="shared" si="16"/>
        <v>0.84640831125441673</v>
      </c>
      <c r="BC15" s="141">
        <f t="shared" si="17"/>
        <v>15.100385563380282</v>
      </c>
      <c r="BD15" s="142">
        <v>0.85599999999999998</v>
      </c>
      <c r="BE15" s="16">
        <f t="shared" si="26"/>
        <v>1703.63</v>
      </c>
      <c r="BF15" s="16">
        <f t="shared" si="18"/>
        <v>175.80645161290323</v>
      </c>
      <c r="BG15" s="16">
        <f t="shared" si="27"/>
        <v>1582.2580645161288</v>
      </c>
      <c r="BH15" s="17">
        <f t="shared" si="19"/>
        <v>1</v>
      </c>
      <c r="BI15" s="16">
        <f t="shared" si="28"/>
        <v>1582.2580645161288</v>
      </c>
      <c r="BJ15" s="441">
        <f t="shared" si="29"/>
        <v>407.565</v>
      </c>
      <c r="BK15" s="244"/>
      <c r="BL15" s="197"/>
      <c r="BM15" s="197"/>
      <c r="BN15" s="230"/>
      <c r="BO15" s="195">
        <v>50.392000000000003</v>
      </c>
      <c r="BP15" s="329"/>
      <c r="BQ15" s="199"/>
      <c r="BR15" s="200">
        <v>0.72</v>
      </c>
      <c r="BS15" s="200"/>
      <c r="BT15" s="200"/>
      <c r="BU15" s="200"/>
      <c r="BV15" s="208"/>
      <c r="BW15" s="208">
        <v>0.82</v>
      </c>
      <c r="BX15" s="330"/>
      <c r="BY15" s="202">
        <v>37.950000000000003</v>
      </c>
      <c r="BZ15" s="200"/>
      <c r="CA15" s="200">
        <v>42.49</v>
      </c>
      <c r="CB15" s="200"/>
      <c r="CC15" s="200"/>
      <c r="CD15" s="200">
        <v>36.93</v>
      </c>
      <c r="CE15" s="200"/>
      <c r="CF15" s="203"/>
      <c r="CG15" s="204"/>
      <c r="CH15" s="230">
        <v>72</v>
      </c>
      <c r="CI15" s="266">
        <f t="shared" si="30"/>
        <v>190.77</v>
      </c>
      <c r="CJ15" s="454"/>
      <c r="CK15" s="202"/>
      <c r="CL15" s="208"/>
      <c r="CM15" s="208"/>
      <c r="CN15" s="201"/>
      <c r="CO15" s="284"/>
      <c r="CP15" s="286">
        <f t="shared" si="20"/>
        <v>404.63053200000002</v>
      </c>
      <c r="CQ15" s="29">
        <f t="shared" si="20"/>
        <v>0</v>
      </c>
      <c r="CR15" s="30">
        <f t="shared" si="20"/>
        <v>0</v>
      </c>
      <c r="CS15" s="29">
        <f t="shared" si="20"/>
        <v>0</v>
      </c>
      <c r="CT15" s="27">
        <f t="shared" si="20"/>
        <v>0</v>
      </c>
      <c r="CU15" s="24">
        <f t="shared" si="20"/>
        <v>49.978785600000002</v>
      </c>
      <c r="CV15" s="283">
        <f t="shared" si="20"/>
        <v>0</v>
      </c>
      <c r="CW15" s="237">
        <f t="shared" si="21"/>
        <v>0</v>
      </c>
      <c r="CX15" s="24">
        <f t="shared" si="21"/>
        <v>72</v>
      </c>
      <c r="CY15" s="277">
        <f t="shared" si="21"/>
        <v>190.77</v>
      </c>
      <c r="CZ15" s="280">
        <f t="shared" si="21"/>
        <v>0</v>
      </c>
      <c r="DA15" s="247"/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31"/>
        <v>0</v>
      </c>
      <c r="DH15" s="249">
        <v>302.38200000000001</v>
      </c>
      <c r="DI15" s="195"/>
      <c r="DJ15" s="197">
        <v>79.183000000000007</v>
      </c>
      <c r="DK15" s="247">
        <f t="shared" si="32"/>
        <v>407.565</v>
      </c>
      <c r="DL15" s="266">
        <v>174.24</v>
      </c>
      <c r="DM15" s="247">
        <f t="shared" si="33"/>
        <v>190.77</v>
      </c>
    </row>
    <row r="16" spans="1:117" ht="16.5" customHeight="1">
      <c r="A16" s="127">
        <v>10</v>
      </c>
      <c r="B16" s="103">
        <f t="shared" si="24"/>
        <v>476.11499999999995</v>
      </c>
      <c r="C16" s="104">
        <f t="shared" si="0"/>
        <v>0.65091076735662601</v>
      </c>
      <c r="D16" s="448">
        <f t="shared" si="1"/>
        <v>473.01591619999999</v>
      </c>
      <c r="E16" s="104">
        <f t="shared" si="2"/>
        <v>37.743817817124011</v>
      </c>
      <c r="F16" s="128">
        <f t="shared" si="3"/>
        <v>2.5381837100236102</v>
      </c>
      <c r="G16" s="106"/>
      <c r="H16" s="107">
        <f t="shared" si="4"/>
        <v>2.5381837100236098</v>
      </c>
      <c r="I16" s="103">
        <f>'[1]сентябрь 20'!AE15</f>
        <v>0</v>
      </c>
      <c r="J16" s="328">
        <f>'[1]май 20'!AA15</f>
        <v>0</v>
      </c>
      <c r="K16" s="106"/>
      <c r="L16" s="328"/>
      <c r="M16" s="103">
        <f t="shared" si="5"/>
        <v>0</v>
      </c>
      <c r="N16" s="103">
        <f>'[1]июль 20'!AM15</f>
        <v>0</v>
      </c>
      <c r="O16" s="103">
        <f>'[1]май 20'!W15</f>
        <v>0</v>
      </c>
      <c r="P16" s="103">
        <v>274.95</v>
      </c>
      <c r="Q16" s="108">
        <f t="shared" si="6"/>
        <v>1.2984178941625735</v>
      </c>
      <c r="R16" s="109">
        <f t="shared" si="7"/>
        <v>271.38</v>
      </c>
      <c r="S16" s="106">
        <v>14.42</v>
      </c>
      <c r="T16" s="109">
        <f t="shared" si="8"/>
        <v>271.38</v>
      </c>
      <c r="U16" s="110">
        <f t="shared" si="9"/>
        <v>1.4562137797810688</v>
      </c>
      <c r="V16" s="136">
        <v>186.36</v>
      </c>
      <c r="W16" s="130">
        <v>140.53</v>
      </c>
      <c r="X16" s="131">
        <v>0.79</v>
      </c>
      <c r="Y16" s="112">
        <v>574</v>
      </c>
      <c r="Z16" s="133">
        <v>1235</v>
      </c>
      <c r="AA16" s="144" t="s">
        <v>287</v>
      </c>
      <c r="AB16" s="131">
        <v>75.989999999999995</v>
      </c>
      <c r="AC16" s="133">
        <v>150</v>
      </c>
      <c r="AD16" s="134">
        <v>4</v>
      </c>
      <c r="AE16" s="131"/>
      <c r="AF16" s="115">
        <f t="shared" si="10"/>
        <v>0</v>
      </c>
      <c r="AG16" s="131">
        <v>128.15</v>
      </c>
      <c r="AH16" s="115">
        <f t="shared" si="11"/>
        <v>687.64756385490443</v>
      </c>
      <c r="AI16" s="139">
        <v>13.93</v>
      </c>
      <c r="AJ16" s="131"/>
      <c r="AK16" s="136">
        <v>7.59</v>
      </c>
      <c r="AL16" s="136">
        <v>43.59</v>
      </c>
      <c r="AM16" s="110">
        <f t="shared" si="12"/>
        <v>0.18486005089058524</v>
      </c>
      <c r="AN16" s="137" t="s">
        <v>215</v>
      </c>
      <c r="AO16" s="150">
        <v>9.2200000000000006</v>
      </c>
      <c r="AP16" s="138">
        <v>6.19</v>
      </c>
      <c r="AQ16" s="131"/>
      <c r="AR16" s="131">
        <v>8.4600000000000009</v>
      </c>
      <c r="AS16" s="315">
        <v>235.8</v>
      </c>
      <c r="AT16" s="131">
        <v>1.74</v>
      </c>
      <c r="AU16" s="116"/>
      <c r="AV16" s="131"/>
      <c r="AW16" s="109"/>
      <c r="AX16" s="109">
        <f t="shared" si="13"/>
        <v>186.36</v>
      </c>
      <c r="AY16" s="115">
        <f t="shared" si="25"/>
        <v>205.10647969226073</v>
      </c>
      <c r="AZ16" s="140">
        <f t="shared" si="14"/>
        <v>8.3983373239436627</v>
      </c>
      <c r="BA16" s="141">
        <f t="shared" si="15"/>
        <v>7.4544000000000006</v>
      </c>
      <c r="BB16" s="128">
        <f t="shared" si="16"/>
        <v>0.79320887494194003</v>
      </c>
      <c r="BC16" s="141">
        <f t="shared" si="17"/>
        <v>15.852737323943664</v>
      </c>
      <c r="BD16" s="142">
        <v>0.84899999999999998</v>
      </c>
      <c r="BE16" s="16">
        <f t="shared" si="26"/>
        <v>1889.9900000000002</v>
      </c>
      <c r="BF16" s="16">
        <f t="shared" si="18"/>
        <v>175.80645161290323</v>
      </c>
      <c r="BG16" s="16">
        <f t="shared" si="27"/>
        <v>1758.064516129032</v>
      </c>
      <c r="BH16" s="17">
        <f t="shared" si="19"/>
        <v>1</v>
      </c>
      <c r="BI16" s="16">
        <f t="shared" si="28"/>
        <v>1758.064516129032</v>
      </c>
      <c r="BJ16" s="441">
        <f t="shared" si="29"/>
        <v>423.55399999999997</v>
      </c>
      <c r="BK16" s="244"/>
      <c r="BL16" s="195"/>
      <c r="BM16" s="197"/>
      <c r="BN16" s="230"/>
      <c r="BO16" s="230">
        <v>52.561</v>
      </c>
      <c r="BP16" s="250"/>
      <c r="BQ16" s="199"/>
      <c r="BR16" s="200">
        <v>0.62</v>
      </c>
      <c r="BS16" s="200"/>
      <c r="BT16" s="200"/>
      <c r="BU16" s="200"/>
      <c r="BV16" s="208"/>
      <c r="BW16" s="208">
        <v>0.9</v>
      </c>
      <c r="BX16" s="201"/>
      <c r="BY16" s="202">
        <v>37.99</v>
      </c>
      <c r="BZ16" s="200"/>
      <c r="CA16" s="200">
        <v>42.69</v>
      </c>
      <c r="CB16" s="200"/>
      <c r="CC16" s="200"/>
      <c r="CD16" s="200">
        <v>35.76</v>
      </c>
      <c r="CE16" s="200"/>
      <c r="CF16" s="203"/>
      <c r="CG16" s="204"/>
      <c r="CH16" s="230">
        <v>75</v>
      </c>
      <c r="CI16" s="266">
        <f t="shared" si="30"/>
        <v>196.38</v>
      </c>
      <c r="CJ16" s="454"/>
      <c r="CK16" s="202"/>
      <c r="CL16" s="208"/>
      <c r="CM16" s="208"/>
      <c r="CN16" s="201"/>
      <c r="CO16" s="284"/>
      <c r="CP16" s="286">
        <f t="shared" si="20"/>
        <v>420.92796519999996</v>
      </c>
      <c r="CQ16" s="24">
        <f t="shared" si="20"/>
        <v>0</v>
      </c>
      <c r="CR16" s="25">
        <f t="shared" si="20"/>
        <v>0</v>
      </c>
      <c r="CS16" s="24">
        <f t="shared" si="20"/>
        <v>0</v>
      </c>
      <c r="CT16" s="27">
        <f t="shared" si="20"/>
        <v>0</v>
      </c>
      <c r="CU16" s="24">
        <f t="shared" si="20"/>
        <v>52.087950999999997</v>
      </c>
      <c r="CV16" s="280">
        <f t="shared" si="20"/>
        <v>0</v>
      </c>
      <c r="CW16" s="237">
        <f t="shared" si="21"/>
        <v>0</v>
      </c>
      <c r="CX16" s="29">
        <f t="shared" si="21"/>
        <v>75</v>
      </c>
      <c r="CY16" s="277">
        <f t="shared" si="21"/>
        <v>196.38</v>
      </c>
      <c r="CZ16" s="280">
        <f t="shared" si="21"/>
        <v>0</v>
      </c>
      <c r="DA16" s="247"/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31"/>
        <v>0</v>
      </c>
      <c r="DH16" s="249">
        <v>315.09100000000001</v>
      </c>
      <c r="DI16" s="195"/>
      <c r="DJ16" s="195">
        <v>82.462999999999994</v>
      </c>
      <c r="DK16" s="247">
        <f t="shared" si="32"/>
        <v>423.55399999999997</v>
      </c>
      <c r="DL16" s="266">
        <v>179.85</v>
      </c>
      <c r="DM16" s="247">
        <f t="shared" si="33"/>
        <v>196.38</v>
      </c>
    </row>
    <row r="17" spans="1:117" ht="16.5" customHeight="1">
      <c r="A17" s="127">
        <v>11</v>
      </c>
      <c r="B17" s="103">
        <f t="shared" si="24"/>
        <v>464.06799999999998</v>
      </c>
      <c r="C17" s="104">
        <f t="shared" si="0"/>
        <v>0.75861205685373689</v>
      </c>
      <c r="D17" s="448">
        <f t="shared" si="1"/>
        <v>460.5475242</v>
      </c>
      <c r="E17" s="104">
        <f t="shared" si="2"/>
        <v>37.694880987269109</v>
      </c>
      <c r="F17" s="128">
        <f t="shared" si="3"/>
        <v>2.4596641967528305</v>
      </c>
      <c r="G17" s="106"/>
      <c r="H17" s="107">
        <f t="shared" si="4"/>
        <v>2.4596641967528301</v>
      </c>
      <c r="I17" s="103">
        <f>'[1]сентябрь 20'!AE16</f>
        <v>0</v>
      </c>
      <c r="J17" s="328">
        <f>'[1]май 20'!AA16</f>
        <v>0</v>
      </c>
      <c r="K17" s="106"/>
      <c r="L17" s="328"/>
      <c r="M17" s="103">
        <f t="shared" si="5"/>
        <v>0</v>
      </c>
      <c r="N17" s="103">
        <f>'[1]июль 20'!AM16</f>
        <v>0</v>
      </c>
      <c r="O17" s="103">
        <f>'[1]май 20'!W16</f>
        <v>0</v>
      </c>
      <c r="P17" s="103">
        <v>269.60000000000002</v>
      </c>
      <c r="Q17" s="108">
        <f t="shared" si="6"/>
        <v>1.3538575667655928</v>
      </c>
      <c r="R17" s="109">
        <f t="shared" si="7"/>
        <v>265.95</v>
      </c>
      <c r="S17" s="106">
        <v>12.62</v>
      </c>
      <c r="T17" s="109">
        <f t="shared" si="8"/>
        <v>265.95</v>
      </c>
      <c r="U17" s="110">
        <f t="shared" si="9"/>
        <v>1.4203695791497541</v>
      </c>
      <c r="V17" s="136">
        <v>187.24</v>
      </c>
      <c r="W17" s="130">
        <v>187.24</v>
      </c>
      <c r="X17" s="131">
        <v>0.37</v>
      </c>
      <c r="Y17" s="112">
        <v>607</v>
      </c>
      <c r="Z17" s="133">
        <v>1237</v>
      </c>
      <c r="AA17" s="144" t="s">
        <v>280</v>
      </c>
      <c r="AB17" s="131">
        <v>75.69</v>
      </c>
      <c r="AC17" s="133">
        <v>146</v>
      </c>
      <c r="AD17" s="134">
        <v>4</v>
      </c>
      <c r="AE17" s="131"/>
      <c r="AF17" s="115">
        <f t="shared" si="10"/>
        <v>0</v>
      </c>
      <c r="AG17" s="131">
        <v>135.94999999999999</v>
      </c>
      <c r="AH17" s="115">
        <f t="shared" si="11"/>
        <v>726.07348857081809</v>
      </c>
      <c r="AI17" s="139">
        <v>16.47</v>
      </c>
      <c r="AJ17" s="131"/>
      <c r="AK17" s="136">
        <v>9.06</v>
      </c>
      <c r="AL17" s="136">
        <v>42.26</v>
      </c>
      <c r="AM17" s="110">
        <f t="shared" si="12"/>
        <v>0.17865144789685053</v>
      </c>
      <c r="AN17" s="137" t="s">
        <v>215</v>
      </c>
      <c r="AO17" s="150">
        <v>9.15</v>
      </c>
      <c r="AP17" s="138">
        <v>6.61</v>
      </c>
      <c r="AQ17" s="131"/>
      <c r="AR17" s="131">
        <v>9.8800000000000008</v>
      </c>
      <c r="AS17" s="315">
        <v>236.55</v>
      </c>
      <c r="AT17" s="131">
        <v>2.0099999999999998</v>
      </c>
      <c r="AU17" s="116"/>
      <c r="AV17" s="131"/>
      <c r="AW17" s="109"/>
      <c r="AX17" s="109">
        <f t="shared" si="13"/>
        <v>187.24</v>
      </c>
      <c r="AY17" s="115">
        <f t="shared" si="25"/>
        <v>200.23157657894677</v>
      </c>
      <c r="AZ17" s="140">
        <f t="shared" si="14"/>
        <v>10.404961971830984</v>
      </c>
      <c r="BA17" s="141">
        <f t="shared" si="15"/>
        <v>7.4896000000000003</v>
      </c>
      <c r="BB17" s="128">
        <f t="shared" si="16"/>
        <v>0.81635735378406316</v>
      </c>
      <c r="BC17" s="141">
        <f t="shared" si="17"/>
        <v>17.894561971830985</v>
      </c>
      <c r="BD17" s="142">
        <v>0.84599999999999997</v>
      </c>
      <c r="BE17" s="16">
        <f t="shared" si="26"/>
        <v>2077.2300000000005</v>
      </c>
      <c r="BF17" s="16">
        <f t="shared" si="18"/>
        <v>175.80645161290323</v>
      </c>
      <c r="BG17" s="16">
        <f t="shared" si="27"/>
        <v>1933.8709677419351</v>
      </c>
      <c r="BH17" s="17">
        <f t="shared" si="19"/>
        <v>1</v>
      </c>
      <c r="BI17" s="16">
        <f t="shared" si="28"/>
        <v>1933.8709677419351</v>
      </c>
      <c r="BJ17" s="441">
        <f t="shared" si="29"/>
        <v>412.99899999999997</v>
      </c>
      <c r="BK17" s="244"/>
      <c r="BL17" s="195"/>
      <c r="BM17" s="197"/>
      <c r="BN17" s="230"/>
      <c r="BO17" s="230">
        <v>51.069000000000003</v>
      </c>
      <c r="BP17" s="250"/>
      <c r="BQ17" s="199"/>
      <c r="BR17" s="200">
        <v>0.73</v>
      </c>
      <c r="BS17" s="200"/>
      <c r="BT17" s="200"/>
      <c r="BU17" s="200"/>
      <c r="BV17" s="208"/>
      <c r="BW17" s="208">
        <v>0.99</v>
      </c>
      <c r="BX17" s="201"/>
      <c r="BY17" s="202">
        <v>37.74</v>
      </c>
      <c r="BZ17" s="200"/>
      <c r="CA17" s="200">
        <v>42.6</v>
      </c>
      <c r="CB17" s="200"/>
      <c r="CC17" s="208"/>
      <c r="CD17" s="208">
        <v>37.33</v>
      </c>
      <c r="CE17" s="201"/>
      <c r="CF17" s="199"/>
      <c r="CG17" s="197"/>
      <c r="CH17" s="244">
        <v>73</v>
      </c>
      <c r="CI17" s="266">
        <f t="shared" si="30"/>
        <v>192.95</v>
      </c>
      <c r="CJ17" s="454"/>
      <c r="CK17" s="231"/>
      <c r="CL17" s="208"/>
      <c r="CM17" s="208"/>
      <c r="CN17" s="201"/>
      <c r="CO17" s="284"/>
      <c r="CP17" s="286">
        <f t="shared" si="20"/>
        <v>409.98410729999995</v>
      </c>
      <c r="CQ17" s="24">
        <f t="shared" si="20"/>
        <v>0</v>
      </c>
      <c r="CR17" s="25">
        <f t="shared" si="20"/>
        <v>0</v>
      </c>
      <c r="CS17" s="24">
        <f t="shared" si="20"/>
        <v>0</v>
      </c>
      <c r="CT17" s="27">
        <f t="shared" si="20"/>
        <v>0</v>
      </c>
      <c r="CU17" s="27">
        <f t="shared" si="20"/>
        <v>50.563416900000007</v>
      </c>
      <c r="CV17" s="280">
        <f t="shared" si="20"/>
        <v>0</v>
      </c>
      <c r="CW17" s="25">
        <f t="shared" si="21"/>
        <v>0</v>
      </c>
      <c r="CX17" s="26">
        <f t="shared" si="21"/>
        <v>73</v>
      </c>
      <c r="CY17" s="277">
        <f t="shared" si="21"/>
        <v>192.95</v>
      </c>
      <c r="CZ17" s="280">
        <f t="shared" si="21"/>
        <v>0</v>
      </c>
      <c r="DA17" s="247"/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31"/>
        <v>0</v>
      </c>
      <c r="DH17" s="249">
        <v>306.71699999999998</v>
      </c>
      <c r="DI17" s="195"/>
      <c r="DJ17" s="195">
        <v>80.281999999999996</v>
      </c>
      <c r="DK17" s="247">
        <f t="shared" si="32"/>
        <v>412.99899999999997</v>
      </c>
      <c r="DL17" s="266">
        <v>176.42</v>
      </c>
      <c r="DM17" s="247">
        <f t="shared" si="33"/>
        <v>192.95</v>
      </c>
    </row>
    <row r="18" spans="1:117" ht="16.5" customHeight="1">
      <c r="A18" s="127">
        <v>12</v>
      </c>
      <c r="B18" s="103">
        <f t="shared" si="24"/>
        <v>444.76399999999995</v>
      </c>
      <c r="C18" s="104">
        <f t="shared" si="0"/>
        <v>1.0311668660233293</v>
      </c>
      <c r="D18" s="143">
        <f t="shared" si="1"/>
        <v>440.17774099999997</v>
      </c>
      <c r="E18" s="104">
        <f t="shared" si="2"/>
        <v>37.289812822080918</v>
      </c>
      <c r="F18" s="128">
        <f t="shared" si="3"/>
        <v>2.501436273228391</v>
      </c>
      <c r="G18" s="106"/>
      <c r="H18" s="107">
        <f t="shared" si="4"/>
        <v>2.501436273228391</v>
      </c>
      <c r="I18" s="103">
        <f>'[1]сентябрь 20'!AE17</f>
        <v>0</v>
      </c>
      <c r="J18" s="328">
        <f>'[1]май 20'!AA17</f>
        <v>0</v>
      </c>
      <c r="K18" s="106"/>
      <c r="L18" s="328"/>
      <c r="M18" s="103">
        <f t="shared" si="5"/>
        <v>0</v>
      </c>
      <c r="N18" s="103">
        <f>'[1]июль 20'!AM17</f>
        <v>0</v>
      </c>
      <c r="O18" s="103">
        <f>'[1]май 20'!W17</f>
        <v>0</v>
      </c>
      <c r="P18" s="103">
        <v>259.92</v>
      </c>
      <c r="Q18" s="108">
        <f t="shared" si="6"/>
        <v>1.3119421360418659</v>
      </c>
      <c r="R18" s="109">
        <f t="shared" si="7"/>
        <v>256.51</v>
      </c>
      <c r="S18" s="106">
        <v>21.26</v>
      </c>
      <c r="T18" s="109">
        <f t="shared" si="8"/>
        <v>256.51</v>
      </c>
      <c r="U18" s="110">
        <f t="shared" si="9"/>
        <v>1.457691651986134</v>
      </c>
      <c r="V18" s="136">
        <v>175.97</v>
      </c>
      <c r="W18" s="130">
        <v>175.97</v>
      </c>
      <c r="X18" s="131">
        <v>0.63</v>
      </c>
      <c r="Y18" s="112">
        <v>619</v>
      </c>
      <c r="Z18" s="133">
        <v>1231</v>
      </c>
      <c r="AA18" s="144" t="s">
        <v>288</v>
      </c>
      <c r="AB18" s="131">
        <v>75.739999999999995</v>
      </c>
      <c r="AC18" s="133">
        <v>142</v>
      </c>
      <c r="AD18" s="134">
        <v>4</v>
      </c>
      <c r="AE18" s="131">
        <v>3.25</v>
      </c>
      <c r="AF18" s="115">
        <f t="shared" si="10"/>
        <v>18.469057225663462</v>
      </c>
      <c r="AG18" s="131">
        <v>125.5</v>
      </c>
      <c r="AH18" s="115">
        <f t="shared" si="11"/>
        <v>713.18974825254304</v>
      </c>
      <c r="AI18" s="139">
        <v>13.82</v>
      </c>
      <c r="AJ18" s="131"/>
      <c r="AK18" s="136">
        <v>9.19</v>
      </c>
      <c r="AL18" s="136">
        <v>41.96</v>
      </c>
      <c r="AM18" s="110">
        <f t="shared" si="12"/>
        <v>0.18665480427046263</v>
      </c>
      <c r="AN18" s="137" t="s">
        <v>289</v>
      </c>
      <c r="AO18" s="150">
        <v>9.16</v>
      </c>
      <c r="AP18" s="138">
        <v>6.97</v>
      </c>
      <c r="AQ18" s="131"/>
      <c r="AR18" s="131">
        <v>9.4499999999999993</v>
      </c>
      <c r="AS18" s="315">
        <v>224.8</v>
      </c>
      <c r="AT18" s="131">
        <v>2.3199999999999998</v>
      </c>
      <c r="AU18" s="116"/>
      <c r="AV18" s="131"/>
      <c r="AW18" s="109">
        <f t="shared" ref="AW18:AW37" si="34">IF(AX18=0,0,AV18/AX18*100)</f>
        <v>0</v>
      </c>
      <c r="AX18" s="109">
        <f t="shared" si="13"/>
        <v>175.97</v>
      </c>
      <c r="AY18" s="115">
        <f>IF(AB18=0,0,((D18*0.97)*(E18/100)*0.9)/(AB18/100))</f>
        <v>189.19394088861486</v>
      </c>
      <c r="AZ18" s="140">
        <f t="shared" si="14"/>
        <v>9.1871302816901395</v>
      </c>
      <c r="BA18" s="141">
        <f t="shared" si="15"/>
        <v>7.0388000000000002</v>
      </c>
      <c r="BB18" s="128">
        <f t="shared" si="16"/>
        <v>0.81198060190755572</v>
      </c>
      <c r="BC18" s="141">
        <f t="shared" si="17"/>
        <v>16.22593028169014</v>
      </c>
      <c r="BD18" s="142">
        <v>0.84299999999999997</v>
      </c>
      <c r="BE18" s="16">
        <f t="shared" si="26"/>
        <v>2253.2000000000003</v>
      </c>
      <c r="BF18" s="16">
        <f t="shared" si="18"/>
        <v>175.80645161290323</v>
      </c>
      <c r="BG18" s="16">
        <f t="shared" si="27"/>
        <v>2109.6774193548385</v>
      </c>
      <c r="BH18" s="17">
        <f t="shared" si="19"/>
        <v>1</v>
      </c>
      <c r="BI18" s="16">
        <f t="shared" si="28"/>
        <v>2109.6774193548385</v>
      </c>
      <c r="BJ18" s="441">
        <f t="shared" si="29"/>
        <v>391.44899999999996</v>
      </c>
      <c r="BK18" s="244"/>
      <c r="BL18" s="195"/>
      <c r="BM18" s="197"/>
      <c r="BN18" s="230"/>
      <c r="BO18" s="230">
        <v>53.314999999999998</v>
      </c>
      <c r="BP18" s="250"/>
      <c r="BQ18" s="199"/>
      <c r="BR18" s="200">
        <v>1</v>
      </c>
      <c r="BS18" s="200"/>
      <c r="BT18" s="200"/>
      <c r="BU18" s="200"/>
      <c r="BV18" s="208"/>
      <c r="BW18" s="208">
        <v>1.26</v>
      </c>
      <c r="BX18" s="201"/>
      <c r="BY18" s="202">
        <v>37.49</v>
      </c>
      <c r="BZ18" s="200"/>
      <c r="CA18" s="200">
        <v>42.26</v>
      </c>
      <c r="CB18" s="200"/>
      <c r="CC18" s="208"/>
      <c r="CD18" s="208">
        <v>35.82</v>
      </c>
      <c r="CE18" s="209"/>
      <c r="CF18" s="199"/>
      <c r="CG18" s="197"/>
      <c r="CH18" s="230">
        <v>71</v>
      </c>
      <c r="CI18" s="266">
        <f t="shared" si="30"/>
        <v>185.51</v>
      </c>
      <c r="CJ18" s="453"/>
      <c r="CK18" s="202"/>
      <c r="CL18" s="208"/>
      <c r="CM18" s="208"/>
      <c r="CN18" s="201"/>
      <c r="CO18" s="284"/>
      <c r="CP18" s="286">
        <f t="shared" si="20"/>
        <v>387.53450999999995</v>
      </c>
      <c r="CQ18" s="24">
        <f t="shared" si="20"/>
        <v>0</v>
      </c>
      <c r="CR18" s="25">
        <f t="shared" si="20"/>
        <v>0</v>
      </c>
      <c r="CS18" s="24">
        <f t="shared" si="20"/>
        <v>0</v>
      </c>
      <c r="CT18" s="27">
        <f t="shared" si="20"/>
        <v>0</v>
      </c>
      <c r="CU18" s="30">
        <f t="shared" si="20"/>
        <v>52.643230999999993</v>
      </c>
      <c r="CV18" s="280">
        <f t="shared" si="20"/>
        <v>0</v>
      </c>
      <c r="CW18" s="30">
        <f t="shared" si="21"/>
        <v>0</v>
      </c>
      <c r="CX18" s="24">
        <f t="shared" si="21"/>
        <v>71</v>
      </c>
      <c r="CY18" s="277">
        <f t="shared" si="21"/>
        <v>185.51</v>
      </c>
      <c r="CZ18" s="280">
        <f t="shared" si="21"/>
        <v>0</v>
      </c>
      <c r="DA18" s="247"/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31"/>
        <v>0</v>
      </c>
      <c r="DH18" s="249">
        <v>281.14299999999997</v>
      </c>
      <c r="DI18" s="195"/>
      <c r="DJ18" s="195">
        <v>84.305999999999997</v>
      </c>
      <c r="DK18" s="247">
        <f t="shared" si="32"/>
        <v>391.44899999999996</v>
      </c>
      <c r="DL18" s="289">
        <v>168.98</v>
      </c>
      <c r="DM18" s="247">
        <f t="shared" si="33"/>
        <v>185.51</v>
      </c>
    </row>
    <row r="19" spans="1:117" ht="16.5" customHeight="1">
      <c r="A19" s="127">
        <v>13</v>
      </c>
      <c r="B19" s="103">
        <f t="shared" si="24"/>
        <v>446.21899999999999</v>
      </c>
      <c r="C19" s="104">
        <f t="shared" si="0"/>
        <v>1.1657484777654019</v>
      </c>
      <c r="D19" s="143">
        <f t="shared" si="1"/>
        <v>441.01720879999999</v>
      </c>
      <c r="E19" s="104">
        <f>IF(B19=0,0,(BJ19*BY19+BK19*BZ19+BM19*CB19+BP19*CE19+BL19*CA19+BO19*CD19+BN19*CC19)/B19)</f>
        <v>37.787724122011831</v>
      </c>
      <c r="F19" s="128">
        <f t="shared" si="3"/>
        <v>2.5498219750231264</v>
      </c>
      <c r="G19" s="106"/>
      <c r="H19" s="107">
        <f t="shared" si="4"/>
        <v>2.5498219750231264</v>
      </c>
      <c r="I19" s="103">
        <f>'[1]сентябрь 20'!AE18</f>
        <v>0</v>
      </c>
      <c r="J19" s="328">
        <f>'[1]май 20'!AA18</f>
        <v>0</v>
      </c>
      <c r="K19" s="106"/>
      <c r="L19" s="328"/>
      <c r="M19" s="103">
        <f t="shared" si="5"/>
        <v>0</v>
      </c>
      <c r="N19" s="103">
        <f>'[1]июль 20'!AM18</f>
        <v>0</v>
      </c>
      <c r="O19" s="103">
        <f>'[1]май 20'!W18</f>
        <v>2.105</v>
      </c>
      <c r="P19" s="103">
        <v>259.67</v>
      </c>
      <c r="Q19" s="108">
        <f t="shared" si="6"/>
        <v>1.6675010590364692</v>
      </c>
      <c r="R19" s="109">
        <f t="shared" si="7"/>
        <v>255.34</v>
      </c>
      <c r="S19" s="106">
        <v>5.97</v>
      </c>
      <c r="T19" s="109">
        <f t="shared" si="8"/>
        <v>255.34</v>
      </c>
      <c r="U19" s="110">
        <f t="shared" si="9"/>
        <v>1.4762950971322848</v>
      </c>
      <c r="V19" s="136"/>
      <c r="W19" s="130">
        <v>34.770000000000003</v>
      </c>
      <c r="X19" s="131">
        <v>1.0900000000000001</v>
      </c>
      <c r="Y19" s="112">
        <v>612</v>
      </c>
      <c r="Z19" s="133">
        <v>1237</v>
      </c>
      <c r="AA19" s="144" t="s">
        <v>279</v>
      </c>
      <c r="AB19" s="131">
        <v>74.44</v>
      </c>
      <c r="AC19" s="133">
        <v>141</v>
      </c>
      <c r="AD19" s="134">
        <v>4</v>
      </c>
      <c r="AE19" s="131">
        <v>0.85</v>
      </c>
      <c r="AF19" s="115">
        <f t="shared" si="10"/>
        <v>4.9144310823311743</v>
      </c>
      <c r="AG19" s="131">
        <v>116.45</v>
      </c>
      <c r="AH19" s="115">
        <f t="shared" si="11"/>
        <v>673.27705827937086</v>
      </c>
      <c r="AI19" s="139">
        <v>19.14</v>
      </c>
      <c r="AJ19" s="131"/>
      <c r="AK19" s="136">
        <v>7.85</v>
      </c>
      <c r="AL19" s="136">
        <v>42.58</v>
      </c>
      <c r="AM19" s="110">
        <f t="shared" si="12"/>
        <v>0.19275690357627884</v>
      </c>
      <c r="AN19" s="137" t="s">
        <v>290</v>
      </c>
      <c r="AO19" s="150">
        <v>9.09</v>
      </c>
      <c r="AP19" s="138">
        <v>6.5</v>
      </c>
      <c r="AQ19" s="134"/>
      <c r="AR19" s="131">
        <v>9.94</v>
      </c>
      <c r="AS19" s="315">
        <v>220.9</v>
      </c>
      <c r="AT19" s="131">
        <v>2.4900000000000002</v>
      </c>
      <c r="AU19" s="116"/>
      <c r="AV19" s="131"/>
      <c r="AW19" s="109">
        <f t="shared" si="34"/>
        <v>0</v>
      </c>
      <c r="AX19" s="109">
        <f t="shared" si="13"/>
        <v>172.96</v>
      </c>
      <c r="AY19" s="115">
        <f t="shared" si="25"/>
        <v>195.4403139247238</v>
      </c>
      <c r="AZ19" s="140">
        <f t="shared" si="14"/>
        <v>8.9666499999999996</v>
      </c>
      <c r="BA19" s="141">
        <f t="shared" si="15"/>
        <v>6.9184000000000001</v>
      </c>
      <c r="BB19" s="128">
        <f t="shared" si="16"/>
        <v>0.77258410492605534</v>
      </c>
      <c r="BC19" s="141">
        <f t="shared" si="17"/>
        <v>15.88505</v>
      </c>
      <c r="BD19" s="142">
        <v>0.83799999999999997</v>
      </c>
      <c r="BE19" s="16">
        <f t="shared" si="26"/>
        <v>2426.1600000000003</v>
      </c>
      <c r="BF19" s="16">
        <f t="shared" si="18"/>
        <v>175.80645161290323</v>
      </c>
      <c r="BG19" s="16">
        <f t="shared" si="27"/>
        <v>2285.483870967742</v>
      </c>
      <c r="BH19" s="17">
        <f t="shared" si="19"/>
        <v>1</v>
      </c>
      <c r="BI19" s="16">
        <f t="shared" si="28"/>
        <v>2285.483870967742</v>
      </c>
      <c r="BJ19" s="441">
        <f t="shared" si="29"/>
        <v>382.98199999999997</v>
      </c>
      <c r="BK19" s="196"/>
      <c r="BL19" s="197"/>
      <c r="BM19" s="197"/>
      <c r="BN19" s="230"/>
      <c r="BO19" s="230">
        <v>63.237000000000002</v>
      </c>
      <c r="BP19" s="258"/>
      <c r="BQ19" s="199"/>
      <c r="BR19" s="200">
        <v>1.17</v>
      </c>
      <c r="BS19" s="200"/>
      <c r="BT19" s="200"/>
      <c r="BU19" s="200"/>
      <c r="BV19" s="208"/>
      <c r="BW19" s="208">
        <v>1.1399999999999999</v>
      </c>
      <c r="BX19" s="201"/>
      <c r="BY19" s="202">
        <v>37.86</v>
      </c>
      <c r="BZ19" s="200"/>
      <c r="CA19" s="200">
        <v>42.79</v>
      </c>
      <c r="CB19" s="200"/>
      <c r="CC19" s="208"/>
      <c r="CD19" s="208">
        <v>37.35</v>
      </c>
      <c r="CE19" s="209"/>
      <c r="CF19" s="199"/>
      <c r="CG19" s="197"/>
      <c r="CH19" s="230">
        <v>70.5</v>
      </c>
      <c r="CI19" s="266">
        <f t="shared" si="30"/>
        <v>184.84</v>
      </c>
      <c r="CJ19" s="453"/>
      <c r="CK19" s="202"/>
      <c r="CL19" s="208"/>
      <c r="CM19" s="208"/>
      <c r="CN19" s="201"/>
      <c r="CO19" s="284"/>
      <c r="CP19" s="286">
        <f t="shared" si="20"/>
        <v>378.50111059999995</v>
      </c>
      <c r="CQ19" s="24">
        <f t="shared" si="20"/>
        <v>0</v>
      </c>
      <c r="CR19" s="25">
        <f t="shared" si="20"/>
        <v>0</v>
      </c>
      <c r="CS19" s="24">
        <f t="shared" si="20"/>
        <v>0</v>
      </c>
      <c r="CT19" s="27">
        <f t="shared" si="20"/>
        <v>0</v>
      </c>
      <c r="CU19" s="24">
        <f t="shared" si="20"/>
        <v>62.516098200000002</v>
      </c>
      <c r="CV19" s="280">
        <f t="shared" si="20"/>
        <v>0</v>
      </c>
      <c r="CW19" s="237">
        <f t="shared" si="21"/>
        <v>0</v>
      </c>
      <c r="CX19" s="24">
        <f t="shared" si="21"/>
        <v>70.5</v>
      </c>
      <c r="CY19" s="277">
        <f t="shared" si="21"/>
        <v>184.84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31"/>
        <v>0</v>
      </c>
      <c r="DH19" s="254">
        <v>269.76</v>
      </c>
      <c r="DI19" s="197"/>
      <c r="DJ19" s="197">
        <v>87.221999999999994</v>
      </c>
      <c r="DK19" s="247">
        <f t="shared" si="32"/>
        <v>382.98199999999997</v>
      </c>
      <c r="DL19" s="197">
        <v>168.31</v>
      </c>
      <c r="DM19" s="247">
        <f t="shared" si="33"/>
        <v>184.84</v>
      </c>
    </row>
    <row r="20" spans="1:117" ht="16.5" customHeight="1">
      <c r="A20" s="127">
        <v>14</v>
      </c>
      <c r="B20" s="103">
        <f t="shared" si="24"/>
        <v>463.92900000000003</v>
      </c>
      <c r="C20" s="104">
        <f t="shared" si="0"/>
        <v>0.76711261852567958</v>
      </c>
      <c r="D20" s="143">
        <f t="shared" si="1"/>
        <v>460.37014210000001</v>
      </c>
      <c r="E20" s="104">
        <f t="shared" si="2"/>
        <v>37.19373406275529</v>
      </c>
      <c r="F20" s="128">
        <f t="shared" si="3"/>
        <v>2.5567596473397756</v>
      </c>
      <c r="G20" s="106"/>
      <c r="H20" s="107">
        <f t="shared" si="4"/>
        <v>2.5567596473397756</v>
      </c>
      <c r="I20" s="103">
        <f>'[1]сентябрь 20'!AE19</f>
        <v>0</v>
      </c>
      <c r="J20" s="328">
        <f>'[1]май 20'!AA19</f>
        <v>0</v>
      </c>
      <c r="K20" s="106"/>
      <c r="L20" s="328"/>
      <c r="M20" s="103">
        <f t="shared" si="5"/>
        <v>0</v>
      </c>
      <c r="N20" s="103">
        <f>'[1]июль 20'!AM19</f>
        <v>0</v>
      </c>
      <c r="O20" s="103">
        <f>'[1]май 20'!W19</f>
        <v>8.3420000000000005</v>
      </c>
      <c r="P20" s="103">
        <v>264.98</v>
      </c>
      <c r="Q20" s="108">
        <f t="shared" si="6"/>
        <v>1.4001056683523472</v>
      </c>
      <c r="R20" s="109">
        <f t="shared" si="7"/>
        <v>261.26999999999992</v>
      </c>
      <c r="S20" s="106">
        <v>3.67</v>
      </c>
      <c r="T20" s="109">
        <f t="shared" si="8"/>
        <v>261.27</v>
      </c>
      <c r="U20" s="110">
        <f t="shared" si="9"/>
        <v>1.4510163278907027</v>
      </c>
      <c r="V20" s="136">
        <v>43.79</v>
      </c>
      <c r="W20" s="130">
        <v>45.64</v>
      </c>
      <c r="X20" s="131">
        <v>1.58</v>
      </c>
      <c r="Y20" s="112">
        <v>610</v>
      </c>
      <c r="Z20" s="133">
        <v>1240</v>
      </c>
      <c r="AA20" s="151" t="s">
        <v>291</v>
      </c>
      <c r="AB20" s="131">
        <v>74.41</v>
      </c>
      <c r="AC20" s="133">
        <v>146</v>
      </c>
      <c r="AD20" s="134">
        <v>4</v>
      </c>
      <c r="AE20" s="131"/>
      <c r="AF20" s="115">
        <f t="shared" si="10"/>
        <v>0</v>
      </c>
      <c r="AG20" s="131">
        <v>133.69999999999999</v>
      </c>
      <c r="AH20" s="115">
        <f t="shared" si="11"/>
        <v>742.53026768854829</v>
      </c>
      <c r="AI20" s="139">
        <v>14.6</v>
      </c>
      <c r="AJ20" s="131"/>
      <c r="AK20" s="136">
        <v>10.17</v>
      </c>
      <c r="AL20" s="136">
        <v>42.86</v>
      </c>
      <c r="AM20" s="110">
        <f t="shared" si="12"/>
        <v>0.18610508033000434</v>
      </c>
      <c r="AN20" s="137" t="s">
        <v>292</v>
      </c>
      <c r="AO20" s="150">
        <v>9.34</v>
      </c>
      <c r="AP20" s="138">
        <v>6.19</v>
      </c>
      <c r="AQ20" s="131"/>
      <c r="AR20" s="131">
        <v>9.51</v>
      </c>
      <c r="AS20" s="315">
        <v>230.3</v>
      </c>
      <c r="AT20" s="131">
        <v>2.79</v>
      </c>
      <c r="AU20" s="148"/>
      <c r="AV20" s="131"/>
      <c r="AW20" s="109">
        <f t="shared" si="34"/>
        <v>0</v>
      </c>
      <c r="AX20" s="109">
        <f t="shared" si="13"/>
        <v>180.06</v>
      </c>
      <c r="AY20" s="115">
        <f t="shared" si="25"/>
        <v>200.89071747031758</v>
      </c>
      <c r="AZ20" s="140">
        <f t="shared" si="14"/>
        <v>9.8495471830985899</v>
      </c>
      <c r="BA20" s="141">
        <f t="shared" si="15"/>
        <v>7.2023999999999999</v>
      </c>
      <c r="BB20" s="128">
        <f t="shared" si="16"/>
        <v>0.78247707001806011</v>
      </c>
      <c r="BC20" s="141">
        <f t="shared" si="17"/>
        <v>17.051947183098591</v>
      </c>
      <c r="BD20" s="142">
        <v>0.83399999999999996</v>
      </c>
      <c r="BE20" s="16">
        <f t="shared" si="26"/>
        <v>2606.2200000000003</v>
      </c>
      <c r="BF20" s="16">
        <f t="shared" si="18"/>
        <v>175.80645161290323</v>
      </c>
      <c r="BG20" s="16">
        <f t="shared" si="27"/>
        <v>2461.2903225806454</v>
      </c>
      <c r="BH20" s="17">
        <f t="shared" si="19"/>
        <v>1</v>
      </c>
      <c r="BI20" s="16">
        <f t="shared" si="28"/>
        <v>2461.2903225806454</v>
      </c>
      <c r="BJ20" s="441">
        <f t="shared" si="29"/>
        <v>397.93400000000003</v>
      </c>
      <c r="BK20" s="196"/>
      <c r="BL20" s="197"/>
      <c r="BM20" s="197"/>
      <c r="BN20" s="230"/>
      <c r="BO20" s="230">
        <v>65.995000000000005</v>
      </c>
      <c r="BP20" s="259"/>
      <c r="BQ20" s="199"/>
      <c r="BR20" s="200">
        <v>0.76</v>
      </c>
      <c r="BS20" s="200"/>
      <c r="BT20" s="200"/>
      <c r="BU20" s="200"/>
      <c r="BV20" s="208"/>
      <c r="BW20" s="208">
        <v>0.81</v>
      </c>
      <c r="BX20" s="201"/>
      <c r="BY20" s="202">
        <v>37.4</v>
      </c>
      <c r="BZ20" s="200"/>
      <c r="CA20" s="200">
        <v>42.94</v>
      </c>
      <c r="CB20" s="200"/>
      <c r="CC20" s="208"/>
      <c r="CD20" s="208">
        <v>35.950000000000003</v>
      </c>
      <c r="CE20" s="209"/>
      <c r="CF20" s="199"/>
      <c r="CG20" s="197"/>
      <c r="CH20" s="230">
        <v>73</v>
      </c>
      <c r="CI20" s="266">
        <f t="shared" si="30"/>
        <v>188.27</v>
      </c>
      <c r="CJ20" s="453"/>
      <c r="CK20" s="202"/>
      <c r="CL20" s="208"/>
      <c r="CM20" s="208"/>
      <c r="CN20" s="201"/>
      <c r="CO20" s="284"/>
      <c r="CP20" s="286">
        <f t="shared" si="20"/>
        <v>394.90970160000001</v>
      </c>
      <c r="CQ20" s="24">
        <f t="shared" si="20"/>
        <v>0</v>
      </c>
      <c r="CR20" s="25">
        <f t="shared" si="20"/>
        <v>0</v>
      </c>
      <c r="CS20" s="24">
        <f t="shared" si="20"/>
        <v>0</v>
      </c>
      <c r="CT20" s="27">
        <f t="shared" si="20"/>
        <v>0</v>
      </c>
      <c r="CU20" s="30">
        <f t="shared" si="20"/>
        <v>65.460440500000004</v>
      </c>
      <c r="CV20" s="280">
        <f t="shared" si="20"/>
        <v>0</v>
      </c>
      <c r="CW20" s="237">
        <f t="shared" si="21"/>
        <v>0</v>
      </c>
      <c r="CX20" s="29">
        <f t="shared" si="21"/>
        <v>73</v>
      </c>
      <c r="CY20" s="277">
        <f t="shared" si="21"/>
        <v>188.27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31"/>
        <v>0</v>
      </c>
      <c r="DH20" s="254">
        <v>292.47000000000003</v>
      </c>
      <c r="DI20" s="197"/>
      <c r="DJ20" s="197">
        <v>79.463999999999999</v>
      </c>
      <c r="DK20" s="247">
        <f t="shared" si="32"/>
        <v>397.93400000000003</v>
      </c>
      <c r="DL20" s="197">
        <v>171.74</v>
      </c>
      <c r="DM20" s="247">
        <f t="shared" si="33"/>
        <v>188.27</v>
      </c>
    </row>
    <row r="21" spans="1:117" ht="16.5" customHeight="1">
      <c r="A21" s="127">
        <v>15</v>
      </c>
      <c r="B21" s="103">
        <f t="shared" si="24"/>
        <v>500.89300000000003</v>
      </c>
      <c r="C21" s="104">
        <f t="shared" si="0"/>
        <v>0.64120141427410637</v>
      </c>
      <c r="D21" s="143">
        <f t="shared" si="1"/>
        <v>497.68126700000005</v>
      </c>
      <c r="E21" s="104">
        <f t="shared" si="2"/>
        <v>37.383014396288232</v>
      </c>
      <c r="F21" s="128">
        <f t="shared" si="3"/>
        <v>2.535180413631501</v>
      </c>
      <c r="G21" s="106"/>
      <c r="H21" s="107">
        <f t="shared" si="4"/>
        <v>2.535180413631501</v>
      </c>
      <c r="I21" s="103">
        <f>'[1]сентябрь 20'!AE20</f>
        <v>0</v>
      </c>
      <c r="J21" s="328">
        <f>'[1]май 20'!AA20</f>
        <v>0</v>
      </c>
      <c r="K21" s="106"/>
      <c r="L21" s="328"/>
      <c r="M21" s="103">
        <f t="shared" si="5"/>
        <v>0</v>
      </c>
      <c r="N21" s="103">
        <f>'[1]июль 20'!AM20</f>
        <v>0</v>
      </c>
      <c r="O21" s="103">
        <f>'[1]май 20'!W20</f>
        <v>11.606999999999999</v>
      </c>
      <c r="P21" s="103">
        <v>287.5</v>
      </c>
      <c r="Q21" s="108">
        <f t="shared" si="6"/>
        <v>1.4226086956521833</v>
      </c>
      <c r="R21" s="109">
        <f t="shared" si="7"/>
        <v>283.40999999999997</v>
      </c>
      <c r="S21" s="106">
        <v>4.54</v>
      </c>
      <c r="T21" s="109">
        <f t="shared" si="8"/>
        <v>283.40999999999997</v>
      </c>
      <c r="U21" s="110">
        <f t="shared" si="9"/>
        <v>1.4436860068259383</v>
      </c>
      <c r="V21" s="136">
        <v>145.28</v>
      </c>
      <c r="W21" s="130">
        <v>149.49</v>
      </c>
      <c r="X21" s="131">
        <v>0.78</v>
      </c>
      <c r="Y21" s="112">
        <v>601</v>
      </c>
      <c r="Z21" s="133">
        <v>1243</v>
      </c>
      <c r="AA21" s="151" t="s">
        <v>288</v>
      </c>
      <c r="AB21" s="131">
        <v>74.97</v>
      </c>
      <c r="AC21" s="133">
        <v>159</v>
      </c>
      <c r="AD21" s="134">
        <v>4</v>
      </c>
      <c r="AE21" s="131">
        <v>1.6</v>
      </c>
      <c r="AF21" s="115">
        <f t="shared" si="10"/>
        <v>8.1503744078243585</v>
      </c>
      <c r="AG21" s="131">
        <v>140.35</v>
      </c>
      <c r="AH21" s="115">
        <f t="shared" si="11"/>
        <v>714.94065508634287</v>
      </c>
      <c r="AI21" s="139">
        <v>16.05</v>
      </c>
      <c r="AJ21" s="131"/>
      <c r="AK21" s="136">
        <v>8.01</v>
      </c>
      <c r="AL21" s="136">
        <v>41.61</v>
      </c>
      <c r="AM21" s="110">
        <f t="shared" si="12"/>
        <v>0.17169383123581597</v>
      </c>
      <c r="AN21" s="137" t="s">
        <v>293</v>
      </c>
      <c r="AO21" s="150">
        <v>9.1300000000000008</v>
      </c>
      <c r="AP21" s="138">
        <v>6.2</v>
      </c>
      <c r="AQ21" s="131"/>
      <c r="AR21" s="131">
        <v>9.7899999999999991</v>
      </c>
      <c r="AS21" s="315">
        <v>242.35</v>
      </c>
      <c r="AT21" s="131">
        <v>3.58</v>
      </c>
      <c r="AU21" s="116"/>
      <c r="AV21" s="131"/>
      <c r="AW21" s="109">
        <f t="shared" si="34"/>
        <v>0</v>
      </c>
      <c r="AX21" s="109">
        <f t="shared" si="13"/>
        <v>196.31000000000003</v>
      </c>
      <c r="AY21" s="115">
        <f t="shared" si="25"/>
        <v>216.64683301264407</v>
      </c>
      <c r="AZ21" s="140">
        <f t="shared" si="14"/>
        <v>10.643867253521124</v>
      </c>
      <c r="BA21" s="141">
        <f t="shared" si="15"/>
        <v>7.8524000000000012</v>
      </c>
      <c r="BB21" s="128">
        <f t="shared" si="16"/>
        <v>0.79105070504306862</v>
      </c>
      <c r="BC21" s="141">
        <f t="shared" si="17"/>
        <v>18.496267253521125</v>
      </c>
      <c r="BD21" s="142">
        <v>0.83099999999999996</v>
      </c>
      <c r="BE21" s="16">
        <f t="shared" si="26"/>
        <v>2802.53</v>
      </c>
      <c r="BF21" s="16">
        <f t="shared" si="18"/>
        <v>175.80645161290323</v>
      </c>
      <c r="BG21" s="16">
        <f t="shared" si="27"/>
        <v>2637.0967741935488</v>
      </c>
      <c r="BH21" s="17">
        <f t="shared" si="19"/>
        <v>1</v>
      </c>
      <c r="BI21" s="16">
        <f t="shared" si="28"/>
        <v>2637.0967741935488</v>
      </c>
      <c r="BJ21" s="441">
        <f t="shared" si="29"/>
        <v>421.51800000000003</v>
      </c>
      <c r="BK21" s="196"/>
      <c r="BL21" s="197"/>
      <c r="BM21" s="197"/>
      <c r="BN21" s="230"/>
      <c r="BO21" s="230">
        <v>79.375</v>
      </c>
      <c r="BP21" s="259"/>
      <c r="BQ21" s="199"/>
      <c r="BR21" s="200">
        <v>0.6</v>
      </c>
      <c r="BS21" s="200"/>
      <c r="BT21" s="200"/>
      <c r="BU21" s="200"/>
      <c r="BV21" s="208"/>
      <c r="BW21" s="208">
        <v>0.86</v>
      </c>
      <c r="BX21" s="201"/>
      <c r="BY21" s="202">
        <v>37.86</v>
      </c>
      <c r="BZ21" s="200"/>
      <c r="CA21" s="200">
        <v>42.45</v>
      </c>
      <c r="CB21" s="200"/>
      <c r="CC21" s="208"/>
      <c r="CD21" s="208">
        <v>34.85</v>
      </c>
      <c r="CE21" s="209"/>
      <c r="CF21" s="199"/>
      <c r="CG21" s="197"/>
      <c r="CH21" s="230">
        <v>79.5</v>
      </c>
      <c r="CI21" s="266">
        <f t="shared" si="30"/>
        <v>203.91</v>
      </c>
      <c r="CJ21" s="453"/>
      <c r="CK21" s="202"/>
      <c r="CL21" s="208"/>
      <c r="CM21" s="208"/>
      <c r="CN21" s="201"/>
      <c r="CO21" s="284"/>
      <c r="CP21" s="286">
        <f t="shared" si="20"/>
        <v>418.98889200000008</v>
      </c>
      <c r="CQ21" s="27">
        <f t="shared" si="20"/>
        <v>0</v>
      </c>
      <c r="CR21" s="28">
        <f t="shared" si="20"/>
        <v>0</v>
      </c>
      <c r="CS21" s="27">
        <f t="shared" si="20"/>
        <v>0</v>
      </c>
      <c r="CT21" s="27">
        <f t="shared" si="20"/>
        <v>0</v>
      </c>
      <c r="CU21" s="24">
        <f t="shared" si="20"/>
        <v>78.692374999999998</v>
      </c>
      <c r="CV21" s="281">
        <f t="shared" si="20"/>
        <v>0</v>
      </c>
      <c r="CW21" s="237">
        <f t="shared" si="21"/>
        <v>0</v>
      </c>
      <c r="CX21" s="24">
        <f t="shared" si="21"/>
        <v>79.5</v>
      </c>
      <c r="CY21" s="277">
        <f t="shared" si="21"/>
        <v>203.91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31"/>
        <v>0</v>
      </c>
      <c r="DH21" s="254">
        <v>323.87400000000002</v>
      </c>
      <c r="DI21" s="197"/>
      <c r="DJ21" s="197">
        <v>71.644000000000005</v>
      </c>
      <c r="DK21" s="247">
        <f t="shared" si="32"/>
        <v>421.51800000000003</v>
      </c>
      <c r="DL21" s="197">
        <v>187.38</v>
      </c>
      <c r="DM21" s="247">
        <f t="shared" si="33"/>
        <v>203.91</v>
      </c>
    </row>
    <row r="22" spans="1:117" ht="16.5" customHeight="1">
      <c r="A22" s="127">
        <v>16</v>
      </c>
      <c r="B22" s="103">
        <f t="shared" si="24"/>
        <v>461.03999999999996</v>
      </c>
      <c r="C22" s="104">
        <f t="shared" si="0"/>
        <v>0.78943558042686102</v>
      </c>
      <c r="D22" s="143">
        <f t="shared" si="1"/>
        <v>457.40038620000001</v>
      </c>
      <c r="E22" s="104">
        <f t="shared" si="2"/>
        <v>36.915398880791258</v>
      </c>
      <c r="F22" s="128">
        <f t="shared" si="3"/>
        <v>2.5322503803354928</v>
      </c>
      <c r="G22" s="106"/>
      <c r="H22" s="107">
        <f t="shared" si="4"/>
        <v>2.5322503803354928</v>
      </c>
      <c r="I22" s="103">
        <f>'[1]сентябрь 20'!AE21</f>
        <v>0</v>
      </c>
      <c r="J22" s="328">
        <f>'[1]май 20'!AA21</f>
        <v>0</v>
      </c>
      <c r="K22" s="106"/>
      <c r="L22" s="328"/>
      <c r="M22" s="103">
        <f t="shared" si="5"/>
        <v>0</v>
      </c>
      <c r="N22" s="103">
        <f>'[1]июль 20'!AM21</f>
        <v>0</v>
      </c>
      <c r="O22" s="103">
        <f>'[1]май 20'!W21</f>
        <v>12.693</v>
      </c>
      <c r="P22" s="103">
        <v>262.75</v>
      </c>
      <c r="Q22" s="108">
        <f t="shared" si="6"/>
        <v>1.4386298763082728</v>
      </c>
      <c r="R22" s="109">
        <f t="shared" si="7"/>
        <v>258.97000000000003</v>
      </c>
      <c r="S22" s="106"/>
      <c r="T22" s="109">
        <f t="shared" si="8"/>
        <v>258.97000000000003</v>
      </c>
      <c r="U22" s="110">
        <f t="shared" si="9"/>
        <v>1.433704257321597</v>
      </c>
      <c r="V22" s="136">
        <v>136.97</v>
      </c>
      <c r="W22" s="129">
        <v>138.88999999999999</v>
      </c>
      <c r="X22" s="131">
        <v>0.79</v>
      </c>
      <c r="Y22" s="112">
        <v>610</v>
      </c>
      <c r="Z22" s="152">
        <v>1236</v>
      </c>
      <c r="AA22" s="144" t="s">
        <v>279</v>
      </c>
      <c r="AB22" s="131">
        <v>75.599999999999994</v>
      </c>
      <c r="AC22" s="133">
        <v>145</v>
      </c>
      <c r="AD22" s="134">
        <v>4</v>
      </c>
      <c r="AE22" s="131">
        <v>0.15</v>
      </c>
      <c r="AF22" s="115">
        <f t="shared" si="10"/>
        <v>0.83042683939544937</v>
      </c>
      <c r="AG22" s="131">
        <v>145.4</v>
      </c>
      <c r="AH22" s="115">
        <f t="shared" si="11"/>
        <v>804.96041632065567</v>
      </c>
      <c r="AI22" s="139">
        <v>15.04</v>
      </c>
      <c r="AJ22" s="131"/>
      <c r="AK22" s="136">
        <v>10.18</v>
      </c>
      <c r="AL22" s="136">
        <v>43.2</v>
      </c>
      <c r="AM22" s="110">
        <f t="shared" si="12"/>
        <v>0.18652849740932645</v>
      </c>
      <c r="AN22" s="137" t="s">
        <v>294</v>
      </c>
      <c r="AO22" s="150">
        <v>8.73</v>
      </c>
      <c r="AP22" s="138">
        <v>6.13</v>
      </c>
      <c r="AQ22" s="134"/>
      <c r="AR22" s="131">
        <v>10.5</v>
      </c>
      <c r="AS22" s="315">
        <v>231.6</v>
      </c>
      <c r="AT22" s="131">
        <v>2.41</v>
      </c>
      <c r="AU22" s="116"/>
      <c r="AV22" s="131"/>
      <c r="AW22" s="109">
        <f t="shared" si="34"/>
        <v>0</v>
      </c>
      <c r="AX22" s="109">
        <f t="shared" si="13"/>
        <v>180.62999999999997</v>
      </c>
      <c r="AY22" s="115">
        <f t="shared" si="25"/>
        <v>194.98290682924932</v>
      </c>
      <c r="AZ22" s="140">
        <f t="shared" si="14"/>
        <v>11.826549295774649</v>
      </c>
      <c r="BA22" s="141">
        <f t="shared" si="15"/>
        <v>7.2251999999999992</v>
      </c>
      <c r="BB22" s="128">
        <f t="shared" si="16"/>
        <v>0.80873750711949566</v>
      </c>
      <c r="BC22" s="141">
        <f t="shared" si="17"/>
        <v>19.051749295774648</v>
      </c>
      <c r="BD22" s="142">
        <v>0.82899999999999996</v>
      </c>
      <c r="BE22" s="16">
        <f t="shared" si="26"/>
        <v>2983.1600000000003</v>
      </c>
      <c r="BF22" s="16">
        <f t="shared" si="18"/>
        <v>175.80645161290323</v>
      </c>
      <c r="BG22" s="16">
        <f t="shared" si="27"/>
        <v>2812.9032258064522</v>
      </c>
      <c r="BH22" s="17">
        <f t="shared" si="19"/>
        <v>1</v>
      </c>
      <c r="BI22" s="16">
        <f t="shared" si="28"/>
        <v>2812.9032258064522</v>
      </c>
      <c r="BJ22" s="441">
        <f t="shared" si="29"/>
        <v>388.53699999999998</v>
      </c>
      <c r="BK22" s="196"/>
      <c r="BL22" s="197"/>
      <c r="BM22" s="197"/>
      <c r="BN22" s="230"/>
      <c r="BO22" s="230">
        <v>72.503</v>
      </c>
      <c r="BP22" s="258"/>
      <c r="BQ22" s="199"/>
      <c r="BR22" s="200">
        <v>0.78</v>
      </c>
      <c r="BS22" s="200"/>
      <c r="BT22" s="200"/>
      <c r="BU22" s="200"/>
      <c r="BV22" s="208"/>
      <c r="BW22" s="208">
        <v>0.84</v>
      </c>
      <c r="BX22" s="201"/>
      <c r="BY22" s="202">
        <v>37.340000000000003</v>
      </c>
      <c r="BZ22" s="200"/>
      <c r="CA22" s="200">
        <v>42.53</v>
      </c>
      <c r="CB22" s="200"/>
      <c r="CC22" s="208"/>
      <c r="CD22" s="208">
        <v>34.64</v>
      </c>
      <c r="CE22" s="201"/>
      <c r="CF22" s="199"/>
      <c r="CG22" s="197"/>
      <c r="CH22" s="230">
        <v>72.5</v>
      </c>
      <c r="CI22" s="266">
        <f t="shared" si="30"/>
        <v>186.47</v>
      </c>
      <c r="CJ22" s="453"/>
      <c r="CK22" s="202"/>
      <c r="CL22" s="200"/>
      <c r="CM22" s="208"/>
      <c r="CN22" s="201"/>
      <c r="CO22" s="284"/>
      <c r="CP22" s="286">
        <f t="shared" si="20"/>
        <v>385.50641139999999</v>
      </c>
      <c r="CQ22" s="29">
        <f t="shared" si="20"/>
        <v>0</v>
      </c>
      <c r="CR22" s="30">
        <f t="shared" si="20"/>
        <v>0</v>
      </c>
      <c r="CS22" s="29">
        <f t="shared" si="20"/>
        <v>0</v>
      </c>
      <c r="CT22" s="27">
        <f t="shared" si="20"/>
        <v>0</v>
      </c>
      <c r="CU22" s="24">
        <f t="shared" si="20"/>
        <v>71.893974799999995</v>
      </c>
      <c r="CV22" s="282">
        <f t="shared" si="20"/>
        <v>0</v>
      </c>
      <c r="CW22" s="237">
        <f t="shared" si="21"/>
        <v>0</v>
      </c>
      <c r="CX22" s="24">
        <f t="shared" si="21"/>
        <v>72.5</v>
      </c>
      <c r="CY22" s="277">
        <f t="shared" si="21"/>
        <v>186.47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31"/>
        <v>0</v>
      </c>
      <c r="DH22" s="254">
        <v>297.24099999999999</v>
      </c>
      <c r="DI22" s="197"/>
      <c r="DJ22" s="197">
        <v>65.296000000000006</v>
      </c>
      <c r="DK22" s="247">
        <f t="shared" si="32"/>
        <v>388.53699999999998</v>
      </c>
      <c r="DL22" s="197">
        <v>169.94</v>
      </c>
      <c r="DM22" s="247">
        <f t="shared" si="33"/>
        <v>186.47</v>
      </c>
    </row>
    <row r="23" spans="1:117" ht="16.5" customHeight="1">
      <c r="A23" s="127">
        <v>17</v>
      </c>
      <c r="B23" s="103">
        <f t="shared" si="24"/>
        <v>467.36400000000003</v>
      </c>
      <c r="C23" s="104">
        <f t="shared" si="0"/>
        <v>0.21158013882113297</v>
      </c>
      <c r="D23" s="143">
        <f t="shared" si="1"/>
        <v>466.37515060000004</v>
      </c>
      <c r="E23" s="104">
        <f t="shared" si="2"/>
        <v>37.178712652236804</v>
      </c>
      <c r="F23" s="128">
        <f t="shared" si="3"/>
        <v>2.4970560079241855</v>
      </c>
      <c r="G23" s="106"/>
      <c r="H23" s="107">
        <f t="shared" si="4"/>
        <v>2.497056007924185</v>
      </c>
      <c r="I23" s="103">
        <f>'[1]сентябрь 20'!AE22</f>
        <v>0</v>
      </c>
      <c r="J23" s="328">
        <f>'[1]май 20'!AA22</f>
        <v>0</v>
      </c>
      <c r="K23" s="106"/>
      <c r="L23" s="328"/>
      <c r="M23" s="103">
        <f t="shared" si="5"/>
        <v>0</v>
      </c>
      <c r="N23" s="103">
        <f>'[1]июль 20'!AM22</f>
        <v>0</v>
      </c>
      <c r="O23" s="103">
        <f>'[1]май 20'!W22</f>
        <v>14.071</v>
      </c>
      <c r="P23" s="103">
        <v>267.45</v>
      </c>
      <c r="Q23" s="108">
        <f t="shared" si="6"/>
        <v>1.4133482893998739</v>
      </c>
      <c r="R23" s="109">
        <f t="shared" si="7"/>
        <v>263.67</v>
      </c>
      <c r="S23" s="106">
        <v>40.89</v>
      </c>
      <c r="T23" s="109">
        <f t="shared" si="8"/>
        <v>263.67</v>
      </c>
      <c r="U23" s="110">
        <f t="shared" si="9"/>
        <v>1.411736360229159</v>
      </c>
      <c r="V23" s="136">
        <v>186.77</v>
      </c>
      <c r="W23" s="129">
        <v>186.77</v>
      </c>
      <c r="X23" s="131">
        <v>0.65</v>
      </c>
      <c r="Y23" s="112">
        <v>608</v>
      </c>
      <c r="Z23" s="133">
        <v>1234</v>
      </c>
      <c r="AA23" s="144" t="s">
        <v>295</v>
      </c>
      <c r="AB23" s="131">
        <v>75.62</v>
      </c>
      <c r="AC23" s="133">
        <v>147</v>
      </c>
      <c r="AD23" s="134">
        <v>4</v>
      </c>
      <c r="AE23" s="131">
        <v>0.15</v>
      </c>
      <c r="AF23" s="115">
        <f t="shared" si="10"/>
        <v>0.80312684049900951</v>
      </c>
      <c r="AG23" s="131">
        <v>145.1</v>
      </c>
      <c r="AH23" s="115">
        <f t="shared" si="11"/>
        <v>776.89136370937513</v>
      </c>
      <c r="AI23" s="139">
        <v>15.36</v>
      </c>
      <c r="AJ23" s="131"/>
      <c r="AK23" s="136">
        <v>9.3000000000000007</v>
      </c>
      <c r="AL23" s="136">
        <v>40.58</v>
      </c>
      <c r="AM23" s="110">
        <f t="shared" si="12"/>
        <v>0.1729384189217984</v>
      </c>
      <c r="AN23" s="137" t="s">
        <v>197</v>
      </c>
      <c r="AO23" s="150">
        <v>8.92</v>
      </c>
      <c r="AP23" s="138">
        <v>6.12</v>
      </c>
      <c r="AQ23" s="134"/>
      <c r="AR23" s="131">
        <v>9.26</v>
      </c>
      <c r="AS23" s="315">
        <v>234.65</v>
      </c>
      <c r="AT23" s="131">
        <v>2</v>
      </c>
      <c r="AU23" s="116"/>
      <c r="AV23" s="131"/>
      <c r="AW23" s="109">
        <f t="shared" si="34"/>
        <v>0</v>
      </c>
      <c r="AX23" s="109">
        <f t="shared" si="13"/>
        <v>186.76999999999998</v>
      </c>
      <c r="AY23" s="115">
        <f t="shared" si="25"/>
        <v>200.17384015920169</v>
      </c>
      <c r="AZ23" s="140">
        <f t="shared" si="14"/>
        <v>10.40837042253521</v>
      </c>
      <c r="BA23" s="141">
        <f t="shared" si="15"/>
        <v>7.4707999999999997</v>
      </c>
      <c r="BB23" s="128">
        <f t="shared" si="16"/>
        <v>0.81454304853383119</v>
      </c>
      <c r="BC23" s="141">
        <f t="shared" si="17"/>
        <v>17.879170422535211</v>
      </c>
      <c r="BD23" s="142">
        <v>0.82899999999999996</v>
      </c>
      <c r="BE23" s="16">
        <f t="shared" si="26"/>
        <v>3169.9300000000003</v>
      </c>
      <c r="BF23" s="16">
        <f t="shared" si="18"/>
        <v>175.80645161290323</v>
      </c>
      <c r="BG23" s="16">
        <f t="shared" si="27"/>
        <v>2988.7096774193556</v>
      </c>
      <c r="BH23" s="17">
        <f t="shared" si="19"/>
        <v>1</v>
      </c>
      <c r="BI23" s="16">
        <f t="shared" si="28"/>
        <v>2988.7096774193556</v>
      </c>
      <c r="BJ23" s="441">
        <f t="shared" si="29"/>
        <v>393.51400000000001</v>
      </c>
      <c r="BK23" s="196"/>
      <c r="BL23" s="197"/>
      <c r="BM23" s="197"/>
      <c r="BN23" s="230"/>
      <c r="BO23" s="230">
        <v>73.849999999999994</v>
      </c>
      <c r="BP23" s="258"/>
      <c r="BQ23" s="199"/>
      <c r="BR23" s="200">
        <v>0.21</v>
      </c>
      <c r="BS23" s="200"/>
      <c r="BT23" s="200"/>
      <c r="BU23" s="200"/>
      <c r="BV23" s="208"/>
      <c r="BW23" s="208">
        <v>0.22</v>
      </c>
      <c r="BX23" s="201"/>
      <c r="BY23" s="202">
        <v>37.49</v>
      </c>
      <c r="BZ23" s="200"/>
      <c r="CA23" s="200">
        <v>42.23</v>
      </c>
      <c r="CB23" s="200"/>
      <c r="CC23" s="208"/>
      <c r="CD23" s="208">
        <v>35.520000000000003</v>
      </c>
      <c r="CE23" s="209"/>
      <c r="CF23" s="199"/>
      <c r="CG23" s="197"/>
      <c r="CH23" s="230">
        <v>73.55</v>
      </c>
      <c r="CI23" s="266">
        <f t="shared" si="30"/>
        <v>190.12</v>
      </c>
      <c r="CJ23" s="453"/>
      <c r="CK23" s="202"/>
      <c r="CL23" s="208"/>
      <c r="CM23" s="208"/>
      <c r="CN23" s="201"/>
      <c r="CO23" s="284"/>
      <c r="CP23" s="286">
        <f t="shared" si="20"/>
        <v>392.6876206</v>
      </c>
      <c r="CQ23" s="24">
        <f t="shared" si="20"/>
        <v>0</v>
      </c>
      <c r="CR23" s="25">
        <f t="shared" si="20"/>
        <v>0</v>
      </c>
      <c r="CS23" s="24">
        <f t="shared" si="20"/>
        <v>0</v>
      </c>
      <c r="CT23" s="27">
        <f t="shared" si="20"/>
        <v>0</v>
      </c>
      <c r="CU23" s="24">
        <f t="shared" si="20"/>
        <v>73.687529999999995</v>
      </c>
      <c r="CV23" s="280">
        <f t="shared" si="20"/>
        <v>0</v>
      </c>
      <c r="CW23" s="237">
        <f t="shared" si="21"/>
        <v>0</v>
      </c>
      <c r="CX23" s="29">
        <f t="shared" si="21"/>
        <v>73.55</v>
      </c>
      <c r="CY23" s="277">
        <f t="shared" si="21"/>
        <v>190.12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31"/>
        <v>0</v>
      </c>
      <c r="DH23" s="254">
        <v>301.36599999999999</v>
      </c>
      <c r="DI23" s="197"/>
      <c r="DJ23" s="197">
        <v>66.147999999999996</v>
      </c>
      <c r="DK23" s="247">
        <f t="shared" si="32"/>
        <v>393.51400000000001</v>
      </c>
      <c r="DL23" s="197">
        <v>173.59</v>
      </c>
      <c r="DM23" s="247">
        <f t="shared" si="33"/>
        <v>190.12</v>
      </c>
    </row>
    <row r="24" spans="1:117" ht="16.5" customHeight="1">
      <c r="A24" s="127">
        <v>18</v>
      </c>
      <c r="B24" s="103">
        <f t="shared" si="24"/>
        <v>461.54799999999994</v>
      </c>
      <c r="C24" s="104">
        <f t="shared" si="0"/>
        <v>0.57507240850355756</v>
      </c>
      <c r="D24" s="143">
        <f t="shared" si="1"/>
        <v>458.89376479999993</v>
      </c>
      <c r="E24" s="104">
        <f t="shared" si="2"/>
        <v>37.947653808487956</v>
      </c>
      <c r="F24" s="128">
        <f t="shared" si="3"/>
        <v>2.5795040179876327</v>
      </c>
      <c r="G24" s="106"/>
      <c r="H24" s="107">
        <f t="shared" si="4"/>
        <v>2.5795040179876327</v>
      </c>
      <c r="I24" s="103">
        <f>'[1]сентябрь 20'!AE23</f>
        <v>0</v>
      </c>
      <c r="J24" s="328">
        <f>'[1]май 20'!AA23</f>
        <v>0</v>
      </c>
      <c r="K24" s="106">
        <v>30.11</v>
      </c>
      <c r="L24" s="328"/>
      <c r="M24" s="103">
        <f t="shared" si="5"/>
        <v>0</v>
      </c>
      <c r="N24" s="103">
        <f>'[1]июль 20'!AM23</f>
        <v>0</v>
      </c>
      <c r="O24" s="103">
        <f>'[1]май 20'!W23</f>
        <v>14.615</v>
      </c>
      <c r="P24" s="103">
        <v>264.83</v>
      </c>
      <c r="Q24" s="108">
        <f t="shared" si="6"/>
        <v>1.3706906317260126</v>
      </c>
      <c r="R24" s="109">
        <f t="shared" si="7"/>
        <v>261.2</v>
      </c>
      <c r="S24" s="106">
        <v>7.47</v>
      </c>
      <c r="T24" s="109">
        <f t="shared" si="8"/>
        <v>261.2</v>
      </c>
      <c r="U24" s="110">
        <f t="shared" si="9"/>
        <v>1.4682405845980884</v>
      </c>
      <c r="V24" s="136">
        <v>131.88</v>
      </c>
      <c r="W24" s="129">
        <v>131.08000000000001</v>
      </c>
      <c r="X24" s="131">
        <v>0.8</v>
      </c>
      <c r="Y24" s="133">
        <v>607</v>
      </c>
      <c r="Z24" s="133">
        <v>1246</v>
      </c>
      <c r="AA24" s="144" t="s">
        <v>297</v>
      </c>
      <c r="AB24" s="131">
        <v>76.02</v>
      </c>
      <c r="AC24" s="133">
        <v>145</v>
      </c>
      <c r="AD24" s="134">
        <v>4</v>
      </c>
      <c r="AE24" s="131"/>
      <c r="AF24" s="115">
        <f t="shared" si="10"/>
        <v>0</v>
      </c>
      <c r="AG24" s="131">
        <v>136.25</v>
      </c>
      <c r="AH24" s="115">
        <f t="shared" si="11"/>
        <v>765.87970770095546</v>
      </c>
      <c r="AI24" s="139">
        <v>13.65</v>
      </c>
      <c r="AJ24" s="131"/>
      <c r="AK24" s="136">
        <v>12.26</v>
      </c>
      <c r="AL24" s="136">
        <v>41.14</v>
      </c>
      <c r="AM24" s="110">
        <f t="shared" si="12"/>
        <v>0.18024096385542168</v>
      </c>
      <c r="AN24" s="137" t="s">
        <v>298</v>
      </c>
      <c r="AO24" s="150">
        <v>8.51</v>
      </c>
      <c r="AP24" s="138">
        <v>6.21</v>
      </c>
      <c r="AQ24" s="134"/>
      <c r="AR24" s="131">
        <v>11</v>
      </c>
      <c r="AS24" s="315">
        <v>228.25</v>
      </c>
      <c r="AT24" s="131">
        <v>3.05</v>
      </c>
      <c r="AU24" s="116"/>
      <c r="AV24" s="131"/>
      <c r="AW24" s="109">
        <f t="shared" si="34"/>
        <v>0</v>
      </c>
      <c r="AX24" s="109">
        <f t="shared" si="13"/>
        <v>177.90000000000003</v>
      </c>
      <c r="AY24" s="115">
        <f t="shared" si="25"/>
        <v>199.97857304489708</v>
      </c>
      <c r="AZ24" s="140">
        <f t="shared" si="14"/>
        <v>11.610035211267606</v>
      </c>
      <c r="BA24" s="141"/>
      <c r="BB24" s="128">
        <f t="shared" si="16"/>
        <v>0.77661670265610028</v>
      </c>
      <c r="BC24" s="141">
        <f t="shared" si="17"/>
        <v>11.610035211267606</v>
      </c>
      <c r="BD24" s="142">
        <v>0.82599999999999996</v>
      </c>
      <c r="BE24" s="16">
        <f t="shared" si="26"/>
        <v>3347.8300000000004</v>
      </c>
      <c r="BF24" s="16">
        <f t="shared" si="18"/>
        <v>175.80645161290323</v>
      </c>
      <c r="BG24" s="16">
        <f t="shared" si="27"/>
        <v>3164.516129032259</v>
      </c>
      <c r="BH24" s="17">
        <f t="shared" si="19"/>
        <v>1</v>
      </c>
      <c r="BI24" s="16">
        <f t="shared" si="28"/>
        <v>3164.516129032259</v>
      </c>
      <c r="BJ24" s="441">
        <f t="shared" si="29"/>
        <v>277.69399999999996</v>
      </c>
      <c r="BK24" s="196"/>
      <c r="BL24" s="197"/>
      <c r="BM24" s="197"/>
      <c r="BN24" s="230">
        <v>127.26</v>
      </c>
      <c r="BO24" s="230">
        <v>56.594000000000001</v>
      </c>
      <c r="BP24" s="258"/>
      <c r="BQ24" s="199"/>
      <c r="BR24" s="200">
        <v>0.72</v>
      </c>
      <c r="BS24" s="200"/>
      <c r="BT24" s="200"/>
      <c r="BU24" s="200"/>
      <c r="BV24" s="208">
        <v>0.31</v>
      </c>
      <c r="BW24" s="208">
        <v>0.46</v>
      </c>
      <c r="BX24" s="201"/>
      <c r="BY24" s="202">
        <v>38.03</v>
      </c>
      <c r="BZ24" s="200"/>
      <c r="CA24" s="200">
        <v>41.88</v>
      </c>
      <c r="CB24" s="200"/>
      <c r="CC24" s="208">
        <v>39.19</v>
      </c>
      <c r="CD24" s="208">
        <v>34.75</v>
      </c>
      <c r="CE24" s="209"/>
      <c r="CF24" s="199"/>
      <c r="CG24" s="197"/>
      <c r="CH24" s="230">
        <v>72.5</v>
      </c>
      <c r="CI24" s="266">
        <f t="shared" si="30"/>
        <v>188.7</v>
      </c>
      <c r="CJ24" s="453"/>
      <c r="CK24" s="202"/>
      <c r="CL24" s="208"/>
      <c r="CM24" s="208"/>
      <c r="CN24" s="201"/>
      <c r="CO24" s="284"/>
      <c r="CP24" s="286">
        <f t="shared" si="20"/>
        <v>275.69460319999996</v>
      </c>
      <c r="CQ24" s="29">
        <f t="shared" si="20"/>
        <v>0</v>
      </c>
      <c r="CR24" s="30">
        <f t="shared" si="20"/>
        <v>0</v>
      </c>
      <c r="CS24" s="29">
        <f t="shared" si="20"/>
        <v>0</v>
      </c>
      <c r="CT24" s="27">
        <f t="shared" si="20"/>
        <v>126.86549400000001</v>
      </c>
      <c r="CU24" s="27">
        <f t="shared" si="20"/>
        <v>56.333667600000005</v>
      </c>
      <c r="CV24" s="282">
        <f t="shared" si="20"/>
        <v>0</v>
      </c>
      <c r="CW24" s="25">
        <f t="shared" si="21"/>
        <v>0</v>
      </c>
      <c r="CX24" s="26">
        <f t="shared" si="21"/>
        <v>72.5</v>
      </c>
      <c r="CY24" s="277">
        <f t="shared" si="21"/>
        <v>188.7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31"/>
        <v>0</v>
      </c>
      <c r="DH24" s="254">
        <v>186.499</v>
      </c>
      <c r="DI24" s="197"/>
      <c r="DJ24" s="197">
        <v>65.194999999999993</v>
      </c>
      <c r="DK24" s="247">
        <f t="shared" si="32"/>
        <v>277.69399999999996</v>
      </c>
      <c r="DL24" s="197">
        <v>172.17</v>
      </c>
      <c r="DM24" s="247">
        <f t="shared" si="33"/>
        <v>188.7</v>
      </c>
    </row>
    <row r="25" spans="1:117" ht="16.5" customHeight="1">
      <c r="A25" s="127">
        <v>19</v>
      </c>
      <c r="B25" s="103">
        <f t="shared" si="24"/>
        <v>457.96</v>
      </c>
      <c r="C25" s="104">
        <f t="shared" si="0"/>
        <v>0.36185837191021047</v>
      </c>
      <c r="D25" s="143">
        <f t="shared" si="1"/>
        <v>456.30283339999994</v>
      </c>
      <c r="E25" s="104">
        <f t="shared" si="2"/>
        <v>37.966724037033806</v>
      </c>
      <c r="F25" s="128">
        <f t="shared" si="3"/>
        <v>2.314847977881493</v>
      </c>
      <c r="G25" s="106"/>
      <c r="H25" s="107">
        <f t="shared" si="4"/>
        <v>2.3148479778814934</v>
      </c>
      <c r="I25" s="103">
        <f>'[1]сентябрь 20'!AE24</f>
        <v>0</v>
      </c>
      <c r="J25" s="328">
        <f>'[1]май 20'!AA24</f>
        <v>0</v>
      </c>
      <c r="K25" s="106"/>
      <c r="L25" s="328"/>
      <c r="M25" s="103">
        <f t="shared" si="5"/>
        <v>0</v>
      </c>
      <c r="N25" s="103">
        <f>'[1]июль 20'!AM24</f>
        <v>2.8069999999999999</v>
      </c>
      <c r="O25" s="103">
        <f>'[1]май 20'!W24</f>
        <v>17.981999999999999</v>
      </c>
      <c r="P25" s="103">
        <v>265.89999999999998</v>
      </c>
      <c r="Q25" s="108">
        <f t="shared" si="6"/>
        <v>1.3802181271154401</v>
      </c>
      <c r="R25" s="109">
        <f t="shared" si="7"/>
        <v>262.23</v>
      </c>
      <c r="S25" s="106">
        <v>35.22</v>
      </c>
      <c r="T25" s="109">
        <f t="shared" si="8"/>
        <v>262.23</v>
      </c>
      <c r="U25" s="110">
        <f t="shared" si="9"/>
        <v>1.3303064123376624</v>
      </c>
      <c r="V25" s="136">
        <v>100.91</v>
      </c>
      <c r="W25" s="129">
        <v>197.12</v>
      </c>
      <c r="X25" s="131">
        <v>0.55000000000000004</v>
      </c>
      <c r="Y25" s="133">
        <v>615</v>
      </c>
      <c r="Z25" s="133">
        <v>1244</v>
      </c>
      <c r="AA25" s="144" t="s">
        <v>299</v>
      </c>
      <c r="AB25" s="131">
        <v>75.06</v>
      </c>
      <c r="AC25" s="133">
        <v>144</v>
      </c>
      <c r="AD25" s="134">
        <v>4</v>
      </c>
      <c r="AE25" s="131">
        <v>2.7</v>
      </c>
      <c r="AF25" s="115">
        <f t="shared" si="10"/>
        <v>13.69724025974026</v>
      </c>
      <c r="AG25" s="131">
        <v>135.4</v>
      </c>
      <c r="AH25" s="115">
        <f t="shared" si="11"/>
        <v>686.89123376623377</v>
      </c>
      <c r="AI25" s="139">
        <v>17.29</v>
      </c>
      <c r="AJ25" s="131"/>
      <c r="AK25" s="136">
        <v>8.7899999999999991</v>
      </c>
      <c r="AL25" s="136">
        <v>38.99</v>
      </c>
      <c r="AM25" s="110">
        <f t="shared" si="12"/>
        <v>0.16154961673917548</v>
      </c>
      <c r="AN25" s="137" t="s">
        <v>300</v>
      </c>
      <c r="AO25" s="150">
        <v>8.44</v>
      </c>
      <c r="AP25" s="138">
        <v>7</v>
      </c>
      <c r="AQ25" s="153"/>
      <c r="AR25" s="131">
        <v>10.8</v>
      </c>
      <c r="AS25" s="315">
        <v>241.35</v>
      </c>
      <c r="AT25" s="131">
        <v>3.55</v>
      </c>
      <c r="AU25" s="148"/>
      <c r="AV25" s="131"/>
      <c r="AW25" s="109">
        <f t="shared" si="34"/>
        <v>0</v>
      </c>
      <c r="AX25" s="109">
        <f t="shared" si="13"/>
        <v>197.12</v>
      </c>
      <c r="AY25" s="115">
        <f t="shared" si="25"/>
        <v>201.49393333841695</v>
      </c>
      <c r="AZ25" s="140">
        <f t="shared" si="14"/>
        <v>11.327830985915494</v>
      </c>
      <c r="BA25" s="141">
        <f t="shared" ref="BA25:BA37" si="35">AX25*$BA$6</f>
        <v>7.8848000000000003</v>
      </c>
      <c r="BB25" s="128">
        <f t="shared" si="16"/>
        <v>0.85404933612058287</v>
      </c>
      <c r="BC25" s="141">
        <f t="shared" si="17"/>
        <v>19.212630985915496</v>
      </c>
      <c r="BD25" s="142">
        <v>0.82699999999999996</v>
      </c>
      <c r="BE25" s="16">
        <f t="shared" si="26"/>
        <v>3544.9500000000003</v>
      </c>
      <c r="BF25" s="16">
        <f t="shared" si="18"/>
        <v>175.80645161290323</v>
      </c>
      <c r="BG25" s="16">
        <f t="shared" si="27"/>
        <v>3340.3225806451624</v>
      </c>
      <c r="BH25" s="17">
        <f t="shared" si="19"/>
        <v>1</v>
      </c>
      <c r="BI25" s="16">
        <f t="shared" si="28"/>
        <v>3340.3225806451624</v>
      </c>
      <c r="BJ25" s="441">
        <f t="shared" si="29"/>
        <v>234.762</v>
      </c>
      <c r="BK25" s="196"/>
      <c r="BL25" s="197"/>
      <c r="BM25" s="197"/>
      <c r="BN25" s="230">
        <v>172.798</v>
      </c>
      <c r="BO25" s="230">
        <v>50.4</v>
      </c>
      <c r="BP25" s="258"/>
      <c r="BQ25" s="199"/>
      <c r="BR25" s="200">
        <v>0.39</v>
      </c>
      <c r="BS25" s="200"/>
      <c r="BT25" s="200"/>
      <c r="BU25" s="200"/>
      <c r="BV25" s="208">
        <v>0.26</v>
      </c>
      <c r="BW25" s="208">
        <v>0.57999999999999996</v>
      </c>
      <c r="BX25" s="201"/>
      <c r="BY25" s="202">
        <v>37.94</v>
      </c>
      <c r="BZ25" s="200"/>
      <c r="CA25" s="200">
        <v>42.34</v>
      </c>
      <c r="CB25" s="200"/>
      <c r="CC25" s="208">
        <v>38.67</v>
      </c>
      <c r="CD25" s="208">
        <v>35.68</v>
      </c>
      <c r="CE25" s="201"/>
      <c r="CF25" s="199"/>
      <c r="CG25" s="197"/>
      <c r="CH25" s="230">
        <v>70.5</v>
      </c>
      <c r="CI25" s="266">
        <f t="shared" si="30"/>
        <v>191.73</v>
      </c>
      <c r="CJ25" s="453"/>
      <c r="CK25" s="202"/>
      <c r="CL25" s="208"/>
      <c r="CM25" s="208"/>
      <c r="CN25" s="201"/>
      <c r="CO25" s="284"/>
      <c r="CP25" s="286">
        <f t="shared" si="20"/>
        <v>233.84642819999999</v>
      </c>
      <c r="CQ25" s="24">
        <f t="shared" si="20"/>
        <v>0</v>
      </c>
      <c r="CR25" s="25">
        <f t="shared" si="20"/>
        <v>0</v>
      </c>
      <c r="CS25" s="24">
        <f t="shared" si="20"/>
        <v>0</v>
      </c>
      <c r="CT25" s="27">
        <f t="shared" si="20"/>
        <v>172.34872519999999</v>
      </c>
      <c r="CU25" s="30">
        <f t="shared" si="20"/>
        <v>50.107679999999995</v>
      </c>
      <c r="CV25" s="280">
        <f t="shared" si="20"/>
        <v>0</v>
      </c>
      <c r="CW25" s="25">
        <f t="shared" si="21"/>
        <v>0</v>
      </c>
      <c r="CX25" s="26">
        <f t="shared" si="21"/>
        <v>70.5</v>
      </c>
      <c r="CY25" s="277">
        <f t="shared" si="21"/>
        <v>191.73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31"/>
        <v>0</v>
      </c>
      <c r="DH25" s="254">
        <v>143.99199999999999</v>
      </c>
      <c r="DI25" s="197"/>
      <c r="DJ25" s="197">
        <v>64.77</v>
      </c>
      <c r="DK25" s="247">
        <f t="shared" si="32"/>
        <v>234.762</v>
      </c>
      <c r="DL25" s="197">
        <v>175.2</v>
      </c>
      <c r="DM25" s="247">
        <f t="shared" si="33"/>
        <v>191.73</v>
      </c>
    </row>
    <row r="26" spans="1:117" ht="16.5" customHeight="1">
      <c r="A26" s="127">
        <v>20</v>
      </c>
      <c r="B26" s="103">
        <f t="shared" si="24"/>
        <v>271.411</v>
      </c>
      <c r="C26" s="104">
        <f t="shared" si="0"/>
        <v>0.50727380246194886</v>
      </c>
      <c r="D26" s="143">
        <f t="shared" si="1"/>
        <v>270.03420310000001</v>
      </c>
      <c r="E26" s="104">
        <f t="shared" si="2"/>
        <v>38.210098337945034</v>
      </c>
      <c r="F26" s="128">
        <f t="shared" si="3"/>
        <v>2.2913381680101828</v>
      </c>
      <c r="G26" s="106"/>
      <c r="H26" s="107">
        <f t="shared" si="4"/>
        <v>2.2913381680101828</v>
      </c>
      <c r="I26" s="103">
        <f>'[1]сентябрь 20'!AE25</f>
        <v>0</v>
      </c>
      <c r="J26" s="328">
        <f>'[1]май 20'!AA25</f>
        <v>0</v>
      </c>
      <c r="K26" s="106"/>
      <c r="L26" s="328"/>
      <c r="M26" s="103">
        <f t="shared" si="5"/>
        <v>0</v>
      </c>
      <c r="N26" s="103">
        <f>'[1]июль 20'!AM25</f>
        <v>7.1479999999999997</v>
      </c>
      <c r="O26" s="103">
        <f>'[1]май 20'!W25</f>
        <v>10.67</v>
      </c>
      <c r="P26" s="103">
        <v>162.69</v>
      </c>
      <c r="Q26" s="108">
        <f t="shared" si="6"/>
        <v>1.4506115925994156</v>
      </c>
      <c r="R26" s="109">
        <f t="shared" si="7"/>
        <v>160.33000000000001</v>
      </c>
      <c r="S26" s="106">
        <v>20.46</v>
      </c>
      <c r="T26" s="109">
        <f t="shared" si="8"/>
        <v>160.33000000000001</v>
      </c>
      <c r="U26" s="110">
        <f t="shared" si="9"/>
        <v>1.3604582095884601</v>
      </c>
      <c r="V26" s="136">
        <v>93.92</v>
      </c>
      <c r="W26" s="154">
        <v>117.85</v>
      </c>
      <c r="X26" s="149">
        <v>0.55000000000000004</v>
      </c>
      <c r="Y26" s="147">
        <v>601</v>
      </c>
      <c r="Z26" s="147">
        <v>1195</v>
      </c>
      <c r="AA26" s="144" t="s">
        <v>279</v>
      </c>
      <c r="AB26" s="149">
        <v>75.400000000000006</v>
      </c>
      <c r="AC26" s="147">
        <v>83</v>
      </c>
      <c r="AD26" s="155">
        <v>3</v>
      </c>
      <c r="AE26" s="149">
        <v>1.5</v>
      </c>
      <c r="AF26" s="115">
        <f t="shared" si="10"/>
        <v>12.728044123886296</v>
      </c>
      <c r="AG26" s="149">
        <v>90.55</v>
      </c>
      <c r="AH26" s="115">
        <f t="shared" si="11"/>
        <v>768.34959694526935</v>
      </c>
      <c r="AI26" s="156">
        <v>16.600000000000001</v>
      </c>
      <c r="AJ26" s="149"/>
      <c r="AK26" s="157">
        <v>8.25</v>
      </c>
      <c r="AL26" s="157">
        <v>23.98</v>
      </c>
      <c r="AM26" s="110">
        <f t="shared" si="12"/>
        <v>0.16202702702702704</v>
      </c>
      <c r="AN26" s="158" t="s">
        <v>301</v>
      </c>
      <c r="AO26" s="404">
        <v>7.92</v>
      </c>
      <c r="AP26" s="159">
        <v>6.77</v>
      </c>
      <c r="AQ26" s="155"/>
      <c r="AR26" s="149">
        <v>13.93</v>
      </c>
      <c r="AS26" s="315">
        <v>148</v>
      </c>
      <c r="AT26" s="131">
        <v>2.08</v>
      </c>
      <c r="AU26" s="148"/>
      <c r="AV26" s="149"/>
      <c r="AW26" s="160">
        <f t="shared" si="34"/>
        <v>0</v>
      </c>
      <c r="AX26" s="109">
        <f t="shared" si="13"/>
        <v>117.85</v>
      </c>
      <c r="AY26" s="115">
        <f t="shared" si="25"/>
        <v>119.46476400884683</v>
      </c>
      <c r="AZ26" s="140">
        <f t="shared" si="14"/>
        <v>9.7711102112676045</v>
      </c>
      <c r="BA26" s="140">
        <f t="shared" si="35"/>
        <v>4.7139999999999995</v>
      </c>
      <c r="BB26" s="161">
        <f t="shared" si="16"/>
        <v>0.86119996011862643</v>
      </c>
      <c r="BC26" s="140">
        <f t="shared" si="17"/>
        <v>14.485110211267603</v>
      </c>
      <c r="BD26" s="162">
        <v>0.82799999999999996</v>
      </c>
      <c r="BE26" s="16">
        <f t="shared" si="26"/>
        <v>3662.8</v>
      </c>
      <c r="BF26" s="16">
        <f t="shared" si="18"/>
        <v>175.80645161290323</v>
      </c>
      <c r="BG26" s="16">
        <f t="shared" si="27"/>
        <v>3516.1290322580658</v>
      </c>
      <c r="BH26" s="17">
        <f t="shared" si="19"/>
        <v>1</v>
      </c>
      <c r="BI26" s="16">
        <f t="shared" si="28"/>
        <v>3516.1290322580658</v>
      </c>
      <c r="BJ26" s="441">
        <f t="shared" si="29"/>
        <v>144.78299999999999</v>
      </c>
      <c r="BK26" s="196"/>
      <c r="BL26" s="197"/>
      <c r="BM26" s="197"/>
      <c r="BN26" s="230">
        <v>98.367999999999995</v>
      </c>
      <c r="BO26" s="230">
        <v>28.26</v>
      </c>
      <c r="BP26" s="258"/>
      <c r="BQ26" s="199"/>
      <c r="BR26" s="200">
        <v>0.63</v>
      </c>
      <c r="BS26" s="200"/>
      <c r="BT26" s="200"/>
      <c r="BU26" s="200"/>
      <c r="BV26" s="208">
        <v>0.3</v>
      </c>
      <c r="BW26" s="208">
        <v>0.6</v>
      </c>
      <c r="BX26" s="201"/>
      <c r="BY26" s="202">
        <v>38.200000000000003</v>
      </c>
      <c r="BZ26" s="200"/>
      <c r="CA26" s="200">
        <v>42.3</v>
      </c>
      <c r="CB26" s="200"/>
      <c r="CC26" s="208">
        <v>39.4</v>
      </c>
      <c r="CD26" s="208">
        <v>34.119999999999997</v>
      </c>
      <c r="CE26" s="209"/>
      <c r="CF26" s="199"/>
      <c r="CG26" s="197"/>
      <c r="CH26" s="230"/>
      <c r="CI26" s="266">
        <f t="shared" si="30"/>
        <v>160.33000000000001</v>
      </c>
      <c r="CJ26" s="453"/>
      <c r="CK26" s="202"/>
      <c r="CL26" s="208"/>
      <c r="CM26" s="208"/>
      <c r="CN26" s="201"/>
      <c r="CO26" s="284"/>
      <c r="CP26" s="286">
        <f t="shared" si="20"/>
        <v>143.8708671</v>
      </c>
      <c r="CQ26" s="24">
        <f t="shared" si="20"/>
        <v>0</v>
      </c>
      <c r="CR26" s="25">
        <f t="shared" si="20"/>
        <v>0</v>
      </c>
      <c r="CS26" s="24">
        <f t="shared" si="20"/>
        <v>0</v>
      </c>
      <c r="CT26" s="27">
        <f t="shared" si="20"/>
        <v>98.072896</v>
      </c>
      <c r="CU26" s="24">
        <f t="shared" si="20"/>
        <v>28.090440000000005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160.33000000000001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31"/>
        <v>0</v>
      </c>
      <c r="DH26" s="254">
        <v>81.900999999999996</v>
      </c>
      <c r="DI26" s="197"/>
      <c r="DJ26" s="197">
        <v>36.881999999999998</v>
      </c>
      <c r="DK26" s="247">
        <f t="shared" si="32"/>
        <v>144.78299999999999</v>
      </c>
      <c r="DL26" s="197">
        <v>143.80000000000001</v>
      </c>
      <c r="DM26" s="247">
        <f t="shared" si="33"/>
        <v>160.33000000000001</v>
      </c>
    </row>
    <row r="27" spans="1:117" ht="16.5" customHeight="1">
      <c r="A27" s="127">
        <v>21</v>
      </c>
      <c r="B27" s="103">
        <f t="shared" si="24"/>
        <v>466.95499999999998</v>
      </c>
      <c r="C27" s="104">
        <f t="shared" si="0"/>
        <v>0.48122947607371164</v>
      </c>
      <c r="D27" s="143">
        <f t="shared" si="1"/>
        <v>464.70787489999998</v>
      </c>
      <c r="E27" s="104">
        <f t="shared" si="2"/>
        <v>37.238503517469567</v>
      </c>
      <c r="F27" s="128">
        <f t="shared" si="3"/>
        <v>2.4259128988306538</v>
      </c>
      <c r="G27" s="106"/>
      <c r="H27" s="107">
        <f t="shared" si="4"/>
        <v>2.4259128988306538</v>
      </c>
      <c r="I27" s="103">
        <f>'[1]сентябрь 20'!AE26</f>
        <v>0</v>
      </c>
      <c r="J27" s="328">
        <f>'[1]май 20'!AA26</f>
        <v>0</v>
      </c>
      <c r="K27" s="106">
        <v>26.75</v>
      </c>
      <c r="L27" s="328"/>
      <c r="M27" s="103">
        <f t="shared" si="5"/>
        <v>0</v>
      </c>
      <c r="N27" s="103">
        <f>'[1]июль 20'!AM26</f>
        <v>7.0339999999999998</v>
      </c>
      <c r="O27" s="103">
        <f>'[1]май 20'!W26</f>
        <v>19.236999999999998</v>
      </c>
      <c r="P27" s="103">
        <v>274.19</v>
      </c>
      <c r="Q27" s="108">
        <f t="shared" si="6"/>
        <v>1.4150771362923531</v>
      </c>
      <c r="R27" s="109">
        <f t="shared" si="7"/>
        <v>270.31</v>
      </c>
      <c r="S27" s="106">
        <v>27.22</v>
      </c>
      <c r="T27" s="109">
        <f t="shared" si="8"/>
        <v>270.31</v>
      </c>
      <c r="U27" s="110">
        <f t="shared" si="9"/>
        <v>1.4110983503863022</v>
      </c>
      <c r="V27" s="129">
        <v>191.56</v>
      </c>
      <c r="W27" s="129">
        <v>191.56</v>
      </c>
      <c r="X27" s="131">
        <v>0.41</v>
      </c>
      <c r="Y27" s="133">
        <v>582</v>
      </c>
      <c r="Z27" s="133">
        <v>1214</v>
      </c>
      <c r="AA27" s="144" t="s">
        <v>302</v>
      </c>
      <c r="AB27" s="131">
        <v>75.19</v>
      </c>
      <c r="AC27" s="133">
        <v>147</v>
      </c>
      <c r="AD27" s="134">
        <v>4</v>
      </c>
      <c r="AE27" s="131">
        <v>1.75</v>
      </c>
      <c r="AF27" s="115">
        <f t="shared" si="10"/>
        <v>9.1355188974733768</v>
      </c>
      <c r="AG27" s="131">
        <v>135.15</v>
      </c>
      <c r="AH27" s="115">
        <f t="shared" si="11"/>
        <v>705.52307371058691</v>
      </c>
      <c r="AI27" s="139">
        <v>17.55</v>
      </c>
      <c r="AJ27" s="131"/>
      <c r="AK27" s="136">
        <v>7.5</v>
      </c>
      <c r="AL27" s="136">
        <v>42.36</v>
      </c>
      <c r="AM27" s="110">
        <f t="shared" si="12"/>
        <v>0.17690540822718731</v>
      </c>
      <c r="AN27" s="137" t="s">
        <v>303</v>
      </c>
      <c r="AO27" s="150">
        <v>8.5399999999999991</v>
      </c>
      <c r="AP27" s="138">
        <v>6.86</v>
      </c>
      <c r="AQ27" s="134"/>
      <c r="AR27" s="131">
        <v>11.03</v>
      </c>
      <c r="AS27" s="139">
        <v>239.45</v>
      </c>
      <c r="AT27" s="131">
        <v>1.97</v>
      </c>
      <c r="AU27" s="148"/>
      <c r="AV27" s="131"/>
      <c r="AW27" s="109">
        <f t="shared" si="34"/>
        <v>0</v>
      </c>
      <c r="AX27" s="109">
        <f t="shared" si="13"/>
        <v>191.55999999999997</v>
      </c>
      <c r="AY27" s="115">
        <f t="shared" si="25"/>
        <v>200.92149957619239</v>
      </c>
      <c r="AZ27" s="140">
        <f t="shared" si="14"/>
        <v>11.547710915492956</v>
      </c>
      <c r="BA27" s="141">
        <f t="shared" si="35"/>
        <v>7.662399999999999</v>
      </c>
      <c r="BB27" s="128">
        <f t="shared" si="16"/>
        <v>0.83232446678302441</v>
      </c>
      <c r="BC27" s="141">
        <f t="shared" si="17"/>
        <v>19.210110915492955</v>
      </c>
      <c r="BD27" s="142">
        <v>0.82799999999999996</v>
      </c>
      <c r="BE27" s="16">
        <f t="shared" si="26"/>
        <v>3854.36</v>
      </c>
      <c r="BF27" s="16">
        <f t="shared" si="18"/>
        <v>175.80645161290323</v>
      </c>
      <c r="BG27" s="16">
        <f t="shared" si="27"/>
        <v>3691.9354838709692</v>
      </c>
      <c r="BH27" s="17">
        <f t="shared" si="19"/>
        <v>1</v>
      </c>
      <c r="BI27" s="16">
        <f t="shared" si="28"/>
        <v>3691.9354838709692</v>
      </c>
      <c r="BJ27" s="441">
        <f t="shared" si="29"/>
        <v>239.09899999999999</v>
      </c>
      <c r="BK27" s="196"/>
      <c r="BL27" s="197"/>
      <c r="BM27" s="197"/>
      <c r="BN27" s="230">
        <v>176.49</v>
      </c>
      <c r="BO27" s="230">
        <v>51.366</v>
      </c>
      <c r="BP27" s="258"/>
      <c r="BQ27" s="199"/>
      <c r="BR27" s="200">
        <v>0.51</v>
      </c>
      <c r="BS27" s="200"/>
      <c r="BT27" s="200"/>
      <c r="BU27" s="200"/>
      <c r="BV27" s="208">
        <v>0.3</v>
      </c>
      <c r="BW27" s="208">
        <v>0.97</v>
      </c>
      <c r="BX27" s="201"/>
      <c r="BY27" s="202">
        <v>37.33</v>
      </c>
      <c r="BZ27" s="200"/>
      <c r="CA27" s="200">
        <v>42.32</v>
      </c>
      <c r="CB27" s="200"/>
      <c r="CC27" s="208">
        <v>38.06</v>
      </c>
      <c r="CD27" s="208">
        <v>33.99</v>
      </c>
      <c r="CE27" s="209"/>
      <c r="CF27" s="199"/>
      <c r="CG27" s="197"/>
      <c r="CH27" s="230"/>
      <c r="CI27" s="266">
        <f t="shared" si="30"/>
        <v>270.31</v>
      </c>
      <c r="CJ27" s="453"/>
      <c r="CK27" s="202"/>
      <c r="CL27" s="208"/>
      <c r="CM27" s="208"/>
      <c r="CN27" s="201"/>
      <c r="CO27" s="284"/>
      <c r="CP27" s="286">
        <f t="shared" si="20"/>
        <v>237.87959509999996</v>
      </c>
      <c r="CQ27" s="24">
        <f t="shared" si="20"/>
        <v>0</v>
      </c>
      <c r="CR27" s="25">
        <f t="shared" si="20"/>
        <v>0</v>
      </c>
      <c r="CS27" s="24">
        <f t="shared" si="20"/>
        <v>0</v>
      </c>
      <c r="CT27" s="27">
        <f t="shared" si="20"/>
        <v>175.96053000000001</v>
      </c>
      <c r="CU27" s="29">
        <f t="shared" si="20"/>
        <v>50.867749799999999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270.31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31"/>
        <v>0</v>
      </c>
      <c r="DH27" s="254">
        <v>146.97999999999999</v>
      </c>
      <c r="DI27" s="197"/>
      <c r="DJ27" s="197">
        <v>66.119</v>
      </c>
      <c r="DK27" s="247">
        <f t="shared" si="32"/>
        <v>239.09899999999999</v>
      </c>
      <c r="DL27" s="197">
        <v>253.78</v>
      </c>
      <c r="DM27" s="247">
        <f t="shared" si="33"/>
        <v>270.31</v>
      </c>
    </row>
    <row r="28" spans="1:117" ht="16.5" customHeight="1">
      <c r="A28" s="127">
        <v>22</v>
      </c>
      <c r="B28" s="103">
        <f t="shared" si="24"/>
        <v>455.096</v>
      </c>
      <c r="C28" s="104">
        <f t="shared" si="0"/>
        <v>0.86852523423629302</v>
      </c>
      <c r="D28" s="143">
        <f t="shared" si="1"/>
        <v>451.14337640000002</v>
      </c>
      <c r="E28" s="104">
        <f t="shared" si="2"/>
        <v>36.795138915745248</v>
      </c>
      <c r="F28" s="128">
        <f t="shared" si="3"/>
        <v>2.5288305852017938</v>
      </c>
      <c r="G28" s="106"/>
      <c r="H28" s="107">
        <f t="shared" si="4"/>
        <v>2.5288305852017938</v>
      </c>
      <c r="I28" s="103">
        <f>'[1]сентябрь 20'!AE27</f>
        <v>0</v>
      </c>
      <c r="J28" s="328">
        <f>'[1]май 20'!AA27</f>
        <v>0</v>
      </c>
      <c r="K28" s="106"/>
      <c r="L28" s="328"/>
      <c r="M28" s="103">
        <f t="shared" si="5"/>
        <v>0</v>
      </c>
      <c r="N28" s="103">
        <f>'[1]июль 20'!AM27</f>
        <v>6.6520000000000001</v>
      </c>
      <c r="O28" s="103">
        <f>'[1]май 20'!W27</f>
        <v>18.431999999999999</v>
      </c>
      <c r="P28" s="103">
        <v>269.25</v>
      </c>
      <c r="Q28" s="108">
        <f t="shared" si="6"/>
        <v>1.4484679665738076</v>
      </c>
      <c r="R28" s="109">
        <f t="shared" si="7"/>
        <v>265.35000000000008</v>
      </c>
      <c r="S28" s="106">
        <v>21.82</v>
      </c>
      <c r="T28" s="109">
        <f t="shared" si="8"/>
        <v>265.35000000000002</v>
      </c>
      <c r="U28" s="110">
        <f t="shared" si="9"/>
        <v>1.4873878923766821</v>
      </c>
      <c r="V28" s="129">
        <v>134.68</v>
      </c>
      <c r="W28" s="136">
        <v>178.4</v>
      </c>
      <c r="X28" s="131">
        <v>0.57999999999999996</v>
      </c>
      <c r="Y28" s="133">
        <v>614</v>
      </c>
      <c r="Z28" s="133">
        <v>1234</v>
      </c>
      <c r="AA28" s="144" t="s">
        <v>304</v>
      </c>
      <c r="AB28" s="131">
        <v>74.930000000000007</v>
      </c>
      <c r="AC28" s="133">
        <v>143</v>
      </c>
      <c r="AD28" s="134">
        <v>4</v>
      </c>
      <c r="AE28" s="131">
        <v>1</v>
      </c>
      <c r="AF28" s="115">
        <f t="shared" si="10"/>
        <v>5.6053811659192823</v>
      </c>
      <c r="AG28" s="131">
        <v>133.55000000000001</v>
      </c>
      <c r="AH28" s="115">
        <f t="shared" si="11"/>
        <v>748.59865470852026</v>
      </c>
      <c r="AI28" s="139">
        <v>14.16</v>
      </c>
      <c r="AJ28" s="131"/>
      <c r="AK28" s="136">
        <v>13.11</v>
      </c>
      <c r="AL28" s="136">
        <v>42.72</v>
      </c>
      <c r="AM28" s="110">
        <f t="shared" si="12"/>
        <v>0.18421733505821475</v>
      </c>
      <c r="AN28" s="137" t="s">
        <v>303</v>
      </c>
      <c r="AO28" s="150">
        <v>8.68</v>
      </c>
      <c r="AP28" s="138">
        <v>6.97</v>
      </c>
      <c r="AQ28" s="134"/>
      <c r="AR28" s="131">
        <v>10</v>
      </c>
      <c r="AS28" s="139">
        <v>231.9</v>
      </c>
      <c r="AT28" s="131">
        <v>2.33</v>
      </c>
      <c r="AU28" s="148"/>
      <c r="AV28" s="131"/>
      <c r="AW28" s="109">
        <f t="shared" si="34"/>
        <v>0</v>
      </c>
      <c r="AX28" s="109">
        <f t="shared" si="13"/>
        <v>178.4</v>
      </c>
      <c r="AY28" s="115">
        <f t="shared" si="25"/>
        <v>193.40315011945401</v>
      </c>
      <c r="AZ28" s="140">
        <f t="shared" si="14"/>
        <v>10.345422535211268</v>
      </c>
      <c r="BA28" s="141">
        <f t="shared" si="35"/>
        <v>7.1360000000000001</v>
      </c>
      <c r="BB28" s="128">
        <f t="shared" si="16"/>
        <v>0.80527747300809926</v>
      </c>
      <c r="BC28" s="141">
        <f t="shared" si="17"/>
        <v>17.481422535211269</v>
      </c>
      <c r="BD28" s="142">
        <v>0.82699999999999996</v>
      </c>
      <c r="BE28" s="16">
        <f t="shared" si="26"/>
        <v>4032.76</v>
      </c>
      <c r="BF28" s="16">
        <f t="shared" si="18"/>
        <v>175.80645161290323</v>
      </c>
      <c r="BG28" s="16">
        <f t="shared" si="27"/>
        <v>3867.7419354838726</v>
      </c>
      <c r="BH28" s="17">
        <f t="shared" si="19"/>
        <v>1</v>
      </c>
      <c r="BI28" s="16">
        <f t="shared" si="28"/>
        <v>3867.7419354838726</v>
      </c>
      <c r="BJ28" s="441">
        <f t="shared" si="29"/>
        <v>233.31700000000001</v>
      </c>
      <c r="BK28" s="196"/>
      <c r="BL28" s="197"/>
      <c r="BM28" s="197"/>
      <c r="BN28" s="230">
        <v>171.762</v>
      </c>
      <c r="BO28" s="230">
        <v>50.017000000000003</v>
      </c>
      <c r="BP28" s="258"/>
      <c r="BQ28" s="199"/>
      <c r="BR28" s="200">
        <v>1</v>
      </c>
      <c r="BS28" s="200"/>
      <c r="BT28" s="200"/>
      <c r="BU28" s="200"/>
      <c r="BV28" s="208">
        <v>0.64</v>
      </c>
      <c r="BW28" s="208">
        <v>1.04</v>
      </c>
      <c r="BX28" s="201"/>
      <c r="BY28" s="202">
        <v>36.85</v>
      </c>
      <c r="BZ28" s="200"/>
      <c r="CA28" s="200">
        <v>42.01</v>
      </c>
      <c r="CB28" s="200"/>
      <c r="CC28" s="208">
        <v>37.520000000000003</v>
      </c>
      <c r="CD28" s="208">
        <v>34.049999999999997</v>
      </c>
      <c r="CE28" s="209"/>
      <c r="CF28" s="199"/>
      <c r="CG28" s="197"/>
      <c r="CH28" s="230"/>
      <c r="CI28" s="266">
        <f t="shared" si="30"/>
        <v>265.35000000000002</v>
      </c>
      <c r="CJ28" s="453"/>
      <c r="CK28" s="202"/>
      <c r="CL28" s="208"/>
      <c r="CM28" s="208"/>
      <c r="CN28" s="201"/>
      <c r="CO28" s="284"/>
      <c r="CP28" s="286">
        <f t="shared" si="20"/>
        <v>230.98383000000001</v>
      </c>
      <c r="CQ28" s="29">
        <f t="shared" si="20"/>
        <v>0</v>
      </c>
      <c r="CR28" s="30">
        <f t="shared" si="20"/>
        <v>0</v>
      </c>
      <c r="CS28" s="29">
        <f t="shared" si="20"/>
        <v>0</v>
      </c>
      <c r="CT28" s="27">
        <f t="shared" si="20"/>
        <v>170.66272320000002</v>
      </c>
      <c r="CU28" s="24">
        <f t="shared" si="20"/>
        <v>49.496823200000001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265.35000000000002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31"/>
        <v>0</v>
      </c>
      <c r="DH28" s="254">
        <v>143.00200000000001</v>
      </c>
      <c r="DI28" s="197"/>
      <c r="DJ28" s="197">
        <v>64.314999999999998</v>
      </c>
      <c r="DK28" s="247">
        <f t="shared" si="32"/>
        <v>233.31700000000001</v>
      </c>
      <c r="DL28" s="197">
        <v>248.82</v>
      </c>
      <c r="DM28" s="247">
        <f t="shared" si="33"/>
        <v>265.35000000000002</v>
      </c>
    </row>
    <row r="29" spans="1:117" ht="16.5" customHeight="1">
      <c r="A29" s="127">
        <v>23</v>
      </c>
      <c r="B29" s="103">
        <f t="shared" si="24"/>
        <v>440.16299999999995</v>
      </c>
      <c r="C29" s="104">
        <f t="shared" si="0"/>
        <v>0.84531984742016042</v>
      </c>
      <c r="D29" s="143">
        <f t="shared" si="1"/>
        <v>436.44221479999999</v>
      </c>
      <c r="E29" s="104">
        <f t="shared" si="2"/>
        <v>37.6095737942535</v>
      </c>
      <c r="F29" s="128">
        <f t="shared" si="3"/>
        <v>2.3500011565797969</v>
      </c>
      <c r="G29" s="106"/>
      <c r="H29" s="107">
        <f t="shared" si="4"/>
        <v>2.3500011565797969</v>
      </c>
      <c r="I29" s="103">
        <f>'[1]сентябрь 20'!AE28</f>
        <v>0</v>
      </c>
      <c r="J29" s="328">
        <f>'[1]май 20'!AA28</f>
        <v>0</v>
      </c>
      <c r="K29" s="106">
        <v>21.41</v>
      </c>
      <c r="L29" s="328"/>
      <c r="M29" s="103">
        <f t="shared" si="5"/>
        <v>0</v>
      </c>
      <c r="N29" s="103">
        <f>'[1]июль 20'!AM28</f>
        <v>7.056</v>
      </c>
      <c r="O29" s="103">
        <f>'[1]май 20'!W28</f>
        <v>17.942</v>
      </c>
      <c r="P29" s="103">
        <v>261.95999999999998</v>
      </c>
      <c r="Q29" s="108">
        <f t="shared" si="6"/>
        <v>1.3857077416399188</v>
      </c>
      <c r="R29" s="109">
        <f t="shared" si="7"/>
        <v>258.33000000000004</v>
      </c>
      <c r="S29" s="106">
        <v>13.71</v>
      </c>
      <c r="T29" s="109">
        <f t="shared" si="8"/>
        <v>258.33000000000004</v>
      </c>
      <c r="U29" s="110">
        <f t="shared" si="9"/>
        <v>1.3909648933878958</v>
      </c>
      <c r="V29" s="129">
        <v>50.25</v>
      </c>
      <c r="W29" s="136">
        <v>185.72</v>
      </c>
      <c r="X29" s="131">
        <v>0.34</v>
      </c>
      <c r="Y29" s="133">
        <v>635</v>
      </c>
      <c r="Z29" s="133">
        <v>1229</v>
      </c>
      <c r="AA29" s="144" t="s">
        <v>305</v>
      </c>
      <c r="AB29" s="131">
        <v>74.540000000000006</v>
      </c>
      <c r="AC29" s="133">
        <v>138</v>
      </c>
      <c r="AD29" s="134">
        <v>4</v>
      </c>
      <c r="AE29" s="131"/>
      <c r="AF29" s="115">
        <f t="shared" si="10"/>
        <v>0</v>
      </c>
      <c r="AG29" s="131">
        <v>140.9</v>
      </c>
      <c r="AH29" s="115">
        <f t="shared" si="11"/>
        <v>758.66896403187593</v>
      </c>
      <c r="AI29" s="139">
        <v>15.46</v>
      </c>
      <c r="AJ29" s="131"/>
      <c r="AK29" s="136">
        <v>12.26</v>
      </c>
      <c r="AL29" s="136">
        <v>41.83</v>
      </c>
      <c r="AM29" s="110">
        <f t="shared" si="12"/>
        <v>0.17796213571580513</v>
      </c>
      <c r="AN29" s="137" t="s">
        <v>301</v>
      </c>
      <c r="AO29" s="150">
        <v>8.8800000000000008</v>
      </c>
      <c r="AP29" s="138">
        <v>6.84</v>
      </c>
      <c r="AQ29" s="134"/>
      <c r="AR29" s="131">
        <v>9.9700000000000006</v>
      </c>
      <c r="AS29" s="139">
        <v>235.05</v>
      </c>
      <c r="AT29" s="131">
        <v>4.76</v>
      </c>
      <c r="AU29" s="148"/>
      <c r="AV29" s="131"/>
      <c r="AW29" s="109">
        <f t="shared" si="34"/>
        <v>0</v>
      </c>
      <c r="AX29" s="109">
        <f t="shared" si="13"/>
        <v>185.72000000000003</v>
      </c>
      <c r="AY29" s="115">
        <f t="shared" si="25"/>
        <v>192.24277116344425</v>
      </c>
      <c r="AZ29" s="140">
        <f t="shared" si="14"/>
        <v>10.882044366197183</v>
      </c>
      <c r="BA29" s="141">
        <f t="shared" si="35"/>
        <v>7.4288000000000016</v>
      </c>
      <c r="BB29" s="128">
        <f t="shared" si="16"/>
        <v>0.84337922835160617</v>
      </c>
      <c r="BC29" s="141">
        <f t="shared" si="17"/>
        <v>18.310844366197184</v>
      </c>
      <c r="BD29" s="142">
        <v>0.82799999999999996</v>
      </c>
      <c r="BE29" s="16">
        <f t="shared" si="26"/>
        <v>4218.4800000000005</v>
      </c>
      <c r="BF29" s="16">
        <f t="shared" si="18"/>
        <v>175.80645161290323</v>
      </c>
      <c r="BG29" s="16">
        <f t="shared" si="27"/>
        <v>4043.548387096776</v>
      </c>
      <c r="BH29" s="17">
        <f t="shared" si="19"/>
        <v>1</v>
      </c>
      <c r="BI29" s="16">
        <f t="shared" si="28"/>
        <v>4043.548387096776</v>
      </c>
      <c r="BJ29" s="441">
        <f t="shared" si="29"/>
        <v>226.255</v>
      </c>
      <c r="BK29" s="196"/>
      <c r="BL29" s="197"/>
      <c r="BM29" s="197"/>
      <c r="BN29" s="230">
        <v>165.583</v>
      </c>
      <c r="BO29" s="230">
        <v>48.325000000000003</v>
      </c>
      <c r="BP29" s="258"/>
      <c r="BQ29" s="199"/>
      <c r="BR29" s="200">
        <v>1.04</v>
      </c>
      <c r="BS29" s="200"/>
      <c r="BT29" s="200"/>
      <c r="BU29" s="200"/>
      <c r="BV29" s="208">
        <v>0.54</v>
      </c>
      <c r="BW29" s="208">
        <v>0.98</v>
      </c>
      <c r="BX29" s="201"/>
      <c r="BY29" s="202">
        <v>37.630000000000003</v>
      </c>
      <c r="BZ29" s="200"/>
      <c r="CA29" s="200">
        <v>42.91</v>
      </c>
      <c r="CB29" s="200"/>
      <c r="CC29" s="208">
        <v>38.46</v>
      </c>
      <c r="CD29" s="208">
        <v>34.6</v>
      </c>
      <c r="CE29" s="201"/>
      <c r="CF29" s="199"/>
      <c r="CG29" s="197"/>
      <c r="CH29" s="230"/>
      <c r="CI29" s="266">
        <f t="shared" si="30"/>
        <v>258.33000000000004</v>
      </c>
      <c r="CJ29" s="453"/>
      <c r="CK29" s="202"/>
      <c r="CL29" s="208"/>
      <c r="CM29" s="208"/>
      <c r="CN29" s="201"/>
      <c r="CO29" s="284"/>
      <c r="CP29" s="286">
        <f t="shared" si="20"/>
        <v>223.90194799999998</v>
      </c>
      <c r="CQ29" s="24">
        <f t="shared" si="20"/>
        <v>0</v>
      </c>
      <c r="CR29" s="25">
        <f t="shared" si="20"/>
        <v>0</v>
      </c>
      <c r="CS29" s="24">
        <f t="shared" si="20"/>
        <v>0</v>
      </c>
      <c r="CT29" s="27">
        <f t="shared" si="20"/>
        <v>164.68885179999998</v>
      </c>
      <c r="CU29" s="29">
        <f t="shared" si="20"/>
        <v>47.851415000000003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258.33000000000004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31"/>
        <v>0</v>
      </c>
      <c r="DH29" s="254">
        <v>138.18199999999999</v>
      </c>
      <c r="DI29" s="197"/>
      <c r="DJ29" s="197">
        <v>62.073</v>
      </c>
      <c r="DK29" s="247">
        <f t="shared" si="32"/>
        <v>226.255</v>
      </c>
      <c r="DL29" s="230">
        <v>241.8</v>
      </c>
      <c r="DM29" s="247">
        <f t="shared" si="33"/>
        <v>258.33000000000004</v>
      </c>
    </row>
    <row r="30" spans="1:117" ht="16.5" customHeight="1">
      <c r="A30" s="127">
        <v>24</v>
      </c>
      <c r="B30" s="103">
        <f t="shared" si="24"/>
        <v>449.06899999999996</v>
      </c>
      <c r="C30" s="104">
        <f t="shared" si="0"/>
        <v>0.9188669224551238</v>
      </c>
      <c r="D30" s="143">
        <f t="shared" si="1"/>
        <v>444.94265350000001</v>
      </c>
      <c r="E30" s="104">
        <f t="shared" si="2"/>
        <v>37.485628311016796</v>
      </c>
      <c r="F30" s="128">
        <f t="shared" si="3"/>
        <v>2.3931941345740104</v>
      </c>
      <c r="G30" s="106"/>
      <c r="H30" s="107">
        <f t="shared" si="4"/>
        <v>2.3931941345740104</v>
      </c>
      <c r="I30" s="103">
        <f>'[1]сентябрь 20'!AE29</f>
        <v>0</v>
      </c>
      <c r="J30" s="328">
        <f>'[1]май 20'!AA29</f>
        <v>0</v>
      </c>
      <c r="K30" s="106"/>
      <c r="L30" s="328"/>
      <c r="M30" s="103">
        <f t="shared" si="5"/>
        <v>0</v>
      </c>
      <c r="N30" s="103">
        <f>'[1]июль 20'!AM29</f>
        <v>6.6029999999999998</v>
      </c>
      <c r="O30" s="103">
        <f>'[1]май 20'!W29</f>
        <v>20.815999999999999</v>
      </c>
      <c r="P30" s="103">
        <v>268.38</v>
      </c>
      <c r="Q30" s="108">
        <f t="shared" si="6"/>
        <v>1.3749161636485541</v>
      </c>
      <c r="R30" s="109">
        <f t="shared" si="7"/>
        <v>264.69</v>
      </c>
      <c r="S30" s="163">
        <v>16.3</v>
      </c>
      <c r="T30" s="109">
        <f t="shared" si="8"/>
        <v>264.69</v>
      </c>
      <c r="U30" s="110">
        <f t="shared" si="9"/>
        <v>1.4236768502581756</v>
      </c>
      <c r="V30" s="154">
        <v>94.6</v>
      </c>
      <c r="W30" s="157">
        <v>185.92</v>
      </c>
      <c r="X30" s="149">
        <v>0.5</v>
      </c>
      <c r="Y30" s="147">
        <v>634</v>
      </c>
      <c r="Z30" s="147">
        <v>1230</v>
      </c>
      <c r="AA30" s="144" t="s">
        <v>279</v>
      </c>
      <c r="AB30" s="149">
        <v>74.88</v>
      </c>
      <c r="AC30" s="147">
        <v>141</v>
      </c>
      <c r="AD30" s="155">
        <v>4</v>
      </c>
      <c r="AE30" s="149">
        <v>4.95</v>
      </c>
      <c r="AF30" s="115">
        <f t="shared" si="10"/>
        <v>26.624354561101555</v>
      </c>
      <c r="AG30" s="131">
        <v>137.80000000000001</v>
      </c>
      <c r="AH30" s="115">
        <f t="shared" si="11"/>
        <v>741.17900172117049</v>
      </c>
      <c r="AI30" s="139">
        <v>14.92</v>
      </c>
      <c r="AJ30" s="131"/>
      <c r="AK30" s="157">
        <v>7.46</v>
      </c>
      <c r="AL30" s="157">
        <v>37.270000000000003</v>
      </c>
      <c r="AM30" s="110">
        <f t="shared" si="12"/>
        <v>0.16389621811785401</v>
      </c>
      <c r="AN30" s="158" t="s">
        <v>306</v>
      </c>
      <c r="AO30" s="404">
        <v>8.33</v>
      </c>
      <c r="AP30" s="159">
        <v>6.69</v>
      </c>
      <c r="AQ30" s="155"/>
      <c r="AR30" s="149">
        <v>10.99</v>
      </c>
      <c r="AS30" s="156">
        <v>227.4</v>
      </c>
      <c r="AT30" s="131">
        <v>3.25</v>
      </c>
      <c r="AU30" s="164"/>
      <c r="AV30" s="149"/>
      <c r="AW30" s="109">
        <f t="shared" si="34"/>
        <v>0</v>
      </c>
      <c r="AX30" s="109">
        <f t="shared" si="13"/>
        <v>185.92</v>
      </c>
      <c r="AY30" s="115">
        <f t="shared" si="25"/>
        <v>194.45416203069692</v>
      </c>
      <c r="AZ30" s="140">
        <f t="shared" si="14"/>
        <v>11.731438028169016</v>
      </c>
      <c r="BA30" s="141">
        <f t="shared" si="35"/>
        <v>7.4367999999999999</v>
      </c>
      <c r="BB30" s="128">
        <f t="shared" si="16"/>
        <v>0.83468596560241126</v>
      </c>
      <c r="BC30" s="141">
        <f t="shared" si="17"/>
        <v>19.168238028169014</v>
      </c>
      <c r="BD30" s="162">
        <v>0.82799999999999996</v>
      </c>
      <c r="BE30" s="16">
        <f t="shared" si="26"/>
        <v>4404.4000000000005</v>
      </c>
      <c r="BF30" s="16">
        <f t="shared" si="18"/>
        <v>175.80645161290323</v>
      </c>
      <c r="BG30" s="16">
        <f t="shared" si="27"/>
        <v>4219.3548387096789</v>
      </c>
      <c r="BH30" s="17">
        <f t="shared" si="19"/>
        <v>1</v>
      </c>
      <c r="BI30" s="16">
        <f t="shared" si="28"/>
        <v>4219.3548387096789</v>
      </c>
      <c r="BJ30" s="441">
        <f t="shared" si="29"/>
        <v>230.49299999999999</v>
      </c>
      <c r="BK30" s="429"/>
      <c r="BL30" s="210"/>
      <c r="BM30" s="210"/>
      <c r="BN30" s="233">
        <v>169.18799999999999</v>
      </c>
      <c r="BO30" s="233">
        <v>49.387999999999998</v>
      </c>
      <c r="BP30" s="260"/>
      <c r="BQ30" s="212"/>
      <c r="BR30" s="213">
        <v>0.97</v>
      </c>
      <c r="BS30" s="213"/>
      <c r="BT30" s="213"/>
      <c r="BU30" s="213"/>
      <c r="BV30" s="235">
        <v>0.7</v>
      </c>
      <c r="BW30" s="235">
        <v>1.43</v>
      </c>
      <c r="BX30" s="214"/>
      <c r="BY30" s="215">
        <v>37.54</v>
      </c>
      <c r="BZ30" s="213"/>
      <c r="CA30" s="216">
        <v>43.16</v>
      </c>
      <c r="CB30" s="213"/>
      <c r="CC30" s="235">
        <v>38.07</v>
      </c>
      <c r="CD30" s="235">
        <v>35.229999999999997</v>
      </c>
      <c r="CE30" s="214"/>
      <c r="CF30" s="212"/>
      <c r="CG30" s="210"/>
      <c r="CH30" s="233"/>
      <c r="CI30" s="266">
        <f t="shared" si="30"/>
        <v>264.69</v>
      </c>
      <c r="CJ30" s="453"/>
      <c r="CK30" s="202"/>
      <c r="CL30" s="208"/>
      <c r="CM30" s="208"/>
      <c r="CN30" s="201"/>
      <c r="CO30" s="284"/>
      <c r="CP30" s="286">
        <f t="shared" si="20"/>
        <v>228.25721789999997</v>
      </c>
      <c r="CQ30" s="24">
        <f t="shared" si="20"/>
        <v>0</v>
      </c>
      <c r="CR30" s="25">
        <f t="shared" si="20"/>
        <v>0</v>
      </c>
      <c r="CS30" s="24">
        <f t="shared" si="20"/>
        <v>0</v>
      </c>
      <c r="CT30" s="27">
        <f t="shared" si="20"/>
        <v>168.00368399999999</v>
      </c>
      <c r="CU30" s="24">
        <f t="shared" si="20"/>
        <v>48.681751599999991</v>
      </c>
      <c r="CV30" s="280">
        <f t="shared" si="20"/>
        <v>0</v>
      </c>
      <c r="CW30" s="25">
        <f t="shared" si="21"/>
        <v>0</v>
      </c>
      <c r="CX30" s="26">
        <f t="shared" si="21"/>
        <v>0</v>
      </c>
      <c r="CY30" s="277">
        <f t="shared" si="21"/>
        <v>264.69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31"/>
        <v>0</v>
      </c>
      <c r="DH30" s="255">
        <v>141.006</v>
      </c>
      <c r="DI30" s="210"/>
      <c r="DJ30" s="210">
        <v>63.487000000000002</v>
      </c>
      <c r="DK30" s="247">
        <f t="shared" si="32"/>
        <v>230.49299999999999</v>
      </c>
      <c r="DL30" s="233">
        <v>248.16</v>
      </c>
      <c r="DM30" s="247">
        <f t="shared" si="33"/>
        <v>264.69</v>
      </c>
    </row>
    <row r="31" spans="1:117" ht="16.5" customHeight="1">
      <c r="A31" s="127">
        <v>25</v>
      </c>
      <c r="B31" s="103">
        <f t="shared" si="24"/>
        <v>452.05</v>
      </c>
      <c r="C31" s="104">
        <f t="shared" si="0"/>
        <v>0.72135108948125215</v>
      </c>
      <c r="D31" s="143">
        <f t="shared" si="1"/>
        <v>448.78913240000003</v>
      </c>
      <c r="E31" s="104">
        <f t="shared" si="2"/>
        <v>37.45496440659219</v>
      </c>
      <c r="F31" s="128">
        <f t="shared" si="3"/>
        <v>2.3871762361702129</v>
      </c>
      <c r="G31" s="106"/>
      <c r="H31" s="107">
        <f t="shared" si="4"/>
        <v>2.3871762361702125</v>
      </c>
      <c r="I31" s="103">
        <f>'[1]сентябрь 20'!AE30</f>
        <v>0</v>
      </c>
      <c r="J31" s="328">
        <f>'[1]май 20'!AA30</f>
        <v>0</v>
      </c>
      <c r="K31" s="106"/>
      <c r="L31" s="328"/>
      <c r="M31" s="103">
        <f t="shared" si="5"/>
        <v>0</v>
      </c>
      <c r="N31" s="103">
        <f>'[1]июль 20'!AM30</f>
        <v>7.069</v>
      </c>
      <c r="O31" s="103">
        <f>'[1]май 20'!W30</f>
        <v>21.091000000000001</v>
      </c>
      <c r="P31" s="103">
        <v>271.66000000000003</v>
      </c>
      <c r="Q31" s="108">
        <f t="shared" si="6"/>
        <v>1.4061694765515664</v>
      </c>
      <c r="R31" s="109">
        <f t="shared" si="7"/>
        <v>267.84000000000003</v>
      </c>
      <c r="S31" s="106">
        <v>7.59</v>
      </c>
      <c r="T31" s="109">
        <f t="shared" si="8"/>
        <v>267.84000000000003</v>
      </c>
      <c r="U31" s="110">
        <f t="shared" si="9"/>
        <v>1.42468085106383</v>
      </c>
      <c r="V31" s="136"/>
      <c r="W31" s="136">
        <v>188</v>
      </c>
      <c r="X31" s="131">
        <v>0.49</v>
      </c>
      <c r="Y31" s="133">
        <v>625</v>
      </c>
      <c r="Z31" s="133">
        <v>1225</v>
      </c>
      <c r="AA31" s="144" t="s">
        <v>307</v>
      </c>
      <c r="AB31" s="131">
        <v>74.47</v>
      </c>
      <c r="AC31" s="133">
        <v>142</v>
      </c>
      <c r="AD31" s="134">
        <v>4</v>
      </c>
      <c r="AE31" s="131"/>
      <c r="AF31" s="115">
        <f t="shared" si="10"/>
        <v>0</v>
      </c>
      <c r="AG31" s="131">
        <v>145.05000000000001</v>
      </c>
      <c r="AH31" s="115">
        <f t="shared" si="11"/>
        <v>771.54255319148945</v>
      </c>
      <c r="AI31" s="139">
        <v>17.170000000000002</v>
      </c>
      <c r="AJ31" s="131"/>
      <c r="AK31" s="136">
        <v>7.1</v>
      </c>
      <c r="AL31" s="136">
        <v>41.65</v>
      </c>
      <c r="AM31" s="110">
        <f t="shared" si="12"/>
        <v>0.17723404255319147</v>
      </c>
      <c r="AN31" s="137" t="s">
        <v>306</v>
      </c>
      <c r="AO31" s="150">
        <v>8.33</v>
      </c>
      <c r="AP31" s="138">
        <v>6.53</v>
      </c>
      <c r="AQ31" s="134"/>
      <c r="AR31" s="131">
        <v>12.16</v>
      </c>
      <c r="AS31" s="139">
        <v>235</v>
      </c>
      <c r="AT31" s="131">
        <v>1.75</v>
      </c>
      <c r="AU31" s="148"/>
      <c r="AV31" s="131"/>
      <c r="AW31" s="109">
        <f t="shared" si="34"/>
        <v>0</v>
      </c>
      <c r="AX31" s="109">
        <f t="shared" si="13"/>
        <v>188</v>
      </c>
      <c r="AY31" s="115">
        <f t="shared" si="25"/>
        <v>197.05370747460387</v>
      </c>
      <c r="AZ31" s="140">
        <f t="shared" si="14"/>
        <v>13.663301408450705</v>
      </c>
      <c r="BA31" s="141">
        <f t="shared" si="35"/>
        <v>7.5200000000000005</v>
      </c>
      <c r="BB31" s="128">
        <f t="shared" si="16"/>
        <v>0.83288968324106338</v>
      </c>
      <c r="BC31" s="141">
        <f t="shared" si="17"/>
        <v>21.183301408450706</v>
      </c>
      <c r="BD31" s="142">
        <v>0.82899999999999996</v>
      </c>
      <c r="BE31" s="16">
        <f t="shared" si="26"/>
        <v>4592.4000000000005</v>
      </c>
      <c r="BF31" s="16">
        <f t="shared" si="18"/>
        <v>175.80645161290323</v>
      </c>
      <c r="BG31" s="16">
        <f t="shared" si="27"/>
        <v>4395.1612903225823</v>
      </c>
      <c r="BH31" s="17">
        <f t="shared" si="19"/>
        <v>1</v>
      </c>
      <c r="BI31" s="16">
        <f t="shared" si="28"/>
        <v>4395.1612903225823</v>
      </c>
      <c r="BJ31" s="441">
        <f t="shared" si="29"/>
        <v>235.28399999999999</v>
      </c>
      <c r="BK31" s="196"/>
      <c r="BL31" s="197"/>
      <c r="BM31" s="197"/>
      <c r="BN31" s="230">
        <v>160.197</v>
      </c>
      <c r="BO31" s="230">
        <v>56.569000000000003</v>
      </c>
      <c r="BP31" s="259"/>
      <c r="BQ31" s="199"/>
      <c r="BR31" s="200">
        <v>0.64</v>
      </c>
      <c r="BS31" s="200"/>
      <c r="BT31" s="200"/>
      <c r="BU31" s="200"/>
      <c r="BV31" s="208">
        <v>0.57999999999999996</v>
      </c>
      <c r="BW31" s="208">
        <v>1.46</v>
      </c>
      <c r="BX31" s="201"/>
      <c r="BY31" s="202">
        <v>37.520000000000003</v>
      </c>
      <c r="BZ31" s="200"/>
      <c r="CA31" s="200">
        <v>42.73</v>
      </c>
      <c r="CB31" s="200"/>
      <c r="CC31" s="208">
        <v>38.47</v>
      </c>
      <c r="CD31" s="208">
        <v>34.31</v>
      </c>
      <c r="CE31" s="209"/>
      <c r="CF31" s="199"/>
      <c r="CG31" s="197"/>
      <c r="CH31" s="230"/>
      <c r="CI31" s="266">
        <f t="shared" si="30"/>
        <v>267.84000000000003</v>
      </c>
      <c r="CJ31" s="453"/>
      <c r="CK31" s="202"/>
      <c r="CL31" s="208"/>
      <c r="CM31" s="208"/>
      <c r="CN31" s="201"/>
      <c r="CO31" s="284"/>
      <c r="CP31" s="286">
        <f t="shared" si="20"/>
        <v>233.77818239999999</v>
      </c>
      <c r="CQ31" s="24">
        <f t="shared" si="20"/>
        <v>0</v>
      </c>
      <c r="CR31" s="25">
        <f t="shared" si="20"/>
        <v>0</v>
      </c>
      <c r="CS31" s="24">
        <f t="shared" si="20"/>
        <v>0</v>
      </c>
      <c r="CT31" s="27">
        <f t="shared" si="20"/>
        <v>159.2678574</v>
      </c>
      <c r="CU31" s="24">
        <f t="shared" si="20"/>
        <v>55.743092600000004</v>
      </c>
      <c r="CV31" s="280">
        <f t="shared" si="20"/>
        <v>0</v>
      </c>
      <c r="CW31" s="28">
        <f t="shared" si="21"/>
        <v>0</v>
      </c>
      <c r="CX31" s="24">
        <f t="shared" si="21"/>
        <v>0</v>
      </c>
      <c r="CY31" s="277">
        <f t="shared" si="21"/>
        <v>267.84000000000003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31"/>
        <v>0</v>
      </c>
      <c r="DH31" s="254">
        <v>145.38800000000001</v>
      </c>
      <c r="DI31" s="197"/>
      <c r="DJ31" s="197">
        <v>63.896000000000001</v>
      </c>
      <c r="DK31" s="247">
        <f t="shared" si="32"/>
        <v>235.28399999999999</v>
      </c>
      <c r="DL31" s="230">
        <v>251.31</v>
      </c>
      <c r="DM31" s="247">
        <f t="shared" si="33"/>
        <v>267.84000000000003</v>
      </c>
    </row>
    <row r="32" spans="1:117" ht="16.5" customHeight="1">
      <c r="A32" s="127">
        <v>26</v>
      </c>
      <c r="B32" s="103">
        <f t="shared" si="24"/>
        <v>452.096</v>
      </c>
      <c r="C32" s="104">
        <f t="shared" si="0"/>
        <v>0.89619956823329561</v>
      </c>
      <c r="D32" s="143">
        <f t="shared" si="1"/>
        <v>448.0443176</v>
      </c>
      <c r="E32" s="104">
        <f t="shared" si="2"/>
        <v>37.027867023817947</v>
      </c>
      <c r="F32" s="128">
        <f t="shared" si="3"/>
        <v>2.5239089544840017</v>
      </c>
      <c r="G32" s="106"/>
      <c r="H32" s="107">
        <f t="shared" si="4"/>
        <v>2.5239089544840017</v>
      </c>
      <c r="I32" s="103">
        <f>'[1]сентябрь 20'!AE31</f>
        <v>0</v>
      </c>
      <c r="J32" s="328">
        <f>'[1]май 20'!AA31</f>
        <v>0</v>
      </c>
      <c r="K32" s="106"/>
      <c r="L32" s="328"/>
      <c r="M32" s="103">
        <f t="shared" si="5"/>
        <v>0</v>
      </c>
      <c r="N32" s="103">
        <f>'[1]июль 20'!AM31</f>
        <v>7.0679999999999996</v>
      </c>
      <c r="O32" s="103">
        <f>'[1]май 20'!W31</f>
        <v>24.157</v>
      </c>
      <c r="P32" s="103">
        <v>271.14</v>
      </c>
      <c r="Q32" s="108">
        <f t="shared" si="6"/>
        <v>1.2982223205723953</v>
      </c>
      <c r="R32" s="109">
        <f t="shared" si="7"/>
        <v>267.62</v>
      </c>
      <c r="S32" s="106">
        <v>3.95</v>
      </c>
      <c r="T32" s="109">
        <f t="shared" si="8"/>
        <v>267.62</v>
      </c>
      <c r="U32" s="110">
        <f t="shared" si="9"/>
        <v>1.5075484452456061</v>
      </c>
      <c r="V32" s="136">
        <v>44.63</v>
      </c>
      <c r="W32" s="136">
        <v>45.43</v>
      </c>
      <c r="X32" s="131">
        <v>1.34</v>
      </c>
      <c r="Y32" s="133">
        <v>625</v>
      </c>
      <c r="Z32" s="133">
        <v>1242</v>
      </c>
      <c r="AA32" s="144" t="s">
        <v>309</v>
      </c>
      <c r="AB32" s="131">
        <v>74.95</v>
      </c>
      <c r="AC32" s="133">
        <v>142</v>
      </c>
      <c r="AD32" s="134">
        <v>4</v>
      </c>
      <c r="AE32" s="131">
        <v>3.6</v>
      </c>
      <c r="AF32" s="115">
        <f t="shared" si="10"/>
        <v>20.279405137449302</v>
      </c>
      <c r="AG32" s="131">
        <v>137.65</v>
      </c>
      <c r="AH32" s="115">
        <f t="shared" si="11"/>
        <v>775.40558810274899</v>
      </c>
      <c r="AI32" s="139">
        <v>15.63</v>
      </c>
      <c r="AJ32" s="131"/>
      <c r="AK32" s="136">
        <v>15.01</v>
      </c>
      <c r="AL32" s="136">
        <v>44.2</v>
      </c>
      <c r="AM32" s="110">
        <f t="shared" si="12"/>
        <v>0.18792517006802723</v>
      </c>
      <c r="AN32" s="137" t="s">
        <v>310</v>
      </c>
      <c r="AO32" s="150">
        <v>8.74</v>
      </c>
      <c r="AP32" s="138">
        <v>6.24</v>
      </c>
      <c r="AQ32" s="134"/>
      <c r="AR32" s="131">
        <v>10.43</v>
      </c>
      <c r="AS32" s="139">
        <v>235.2</v>
      </c>
      <c r="AT32" s="131">
        <v>1.53</v>
      </c>
      <c r="AU32" s="148"/>
      <c r="AV32" s="131"/>
      <c r="AW32" s="109">
        <f t="shared" si="34"/>
        <v>0</v>
      </c>
      <c r="AX32" s="109">
        <f t="shared" si="13"/>
        <v>177.52</v>
      </c>
      <c r="AY32" s="115">
        <f t="shared" si="25"/>
        <v>193.23788506251574</v>
      </c>
      <c r="AZ32" s="140">
        <f t="shared" si="14"/>
        <v>11.12153838028169</v>
      </c>
      <c r="BA32" s="141">
        <f t="shared" si="35"/>
        <v>7.1008000000000004</v>
      </c>
      <c r="BB32" s="128">
        <f t="shared" si="16"/>
        <v>0.80199056178793793</v>
      </c>
      <c r="BC32" s="141">
        <f t="shared" si="17"/>
        <v>18.222338380281691</v>
      </c>
      <c r="BD32" s="142">
        <v>0.82799999999999996</v>
      </c>
      <c r="BE32" s="16">
        <f t="shared" si="26"/>
        <v>4769.920000000001</v>
      </c>
      <c r="BF32" s="16">
        <f t="shared" si="18"/>
        <v>175.80645161290323</v>
      </c>
      <c r="BG32" s="16">
        <f t="shared" si="27"/>
        <v>4570.9677419354857</v>
      </c>
      <c r="BH32" s="17">
        <f t="shared" si="19"/>
        <v>1</v>
      </c>
      <c r="BI32" s="16">
        <f t="shared" si="28"/>
        <v>4570.9677419354857</v>
      </c>
      <c r="BJ32" s="441">
        <f t="shared" si="29"/>
        <v>247.07300000000001</v>
      </c>
      <c r="BK32" s="196"/>
      <c r="BL32" s="197"/>
      <c r="BM32" s="197"/>
      <c r="BN32" s="230">
        <v>141.09299999999999</v>
      </c>
      <c r="BO32" s="230">
        <v>63.93</v>
      </c>
      <c r="BP32" s="258"/>
      <c r="BQ32" s="199"/>
      <c r="BR32" s="200">
        <v>1.05</v>
      </c>
      <c r="BS32" s="200"/>
      <c r="BT32" s="200"/>
      <c r="BU32" s="200"/>
      <c r="BV32" s="208">
        <v>0.53</v>
      </c>
      <c r="BW32" s="208">
        <v>1.1100000000000001</v>
      </c>
      <c r="BX32" s="201"/>
      <c r="BY32" s="202">
        <v>37.29</v>
      </c>
      <c r="BZ32" s="200"/>
      <c r="CA32" s="200">
        <v>42.56</v>
      </c>
      <c r="CB32" s="200"/>
      <c r="CC32" s="208">
        <v>37.9</v>
      </c>
      <c r="CD32" s="208">
        <v>34.090000000000003</v>
      </c>
      <c r="CE32" s="209"/>
      <c r="CF32" s="199"/>
      <c r="CG32" s="197"/>
      <c r="CH32" s="230"/>
      <c r="CI32" s="266">
        <f t="shared" si="30"/>
        <v>267.62</v>
      </c>
      <c r="CJ32" s="453"/>
      <c r="CK32" s="202"/>
      <c r="CL32" s="208"/>
      <c r="CM32" s="208"/>
      <c r="CN32" s="201"/>
      <c r="CO32" s="284"/>
      <c r="CP32" s="286">
        <f t="shared" si="20"/>
        <v>244.47873350000003</v>
      </c>
      <c r="CQ32" s="24">
        <f t="shared" si="20"/>
        <v>0</v>
      </c>
      <c r="CR32" s="25">
        <f t="shared" si="20"/>
        <v>0</v>
      </c>
      <c r="CS32" s="24">
        <f t="shared" si="20"/>
        <v>0</v>
      </c>
      <c r="CT32" s="27">
        <f t="shared" si="20"/>
        <v>140.34520709999998</v>
      </c>
      <c r="CU32" s="24">
        <f t="shared" si="20"/>
        <v>63.220376999999999</v>
      </c>
      <c r="CV32" s="280">
        <f t="shared" si="20"/>
        <v>0</v>
      </c>
      <c r="CW32" s="25">
        <f t="shared" si="21"/>
        <v>0</v>
      </c>
      <c r="CX32" s="24">
        <f t="shared" si="21"/>
        <v>0</v>
      </c>
      <c r="CY32" s="277">
        <f t="shared" si="21"/>
        <v>267.62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31"/>
        <v>0</v>
      </c>
      <c r="DH32" s="254">
        <v>157.19900000000001</v>
      </c>
      <c r="DI32" s="197"/>
      <c r="DJ32" s="197">
        <v>63.874000000000002</v>
      </c>
      <c r="DK32" s="247">
        <f t="shared" si="32"/>
        <v>247.07300000000001</v>
      </c>
      <c r="DL32" s="230">
        <v>251.09</v>
      </c>
      <c r="DM32" s="247">
        <f t="shared" si="33"/>
        <v>267.62</v>
      </c>
    </row>
    <row r="33" spans="1:117" ht="16.5" customHeight="1">
      <c r="A33" s="127">
        <v>27</v>
      </c>
      <c r="B33" s="103">
        <f t="shared" si="24"/>
        <v>445.88200000000001</v>
      </c>
      <c r="C33" s="104">
        <f t="shared" si="0"/>
        <v>0.54678959904189905</v>
      </c>
      <c r="D33" s="143">
        <f t="shared" si="1"/>
        <v>443.44396360000002</v>
      </c>
      <c r="E33" s="104">
        <f t="shared" si="2"/>
        <v>36.9710834256597</v>
      </c>
      <c r="F33" s="128">
        <f t="shared" si="3"/>
        <v>2.4176423705157566</v>
      </c>
      <c r="G33" s="106"/>
      <c r="H33" s="107">
        <f t="shared" si="4"/>
        <v>2.4176423705157566</v>
      </c>
      <c r="I33" s="103">
        <f>'[1]сентябрь 20'!AE32</f>
        <v>0</v>
      </c>
      <c r="J33" s="328">
        <f>'[1]май 20'!AA32</f>
        <v>0</v>
      </c>
      <c r="K33" s="106">
        <v>27.57</v>
      </c>
      <c r="L33" s="328"/>
      <c r="M33" s="103">
        <f t="shared" si="5"/>
        <v>0</v>
      </c>
      <c r="N33" s="103">
        <f>'[1]июль 20'!AM32</f>
        <v>6.9580000000000002</v>
      </c>
      <c r="O33" s="103">
        <f>'[1]май 20'!W32</f>
        <v>23.477</v>
      </c>
      <c r="P33" s="103">
        <v>266.08999999999997</v>
      </c>
      <c r="Q33" s="108">
        <f t="shared" si="6"/>
        <v>1.3416513209816183</v>
      </c>
      <c r="R33" s="109">
        <f t="shared" si="7"/>
        <v>262.52000000000004</v>
      </c>
      <c r="S33" s="131">
        <v>21.84</v>
      </c>
      <c r="T33" s="109">
        <f t="shared" si="8"/>
        <v>262.52</v>
      </c>
      <c r="U33" s="110">
        <f t="shared" si="9"/>
        <v>1.4312506814960204</v>
      </c>
      <c r="V33" s="136">
        <v>135.41999999999999</v>
      </c>
      <c r="W33" s="136">
        <v>94.47</v>
      </c>
      <c r="X33" s="131">
        <v>0.93</v>
      </c>
      <c r="Y33" s="133">
        <v>596</v>
      </c>
      <c r="Z33" s="133">
        <v>1233</v>
      </c>
      <c r="AA33" s="144" t="s">
        <v>311</v>
      </c>
      <c r="AB33" s="131">
        <v>75.23</v>
      </c>
      <c r="AC33" s="133">
        <v>141</v>
      </c>
      <c r="AD33" s="134">
        <v>4</v>
      </c>
      <c r="AE33" s="131">
        <v>1.7</v>
      </c>
      <c r="AF33" s="115">
        <f t="shared" si="10"/>
        <v>9.2683458728601025</v>
      </c>
      <c r="AG33" s="131">
        <v>137.85</v>
      </c>
      <c r="AH33" s="115">
        <f t="shared" si="11"/>
        <v>751.5538109257443</v>
      </c>
      <c r="AI33" s="139">
        <v>15.6</v>
      </c>
      <c r="AJ33" s="131"/>
      <c r="AK33" s="136">
        <v>8.02</v>
      </c>
      <c r="AL33" s="136">
        <v>42.35</v>
      </c>
      <c r="AM33" s="110">
        <f t="shared" si="12"/>
        <v>0.18578635665716167</v>
      </c>
      <c r="AN33" s="137" t="s">
        <v>197</v>
      </c>
      <c r="AO33" s="150">
        <v>8.75</v>
      </c>
      <c r="AP33" s="138">
        <v>6.23</v>
      </c>
      <c r="AQ33" s="134"/>
      <c r="AR33" s="131">
        <v>9.6300000000000008</v>
      </c>
      <c r="AS33" s="139">
        <v>227.95</v>
      </c>
      <c r="AT33" s="131">
        <v>5.84</v>
      </c>
      <c r="AU33" s="116"/>
      <c r="AV33" s="131"/>
      <c r="AW33" s="109">
        <f t="shared" si="34"/>
        <v>0</v>
      </c>
      <c r="AX33" s="109">
        <f t="shared" si="13"/>
        <v>183.42</v>
      </c>
      <c r="AY33" s="115">
        <f t="shared" si="25"/>
        <v>190.24975533307833</v>
      </c>
      <c r="AZ33" s="140">
        <f t="shared" si="14"/>
        <v>10.283415845070422</v>
      </c>
      <c r="BA33" s="141">
        <f t="shared" si="35"/>
        <v>7.3367999999999993</v>
      </c>
      <c r="BB33" s="128">
        <f t="shared" si="16"/>
        <v>0.84166026768161262</v>
      </c>
      <c r="BC33" s="141">
        <f t="shared" si="17"/>
        <v>17.620215845070422</v>
      </c>
      <c r="BD33" s="142">
        <v>0.82799999999999996</v>
      </c>
      <c r="BE33" s="16">
        <f t="shared" si="26"/>
        <v>4953.3400000000011</v>
      </c>
      <c r="BF33" s="16">
        <f t="shared" si="18"/>
        <v>175.80645161290323</v>
      </c>
      <c r="BG33" s="16">
        <f t="shared" si="27"/>
        <v>4746.7741935483891</v>
      </c>
      <c r="BH33" s="17">
        <f t="shared" si="19"/>
        <v>1</v>
      </c>
      <c r="BI33" s="16">
        <f t="shared" si="28"/>
        <v>4746.7741935483891</v>
      </c>
      <c r="BJ33" s="441">
        <f t="shared" si="29"/>
        <v>249.88800000000001</v>
      </c>
      <c r="BK33" s="196"/>
      <c r="BL33" s="197"/>
      <c r="BM33" s="197"/>
      <c r="BN33" s="230">
        <v>132.78700000000001</v>
      </c>
      <c r="BO33" s="230">
        <v>63.207000000000001</v>
      </c>
      <c r="BP33" s="258"/>
      <c r="BQ33" s="199"/>
      <c r="BR33" s="200">
        <v>0.56000000000000005</v>
      </c>
      <c r="BS33" s="200"/>
      <c r="BT33" s="200"/>
      <c r="BU33" s="200"/>
      <c r="BV33" s="208">
        <v>0.33</v>
      </c>
      <c r="BW33" s="208">
        <v>0.95</v>
      </c>
      <c r="BX33" s="201"/>
      <c r="BY33" s="202">
        <v>37.229999999999997</v>
      </c>
      <c r="BZ33" s="200"/>
      <c r="CA33" s="200">
        <v>42.93</v>
      </c>
      <c r="CB33" s="200"/>
      <c r="CC33" s="208">
        <v>37.86</v>
      </c>
      <c r="CD33" s="208">
        <v>34.08</v>
      </c>
      <c r="CE33" s="209"/>
      <c r="CF33" s="199"/>
      <c r="CG33" s="197"/>
      <c r="CH33" s="230"/>
      <c r="CI33" s="266">
        <f t="shared" si="30"/>
        <v>262.52</v>
      </c>
      <c r="CJ33" s="453"/>
      <c r="CK33" s="202"/>
      <c r="CL33" s="208"/>
      <c r="CM33" s="208"/>
      <c r="CN33" s="209"/>
      <c r="CO33" s="284"/>
      <c r="CP33" s="286">
        <f t="shared" si="20"/>
        <v>248.4886272</v>
      </c>
      <c r="CQ33" s="24">
        <f t="shared" si="20"/>
        <v>0</v>
      </c>
      <c r="CR33" s="25">
        <f t="shared" si="20"/>
        <v>0</v>
      </c>
      <c r="CS33" s="24">
        <f t="shared" si="20"/>
        <v>0</v>
      </c>
      <c r="CT33" s="27">
        <f t="shared" si="20"/>
        <v>132.34880290000001</v>
      </c>
      <c r="CU33" s="24">
        <f t="shared" si="20"/>
        <v>62.606533499999998</v>
      </c>
      <c r="CV33" s="280">
        <f t="shared" si="20"/>
        <v>0</v>
      </c>
      <c r="CW33" s="25">
        <f t="shared" si="21"/>
        <v>0</v>
      </c>
      <c r="CX33" s="24">
        <f t="shared" si="21"/>
        <v>0</v>
      </c>
      <c r="CY33" s="277">
        <f t="shared" si="21"/>
        <v>262.52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31"/>
        <v>0</v>
      </c>
      <c r="DH33" s="254">
        <v>160.91200000000001</v>
      </c>
      <c r="DI33" s="197"/>
      <c r="DJ33" s="197">
        <v>62.975999999999999</v>
      </c>
      <c r="DK33" s="247">
        <f t="shared" si="32"/>
        <v>249.88800000000001</v>
      </c>
      <c r="DL33" s="230">
        <v>245.99</v>
      </c>
      <c r="DM33" s="247">
        <f t="shared" si="33"/>
        <v>262.52</v>
      </c>
    </row>
    <row r="34" spans="1:117" ht="16.5" customHeight="1">
      <c r="A34" s="127">
        <v>28</v>
      </c>
      <c r="B34" s="103">
        <f t="shared" si="24"/>
        <v>464.38</v>
      </c>
      <c r="C34" s="104">
        <f t="shared" si="0"/>
        <v>0.65880584865842629</v>
      </c>
      <c r="D34" s="143">
        <f t="shared" si="1"/>
        <v>461.32063740000001</v>
      </c>
      <c r="E34" s="104">
        <f t="shared" si="2"/>
        <v>37.329427710065033</v>
      </c>
      <c r="F34" s="128">
        <f t="shared" si="3"/>
        <v>2.4580170364450131</v>
      </c>
      <c r="G34" s="106"/>
      <c r="H34" s="107">
        <f t="shared" si="4"/>
        <v>2.4580170364450131</v>
      </c>
      <c r="I34" s="103">
        <f>'[1]сентябрь 20'!AE33</f>
        <v>0</v>
      </c>
      <c r="J34" s="328">
        <f>'[1]май 20'!AA33</f>
        <v>0</v>
      </c>
      <c r="K34" s="106"/>
      <c r="L34" s="328"/>
      <c r="M34" s="103">
        <f t="shared" si="5"/>
        <v>0</v>
      </c>
      <c r="N34" s="103">
        <f>'[1]июль 20'!AM33</f>
        <v>7.2119999999999997</v>
      </c>
      <c r="O34" s="103">
        <f>'[1]май 20'!W33</f>
        <v>24.143999999999998</v>
      </c>
      <c r="P34" s="103">
        <v>275.89999999999998</v>
      </c>
      <c r="Q34" s="108">
        <f t="shared" si="6"/>
        <v>1.4932946719826035</v>
      </c>
      <c r="R34" s="109">
        <f t="shared" si="7"/>
        <v>271.78000000000003</v>
      </c>
      <c r="S34" s="149">
        <v>3.39</v>
      </c>
      <c r="T34" s="109">
        <f t="shared" si="8"/>
        <v>271.77999999999997</v>
      </c>
      <c r="U34" s="110">
        <f t="shared" si="9"/>
        <v>1.4481031543052008</v>
      </c>
      <c r="V34" s="157">
        <v>187.68</v>
      </c>
      <c r="W34" s="157">
        <v>187.68</v>
      </c>
      <c r="X34" s="149">
        <v>0.82</v>
      </c>
      <c r="Y34" s="147">
        <v>568</v>
      </c>
      <c r="Z34" s="147">
        <v>1242</v>
      </c>
      <c r="AA34" s="144" t="s">
        <v>284</v>
      </c>
      <c r="AB34" s="149">
        <v>75.459999999999994</v>
      </c>
      <c r="AC34" s="147">
        <v>146</v>
      </c>
      <c r="AD34" s="155">
        <v>4</v>
      </c>
      <c r="AE34" s="149">
        <v>3.7</v>
      </c>
      <c r="AF34" s="115">
        <f t="shared" si="10"/>
        <v>19.714407502131291</v>
      </c>
      <c r="AG34" s="149">
        <v>145.75</v>
      </c>
      <c r="AH34" s="115">
        <f t="shared" si="11"/>
        <v>776.5878090366582</v>
      </c>
      <c r="AI34" s="156">
        <v>17.36</v>
      </c>
      <c r="AJ34" s="149"/>
      <c r="AK34" s="157">
        <v>9.58</v>
      </c>
      <c r="AL34" s="157">
        <v>42.16</v>
      </c>
      <c r="AM34" s="110">
        <f t="shared" si="12"/>
        <v>0.17781526781948545</v>
      </c>
      <c r="AN34" s="158" t="s">
        <v>312</v>
      </c>
      <c r="AO34" s="404">
        <v>8.4</v>
      </c>
      <c r="AP34" s="159">
        <v>6.17</v>
      </c>
      <c r="AQ34" s="155"/>
      <c r="AR34" s="149">
        <v>10.65</v>
      </c>
      <c r="AS34" s="156">
        <v>237.1</v>
      </c>
      <c r="AT34" s="131">
        <v>2.3199999999999998</v>
      </c>
      <c r="AU34" s="148"/>
      <c r="AV34" s="149"/>
      <c r="AW34" s="109">
        <f t="shared" si="34"/>
        <v>0</v>
      </c>
      <c r="AX34" s="109">
        <f t="shared" si="13"/>
        <v>187.67999999999998</v>
      </c>
      <c r="AY34" s="115">
        <f t="shared" si="25"/>
        <v>199.22858853818454</v>
      </c>
      <c r="AZ34" s="140">
        <f t="shared" si="14"/>
        <v>12.024374999999999</v>
      </c>
      <c r="BA34" s="141">
        <f t="shared" si="35"/>
        <v>7.5071999999999992</v>
      </c>
      <c r="BB34" s="128">
        <f t="shared" si="16"/>
        <v>0.82239522551552491</v>
      </c>
      <c r="BC34" s="141">
        <f t="shared" si="17"/>
        <v>19.531574999999997</v>
      </c>
      <c r="BD34" s="165">
        <v>0.82799999999999996</v>
      </c>
      <c r="BE34" s="16">
        <f t="shared" si="26"/>
        <v>5141.0200000000013</v>
      </c>
      <c r="BF34" s="16">
        <f t="shared" si="18"/>
        <v>175.80645161290323</v>
      </c>
      <c r="BG34" s="16">
        <f t="shared" si="27"/>
        <v>4922.5806451612925</v>
      </c>
      <c r="BH34" s="17">
        <f t="shared" si="19"/>
        <v>1</v>
      </c>
      <c r="BI34" s="16">
        <f t="shared" si="28"/>
        <v>4922.5806451612925</v>
      </c>
      <c r="BJ34" s="441">
        <f t="shared" si="29"/>
        <v>265.726</v>
      </c>
      <c r="BK34" s="429"/>
      <c r="BL34" s="210"/>
      <c r="BM34" s="210"/>
      <c r="BN34" s="233">
        <v>133.97399999999999</v>
      </c>
      <c r="BO34" s="233">
        <v>64.680000000000007</v>
      </c>
      <c r="BP34" s="260"/>
      <c r="BQ34" s="212"/>
      <c r="BR34" s="213">
        <v>0.64</v>
      </c>
      <c r="BS34" s="213"/>
      <c r="BT34" s="213"/>
      <c r="BU34" s="213"/>
      <c r="BV34" s="235">
        <v>0.43</v>
      </c>
      <c r="BW34" s="235">
        <v>1.21</v>
      </c>
      <c r="BX34" s="214"/>
      <c r="BY34" s="215">
        <v>37.49</v>
      </c>
      <c r="BZ34" s="213"/>
      <c r="CA34" s="213">
        <v>43.4</v>
      </c>
      <c r="CB34" s="213"/>
      <c r="CC34" s="235">
        <v>37.450000000000003</v>
      </c>
      <c r="CD34" s="235">
        <v>36.42</v>
      </c>
      <c r="CE34" s="211"/>
      <c r="CF34" s="212"/>
      <c r="CG34" s="210"/>
      <c r="CH34" s="233"/>
      <c r="CI34" s="266">
        <f t="shared" si="30"/>
        <v>271.77999999999997</v>
      </c>
      <c r="CJ34" s="453"/>
      <c r="CK34" s="202"/>
      <c r="CL34" s="208"/>
      <c r="CM34" s="208"/>
      <c r="CN34" s="209"/>
      <c r="CO34" s="284"/>
      <c r="CP34" s="286">
        <f t="shared" si="20"/>
        <v>264.02535360000002</v>
      </c>
      <c r="CQ34" s="24">
        <f t="shared" si="20"/>
        <v>0</v>
      </c>
      <c r="CR34" s="25">
        <f t="shared" si="20"/>
        <v>0</v>
      </c>
      <c r="CS34" s="24">
        <f t="shared" si="20"/>
        <v>0</v>
      </c>
      <c r="CT34" s="27">
        <f t="shared" si="20"/>
        <v>133.39791179999997</v>
      </c>
      <c r="CU34" s="24">
        <f t="shared" si="20"/>
        <v>63.897372000000011</v>
      </c>
      <c r="CV34" s="280">
        <f t="shared" si="20"/>
        <v>0</v>
      </c>
      <c r="CW34" s="30">
        <f t="shared" si="21"/>
        <v>0</v>
      </c>
      <c r="CX34" s="29">
        <f t="shared" si="21"/>
        <v>0</v>
      </c>
      <c r="CY34" s="277">
        <f t="shared" si="21"/>
        <v>271.77999999999997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31"/>
        <v>0</v>
      </c>
      <c r="DH34" s="255">
        <v>173.589</v>
      </c>
      <c r="DI34" s="210"/>
      <c r="DJ34" s="210">
        <v>66.137</v>
      </c>
      <c r="DK34" s="247">
        <f t="shared" si="32"/>
        <v>265.726</v>
      </c>
      <c r="DL34" s="233">
        <v>255.25</v>
      </c>
      <c r="DM34" s="247">
        <f t="shared" si="33"/>
        <v>271.77999999999997</v>
      </c>
    </row>
    <row r="35" spans="1:117" ht="16.5" customHeight="1">
      <c r="A35" s="127">
        <v>29</v>
      </c>
      <c r="B35" s="103">
        <f t="shared" si="24"/>
        <v>478.81299999999999</v>
      </c>
      <c r="C35" s="104">
        <f t="shared" si="0"/>
        <v>0.50381821295578855</v>
      </c>
      <c r="D35" s="143">
        <f t="shared" si="1"/>
        <v>476.40065289999995</v>
      </c>
      <c r="E35" s="104">
        <f t="shared" si="2"/>
        <v>37.235227802920967</v>
      </c>
      <c r="F35" s="128">
        <f t="shared" si="3"/>
        <v>2.361107463448481</v>
      </c>
      <c r="G35" s="106"/>
      <c r="H35" s="107">
        <f t="shared" si="4"/>
        <v>2.361107463448481</v>
      </c>
      <c r="I35" s="103">
        <f>'[1]сентябрь 20'!AE34</f>
        <v>0</v>
      </c>
      <c r="J35" s="328">
        <f>'[1]май 20'!AA34</f>
        <v>0</v>
      </c>
      <c r="K35" s="106"/>
      <c r="L35" s="328"/>
      <c r="M35" s="103">
        <f t="shared" si="5"/>
        <v>0</v>
      </c>
      <c r="N35" s="103">
        <f>'[1]июль 20'!AM34</f>
        <v>6.298</v>
      </c>
      <c r="O35" s="103">
        <f>'[1]май 20'!W34</f>
        <v>0</v>
      </c>
      <c r="P35" s="103">
        <v>277.18</v>
      </c>
      <c r="Q35" s="108">
        <f t="shared" si="6"/>
        <v>1.3781658128292018</v>
      </c>
      <c r="R35" s="109">
        <f t="shared" si="7"/>
        <v>273.36000000000007</v>
      </c>
      <c r="S35" s="131">
        <v>28.11</v>
      </c>
      <c r="T35" s="109">
        <f t="shared" si="8"/>
        <v>273.36</v>
      </c>
      <c r="U35" s="110">
        <f t="shared" si="9"/>
        <v>1.3548099321009075</v>
      </c>
      <c r="V35" s="136">
        <v>55.31</v>
      </c>
      <c r="W35" s="136">
        <v>154.03</v>
      </c>
      <c r="X35" s="131">
        <v>0.72</v>
      </c>
      <c r="Y35" s="133">
        <v>578</v>
      </c>
      <c r="Z35" s="133">
        <v>1239</v>
      </c>
      <c r="AA35" s="144" t="s">
        <v>279</v>
      </c>
      <c r="AB35" s="131">
        <v>74.92</v>
      </c>
      <c r="AC35" s="133">
        <v>151</v>
      </c>
      <c r="AD35" s="134">
        <v>4</v>
      </c>
      <c r="AE35" s="166">
        <v>3</v>
      </c>
      <c r="AF35" s="115">
        <f t="shared" si="10"/>
        <v>14.868414531397136</v>
      </c>
      <c r="AG35" s="166">
        <v>134.35</v>
      </c>
      <c r="AH35" s="115">
        <f t="shared" si="11"/>
        <v>665.85716409773511</v>
      </c>
      <c r="AI35" s="139">
        <v>17.149999999999999</v>
      </c>
      <c r="AJ35" s="131"/>
      <c r="AK35" s="167">
        <v>6.08</v>
      </c>
      <c r="AL35" s="167">
        <v>43.77</v>
      </c>
      <c r="AM35" s="110">
        <f t="shared" si="12"/>
        <v>0.17560682046138418</v>
      </c>
      <c r="AN35" s="168" t="s">
        <v>276</v>
      </c>
      <c r="AO35" s="405">
        <v>8.69</v>
      </c>
      <c r="AP35" s="169">
        <v>6.88</v>
      </c>
      <c r="AQ35" s="170"/>
      <c r="AR35" s="166">
        <v>9.81</v>
      </c>
      <c r="AS35" s="171">
        <v>249.25</v>
      </c>
      <c r="AT35" s="131">
        <v>2.37</v>
      </c>
      <c r="AU35" s="116"/>
      <c r="AV35" s="131"/>
      <c r="AW35" s="109">
        <f t="shared" si="34"/>
        <v>0</v>
      </c>
      <c r="AX35" s="109">
        <f t="shared" si="13"/>
        <v>201.76999999999998</v>
      </c>
      <c r="AY35" s="115">
        <f t="shared" si="25"/>
        <v>206.70112397217594</v>
      </c>
      <c r="AZ35" s="140">
        <f t="shared" si="14"/>
        <v>10.209653873239438</v>
      </c>
      <c r="BA35" s="141">
        <f t="shared" si="35"/>
        <v>8.0708000000000002</v>
      </c>
      <c r="BB35" s="128">
        <f t="shared" si="16"/>
        <v>0.85217345031810698</v>
      </c>
      <c r="BC35" s="141">
        <f t="shared" si="17"/>
        <v>18.280453873239438</v>
      </c>
      <c r="BD35" s="165">
        <v>0.82899999999999996</v>
      </c>
      <c r="BE35" s="16">
        <f t="shared" si="26"/>
        <v>5342.7900000000009</v>
      </c>
      <c r="BF35" s="16">
        <f t="shared" si="18"/>
        <v>175.80645161290323</v>
      </c>
      <c r="BG35" s="16">
        <f t="shared" si="27"/>
        <v>5098.3870967741959</v>
      </c>
      <c r="BH35" s="17">
        <f t="shared" si="19"/>
        <v>1</v>
      </c>
      <c r="BI35" s="16">
        <f t="shared" si="28"/>
        <v>5098.3870967741959</v>
      </c>
      <c r="BJ35" s="441">
        <f t="shared" si="29"/>
        <v>334.029</v>
      </c>
      <c r="BK35" s="196"/>
      <c r="BL35" s="197"/>
      <c r="BM35" s="197"/>
      <c r="BN35" s="230">
        <v>117.803</v>
      </c>
      <c r="BO35" s="230">
        <v>26.981000000000002</v>
      </c>
      <c r="BP35" s="259"/>
      <c r="BQ35" s="199"/>
      <c r="BR35" s="200">
        <v>0.52</v>
      </c>
      <c r="BS35" s="200"/>
      <c r="BT35" s="200"/>
      <c r="BU35" s="200"/>
      <c r="BV35" s="208">
        <v>0.2</v>
      </c>
      <c r="BW35" s="208">
        <v>1.63</v>
      </c>
      <c r="BX35" s="201"/>
      <c r="BY35" s="202">
        <v>37.47</v>
      </c>
      <c r="BZ35" s="200"/>
      <c r="CA35" s="200">
        <v>43.19</v>
      </c>
      <c r="CB35" s="200"/>
      <c r="CC35" s="208">
        <v>37.479999999999997</v>
      </c>
      <c r="CD35" s="208">
        <v>33.26</v>
      </c>
      <c r="CE35" s="209"/>
      <c r="CF35" s="199"/>
      <c r="CG35" s="197"/>
      <c r="CH35" s="230"/>
      <c r="CI35" s="266">
        <f t="shared" si="30"/>
        <v>273.36</v>
      </c>
      <c r="CJ35" s="453"/>
      <c r="CK35" s="202"/>
      <c r="CL35" s="208"/>
      <c r="CM35" s="208"/>
      <c r="CN35" s="209"/>
      <c r="CP35" s="286">
        <f t="shared" si="20"/>
        <v>332.29204920000001</v>
      </c>
      <c r="CQ35" s="24">
        <f t="shared" si="20"/>
        <v>0</v>
      </c>
      <c r="CR35" s="24">
        <f t="shared" si="20"/>
        <v>0</v>
      </c>
      <c r="CS35" s="24">
        <f t="shared" si="20"/>
        <v>0</v>
      </c>
      <c r="CT35" s="27">
        <f t="shared" si="20"/>
        <v>117.56739399999999</v>
      </c>
      <c r="CU35" s="27">
        <f t="shared" si="20"/>
        <v>26.541209700000003</v>
      </c>
      <c r="CV35" s="280">
        <f t="shared" si="20"/>
        <v>0</v>
      </c>
      <c r="CW35" s="237">
        <f t="shared" si="21"/>
        <v>0</v>
      </c>
      <c r="CX35" s="26">
        <f t="shared" si="21"/>
        <v>0</v>
      </c>
      <c r="CY35" s="277">
        <f t="shared" si="21"/>
        <v>273.36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31"/>
        <v>0</v>
      </c>
      <c r="DH35" s="254">
        <v>226.488</v>
      </c>
      <c r="DI35" s="197"/>
      <c r="DJ35" s="197">
        <v>81.540999999999997</v>
      </c>
      <c r="DK35" s="247">
        <f t="shared" si="32"/>
        <v>334.029</v>
      </c>
      <c r="DL35" s="230">
        <v>256.83</v>
      </c>
      <c r="DM35" s="247">
        <f t="shared" si="33"/>
        <v>273.36</v>
      </c>
    </row>
    <row r="36" spans="1:117" ht="16.5" customHeight="1">
      <c r="A36" s="127">
        <v>30</v>
      </c>
      <c r="B36" s="103">
        <f t="shared" si="24"/>
        <v>449.36500000000001</v>
      </c>
      <c r="C36" s="104">
        <f t="shared" si="0"/>
        <v>0.54683602416743637</v>
      </c>
      <c r="D36" s="143">
        <f t="shared" si="1"/>
        <v>446.90771030000002</v>
      </c>
      <c r="E36" s="104">
        <f t="shared" si="2"/>
        <v>37.236212366339167</v>
      </c>
      <c r="F36" s="128">
        <f t="shared" si="3"/>
        <v>2.3069776497005985</v>
      </c>
      <c r="G36" s="106"/>
      <c r="H36" s="107">
        <f t="shared" si="4"/>
        <v>2.3069776497005989</v>
      </c>
      <c r="I36" s="103">
        <f>'[1]сентябрь 20'!AE35</f>
        <v>0</v>
      </c>
      <c r="J36" s="328">
        <f>'[1]май 20'!AA35</f>
        <v>0</v>
      </c>
      <c r="K36" s="106"/>
      <c r="L36" s="328"/>
      <c r="M36" s="103">
        <f t="shared" si="5"/>
        <v>0</v>
      </c>
      <c r="N36" s="103">
        <f>'[1]июль 20'!AM35</f>
        <v>7.1239999999999997</v>
      </c>
      <c r="O36" s="103">
        <f>'[1]май 20'!W35</f>
        <v>0</v>
      </c>
      <c r="P36" s="103">
        <v>261.3</v>
      </c>
      <c r="Q36" s="108">
        <f t="shared" si="6"/>
        <v>1.4006888633754433</v>
      </c>
      <c r="R36" s="109">
        <f t="shared" si="7"/>
        <v>257.63999999999993</v>
      </c>
      <c r="S36" s="131">
        <v>1.69</v>
      </c>
      <c r="T36" s="109">
        <f t="shared" si="8"/>
        <v>257.64</v>
      </c>
      <c r="U36" s="110">
        <f t="shared" si="9"/>
        <v>1.329960768118934</v>
      </c>
      <c r="V36" s="136">
        <v>93.26</v>
      </c>
      <c r="W36" s="136">
        <v>193.72</v>
      </c>
      <c r="X36" s="131">
        <v>0.57999999999999996</v>
      </c>
      <c r="Y36" s="133">
        <v>620</v>
      </c>
      <c r="Z36" s="133">
        <v>1242</v>
      </c>
      <c r="AA36" s="144" t="s">
        <v>313</v>
      </c>
      <c r="AB36" s="131">
        <v>75.05</v>
      </c>
      <c r="AC36" s="133">
        <v>141</v>
      </c>
      <c r="AD36" s="134">
        <v>4</v>
      </c>
      <c r="AE36" s="131">
        <v>1.4</v>
      </c>
      <c r="AF36" s="115">
        <f t="shared" si="10"/>
        <v>7.2269254594259742</v>
      </c>
      <c r="AG36" s="131">
        <v>122.7</v>
      </c>
      <c r="AH36" s="115">
        <f t="shared" si="11"/>
        <v>633.38839562254793</v>
      </c>
      <c r="AI36" s="139">
        <v>16.53</v>
      </c>
      <c r="AJ36" s="131"/>
      <c r="AK36" s="136">
        <v>9.35</v>
      </c>
      <c r="AL36" s="136">
        <v>43.73</v>
      </c>
      <c r="AM36" s="110">
        <f t="shared" si="12"/>
        <v>0.17718800648298216</v>
      </c>
      <c r="AN36" s="137" t="s">
        <v>206</v>
      </c>
      <c r="AO36" s="150">
        <v>9.0299999999999994</v>
      </c>
      <c r="AP36" s="138">
        <v>7.33</v>
      </c>
      <c r="AQ36" s="134"/>
      <c r="AR36" s="131">
        <v>8.51</v>
      </c>
      <c r="AS36" s="139">
        <v>246.8</v>
      </c>
      <c r="AT36" s="131"/>
      <c r="AU36" s="116"/>
      <c r="AV36" s="131"/>
      <c r="AW36" s="109">
        <f t="shared" si="34"/>
        <v>0</v>
      </c>
      <c r="AX36" s="109">
        <f t="shared" si="13"/>
        <v>193.72000000000003</v>
      </c>
      <c r="AY36" s="115">
        <f t="shared" si="25"/>
        <v>193.57394146511348</v>
      </c>
      <c r="AZ36" s="140">
        <f t="shared" si="14"/>
        <v>8.0886950704225331</v>
      </c>
      <c r="BA36" s="141">
        <f t="shared" si="35"/>
        <v>7.748800000000001</v>
      </c>
      <c r="BB36" s="128">
        <f t="shared" si="16"/>
        <v>0.87365871005152285</v>
      </c>
      <c r="BC36" s="141">
        <f t="shared" si="17"/>
        <v>15.837495070422534</v>
      </c>
      <c r="BD36" s="165">
        <v>0.83</v>
      </c>
      <c r="BE36" s="16">
        <f t="shared" si="26"/>
        <v>5536.5100000000011</v>
      </c>
      <c r="BF36" s="16">
        <f t="shared" si="18"/>
        <v>175.80645161290323</v>
      </c>
      <c r="BG36" s="16">
        <f t="shared" si="27"/>
        <v>5274.1935483870993</v>
      </c>
      <c r="BH36" s="17">
        <f t="shared" si="19"/>
        <v>1</v>
      </c>
      <c r="BI36" s="16">
        <f t="shared" si="28"/>
        <v>5274.1935483870993</v>
      </c>
      <c r="BJ36" s="441">
        <f t="shared" si="29"/>
        <v>313.70100000000002</v>
      </c>
      <c r="BK36" s="196"/>
      <c r="BL36" s="197"/>
      <c r="BM36" s="197"/>
      <c r="BN36" s="230">
        <v>110.078</v>
      </c>
      <c r="BO36" s="230">
        <v>25.585999999999999</v>
      </c>
      <c r="BP36" s="258"/>
      <c r="BQ36" s="199"/>
      <c r="BR36" s="200">
        <v>0.55000000000000004</v>
      </c>
      <c r="BS36" s="200"/>
      <c r="BT36" s="200"/>
      <c r="BU36" s="200"/>
      <c r="BV36" s="208">
        <v>0.3</v>
      </c>
      <c r="BW36" s="208">
        <v>1.57</v>
      </c>
      <c r="BX36" s="201"/>
      <c r="BY36" s="202">
        <v>37.43</v>
      </c>
      <c r="BZ36" s="200"/>
      <c r="CA36" s="200">
        <v>43.13</v>
      </c>
      <c r="CB36" s="200"/>
      <c r="CC36" s="208">
        <v>37.22</v>
      </c>
      <c r="CD36" s="208">
        <v>34.93</v>
      </c>
      <c r="CE36" s="209"/>
      <c r="CF36" s="199"/>
      <c r="CG36" s="197"/>
      <c r="CH36" s="230"/>
      <c r="CI36" s="266">
        <f t="shared" si="30"/>
        <v>257.64</v>
      </c>
      <c r="CJ36" s="453"/>
      <c r="CK36" s="202"/>
      <c r="CL36" s="208"/>
      <c r="CM36" s="208"/>
      <c r="CN36" s="209"/>
      <c r="CP36" s="286">
        <f t="shared" si="20"/>
        <v>311.97564450000004</v>
      </c>
      <c r="CQ36" s="27">
        <f t="shared" si="20"/>
        <v>0</v>
      </c>
      <c r="CR36" s="28">
        <f t="shared" si="20"/>
        <v>0</v>
      </c>
      <c r="CS36" s="27">
        <f t="shared" si="20"/>
        <v>0</v>
      </c>
      <c r="CT36" s="27">
        <f t="shared" si="20"/>
        <v>109.747766</v>
      </c>
      <c r="CU36" s="29">
        <f t="shared" si="20"/>
        <v>25.184299800000002</v>
      </c>
      <c r="CV36" s="281">
        <f t="shared" si="20"/>
        <v>0</v>
      </c>
      <c r="CW36" s="25">
        <f t="shared" si="21"/>
        <v>0</v>
      </c>
      <c r="CX36" s="24">
        <f t="shared" si="21"/>
        <v>0</v>
      </c>
      <c r="CY36" s="277">
        <f t="shared" si="21"/>
        <v>257.64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31"/>
        <v>0</v>
      </c>
      <c r="DH36" s="254">
        <v>211.57499999999999</v>
      </c>
      <c r="DI36" s="197"/>
      <c r="DJ36" s="197">
        <v>76.126000000000005</v>
      </c>
      <c r="DK36" s="247">
        <f t="shared" si="32"/>
        <v>313.70100000000002</v>
      </c>
      <c r="DL36" s="230">
        <v>241.11</v>
      </c>
      <c r="DM36" s="247">
        <f t="shared" si="33"/>
        <v>257.64</v>
      </c>
    </row>
    <row r="37" spans="1:117" ht="16.5" customHeight="1" thickBot="1">
      <c r="A37" s="172">
        <v>31</v>
      </c>
      <c r="B37" s="103">
        <f t="shared" si="24"/>
        <v>508.60399999999998</v>
      </c>
      <c r="C37" s="104">
        <f t="shared" si="0"/>
        <v>0.41552233171583397</v>
      </c>
      <c r="D37" s="173">
        <f t="shared" si="1"/>
        <v>506.4906368</v>
      </c>
      <c r="E37" s="104">
        <f t="shared" si="2"/>
        <v>37.475190639475905</v>
      </c>
      <c r="F37" s="174">
        <f t="shared" si="3"/>
        <v>2.5065107972484784</v>
      </c>
      <c r="G37" s="106"/>
      <c r="H37" s="107">
        <f t="shared" si="4"/>
        <v>2.5065107972484788</v>
      </c>
      <c r="I37" s="103">
        <f>'[1]сентябрь 20'!AE36</f>
        <v>0</v>
      </c>
      <c r="J37" s="328">
        <f>'[1]май 20'!AA36</f>
        <v>0</v>
      </c>
      <c r="K37" s="106"/>
      <c r="L37" s="328"/>
      <c r="M37" s="103">
        <f t="shared" si="5"/>
        <v>0</v>
      </c>
      <c r="N37" s="103">
        <f>'[1]июль 20'!AM36</f>
        <v>6.7409999999999997</v>
      </c>
      <c r="O37" s="103">
        <f>'[1]май 20'!W36</f>
        <v>0</v>
      </c>
      <c r="P37" s="103">
        <v>288.05</v>
      </c>
      <c r="Q37" s="108">
        <f t="shared" si="6"/>
        <v>1.3782329456691444</v>
      </c>
      <c r="R37" s="175">
        <f t="shared" si="7"/>
        <v>284.08000000000004</v>
      </c>
      <c r="S37" s="176">
        <v>30.82</v>
      </c>
      <c r="T37" s="109">
        <f t="shared" si="8"/>
        <v>284.08000000000004</v>
      </c>
      <c r="U37" s="227">
        <f t="shared" si="9"/>
        <v>1.4058494581085765</v>
      </c>
      <c r="V37" s="177">
        <v>153.53</v>
      </c>
      <c r="W37" s="177">
        <v>202.07</v>
      </c>
      <c r="X37" s="176">
        <v>0.41</v>
      </c>
      <c r="Y37" s="178">
        <v>572</v>
      </c>
      <c r="Z37" s="178">
        <v>1236</v>
      </c>
      <c r="AA37" s="179" t="s">
        <v>314</v>
      </c>
      <c r="AB37" s="176">
        <v>75.040000000000006</v>
      </c>
      <c r="AC37" s="178">
        <v>156</v>
      </c>
      <c r="AD37" s="180">
        <v>4</v>
      </c>
      <c r="AE37" s="176"/>
      <c r="AF37" s="115">
        <f t="shared" si="10"/>
        <v>0</v>
      </c>
      <c r="AG37" s="176">
        <v>121.5</v>
      </c>
      <c r="AH37" s="181">
        <f t="shared" si="11"/>
        <v>601.27678527243029</v>
      </c>
      <c r="AI37" s="182">
        <v>18.59</v>
      </c>
      <c r="AJ37" s="176"/>
      <c r="AK37" s="177">
        <v>8.93</v>
      </c>
      <c r="AL37" s="177">
        <v>42.35</v>
      </c>
      <c r="AM37" s="227">
        <f t="shared" si="12"/>
        <v>0.16716005525952241</v>
      </c>
      <c r="AN37" s="183" t="s">
        <v>315</v>
      </c>
      <c r="AO37" s="406">
        <v>9.31</v>
      </c>
      <c r="AP37" s="184">
        <v>7.83</v>
      </c>
      <c r="AQ37" s="180"/>
      <c r="AR37" s="176">
        <v>7.05</v>
      </c>
      <c r="AS37" s="176">
        <v>253.35</v>
      </c>
      <c r="AT37" s="131"/>
      <c r="AU37" s="176"/>
      <c r="AV37" s="176"/>
      <c r="AW37" s="185">
        <f t="shared" si="34"/>
        <v>0</v>
      </c>
      <c r="AX37" s="109">
        <f t="shared" si="13"/>
        <v>202.07</v>
      </c>
      <c r="AY37" s="115">
        <f t="shared" si="25"/>
        <v>220.81912791109374</v>
      </c>
      <c r="AZ37" s="186">
        <f t="shared" si="14"/>
        <v>6.6354401408450698</v>
      </c>
      <c r="BA37" s="181">
        <f t="shared" si="35"/>
        <v>8.0828000000000007</v>
      </c>
      <c r="BB37" s="174">
        <f t="shared" si="16"/>
        <v>0.79887603790838735</v>
      </c>
      <c r="BC37" s="181">
        <f t="shared" si="17"/>
        <v>14.71824014084507</v>
      </c>
      <c r="BD37" s="187">
        <v>0.82899999999999996</v>
      </c>
      <c r="BE37" s="16">
        <f t="shared" si="26"/>
        <v>5738.5800000000008</v>
      </c>
      <c r="BF37" s="16">
        <f t="shared" si="18"/>
        <v>175.80645161290323</v>
      </c>
      <c r="BG37" s="16">
        <f t="shared" si="27"/>
        <v>5450.0000000000027</v>
      </c>
      <c r="BH37" s="17">
        <f t="shared" si="19"/>
        <v>1</v>
      </c>
      <c r="BI37" s="16">
        <f t="shared" si="28"/>
        <v>5450.0000000000027</v>
      </c>
      <c r="BJ37" s="452">
        <f t="shared" si="29"/>
        <v>358.88400000000001</v>
      </c>
      <c r="BK37" s="257"/>
      <c r="BL37" s="257"/>
      <c r="BM37" s="257"/>
      <c r="BN37" s="261">
        <v>121.52200000000001</v>
      </c>
      <c r="BO37" s="261">
        <v>28.198</v>
      </c>
      <c r="BP37" s="262"/>
      <c r="BQ37" s="219"/>
      <c r="BR37" s="220">
        <v>0.38</v>
      </c>
      <c r="BS37" s="220"/>
      <c r="BT37" s="220"/>
      <c r="BU37" s="220"/>
      <c r="BV37" s="224">
        <v>0.35</v>
      </c>
      <c r="BW37" s="224">
        <v>1.1499999999999999</v>
      </c>
      <c r="BX37" s="221"/>
      <c r="BY37" s="222">
        <v>37.58</v>
      </c>
      <c r="BZ37" s="220"/>
      <c r="CA37" s="220">
        <v>43.21</v>
      </c>
      <c r="CB37" s="220"/>
      <c r="CC37" s="224">
        <v>38.159999999999997</v>
      </c>
      <c r="CD37" s="224">
        <v>33.19</v>
      </c>
      <c r="CE37" s="221"/>
      <c r="CF37" s="219"/>
      <c r="CG37" s="217"/>
      <c r="CH37" s="217"/>
      <c r="CI37" s="455">
        <f t="shared" si="30"/>
        <v>284.08000000000004</v>
      </c>
      <c r="CJ37" s="223"/>
      <c r="CK37" s="222"/>
      <c r="CL37" s="224"/>
      <c r="CM37" s="224"/>
      <c r="CN37" s="218"/>
      <c r="CP37" s="287">
        <f t="shared" si="20"/>
        <v>357.52024080000007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121.09667300000001</v>
      </c>
      <c r="CU37" s="26">
        <f t="shared" si="20"/>
        <v>27.873722999999998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284.08000000000004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31"/>
        <v>0</v>
      </c>
      <c r="DH37" s="256">
        <v>233.95400000000001</v>
      </c>
      <c r="DI37" s="257"/>
      <c r="DJ37" s="257">
        <v>84.177999999999997</v>
      </c>
      <c r="DK37" s="247">
        <f>DH37+DI37+DJ37+40.752</f>
        <v>358.88400000000001</v>
      </c>
      <c r="DL37" s="234">
        <v>267.35000000000002</v>
      </c>
      <c r="DM37" s="247">
        <f>DL37+16.73</f>
        <v>284.08000000000004</v>
      </c>
    </row>
    <row r="38" spans="1:117" ht="16.5" customHeight="1" thickBot="1">
      <c r="A38" s="55" t="s">
        <v>58</v>
      </c>
      <c r="B38" s="188">
        <f>SUM(B7:B37)</f>
        <v>14052.062000299997</v>
      </c>
      <c r="C38" s="326"/>
      <c r="D38" s="327">
        <f>SUM(D7:D37)</f>
        <v>13933.270098298566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101.33199999999999</v>
      </c>
      <c r="K38" s="188">
        <f>SUM(K7:K37)</f>
        <v>105.84</v>
      </c>
      <c r="L38" s="331">
        <f>SUM(L7:L37)</f>
        <v>0</v>
      </c>
      <c r="M38" s="342"/>
      <c r="N38" s="342">
        <f>SUM(N7:N37)</f>
        <v>85.77</v>
      </c>
      <c r="O38" s="331">
        <f>SUM(O7:O37)</f>
        <v>261.38100000000003</v>
      </c>
      <c r="P38" s="188">
        <f>SUM(P7:P37)</f>
        <v>8273.869999999999</v>
      </c>
      <c r="Q38" s="342"/>
      <c r="R38" s="341">
        <f>SUM(R7:R37)</f>
        <v>8154.5200003000009</v>
      </c>
      <c r="S38" s="343">
        <f>SUM(S7:S37)</f>
        <v>494.90999999999985</v>
      </c>
      <c r="T38" s="341">
        <f>SUM(T7:T37)</f>
        <v>8154.5200002999982</v>
      </c>
      <c r="U38" s="344"/>
      <c r="V38" s="194">
        <f>SUM(V7:V37)</f>
        <v>4189.2299999999996</v>
      </c>
      <c r="W38" s="194">
        <f>SUM(W7:W37)</f>
        <v>4643.8599999999988</v>
      </c>
      <c r="X38" s="345"/>
      <c r="Y38" s="346"/>
      <c r="Z38" s="347"/>
      <c r="AA38" s="348"/>
      <c r="AB38" s="345"/>
      <c r="AC38" s="345"/>
      <c r="AD38" s="347">
        <f>SUM(AD7:AD37)</f>
        <v>123</v>
      </c>
      <c r="AE38" s="194">
        <f>SUM(AE7:AE37)</f>
        <v>43.1</v>
      </c>
      <c r="AF38" s="349"/>
      <c r="AG38" s="194">
        <f>SUM(AG7:AG37)</f>
        <v>4020.5000000000009</v>
      </c>
      <c r="AH38" s="343"/>
      <c r="AI38" s="338">
        <f>SUM(AI7:AI37)</f>
        <v>494.55000000000013</v>
      </c>
      <c r="AJ38" s="343">
        <f>SUM(AJ7:AJ37)</f>
        <v>0</v>
      </c>
      <c r="AK38" s="337">
        <f>SUM(AK7:AK37)</f>
        <v>280.23</v>
      </c>
      <c r="AL38" s="395">
        <f>SUM(AL7:AL37)</f>
        <v>1289.95</v>
      </c>
      <c r="AM38" s="350"/>
      <c r="AN38" s="351"/>
      <c r="AO38" s="343"/>
      <c r="AP38" s="351"/>
      <c r="AQ38" s="351"/>
      <c r="AR38" s="352"/>
      <c r="AS38" s="337">
        <f>SUM(AS7:AS37)</f>
        <v>7230.8500000000013</v>
      </c>
      <c r="AT38" s="341">
        <f>SUM(AT7:AT37)</f>
        <v>77.91</v>
      </c>
      <c r="AU38" s="343">
        <f>SUM(AU7:AU36)</f>
        <v>0</v>
      </c>
      <c r="AV38" s="343">
        <f>SUM(AV7:AV37)</f>
        <v>0</v>
      </c>
      <c r="AW38" s="340"/>
      <c r="AX38" s="252">
        <f>SUM(AX7:AX37)</f>
        <v>5738.5800000000008</v>
      </c>
      <c r="AY38" s="252">
        <f>SUM(AY7:AY37)</f>
        <v>6043.3926839026544</v>
      </c>
      <c r="AZ38" s="351">
        <f>SUM(AZ7:AZ36)</f>
        <v>285.88988380281694</v>
      </c>
      <c r="BA38" s="351">
        <f>SUM(BA7:BA36)</f>
        <v>214.34440000000001</v>
      </c>
      <c r="BB38" s="340"/>
      <c r="BC38" s="351">
        <f>SUM(BC7:BC37)</f>
        <v>514.95252394366196</v>
      </c>
      <c r="BD38" s="353"/>
      <c r="BE38" s="16"/>
      <c r="BF38" s="16">
        <f t="shared" si="18"/>
        <v>0</v>
      </c>
      <c r="BG38" s="16"/>
      <c r="BH38" s="17">
        <f>SUM(BH7:BH37)</f>
        <v>31</v>
      </c>
      <c r="BI38" s="33"/>
      <c r="BJ38" s="228">
        <f t="shared" ref="BJ38:BP38" si="36">SUM(BJ7:BJ37)</f>
        <v>10726.733000099999</v>
      </c>
      <c r="BK38" s="38">
        <f t="shared" si="36"/>
        <v>9.9999999999999995E-8</v>
      </c>
      <c r="BL38" s="38">
        <f t="shared" si="36"/>
        <v>9.9999999999999995E-8</v>
      </c>
      <c r="BM38" s="38">
        <f t="shared" si="36"/>
        <v>9.9999999999999995E-8</v>
      </c>
      <c r="BN38" s="38">
        <f t="shared" si="36"/>
        <v>1998.9030001000001</v>
      </c>
      <c r="BO38" s="38">
        <f t="shared" si="36"/>
        <v>1326.4260001000005</v>
      </c>
      <c r="BP38" s="38">
        <f t="shared" si="36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9.9999999999999995E-8</v>
      </c>
      <c r="CH38" s="39">
        <f>SUM(CH7:CH37)</f>
        <v>1112.5500001</v>
      </c>
      <c r="CI38" s="39">
        <f>SUM(CI7:CI37)</f>
        <v>7041.97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7">SUM(CP7:CP37)</f>
        <v>10629.733214098569</v>
      </c>
      <c r="CQ38" s="190">
        <f t="shared" si="37"/>
        <v>9.99999999E-8</v>
      </c>
      <c r="CR38" s="191">
        <f t="shared" si="37"/>
        <v>9.99999999E-8</v>
      </c>
      <c r="CS38" s="192">
        <f t="shared" si="37"/>
        <v>9.99999999E-8</v>
      </c>
      <c r="CT38" s="192">
        <f t="shared" si="37"/>
        <v>1990.3745164999996</v>
      </c>
      <c r="CU38" s="192">
        <f t="shared" si="37"/>
        <v>1313.1623677</v>
      </c>
      <c r="CV38" s="278">
        <f t="shared" si="37"/>
        <v>9.99999999E-8</v>
      </c>
      <c r="CW38" s="278">
        <f t="shared" si="37"/>
        <v>9.99999999E-8</v>
      </c>
      <c r="CX38" s="192">
        <f t="shared" si="37"/>
        <v>1112.5500001</v>
      </c>
      <c r="CY38" s="192">
        <f t="shared" si="37"/>
        <v>7041.9699997302787</v>
      </c>
      <c r="CZ38" s="192">
        <f t="shared" si="37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7" ht="16.5" customHeight="1" thickBot="1">
      <c r="A39" s="56" t="s">
        <v>59</v>
      </c>
      <c r="B39" s="84">
        <f>B38/AS2</f>
        <v>453.2923225903225</v>
      </c>
      <c r="C39" s="84">
        <f>(BJ38*BR39+BK38*BS39+BM38*BU39+BP38*BX39+BL38*BT39+BO38*BW39+BN38*BV39)/B38</f>
        <v>0.84536989659520356</v>
      </c>
      <c r="D39" s="82"/>
      <c r="E39" s="354">
        <f>(BJ38*BY39+BK38*BZ39+BM38*CB39+BP38*CE39+BL38*CA39+BO38*CD39+BN38*CC39)/B38</f>
        <v>37.468076174649568</v>
      </c>
      <c r="F39" s="355">
        <f>IF(AX38=0,0,D38/AX38)</f>
        <v>2.4279996267889556</v>
      </c>
      <c r="G39" s="354">
        <f>G38/AS2</f>
        <v>0</v>
      </c>
      <c r="H39" s="355">
        <f>IF(AX38=0,0,(CV38+CS38+CU38+CP38+CT38)/AX38)</f>
        <v>2.4279996268238078</v>
      </c>
      <c r="I39" s="354">
        <f>I38/AS2</f>
        <v>0</v>
      </c>
      <c r="J39" s="354">
        <f>J38/AS2</f>
        <v>3.2687741935483867</v>
      </c>
      <c r="K39" s="354">
        <f>K38/AS2</f>
        <v>3.4141935483870971</v>
      </c>
      <c r="L39" s="354">
        <f>L38/AS2</f>
        <v>0</v>
      </c>
      <c r="M39" s="355">
        <f>IF($AX$38=0,0,(CR38+CQ38)/$AX$38)</f>
        <v>3.4851827420720799E-11</v>
      </c>
      <c r="N39" s="354">
        <f>N38/AS2</f>
        <v>2.7667741935483869</v>
      </c>
      <c r="O39" s="354">
        <f>O38/AS2</f>
        <v>8.4316451612903229</v>
      </c>
      <c r="P39" s="356">
        <f>P38/AS2</f>
        <v>266.89903225806449</v>
      </c>
      <c r="Q39" s="354">
        <f>(SUMPRODUCT(P7:P37,Q7:Q37))/P38</f>
        <v>1.4424930498061972</v>
      </c>
      <c r="R39" s="357"/>
      <c r="S39" s="354">
        <f>S38/AS2</f>
        <v>15.964838709677414</v>
      </c>
      <c r="T39" s="354">
        <f>T38/AS2:AS2</f>
        <v>263.04903226774189</v>
      </c>
      <c r="U39" s="358">
        <f>IF($AX$38=0,0,R38/$AX$38)</f>
        <v>1.4209996201673585</v>
      </c>
      <c r="V39" s="354">
        <f>V38/AS2</f>
        <v>135.13645161290322</v>
      </c>
      <c r="W39" s="354">
        <f>W38/AS2</f>
        <v>149.80193548387092</v>
      </c>
      <c r="X39" s="354">
        <f>(SUMPRODUCT(X7:X37,AX7:AX37))/AX38</f>
        <v>0.72003577540088315</v>
      </c>
      <c r="Y39" s="359">
        <f>AVERAGE(Y7:Y37)</f>
        <v>598.54838709677415</v>
      </c>
      <c r="Z39" s="359">
        <f>AVERAGE(Z7:Z37)</f>
        <v>1234.1612903225807</v>
      </c>
      <c r="AA39" s="359"/>
      <c r="AB39" s="354">
        <f>(SUMPRODUCT(AB7:AB37,AX7:AX37))/AX38</f>
        <v>75.42063235155733</v>
      </c>
      <c r="AC39" s="360">
        <f>AVERAGE(AC7:AC37)</f>
        <v>142.87096774193549</v>
      </c>
      <c r="AD39" s="360">
        <f>AVERAGE(AD7:AD37)</f>
        <v>3.967741935483871</v>
      </c>
      <c r="AE39" s="354">
        <f>AE38/AS2</f>
        <v>1.3903225806451613</v>
      </c>
      <c r="AF39" s="361">
        <f>IF(AX38=0,0,AE38/AX38*1000)</f>
        <v>7.5105688166759021</v>
      </c>
      <c r="AG39" s="361">
        <f>AG38/AS2</f>
        <v>129.6935483870968</v>
      </c>
      <c r="AH39" s="361">
        <f>IF(AX38=0,0,AG38/AX38*1000)</f>
        <v>700.60886142564891</v>
      </c>
      <c r="AI39" s="354">
        <f>AI38/AS2</f>
        <v>15.953225806451616</v>
      </c>
      <c r="AJ39" s="359"/>
      <c r="AK39" s="354">
        <f>AK38/AS2</f>
        <v>9.0396774193548399</v>
      </c>
      <c r="AL39" s="354">
        <f>AL38/AS2</f>
        <v>41.611290322580643</v>
      </c>
      <c r="AM39" s="346">
        <f>IF(AL39=0,0,AL39/AS39)</f>
        <v>0.17839534771154147</v>
      </c>
      <c r="AN39" s="361">
        <f>SUM(AN8:AN38)</f>
        <v>0</v>
      </c>
      <c r="AO39" s="354">
        <f>AVERAGE(AO7:AO37)</f>
        <v>8.7303225806451614</v>
      </c>
      <c r="AP39" s="354">
        <f>AVERAGE(AP7:AP37)</f>
        <v>6.76</v>
      </c>
      <c r="AQ39" s="362"/>
      <c r="AR39" s="354">
        <f>AVERAGE(AR7:AR37)</f>
        <v>9.3506451612903234</v>
      </c>
      <c r="AS39" s="363">
        <f>AS38/AS2</f>
        <v>233.25322580645167</v>
      </c>
      <c r="AT39" s="363">
        <f>AT38/AS2</f>
        <v>2.5132258064516129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185.11548387096778</v>
      </c>
      <c r="AY39" s="354">
        <f>AY38/AS2</f>
        <v>194.94815109363401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0.82904892251894324</v>
      </c>
      <c r="BC39" s="354">
        <f>BC38/AS2</f>
        <v>16.611371740118127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0.90428079081045176</v>
      </c>
      <c r="BS39" s="42">
        <f t="shared" ref="BS39:BX39" si="38">(SUMPRODUCT(BK7:BK37,BS7:BS37))/BK38</f>
        <v>9.9999999999999982E-8</v>
      </c>
      <c r="BT39" s="42">
        <f t="shared" si="38"/>
        <v>9.9999999999999982E-8</v>
      </c>
      <c r="BU39" s="42">
        <f t="shared" si="38"/>
        <v>9.9999999999999982E-8</v>
      </c>
      <c r="BV39" s="42">
        <f t="shared" si="38"/>
        <v>0.42665820200246546</v>
      </c>
      <c r="BW39" s="46">
        <f t="shared" si="38"/>
        <v>0.9999526848086544</v>
      </c>
      <c r="BX39" s="240">
        <f t="shared" si="38"/>
        <v>9.9999999999999982E-8</v>
      </c>
      <c r="BY39" s="41">
        <f t="shared" ref="BY39:CE39" si="39">(SUMPRODUCT(BJ7:BJ37,BY7:BY37))/BJ38</f>
        <v>37.607025222873943</v>
      </c>
      <c r="BZ39" s="42">
        <f t="shared" si="39"/>
        <v>43.44</v>
      </c>
      <c r="CA39" s="42">
        <f t="shared" si="39"/>
        <v>9.9999999999999982E-8</v>
      </c>
      <c r="CB39" s="42">
        <f t="shared" si="39"/>
        <v>9.9999999999999982E-8</v>
      </c>
      <c r="CC39" s="42">
        <f t="shared" si="39"/>
        <v>38.131230362947505</v>
      </c>
      <c r="CD39" s="46">
        <f t="shared" si="39"/>
        <v>35.345040105113654</v>
      </c>
      <c r="CE39" s="240">
        <f t="shared" si="39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9.9999999999999982E-8</v>
      </c>
      <c r="CL39" s="46">
        <f>(SUMPRODUCT(CH7:CH37,CL7:CL37))/CH38</f>
        <v>8.9883600728966442E-18</v>
      </c>
      <c r="CM39" s="46">
        <f>(SUMPRODUCT(CI7:CI37,CM7:CM37))/CI38</f>
        <v>3.8301782029744521E-9</v>
      </c>
      <c r="CN39" s="44">
        <f>(SUMPRODUCT(CJ7:CJ37,CN7:CN37))/CJ38</f>
        <v>9.9999999999999982E-8</v>
      </c>
      <c r="CP39" s="667">
        <f>CP38+CQ38</f>
        <v>10629.73321419857</v>
      </c>
      <c r="CQ39" s="667"/>
      <c r="CR39" s="668">
        <f>CR38+CS38+CV38+CU38+CT38</f>
        <v>3303.5368844999994</v>
      </c>
      <c r="CS39" s="668"/>
      <c r="CT39" s="668"/>
      <c r="CU39" s="668"/>
      <c r="CV39" s="668"/>
      <c r="CW39" s="669">
        <f>CW38+CX38+CZ38+CY38</f>
        <v>8154.5200000302793</v>
      </c>
      <c r="CX39" s="668"/>
      <c r="CY39" s="668"/>
      <c r="CZ39" s="668"/>
      <c r="DB39" s="302"/>
      <c r="DC39" s="303"/>
      <c r="DD39" s="303"/>
      <c r="DE39" s="304"/>
      <c r="DF39" s="305"/>
    </row>
    <row r="40" spans="1:117" ht="16.5" customHeight="1" thickBot="1">
      <c r="A40" s="57" t="s">
        <v>60</v>
      </c>
      <c r="B40" s="85"/>
      <c r="C40" s="86"/>
      <c r="D40" s="87"/>
      <c r="E40" s="365">
        <v>38.6</v>
      </c>
      <c r="F40" s="366">
        <v>2.1</v>
      </c>
      <c r="G40" s="366"/>
      <c r="H40" s="366">
        <v>1.68</v>
      </c>
      <c r="I40" s="366"/>
      <c r="J40" s="408"/>
      <c r="K40" s="366"/>
      <c r="L40" s="366"/>
      <c r="M40" s="366">
        <v>0.42</v>
      </c>
      <c r="N40" s="365"/>
      <c r="O40" s="366"/>
      <c r="P40" s="367"/>
      <c r="Q40" s="368"/>
      <c r="R40" s="367"/>
      <c r="S40" s="369">
        <v>20.340754199999999</v>
      </c>
      <c r="T40" s="367"/>
      <c r="U40" s="369">
        <v>1.2849999999999999</v>
      </c>
      <c r="V40" s="370">
        <v>5450</v>
      </c>
      <c r="W40" s="370">
        <v>5450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620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5450</v>
      </c>
      <c r="AT40" s="379">
        <v>38.15</v>
      </c>
      <c r="AU40" s="380"/>
      <c r="AV40" s="381"/>
      <c r="AW40" s="382"/>
      <c r="AX40" s="365">
        <v>175.81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13933.270098698569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7" ht="16.5" customHeight="1" thickBot="1">
      <c r="A41" s="58" t="s">
        <v>61</v>
      </c>
      <c r="B41" s="88"/>
      <c r="C41" s="88"/>
      <c r="D41" s="88"/>
      <c r="E41" s="384"/>
      <c r="F41" s="385">
        <f>F39-F40</f>
        <v>0.32799962678895556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1.4424930498061972</v>
      </c>
      <c r="R41" s="386"/>
      <c r="S41" s="388"/>
      <c r="T41" s="388"/>
      <c r="U41" s="385">
        <f>U39-U40</f>
        <v>0.13599962016735856</v>
      </c>
      <c r="V41" s="385"/>
      <c r="W41" s="385"/>
      <c r="X41" s="385"/>
      <c r="Y41" s="385"/>
      <c r="Z41" s="389">
        <f>Z39-Z40</f>
        <v>-15.838709677419274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1780.8500000000013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7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7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175.80645161290323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31</v>
      </c>
    </row>
    <row r="44" spans="1:117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7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58.787398373983748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30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7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181.66666666666666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7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7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288.57999999999811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5.2950458715595987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  <mergeCell ref="DB5:DF5"/>
    <mergeCell ref="CP39:CQ39"/>
    <mergeCell ref="CR39:CV39"/>
    <mergeCell ref="CW39:CZ39"/>
    <mergeCell ref="CG3:CJ5"/>
    <mergeCell ref="CK3:CN5"/>
    <mergeCell ref="V3:V6"/>
    <mergeCell ref="S4:S6"/>
    <mergeCell ref="T4:T6"/>
    <mergeCell ref="U4:U6"/>
    <mergeCell ref="AE5:AE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L3:AL6"/>
    <mergeCell ref="AM3:AM6"/>
    <mergeCell ref="AN3:AN6"/>
    <mergeCell ref="AO3:AO6"/>
    <mergeCell ref="AP3:AP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H88"/>
  <sheetViews>
    <sheetView showZeros="0" zoomScale="90" zoomScaleNormal="90" workbookViewId="0">
      <pane xSplit="1" ySplit="6" topLeftCell="CQ21" activePane="bottomRight" state="frozen"/>
      <selection pane="topRight" activeCell="B1" sqref="B1"/>
      <selection pane="bottomLeft" activeCell="A7" sqref="A7"/>
      <selection pane="bottomRight" activeCell="CV46" sqref="CV46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6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7.5703125" customWidth="1"/>
    <col min="16" max="16" width="9" customWidth="1"/>
    <col min="17" max="17" width="5.140625" customWidth="1"/>
    <col min="18" max="18" width="8.85546875" customWidth="1"/>
    <col min="19" max="19" width="7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2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30</v>
      </c>
      <c r="AT2" s="321"/>
      <c r="AU2" s="321"/>
      <c r="AV2" s="322"/>
      <c r="AW2" s="321"/>
      <c r="AX2" s="323" t="s">
        <v>308</v>
      </c>
      <c r="AY2" s="323"/>
      <c r="AZ2" s="323"/>
      <c r="BA2" s="323"/>
      <c r="BB2" s="323" t="s">
        <v>107</v>
      </c>
      <c r="BC2" s="324"/>
      <c r="BD2" s="49"/>
      <c r="BL2" s="2"/>
    </row>
    <row r="3" spans="1:112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2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2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2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49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99</v>
      </c>
      <c r="BN6" s="232" t="s">
        <v>296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99</v>
      </c>
      <c r="BV6" s="232" t="s">
        <v>296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99</v>
      </c>
      <c r="CC6" s="232" t="s">
        <v>296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99</v>
      </c>
      <c r="CT6" s="51" t="s">
        <v>296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2" ht="16.5" customHeight="1">
      <c r="A7" s="102">
        <v>1</v>
      </c>
      <c r="B7" s="103">
        <f>'[1]июнь 20'!K6</f>
        <v>432.06900000000002</v>
      </c>
      <c r="C7" s="104">
        <f t="shared" ref="C7:C37" si="0">IF(B7=0,0,(BJ7*BR7+BK7*BS7+BM7*BU7+BP7*BX7+BL7*BT7+BO7*BW7+BN7*BV7)/B7)</f>
        <v>0.42054009376974522</v>
      </c>
      <c r="D7" s="447">
        <f t="shared" ref="D7:D37" si="1">B7*((100-C7)/100)</f>
        <v>430.25197662224997</v>
      </c>
      <c r="E7" s="104">
        <f t="shared" ref="E7:E37" si="2">IF(B7=0,0,(BJ7*BY7+BK7*BZ7+BM7*CB7+BP7*CE7+BL7*CA7+BO7*CD7+BN7*CC7)/B7)</f>
        <v>38.434149175247477</v>
      </c>
      <c r="F7" s="103">
        <f t="shared" ref="F7:F37" si="3">IF(AX7=0,0,D7/AX7)</f>
        <v>2.1580577650712245</v>
      </c>
      <c r="G7" s="106"/>
      <c r="H7" s="107">
        <f t="shared" ref="H7:H37" si="4">IF(AX7=0,0,(CV7+CS7+CU7+CP7+CT7)/AX7)</f>
        <v>1.7680793344033705</v>
      </c>
      <c r="I7" s="103">
        <f>'[1]сентябрь 20'!AE6</f>
        <v>0</v>
      </c>
      <c r="J7" s="328">
        <f>'[1]июнь 20'!AA6</f>
        <v>0</v>
      </c>
      <c r="K7" s="106">
        <v>30.13</v>
      </c>
      <c r="L7" s="328">
        <f>'[1]июнь 20'!AI6</f>
        <v>77.75</v>
      </c>
      <c r="M7" s="103">
        <f t="shared" ref="M7:M37" si="5">IF(AX7=0,0,(CR7+CQ7)/AX7)</f>
        <v>0.3899784321725937</v>
      </c>
      <c r="N7" s="103">
        <f>'[1]июль 20'!AM6</f>
        <v>0</v>
      </c>
      <c r="O7" s="103">
        <f>'[1]июнь 20'!W6</f>
        <v>0</v>
      </c>
      <c r="P7" s="103">
        <f>'[1]июнь 20'!S6</f>
        <v>258.89</v>
      </c>
      <c r="Q7" s="108">
        <f t="shared" ref="Q7:Q37" si="6">IF(P7=0,0,(1-(T7/P7))*100)</f>
        <v>1.4021397890996101</v>
      </c>
      <c r="R7" s="109">
        <f t="shared" ref="R7:R37" si="7">P7*((100-Q7)/100)</f>
        <v>255.2600003</v>
      </c>
      <c r="S7" s="106">
        <v>7.37</v>
      </c>
      <c r="T7" s="109">
        <f t="shared" ref="T7:T37" si="8">CG7+CH7+CJ7+CI7</f>
        <v>255.2600003</v>
      </c>
      <c r="U7" s="110">
        <f t="shared" ref="U7:U37" si="9">IF(AX7=0,0,R7/AX7)</f>
        <v>1.2803330506094199</v>
      </c>
      <c r="V7" s="136">
        <v>153.99</v>
      </c>
      <c r="W7" s="111">
        <v>199.37</v>
      </c>
      <c r="X7" s="106">
        <v>0.24</v>
      </c>
      <c r="Y7" s="112">
        <v>603</v>
      </c>
      <c r="Z7" s="238">
        <v>1229</v>
      </c>
      <c r="AA7" s="113" t="s">
        <v>280</v>
      </c>
      <c r="AB7" s="106">
        <v>74.97</v>
      </c>
      <c r="AC7" s="112">
        <v>145</v>
      </c>
      <c r="AD7" s="114">
        <v>4</v>
      </c>
      <c r="AE7" s="106">
        <v>5.0999999999999996</v>
      </c>
      <c r="AF7" s="115">
        <f t="shared" ref="AF7:AF37" si="10">IF(AX7=0,0,AE7/AX7*1000)</f>
        <v>25.580578823293376</v>
      </c>
      <c r="AG7" s="106">
        <v>129.15</v>
      </c>
      <c r="AH7" s="115">
        <f t="shared" ref="AH7:AH37" si="11">IF(AX7=0,0,AG7/AX7*1000)</f>
        <v>647.79054020163528</v>
      </c>
      <c r="AI7" s="106">
        <v>17.510000000000002</v>
      </c>
      <c r="AJ7" s="116"/>
      <c r="AK7" s="117">
        <v>8.85</v>
      </c>
      <c r="AL7" s="118">
        <v>42.43</v>
      </c>
      <c r="AM7" s="110">
        <f t="shared" ref="AM7:AM37" si="12">IF(AL7=0,0,AL7/AS7)</f>
        <v>0.1742863010885192</v>
      </c>
      <c r="AN7" s="119" t="s">
        <v>238</v>
      </c>
      <c r="AO7" s="403">
        <v>8.31</v>
      </c>
      <c r="AP7" s="120">
        <v>7.35</v>
      </c>
      <c r="AQ7" s="106"/>
      <c r="AR7" s="106">
        <v>9.8699999999999992</v>
      </c>
      <c r="AS7" s="314">
        <v>243.45</v>
      </c>
      <c r="AT7" s="121">
        <v>7.2</v>
      </c>
      <c r="AU7" s="122"/>
      <c r="AV7" s="123"/>
      <c r="AW7" s="124"/>
      <c r="AX7" s="109">
        <f t="shared" ref="AX7:AX37" si="13">AS7-AL7-AK7+AV7+AT7</f>
        <v>199.36999999999998</v>
      </c>
      <c r="AY7" s="115">
        <f>IF(AB7=0,0,((D7*0.97)*(E7/100)*0.9)/(AB7/100))</f>
        <v>192.5603552565583</v>
      </c>
      <c r="AZ7" s="125">
        <f t="shared" ref="AZ7:AZ37" si="14">(AG7*AR7)/100*(55/71)</f>
        <v>9.8745179577464786</v>
      </c>
      <c r="BA7" s="115">
        <f t="shared" ref="BA7:BA23" si="15">AX7*$BA$6</f>
        <v>7.9747999999999992</v>
      </c>
      <c r="BB7" s="103">
        <f t="shared" ref="BB7:BB37" si="16">IF((D7*E7)=0,0,(AX7*AB7)/(D7*E7))</f>
        <v>0.90387250152350407</v>
      </c>
      <c r="BC7" s="115">
        <f t="shared" ref="BC7:BC37" si="17">AZ7+BA7</f>
        <v>17.849317957746479</v>
      </c>
      <c r="BD7" s="126">
        <v>0.90400000000000003</v>
      </c>
      <c r="BE7" s="16">
        <f>AX7</f>
        <v>199.36999999999998</v>
      </c>
      <c r="BF7" s="16">
        <f t="shared" ref="BF7:BF38" si="18">IF(A7&lt;=$BD$43,$AS$43,0)</f>
        <v>183.33333333333334</v>
      </c>
      <c r="BG7" s="16">
        <f>BF7</f>
        <v>183.33333333333334</v>
      </c>
      <c r="BH7" s="17">
        <f t="shared" ref="BH7:BH37" si="19">IF(AX7&lt;&gt;0,1,0)</f>
        <v>1</v>
      </c>
      <c r="BI7" s="16">
        <f>BF7*BH7</f>
        <v>183.33333333333334</v>
      </c>
      <c r="BJ7" s="336">
        <v>215.93299999999999</v>
      </c>
      <c r="BK7" s="336">
        <v>9.9999999999999995E-8</v>
      </c>
      <c r="BL7" s="336">
        <v>77.75</v>
      </c>
      <c r="BM7" s="336">
        <v>9.9999999999999995E-8</v>
      </c>
      <c r="BN7" s="336">
        <v>112.354</v>
      </c>
      <c r="BO7" s="336">
        <v>26.032</v>
      </c>
      <c r="BP7" s="336">
        <v>9.9999999999999995E-8</v>
      </c>
      <c r="BQ7" s="336">
        <v>9.9999999999999995E-8</v>
      </c>
      <c r="BR7" s="336">
        <v>0.51</v>
      </c>
      <c r="BS7" s="336">
        <v>9.9999999999999995E-8</v>
      </c>
      <c r="BT7" s="336">
        <v>9.9999999999999995E-8</v>
      </c>
      <c r="BU7" s="336">
        <v>9.9999999999999995E-8</v>
      </c>
      <c r="BV7" s="336">
        <v>0.41</v>
      </c>
      <c r="BW7" s="336">
        <v>0.98</v>
      </c>
      <c r="BX7" s="336">
        <v>9.9999999999999995E-8</v>
      </c>
      <c r="BY7" s="336">
        <v>37.5</v>
      </c>
      <c r="BZ7" s="336">
        <v>9.9999999999999995E-8</v>
      </c>
      <c r="CA7" s="336">
        <v>42.79</v>
      </c>
      <c r="CB7" s="336">
        <v>9.9999999999999995E-8</v>
      </c>
      <c r="CC7" s="336">
        <v>38.56</v>
      </c>
      <c r="CD7" s="336">
        <v>32.630000000000003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255.26</v>
      </c>
      <c r="CJ7" s="336">
        <v>9.9999999999999995E-8</v>
      </c>
      <c r="CK7" s="336">
        <v>9.9999999999999995E-8</v>
      </c>
      <c r="CL7" s="336">
        <v>9.9999999999999995E-8</v>
      </c>
      <c r="CM7" s="336">
        <v>9.9999999999999995E-8</v>
      </c>
      <c r="CN7" s="336">
        <v>9.9999999999999995E-8</v>
      </c>
      <c r="CO7" s="284"/>
      <c r="CP7" s="285">
        <f t="shared" ref="CP7:CV37" si="20">BJ7*((100-BR7)/100)</f>
        <v>214.83174169999998</v>
      </c>
      <c r="CQ7" s="22">
        <f t="shared" si="20"/>
        <v>9.99999999E-8</v>
      </c>
      <c r="CR7" s="22">
        <f t="shared" si="20"/>
        <v>77.749999922249998</v>
      </c>
      <c r="CS7" s="27">
        <f t="shared" si="20"/>
        <v>9.99999999E-8</v>
      </c>
      <c r="CT7" s="27">
        <f t="shared" si="20"/>
        <v>111.8933486</v>
      </c>
      <c r="CU7" s="276">
        <f t="shared" si="20"/>
        <v>25.776886399999999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255.25999974473999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402"/>
    </row>
    <row r="8" spans="1:112" ht="16.5" customHeight="1">
      <c r="A8" s="127">
        <v>2</v>
      </c>
      <c r="B8" s="103">
        <f>'[1]июнь 20'!K7</f>
        <v>207.69499999999999</v>
      </c>
      <c r="C8" s="104">
        <f t="shared" si="0"/>
        <v>0.4847511013746118</v>
      </c>
      <c r="D8" s="447">
        <f t="shared" si="1"/>
        <v>206.68819619999999</v>
      </c>
      <c r="E8" s="104">
        <f t="shared" si="2"/>
        <v>37.910979416933486</v>
      </c>
      <c r="F8" s="128">
        <f t="shared" si="3"/>
        <v>2.3581083422703935</v>
      </c>
      <c r="G8" s="106"/>
      <c r="H8" s="107">
        <f t="shared" si="4"/>
        <v>1.9329628773531089</v>
      </c>
      <c r="I8" s="103">
        <f>'[1]сентябрь 20'!AE7</f>
        <v>0</v>
      </c>
      <c r="J8" s="328">
        <f>'[1]июнь 20'!AA7</f>
        <v>0</v>
      </c>
      <c r="K8" s="106"/>
      <c r="L8" s="328">
        <f>'[1]июнь 20'!AI7</f>
        <v>37.264000000000003</v>
      </c>
      <c r="M8" s="103">
        <f t="shared" si="5"/>
        <v>0.42514546491728467</v>
      </c>
      <c r="N8" s="103">
        <f>'[1]июль 20'!AM7</f>
        <v>0</v>
      </c>
      <c r="O8" s="103">
        <f>'[1]июнь 20'!W7</f>
        <v>0</v>
      </c>
      <c r="P8" s="103">
        <f>'[1]июнь 20'!S7</f>
        <v>131.10499999999999</v>
      </c>
      <c r="Q8" s="108">
        <f t="shared" si="6"/>
        <v>1.514053621143352</v>
      </c>
      <c r="R8" s="109">
        <f t="shared" si="7"/>
        <v>129.12</v>
      </c>
      <c r="S8" s="106">
        <v>11.48</v>
      </c>
      <c r="T8" s="109">
        <f t="shared" si="8"/>
        <v>129.12</v>
      </c>
      <c r="U8" s="110">
        <f t="shared" si="9"/>
        <v>1.4731317741015402</v>
      </c>
      <c r="V8" s="136">
        <v>52.83</v>
      </c>
      <c r="W8" s="130">
        <v>87.65</v>
      </c>
      <c r="X8" s="131">
        <v>0.31</v>
      </c>
      <c r="Y8" s="112">
        <v>590</v>
      </c>
      <c r="Z8" s="112">
        <v>1177</v>
      </c>
      <c r="AA8" s="132" t="s">
        <v>316</v>
      </c>
      <c r="AB8" s="131">
        <v>75.06</v>
      </c>
      <c r="AC8" s="133">
        <v>71</v>
      </c>
      <c r="AD8" s="134">
        <v>2</v>
      </c>
      <c r="AE8" s="131"/>
      <c r="AF8" s="115">
        <f t="shared" si="10"/>
        <v>0</v>
      </c>
      <c r="AG8" s="131">
        <v>54.3</v>
      </c>
      <c r="AH8" s="115">
        <f t="shared" si="11"/>
        <v>619.50941243582429</v>
      </c>
      <c r="AI8" s="131">
        <v>10.35</v>
      </c>
      <c r="AJ8" s="116"/>
      <c r="AK8" s="135">
        <v>5.69</v>
      </c>
      <c r="AL8" s="136">
        <v>17.78</v>
      </c>
      <c r="AM8" s="110">
        <f t="shared" si="12"/>
        <v>0.16274599542334098</v>
      </c>
      <c r="AN8" s="137" t="s">
        <v>158</v>
      </c>
      <c r="AO8" s="150">
        <v>8.7899999999999991</v>
      </c>
      <c r="AP8" s="138">
        <v>7.69</v>
      </c>
      <c r="AQ8" s="131"/>
      <c r="AR8" s="131">
        <v>8.52</v>
      </c>
      <c r="AS8" s="315">
        <v>109.25</v>
      </c>
      <c r="AT8" s="131">
        <v>1.87</v>
      </c>
      <c r="AU8" s="116"/>
      <c r="AV8" s="131"/>
      <c r="AW8" s="109"/>
      <c r="AX8" s="109">
        <f t="shared" si="13"/>
        <v>87.65</v>
      </c>
      <c r="AY8" s="115">
        <f t="shared" ref="AY8:AY37" si="24">IF(AB8=0,0,((D8*0.97)*(E8/100)*0.9)/(AB8/100))</f>
        <v>91.135244524046385</v>
      </c>
      <c r="AZ8" s="140">
        <f t="shared" si="14"/>
        <v>3.5837999999999997</v>
      </c>
      <c r="BA8" s="141">
        <f t="shared" si="15"/>
        <v>3.5060000000000002</v>
      </c>
      <c r="BB8" s="128">
        <f t="shared" si="16"/>
        <v>0.83961425022358172</v>
      </c>
      <c r="BC8" s="141">
        <f t="shared" si="17"/>
        <v>7.0898000000000003</v>
      </c>
      <c r="BD8" s="142">
        <v>0.88300000000000001</v>
      </c>
      <c r="BE8" s="16">
        <f t="shared" ref="BE8:BE37" si="25">BE7+AX8</f>
        <v>287.02</v>
      </c>
      <c r="BF8" s="16">
        <f t="shared" si="18"/>
        <v>183.33333333333334</v>
      </c>
      <c r="BG8" s="16">
        <f t="shared" ref="BG8:BG37" si="26">BF8+BG7</f>
        <v>366.66666666666669</v>
      </c>
      <c r="BH8" s="17">
        <f t="shared" si="19"/>
        <v>1</v>
      </c>
      <c r="BI8" s="16">
        <f t="shared" ref="BI8:BI37" si="27">BI7+BF8*BH8</f>
        <v>366.66666666666669</v>
      </c>
      <c r="BJ8" s="249">
        <v>103.471</v>
      </c>
      <c r="BK8" s="195"/>
      <c r="BL8" s="197">
        <v>37.264000000000003</v>
      </c>
      <c r="BM8" s="197"/>
      <c r="BN8" s="230">
        <v>54.415999999999997</v>
      </c>
      <c r="BO8" s="230">
        <v>12.544</v>
      </c>
      <c r="BP8" s="250"/>
      <c r="BQ8" s="199"/>
      <c r="BR8" s="200">
        <v>0.57999999999999996</v>
      </c>
      <c r="BS8" s="200"/>
      <c r="BT8" s="200"/>
      <c r="BU8" s="200"/>
      <c r="BV8" s="208">
        <v>0.42</v>
      </c>
      <c r="BW8" s="208">
        <v>1.42</v>
      </c>
      <c r="BX8" s="198"/>
      <c r="BY8" s="202">
        <v>36.89</v>
      </c>
      <c r="BZ8" s="200"/>
      <c r="CA8" s="200">
        <v>42.88</v>
      </c>
      <c r="CB8" s="200"/>
      <c r="CC8" s="197">
        <v>37.69</v>
      </c>
      <c r="CD8" s="197">
        <v>32.53</v>
      </c>
      <c r="CE8" s="197"/>
      <c r="CF8" s="203"/>
      <c r="CG8" s="204"/>
      <c r="CH8" s="197"/>
      <c r="CI8" s="197">
        <v>129.12</v>
      </c>
      <c r="CJ8" s="198"/>
      <c r="CK8" s="205"/>
      <c r="CL8" s="206"/>
      <c r="CM8" s="269"/>
      <c r="CN8" s="207"/>
      <c r="CO8" s="284"/>
      <c r="CP8" s="286">
        <f t="shared" si="20"/>
        <v>102.8708682</v>
      </c>
      <c r="CQ8" s="24">
        <f t="shared" si="20"/>
        <v>0</v>
      </c>
      <c r="CR8" s="25">
        <f t="shared" si="20"/>
        <v>37.264000000000003</v>
      </c>
      <c r="CS8" s="24">
        <f t="shared" si="20"/>
        <v>0</v>
      </c>
      <c r="CT8" s="27">
        <f t="shared" si="20"/>
        <v>54.187452799999996</v>
      </c>
      <c r="CU8" s="237">
        <f t="shared" si="20"/>
        <v>12.365875200000001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129.12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28">IF(I8=0,0,(DE8*DD8%)/(AB8/100))</f>
        <v>0</v>
      </c>
      <c r="DH8" s="402"/>
    </row>
    <row r="9" spans="1:112" ht="16.5" customHeight="1">
      <c r="A9" s="127">
        <v>3</v>
      </c>
      <c r="B9" s="103">
        <f>'[1]июнь 20'!K8</f>
        <v>402.08</v>
      </c>
      <c r="C9" s="104">
        <f t="shared" si="0"/>
        <v>0.4595186281337047</v>
      </c>
      <c r="D9" s="448">
        <f t="shared" si="1"/>
        <v>400.23236750000001</v>
      </c>
      <c r="E9" s="104">
        <f t="shared" si="2"/>
        <v>38.099335853561477</v>
      </c>
      <c r="F9" s="128">
        <f t="shared" si="3"/>
        <v>2.2582653472888334</v>
      </c>
      <c r="G9" s="106"/>
      <c r="H9" s="107">
        <f t="shared" si="4"/>
        <v>1.8493673051966366</v>
      </c>
      <c r="I9" s="103">
        <f>'[1]сентябрь 20'!AE8</f>
        <v>0</v>
      </c>
      <c r="J9" s="328">
        <f>'[1]июнь 20'!AA8</f>
        <v>0</v>
      </c>
      <c r="K9" s="106"/>
      <c r="L9" s="328">
        <f>'[1]июнь 20'!AI8</f>
        <v>72.468999999999994</v>
      </c>
      <c r="M9" s="103">
        <f t="shared" si="5"/>
        <v>0.40889804209219649</v>
      </c>
      <c r="N9" s="103">
        <f>'[1]июль 20'!AM8</f>
        <v>0</v>
      </c>
      <c r="O9" s="103">
        <f>'[1]июнь 20'!W8</f>
        <v>0</v>
      </c>
      <c r="P9" s="103">
        <f>'[1]июнь 20'!S8</f>
        <v>245.02199999999999</v>
      </c>
      <c r="Q9" s="108">
        <f t="shared" si="6"/>
        <v>1.3639591546881435</v>
      </c>
      <c r="R9" s="109">
        <f t="shared" si="7"/>
        <v>241.68</v>
      </c>
      <c r="S9" s="106">
        <v>16.600000000000001</v>
      </c>
      <c r="T9" s="109">
        <f t="shared" si="8"/>
        <v>241.68</v>
      </c>
      <c r="U9" s="110">
        <f t="shared" si="9"/>
        <v>1.363651751960729</v>
      </c>
      <c r="V9" s="136">
        <v>92.34</v>
      </c>
      <c r="W9" s="130">
        <v>177.23</v>
      </c>
      <c r="X9" s="131">
        <v>0.5</v>
      </c>
      <c r="Y9" s="112">
        <v>633</v>
      </c>
      <c r="Z9" s="112">
        <v>1196</v>
      </c>
      <c r="AA9" s="144" t="s">
        <v>309</v>
      </c>
      <c r="AB9" s="131">
        <v>74.98</v>
      </c>
      <c r="AC9" s="133">
        <v>134</v>
      </c>
      <c r="AD9" s="134">
        <v>4</v>
      </c>
      <c r="AE9" s="131"/>
      <c r="AF9" s="115">
        <f t="shared" si="10"/>
        <v>0</v>
      </c>
      <c r="AG9" s="131">
        <v>111.9</v>
      </c>
      <c r="AH9" s="115">
        <f t="shared" si="11"/>
        <v>631.38294871071491</v>
      </c>
      <c r="AI9" s="131">
        <v>18.14</v>
      </c>
      <c r="AJ9" s="116"/>
      <c r="AK9" s="135">
        <v>9.34</v>
      </c>
      <c r="AL9" s="136">
        <v>49.54</v>
      </c>
      <c r="AM9" s="110">
        <f t="shared" si="12"/>
        <v>0.2121173196317705</v>
      </c>
      <c r="AN9" s="137" t="s">
        <v>317</v>
      </c>
      <c r="AO9" s="150">
        <v>9.77</v>
      </c>
      <c r="AP9" s="131">
        <v>7.06</v>
      </c>
      <c r="AQ9" s="131"/>
      <c r="AR9" s="131">
        <v>7.05</v>
      </c>
      <c r="AS9" s="315">
        <v>233.55</v>
      </c>
      <c r="AT9" s="131">
        <v>2.56</v>
      </c>
      <c r="AU9" s="116"/>
      <c r="AV9" s="131"/>
      <c r="AW9" s="109"/>
      <c r="AX9" s="109">
        <f t="shared" si="13"/>
        <v>177.23000000000002</v>
      </c>
      <c r="AY9" s="115">
        <f t="shared" si="24"/>
        <v>177.54090144658281</v>
      </c>
      <c r="AZ9" s="140">
        <f t="shared" si="14"/>
        <v>6.1111584507042247</v>
      </c>
      <c r="BA9" s="141">
        <f t="shared" si="15"/>
        <v>7.0892000000000008</v>
      </c>
      <c r="BB9" s="128">
        <f t="shared" si="16"/>
        <v>0.87147124262265607</v>
      </c>
      <c r="BC9" s="141">
        <f t="shared" si="17"/>
        <v>13.200358450704226</v>
      </c>
      <c r="BD9" s="142">
        <v>0.879</v>
      </c>
      <c r="BE9" s="16">
        <f t="shared" si="25"/>
        <v>464.25</v>
      </c>
      <c r="BF9" s="16">
        <f t="shared" si="18"/>
        <v>183.33333333333334</v>
      </c>
      <c r="BG9" s="16">
        <f t="shared" si="26"/>
        <v>550</v>
      </c>
      <c r="BH9" s="17">
        <f t="shared" si="19"/>
        <v>1</v>
      </c>
      <c r="BI9" s="16">
        <f t="shared" si="27"/>
        <v>550</v>
      </c>
      <c r="BJ9" s="249">
        <v>201.011</v>
      </c>
      <c r="BK9" s="195"/>
      <c r="BL9" s="197">
        <v>72.468999999999994</v>
      </c>
      <c r="BM9" s="197"/>
      <c r="BN9" s="230">
        <v>104.468</v>
      </c>
      <c r="BO9" s="230">
        <v>24.132000000000001</v>
      </c>
      <c r="BP9" s="250"/>
      <c r="BQ9" s="199"/>
      <c r="BR9" s="200">
        <v>0.59</v>
      </c>
      <c r="BS9" s="200"/>
      <c r="BT9" s="200"/>
      <c r="BU9" s="200"/>
      <c r="BV9" s="208">
        <v>0.34</v>
      </c>
      <c r="BW9" s="208">
        <v>1.27</v>
      </c>
      <c r="BX9" s="201"/>
      <c r="BY9" s="202">
        <v>37.119999999999997</v>
      </c>
      <c r="BZ9" s="200"/>
      <c r="CA9" s="200">
        <v>42.96</v>
      </c>
      <c r="CB9" s="200"/>
      <c r="CC9" s="200">
        <v>38.729999999999997</v>
      </c>
      <c r="CD9" s="200">
        <v>28.93</v>
      </c>
      <c r="CE9" s="200"/>
      <c r="CF9" s="203"/>
      <c r="CG9" s="204"/>
      <c r="CH9" s="197"/>
      <c r="CI9" s="197">
        <v>241.68</v>
      </c>
      <c r="CJ9" s="198"/>
      <c r="CK9" s="202"/>
      <c r="CL9" s="208"/>
      <c r="CM9" s="208"/>
      <c r="CN9" s="201"/>
      <c r="CO9" s="284"/>
      <c r="CP9" s="286">
        <f t="shared" si="20"/>
        <v>199.82503509999998</v>
      </c>
      <c r="CQ9" s="27">
        <f t="shared" si="20"/>
        <v>0</v>
      </c>
      <c r="CR9" s="28">
        <f t="shared" si="20"/>
        <v>72.468999999999994</v>
      </c>
      <c r="CS9" s="27">
        <f t="shared" si="20"/>
        <v>0</v>
      </c>
      <c r="CT9" s="27">
        <f t="shared" si="20"/>
        <v>104.1128088</v>
      </c>
      <c r="CU9" s="237">
        <f t="shared" si="20"/>
        <v>23.825523600000004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241.68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28"/>
        <v>0</v>
      </c>
      <c r="DH9" s="402"/>
    </row>
    <row r="10" spans="1:112" ht="16.5" customHeight="1">
      <c r="A10" s="127">
        <v>4</v>
      </c>
      <c r="B10" s="103">
        <f>'[1]июнь 20'!K9</f>
        <v>414.00900000000001</v>
      </c>
      <c r="C10" s="104">
        <f t="shared" si="0"/>
        <v>0.24383385385341866</v>
      </c>
      <c r="D10" s="448">
        <f t="shared" si="1"/>
        <v>412.99950590000003</v>
      </c>
      <c r="E10" s="104">
        <f t="shared" si="2"/>
        <v>37.923400167629211</v>
      </c>
      <c r="F10" s="128">
        <f t="shared" si="3"/>
        <v>2.1366832526255886</v>
      </c>
      <c r="G10" s="106"/>
      <c r="H10" s="107">
        <f t="shared" si="4"/>
        <v>1.7513296388845774</v>
      </c>
      <c r="I10" s="103">
        <f>'[1]сентябрь 20'!AE9</f>
        <v>0</v>
      </c>
      <c r="J10" s="328">
        <f>'[1]июнь 20'!AA9</f>
        <v>0</v>
      </c>
      <c r="K10" s="106"/>
      <c r="L10" s="328">
        <f>'[1]июнь 20'!AI9</f>
        <v>74.484999999999999</v>
      </c>
      <c r="M10" s="103">
        <f t="shared" si="5"/>
        <v>0.38535361374101085</v>
      </c>
      <c r="N10" s="103">
        <f>'[1]июль 20'!AM9</f>
        <v>0</v>
      </c>
      <c r="O10" s="103">
        <f>'[1]июнь 20'!W9</f>
        <v>0</v>
      </c>
      <c r="P10" s="103">
        <f>'[1]июнь 20'!S9</f>
        <v>253.785</v>
      </c>
      <c r="Q10" s="108">
        <f t="shared" si="6"/>
        <v>1.3929113225761958</v>
      </c>
      <c r="R10" s="109">
        <f t="shared" si="7"/>
        <v>250.25</v>
      </c>
      <c r="S10" s="106">
        <v>3.48</v>
      </c>
      <c r="T10" s="109">
        <f t="shared" si="8"/>
        <v>250.25</v>
      </c>
      <c r="U10" s="110">
        <f t="shared" si="9"/>
        <v>1.2946867401314086</v>
      </c>
      <c r="V10" s="136">
        <v>97.17</v>
      </c>
      <c r="W10" s="130">
        <v>193.29</v>
      </c>
      <c r="X10" s="131">
        <v>0.55000000000000004</v>
      </c>
      <c r="Y10" s="112">
        <v>615</v>
      </c>
      <c r="Z10" s="112">
        <v>1213</v>
      </c>
      <c r="AA10" s="144" t="s">
        <v>318</v>
      </c>
      <c r="AB10" s="131">
        <v>74.98</v>
      </c>
      <c r="AC10" s="133">
        <v>138</v>
      </c>
      <c r="AD10" s="134">
        <v>4</v>
      </c>
      <c r="AE10" s="131">
        <v>2.9</v>
      </c>
      <c r="AF10" s="115">
        <f t="shared" si="10"/>
        <v>15.003362822701639</v>
      </c>
      <c r="AG10" s="131">
        <v>108.6</v>
      </c>
      <c r="AH10" s="115">
        <f t="shared" si="11"/>
        <v>561.85006984324059</v>
      </c>
      <c r="AI10" s="131">
        <v>19.78</v>
      </c>
      <c r="AJ10" s="116"/>
      <c r="AK10" s="135">
        <v>6.81</v>
      </c>
      <c r="AL10" s="136">
        <v>42.11</v>
      </c>
      <c r="AM10" s="110">
        <f t="shared" si="12"/>
        <v>0.17648784576697402</v>
      </c>
      <c r="AN10" s="137" t="s">
        <v>315</v>
      </c>
      <c r="AO10" s="150">
        <v>9.67</v>
      </c>
      <c r="AP10" s="138">
        <v>7.71</v>
      </c>
      <c r="AQ10" s="131"/>
      <c r="AR10" s="131">
        <v>7.19</v>
      </c>
      <c r="AS10" s="315">
        <v>238.6</v>
      </c>
      <c r="AT10" s="131">
        <v>3.61</v>
      </c>
      <c r="AU10" s="116"/>
      <c r="AV10" s="131"/>
      <c r="AW10" s="109"/>
      <c r="AX10" s="109">
        <f t="shared" si="13"/>
        <v>193.29000000000002</v>
      </c>
      <c r="AY10" s="115">
        <f>IF(AB10=0,0,((D10*0.97)*(E10/100)*0.9)/(AB10/100))</f>
        <v>182.35833087231833</v>
      </c>
      <c r="AZ10" s="140">
        <f t="shared" si="14"/>
        <v>6.0487140845070417</v>
      </c>
      <c r="BA10" s="141">
        <f t="shared" si="15"/>
        <v>7.7316000000000011</v>
      </c>
      <c r="BB10" s="128">
        <f t="shared" si="16"/>
        <v>0.92533293758949819</v>
      </c>
      <c r="BC10" s="141">
        <f t="shared" si="17"/>
        <v>13.780314084507044</v>
      </c>
      <c r="BD10" s="142">
        <v>0.89200000000000002</v>
      </c>
      <c r="BE10" s="16">
        <f t="shared" si="25"/>
        <v>657.54</v>
      </c>
      <c r="BF10" s="16">
        <f t="shared" si="18"/>
        <v>183.33333333333334</v>
      </c>
      <c r="BG10" s="16">
        <f t="shared" si="26"/>
        <v>733.33333333333337</v>
      </c>
      <c r="BH10" s="17">
        <f t="shared" si="19"/>
        <v>1</v>
      </c>
      <c r="BI10" s="16">
        <f t="shared" si="27"/>
        <v>733.33333333333337</v>
      </c>
      <c r="BJ10" s="249">
        <v>206.99</v>
      </c>
      <c r="BK10" s="195"/>
      <c r="BL10" s="197">
        <v>74.484999999999999</v>
      </c>
      <c r="BM10" s="195"/>
      <c r="BN10" s="195">
        <v>107.685</v>
      </c>
      <c r="BO10" s="230">
        <v>24.849</v>
      </c>
      <c r="BP10" s="250"/>
      <c r="BQ10" s="199"/>
      <c r="BR10" s="200">
        <v>0.26</v>
      </c>
      <c r="BS10" s="200"/>
      <c r="BT10" s="200"/>
      <c r="BU10" s="200"/>
      <c r="BV10" s="208">
        <v>0.28999999999999998</v>
      </c>
      <c r="BW10" s="208">
        <v>0.64</v>
      </c>
      <c r="BX10" s="201"/>
      <c r="BY10" s="202">
        <v>37</v>
      </c>
      <c r="BZ10" s="200"/>
      <c r="CA10" s="200">
        <v>43.13</v>
      </c>
      <c r="CB10" s="200"/>
      <c r="CC10" s="200">
        <v>37.24</v>
      </c>
      <c r="CD10" s="200">
        <v>32.97</v>
      </c>
      <c r="CE10" s="200"/>
      <c r="CF10" s="203"/>
      <c r="CG10" s="204"/>
      <c r="CH10" s="197"/>
      <c r="CI10" s="197">
        <v>250.25</v>
      </c>
      <c r="CJ10" s="198"/>
      <c r="CK10" s="202"/>
      <c r="CL10" s="208"/>
      <c r="CM10" s="208"/>
      <c r="CN10" s="201"/>
      <c r="CO10" s="284"/>
      <c r="CP10" s="286">
        <f t="shared" si="20"/>
        <v>206.45182600000001</v>
      </c>
      <c r="CQ10" s="29">
        <f t="shared" si="20"/>
        <v>0</v>
      </c>
      <c r="CR10" s="30">
        <f t="shared" si="20"/>
        <v>74.484999999999999</v>
      </c>
      <c r="CS10" s="29">
        <f t="shared" si="20"/>
        <v>0</v>
      </c>
      <c r="CT10" s="27">
        <f t="shared" si="20"/>
        <v>107.3727135</v>
      </c>
      <c r="CU10" s="24">
        <f t="shared" si="20"/>
        <v>24.689966399999999</v>
      </c>
      <c r="CV10" s="282">
        <f t="shared" si="20"/>
        <v>0</v>
      </c>
      <c r="CW10" s="237">
        <f t="shared" si="21"/>
        <v>0</v>
      </c>
      <c r="CX10" s="26">
        <f t="shared" si="21"/>
        <v>0</v>
      </c>
      <c r="CY10" s="277">
        <f t="shared" si="21"/>
        <v>250.25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28"/>
        <v>0</v>
      </c>
      <c r="DH10" s="402"/>
    </row>
    <row r="11" spans="1:112" ht="16.5" customHeight="1">
      <c r="A11" s="127">
        <v>5</v>
      </c>
      <c r="B11" s="103">
        <f>'[1]июнь 20'!K10</f>
        <v>407.99599999999998</v>
      </c>
      <c r="C11" s="104">
        <f t="shared" si="0"/>
        <v>0.26883378758615284</v>
      </c>
      <c r="D11" s="448">
        <f t="shared" si="1"/>
        <v>406.89916890000001</v>
      </c>
      <c r="E11" s="104">
        <f t="shared" si="2"/>
        <v>38.513780576280162</v>
      </c>
      <c r="F11" s="128">
        <f t="shared" si="3"/>
        <v>2.1233583932578406</v>
      </c>
      <c r="G11" s="106"/>
      <c r="H11" s="107">
        <f>IF(AX11=0,0,(CV11+CS11+CU11+CP11+CT11)/AX11)</f>
        <v>1.7404590559933206</v>
      </c>
      <c r="I11" s="103">
        <f>'[1]сентябрь 20'!AE10</f>
        <v>0</v>
      </c>
      <c r="J11" s="328">
        <f>'[1]июнь 20'!AA10</f>
        <v>0</v>
      </c>
      <c r="K11" s="106"/>
      <c r="L11" s="328">
        <f>'[1]июнь 20'!AI10</f>
        <v>73.375</v>
      </c>
      <c r="M11" s="103">
        <f t="shared" si="5"/>
        <v>0.38289933726452019</v>
      </c>
      <c r="N11" s="103">
        <f>'[1]июль 20'!AM10</f>
        <v>0</v>
      </c>
      <c r="O11" s="103">
        <f>'[1]июнь 20'!W10</f>
        <v>0</v>
      </c>
      <c r="P11" s="103">
        <f>'[1]июнь 20'!S10</f>
        <v>249.21600000000001</v>
      </c>
      <c r="Q11" s="108">
        <f t="shared" si="6"/>
        <v>1.438912429378536</v>
      </c>
      <c r="R11" s="109">
        <f t="shared" si="7"/>
        <v>245.63</v>
      </c>
      <c r="S11" s="106">
        <v>37.32</v>
      </c>
      <c r="T11" s="109">
        <f t="shared" si="8"/>
        <v>245.63</v>
      </c>
      <c r="U11" s="110">
        <f t="shared" si="9"/>
        <v>1.281793038668267</v>
      </c>
      <c r="V11" s="136">
        <v>51.98</v>
      </c>
      <c r="W11" s="130">
        <v>98.01</v>
      </c>
      <c r="X11" s="131">
        <v>0.92</v>
      </c>
      <c r="Y11" s="112">
        <v>636</v>
      </c>
      <c r="Z11" s="112">
        <v>1225</v>
      </c>
      <c r="AA11" s="144" t="s">
        <v>302</v>
      </c>
      <c r="AB11" s="131">
        <v>74.739999999999995</v>
      </c>
      <c r="AC11" s="133">
        <v>136</v>
      </c>
      <c r="AD11" s="134">
        <v>4</v>
      </c>
      <c r="AE11" s="131">
        <v>2.85</v>
      </c>
      <c r="AF11" s="115">
        <f t="shared" si="10"/>
        <v>14.872410374158536</v>
      </c>
      <c r="AG11" s="131">
        <v>104</v>
      </c>
      <c r="AH11" s="115">
        <f t="shared" si="11"/>
        <v>542.71251891666225</v>
      </c>
      <c r="AI11" s="131">
        <v>16.88</v>
      </c>
      <c r="AJ11" s="116"/>
      <c r="AK11" s="135">
        <v>9.39</v>
      </c>
      <c r="AL11" s="136">
        <v>42.69</v>
      </c>
      <c r="AM11" s="110">
        <f t="shared" si="12"/>
        <v>0.17669701986754965</v>
      </c>
      <c r="AN11" s="137" t="s">
        <v>168</v>
      </c>
      <c r="AO11" s="150">
        <v>9.74</v>
      </c>
      <c r="AP11" s="138">
        <v>7.6</v>
      </c>
      <c r="AQ11" s="131"/>
      <c r="AR11" s="131">
        <v>7.04</v>
      </c>
      <c r="AS11" s="315">
        <v>241.6</v>
      </c>
      <c r="AT11" s="131">
        <v>2.11</v>
      </c>
      <c r="AU11" s="145"/>
      <c r="AV11" s="131"/>
      <c r="AW11" s="109"/>
      <c r="AX11" s="109">
        <f t="shared" si="13"/>
        <v>191.63</v>
      </c>
      <c r="AY11" s="115">
        <f t="shared" si="24"/>
        <v>183.04762769078565</v>
      </c>
      <c r="AZ11" s="140">
        <f t="shared" si="14"/>
        <v>5.6716619718309857</v>
      </c>
      <c r="BA11" s="141">
        <f t="shared" si="15"/>
        <v>7.6651999999999996</v>
      </c>
      <c r="BB11" s="128">
        <f t="shared" si="16"/>
        <v>0.91393148390101342</v>
      </c>
      <c r="BC11" s="141">
        <f t="shared" si="17"/>
        <v>13.336861971830984</v>
      </c>
      <c r="BD11" s="142">
        <v>0.89700000000000002</v>
      </c>
      <c r="BE11" s="16">
        <f t="shared" si="25"/>
        <v>849.17</v>
      </c>
      <c r="BF11" s="16">
        <f t="shared" si="18"/>
        <v>183.33333333333334</v>
      </c>
      <c r="BG11" s="16">
        <f t="shared" si="26"/>
        <v>916.66666666666674</v>
      </c>
      <c r="BH11" s="17">
        <f t="shared" si="19"/>
        <v>1</v>
      </c>
      <c r="BI11" s="16">
        <f t="shared" si="27"/>
        <v>916.66666666666674</v>
      </c>
      <c r="BJ11" s="249">
        <v>203.976</v>
      </c>
      <c r="BK11" s="195"/>
      <c r="BL11" s="197">
        <v>73.375</v>
      </c>
      <c r="BM11" s="197"/>
      <c r="BN11" s="230">
        <v>106.173</v>
      </c>
      <c r="BO11" s="230">
        <v>24.472000000000001</v>
      </c>
      <c r="BP11" s="250"/>
      <c r="BQ11" s="199"/>
      <c r="BR11" s="200">
        <v>0.33</v>
      </c>
      <c r="BS11" s="200"/>
      <c r="BT11" s="200"/>
      <c r="BU11" s="200"/>
      <c r="BV11" s="208">
        <v>0.27</v>
      </c>
      <c r="BW11" s="208">
        <v>0.56000000000000005</v>
      </c>
      <c r="BX11" s="201"/>
      <c r="BY11" s="202">
        <v>36.840000000000003</v>
      </c>
      <c r="BZ11" s="200"/>
      <c r="CA11" s="200">
        <v>43.05</v>
      </c>
      <c r="CB11" s="200"/>
      <c r="CC11" s="200">
        <v>39.19</v>
      </c>
      <c r="CD11" s="200">
        <v>35.93</v>
      </c>
      <c r="CE11" s="200"/>
      <c r="CF11" s="203"/>
      <c r="CG11" s="204"/>
      <c r="CH11" s="197"/>
      <c r="CI11" s="230">
        <v>245.63</v>
      </c>
      <c r="CJ11" s="198"/>
      <c r="CK11" s="202"/>
      <c r="CL11" s="208"/>
      <c r="CM11" s="208"/>
      <c r="CN11" s="201"/>
      <c r="CO11" s="284"/>
      <c r="CP11" s="286">
        <f t="shared" si="20"/>
        <v>203.30287920000001</v>
      </c>
      <c r="CQ11" s="24">
        <f t="shared" si="20"/>
        <v>0</v>
      </c>
      <c r="CR11" s="25">
        <f t="shared" si="20"/>
        <v>73.375</v>
      </c>
      <c r="CS11" s="24">
        <f t="shared" si="20"/>
        <v>0</v>
      </c>
      <c r="CT11" s="27">
        <f t="shared" si="20"/>
        <v>105.88633290000001</v>
      </c>
      <c r="CU11" s="24">
        <f t="shared" si="20"/>
        <v>24.3349568</v>
      </c>
      <c r="CV11" s="280">
        <f t="shared" si="20"/>
        <v>0</v>
      </c>
      <c r="CW11" s="237">
        <f t="shared" si="21"/>
        <v>0</v>
      </c>
      <c r="CX11" s="26">
        <f t="shared" si="21"/>
        <v>0</v>
      </c>
      <c r="CY11" s="277">
        <f t="shared" si="21"/>
        <v>245.63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28"/>
        <v>0</v>
      </c>
      <c r="DH11" s="402"/>
    </row>
    <row r="12" spans="1:112" ht="16.5" customHeight="1">
      <c r="A12" s="127">
        <v>6</v>
      </c>
      <c r="B12" s="103">
        <f>'[1]июнь 20'!K11</f>
        <v>411.25099999999998</v>
      </c>
      <c r="C12" s="104">
        <f t="shared" si="0"/>
        <v>0.15733741680871297</v>
      </c>
      <c r="D12" s="448">
        <f t="shared" si="1"/>
        <v>410.60394829999996</v>
      </c>
      <c r="E12" s="104">
        <f t="shared" si="2"/>
        <v>38.08534902042792</v>
      </c>
      <c r="F12" s="128">
        <f t="shared" si="3"/>
        <v>2.1238501437955826</v>
      </c>
      <c r="G12" s="106"/>
      <c r="H12" s="107">
        <f t="shared" si="4"/>
        <v>1.7413125138364458</v>
      </c>
      <c r="I12" s="103">
        <f>'[1]сентябрь 20'!AE11</f>
        <v>0</v>
      </c>
      <c r="J12" s="328">
        <f>'[1]июнь 20'!AA11</f>
        <v>0</v>
      </c>
      <c r="K12" s="106"/>
      <c r="L12" s="328">
        <f>'[1]июнь 20'!AI11</f>
        <v>73.956000000000003</v>
      </c>
      <c r="M12" s="103">
        <f t="shared" si="5"/>
        <v>0.38253762995913726</v>
      </c>
      <c r="N12" s="103">
        <f>'[1]июль 20'!AM11</f>
        <v>0</v>
      </c>
      <c r="O12" s="103">
        <f>'[1]июнь 20'!W11</f>
        <v>0</v>
      </c>
      <c r="P12" s="103">
        <f>'[1]июнь 20'!S11</f>
        <v>249.67400000000001</v>
      </c>
      <c r="Q12" s="108">
        <f t="shared" si="6"/>
        <v>1.4114405184360357</v>
      </c>
      <c r="R12" s="109">
        <f t="shared" si="7"/>
        <v>246.15</v>
      </c>
      <c r="S12" s="106">
        <v>14.06</v>
      </c>
      <c r="T12" s="109">
        <f t="shared" si="8"/>
        <v>246.15</v>
      </c>
      <c r="U12" s="110">
        <f t="shared" si="9"/>
        <v>1.2732116070966741</v>
      </c>
      <c r="V12" s="136">
        <v>47.31</v>
      </c>
      <c r="W12" s="130">
        <v>193.33</v>
      </c>
      <c r="X12" s="131">
        <v>0.88</v>
      </c>
      <c r="Y12" s="112">
        <v>635</v>
      </c>
      <c r="Z12" s="133">
        <v>1221</v>
      </c>
      <c r="AA12" s="144" t="s">
        <v>279</v>
      </c>
      <c r="AB12" s="131">
        <v>74.56</v>
      </c>
      <c r="AC12" s="133">
        <v>137</v>
      </c>
      <c r="AD12" s="134">
        <v>4</v>
      </c>
      <c r="AE12" s="131">
        <v>1.85</v>
      </c>
      <c r="AF12" s="115">
        <f t="shared" si="10"/>
        <v>9.5691305022500401</v>
      </c>
      <c r="AG12" s="131">
        <v>106.6</v>
      </c>
      <c r="AH12" s="115">
        <f t="shared" si="11"/>
        <v>551.38881704856976</v>
      </c>
      <c r="AI12" s="131">
        <v>17.82</v>
      </c>
      <c r="AJ12" s="116"/>
      <c r="AK12" s="135">
        <v>6.78</v>
      </c>
      <c r="AL12" s="136">
        <v>44.28</v>
      </c>
      <c r="AM12" s="110">
        <f t="shared" si="12"/>
        <v>0.18301301921884688</v>
      </c>
      <c r="AN12" s="137" t="s">
        <v>168</v>
      </c>
      <c r="AO12" s="150">
        <v>9.8699999999999992</v>
      </c>
      <c r="AP12" s="138">
        <v>7.78</v>
      </c>
      <c r="AQ12" s="131"/>
      <c r="AR12" s="131">
        <v>7.01</v>
      </c>
      <c r="AS12" s="315">
        <v>241.95</v>
      </c>
      <c r="AT12" s="131">
        <v>2.44</v>
      </c>
      <c r="AU12" s="116"/>
      <c r="AV12" s="131"/>
      <c r="AW12" s="109"/>
      <c r="AX12" s="109">
        <f t="shared" si="13"/>
        <v>193.32999999999998</v>
      </c>
      <c r="AY12" s="115">
        <f t="shared" si="24"/>
        <v>183.1004473684213</v>
      </c>
      <c r="AZ12" s="140">
        <f t="shared" si="14"/>
        <v>5.7886802816901399</v>
      </c>
      <c r="BA12" s="141">
        <f t="shared" si="15"/>
        <v>7.7331999999999992</v>
      </c>
      <c r="BB12" s="128">
        <f t="shared" si="16"/>
        <v>0.92177322571145393</v>
      </c>
      <c r="BC12" s="141">
        <f t="shared" si="17"/>
        <v>13.521880281690139</v>
      </c>
      <c r="BD12" s="142">
        <v>0.90100000000000002</v>
      </c>
      <c r="BE12" s="16">
        <f t="shared" si="25"/>
        <v>1042.5</v>
      </c>
      <c r="BF12" s="16">
        <f t="shared" si="18"/>
        <v>183.33333333333334</v>
      </c>
      <c r="BG12" s="16">
        <f t="shared" si="26"/>
        <v>1100</v>
      </c>
      <c r="BH12" s="17">
        <f t="shared" si="19"/>
        <v>1</v>
      </c>
      <c r="BI12" s="16">
        <f t="shared" si="27"/>
        <v>1100</v>
      </c>
      <c r="BJ12" s="249">
        <v>205.63200000000001</v>
      </c>
      <c r="BK12" s="195"/>
      <c r="BL12" s="271">
        <v>73.956000000000003</v>
      </c>
      <c r="BM12" s="197"/>
      <c r="BN12" s="230">
        <v>106.87</v>
      </c>
      <c r="BO12" s="230">
        <v>24.792999999999999</v>
      </c>
      <c r="BP12" s="250"/>
      <c r="BQ12" s="199"/>
      <c r="BR12" s="200">
        <v>0.16</v>
      </c>
      <c r="BS12" s="200"/>
      <c r="BT12" s="200"/>
      <c r="BU12" s="200"/>
      <c r="BV12" s="208">
        <v>0.17</v>
      </c>
      <c r="BW12" s="208">
        <v>0.55000000000000004</v>
      </c>
      <c r="BX12" s="201"/>
      <c r="BY12" s="202">
        <v>36.9</v>
      </c>
      <c r="BZ12" s="200"/>
      <c r="CA12" s="200">
        <v>42.77</v>
      </c>
      <c r="CB12" s="200"/>
      <c r="CC12" s="200">
        <v>38.71</v>
      </c>
      <c r="CD12" s="200">
        <v>31.25</v>
      </c>
      <c r="CE12" s="200"/>
      <c r="CF12" s="203"/>
      <c r="CG12" s="204"/>
      <c r="CH12" s="197"/>
      <c r="CI12" s="230">
        <v>246.15</v>
      </c>
      <c r="CJ12" s="198"/>
      <c r="CK12" s="202"/>
      <c r="CL12" s="202"/>
      <c r="CM12" s="270"/>
      <c r="CN12" s="201"/>
      <c r="CO12" s="284"/>
      <c r="CP12" s="286">
        <f t="shared" si="20"/>
        <v>205.30298880000001</v>
      </c>
      <c r="CQ12" s="24">
        <f t="shared" si="20"/>
        <v>0</v>
      </c>
      <c r="CR12" s="25">
        <f t="shared" si="20"/>
        <v>73.956000000000003</v>
      </c>
      <c r="CS12" s="24">
        <f t="shared" si="20"/>
        <v>0</v>
      </c>
      <c r="CT12" s="27">
        <f t="shared" si="20"/>
        <v>106.688321</v>
      </c>
      <c r="CU12" s="30">
        <f t="shared" si="20"/>
        <v>24.6566385</v>
      </c>
      <c r="CV12" s="280">
        <f t="shared" si="20"/>
        <v>0</v>
      </c>
      <c r="CW12" s="237">
        <f t="shared" si="21"/>
        <v>0</v>
      </c>
      <c r="CX12" s="26">
        <f t="shared" si="21"/>
        <v>0</v>
      </c>
      <c r="CY12" s="277">
        <f t="shared" si="21"/>
        <v>246.15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28"/>
        <v>0</v>
      </c>
    </row>
    <row r="13" spans="1:112" ht="16.5" customHeight="1">
      <c r="A13" s="127">
        <v>7</v>
      </c>
      <c r="B13" s="103">
        <f>'[1]июнь 20'!K12</f>
        <v>420.00599999999997</v>
      </c>
      <c r="C13" s="104">
        <f t="shared" si="0"/>
        <v>0.31615855487778749</v>
      </c>
      <c r="D13" s="448">
        <f t="shared" si="1"/>
        <v>418.67811509999996</v>
      </c>
      <c r="E13" s="104">
        <f t="shared" si="2"/>
        <v>38.628468831397647</v>
      </c>
      <c r="F13" s="128">
        <f t="shared" si="3"/>
        <v>2.2161661819817913</v>
      </c>
      <c r="G13" s="106"/>
      <c r="H13" s="107">
        <f t="shared" si="4"/>
        <v>1.8377996776413299</v>
      </c>
      <c r="I13" s="103">
        <f>'[1]сентябрь 20'!AE12</f>
        <v>0</v>
      </c>
      <c r="J13" s="328">
        <f>'[1]июнь 20'!AA12</f>
        <v>0</v>
      </c>
      <c r="K13" s="106">
        <v>33.659999999999997</v>
      </c>
      <c r="L13" s="328">
        <f>'[1]июнь 20'!AI12</f>
        <v>71.480999999999995</v>
      </c>
      <c r="M13" s="103">
        <f t="shared" si="5"/>
        <v>0.37836650434046154</v>
      </c>
      <c r="N13" s="103">
        <f>'[1]июль 20'!AM12</f>
        <v>0</v>
      </c>
      <c r="O13" s="103">
        <f>'[1]июнь 20'!W12</f>
        <v>0</v>
      </c>
      <c r="P13" s="103">
        <f>'[1]июнь 20'!S12</f>
        <v>252.39500000000001</v>
      </c>
      <c r="Q13" s="108">
        <f t="shared" si="6"/>
        <v>1.3728481150577454</v>
      </c>
      <c r="R13" s="109">
        <f t="shared" si="7"/>
        <v>248.93</v>
      </c>
      <c r="S13" s="106">
        <v>28.61</v>
      </c>
      <c r="T13" s="109">
        <f t="shared" si="8"/>
        <v>248.93</v>
      </c>
      <c r="U13" s="110">
        <f t="shared" si="9"/>
        <v>1.3176476815583318</v>
      </c>
      <c r="V13" s="136">
        <v>139.5</v>
      </c>
      <c r="W13" s="130">
        <v>98.72</v>
      </c>
      <c r="X13" s="131">
        <v>1</v>
      </c>
      <c r="Y13" s="146">
        <v>605</v>
      </c>
      <c r="Z13" s="147">
        <v>1225</v>
      </c>
      <c r="AA13" s="144" t="s">
        <v>307</v>
      </c>
      <c r="AB13" s="131">
        <v>75.19</v>
      </c>
      <c r="AC13" s="133">
        <v>140</v>
      </c>
      <c r="AD13" s="134">
        <v>4</v>
      </c>
      <c r="AE13" s="131">
        <v>1.75</v>
      </c>
      <c r="AF13" s="115">
        <f t="shared" si="10"/>
        <v>9.2631801820876571</v>
      </c>
      <c r="AG13" s="131">
        <v>105.6</v>
      </c>
      <c r="AH13" s="115">
        <f t="shared" si="11"/>
        <v>558.96675841626086</v>
      </c>
      <c r="AI13" s="131">
        <v>16.71</v>
      </c>
      <c r="AJ13" s="116"/>
      <c r="AK13" s="135">
        <v>11.86</v>
      </c>
      <c r="AL13" s="136">
        <v>42.49</v>
      </c>
      <c r="AM13" s="110">
        <f t="shared" si="12"/>
        <v>0.17612435233160623</v>
      </c>
      <c r="AN13" s="137" t="s">
        <v>319</v>
      </c>
      <c r="AO13" s="150">
        <v>9.5399999999999991</v>
      </c>
      <c r="AP13" s="138">
        <v>7.37</v>
      </c>
      <c r="AQ13" s="131"/>
      <c r="AR13" s="131">
        <v>7.7</v>
      </c>
      <c r="AS13" s="315">
        <v>241.25</v>
      </c>
      <c r="AT13" s="131">
        <v>2.02</v>
      </c>
      <c r="AU13" s="148"/>
      <c r="AV13" s="149"/>
      <c r="AW13" s="109"/>
      <c r="AX13" s="109">
        <f t="shared" si="13"/>
        <v>188.92</v>
      </c>
      <c r="AY13" s="115">
        <f t="shared" si="24"/>
        <v>187.77679100343829</v>
      </c>
      <c r="AZ13" s="140">
        <f t="shared" si="14"/>
        <v>6.2988169014084505</v>
      </c>
      <c r="BA13" s="141">
        <f t="shared" si="15"/>
        <v>7.5568</v>
      </c>
      <c r="BB13" s="128">
        <f t="shared" si="16"/>
        <v>0.87831493508151437</v>
      </c>
      <c r="BC13" s="141">
        <f t="shared" si="17"/>
        <v>13.85561690140845</v>
      </c>
      <c r="BD13" s="142">
        <v>0.89800000000000002</v>
      </c>
      <c r="BE13" s="16">
        <f t="shared" si="25"/>
        <v>1231.42</v>
      </c>
      <c r="BF13" s="16">
        <f t="shared" si="18"/>
        <v>183.33333333333334</v>
      </c>
      <c r="BG13" s="16">
        <f t="shared" si="26"/>
        <v>1283.3333333333333</v>
      </c>
      <c r="BH13" s="17">
        <f t="shared" si="19"/>
        <v>1</v>
      </c>
      <c r="BI13" s="16">
        <f t="shared" si="27"/>
        <v>1283.3333333333333</v>
      </c>
      <c r="BJ13" s="249">
        <v>213.756</v>
      </c>
      <c r="BK13" s="195"/>
      <c r="BL13" s="266">
        <v>71.480999999999995</v>
      </c>
      <c r="BM13" s="196"/>
      <c r="BN13" s="313">
        <v>109.208</v>
      </c>
      <c r="BO13" s="230">
        <v>25.561</v>
      </c>
      <c r="BP13" s="250"/>
      <c r="BQ13" s="199"/>
      <c r="BR13" s="200">
        <v>0.38</v>
      </c>
      <c r="BS13" s="200"/>
      <c r="BT13" s="200"/>
      <c r="BU13" s="200"/>
      <c r="BV13" s="208">
        <v>0.32</v>
      </c>
      <c r="BW13" s="208">
        <v>0.65</v>
      </c>
      <c r="BX13" s="201"/>
      <c r="BY13" s="202">
        <v>37.26</v>
      </c>
      <c r="BZ13" s="200"/>
      <c r="CA13" s="202">
        <v>43.23</v>
      </c>
      <c r="CB13" s="200"/>
      <c r="CC13" s="200">
        <v>40.200000000000003</v>
      </c>
      <c r="CD13" s="200">
        <v>30.49</v>
      </c>
      <c r="CE13" s="200"/>
      <c r="CF13" s="203"/>
      <c r="CG13" s="204"/>
      <c r="CH13" s="197"/>
      <c r="CI13" s="264">
        <v>248.93</v>
      </c>
      <c r="CJ13" s="265"/>
      <c r="CK13" s="202"/>
      <c r="CL13" s="202"/>
      <c r="CM13" s="270"/>
      <c r="CN13" s="201"/>
      <c r="CO13" s="284"/>
      <c r="CP13" s="286">
        <f t="shared" si="20"/>
        <v>212.94372720000001</v>
      </c>
      <c r="CQ13" s="24">
        <f t="shared" si="20"/>
        <v>0</v>
      </c>
      <c r="CR13" s="25">
        <f t="shared" si="20"/>
        <v>71.480999999999995</v>
      </c>
      <c r="CS13" s="24">
        <f t="shared" si="20"/>
        <v>0</v>
      </c>
      <c r="CT13" s="27">
        <f t="shared" si="20"/>
        <v>108.8585344</v>
      </c>
      <c r="CU13" s="24">
        <f t="shared" si="20"/>
        <v>25.3948535</v>
      </c>
      <c r="CV13" s="280">
        <f t="shared" si="20"/>
        <v>0</v>
      </c>
      <c r="CW13" s="237">
        <f t="shared" si="21"/>
        <v>0</v>
      </c>
      <c r="CX13" s="26">
        <f t="shared" si="21"/>
        <v>0</v>
      </c>
      <c r="CY13" s="277">
        <f t="shared" si="21"/>
        <v>248.93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28"/>
        <v>0</v>
      </c>
    </row>
    <row r="14" spans="1:112" ht="16.5" customHeight="1">
      <c r="A14" s="127">
        <v>8</v>
      </c>
      <c r="B14" s="103">
        <f>'[1]июнь 20'!K13</f>
        <v>428.89100000000002</v>
      </c>
      <c r="C14" s="104">
        <f>IF(B14=0,0,(BJ14*BR14+BK14*BS14+BM14*BU14+BP14*BX14+BL14*BT14+BO14*BW14+BN14*BV14)/B14)</f>
        <v>0.42203123870633796</v>
      </c>
      <c r="D14" s="448">
        <f>B14*((100-C14)/100)</f>
        <v>427.08094599999998</v>
      </c>
      <c r="E14" s="104">
        <f>IF(B14=0,0,(BJ14*BY14+BK14*BZ14+BM14*CB14+BP14*CE14+BL14*CA14+BO14*CD14+BN14*CC14)/B14)</f>
        <v>38.536529234700659</v>
      </c>
      <c r="F14" s="128">
        <f>IF(AX14=0,0,D14/AX14)</f>
        <v>2.2192940448971106</v>
      </c>
      <c r="G14" s="106"/>
      <c r="H14" s="107">
        <f>IF(AX14=0,0,(CV14+CS14+CU14+CP14+CT14)/AX14)</f>
        <v>1.8921583142797753</v>
      </c>
      <c r="I14" s="103">
        <f>'[1]сентябрь 20'!AE13</f>
        <v>0</v>
      </c>
      <c r="J14" s="328">
        <f>'[1]июнь 20'!AA13</f>
        <v>0</v>
      </c>
      <c r="K14" s="106"/>
      <c r="L14" s="328">
        <f>'[1]июнь 20'!AI13</f>
        <v>62.954000000000001</v>
      </c>
      <c r="M14" s="103">
        <f>IF(AX14=0,0,(CR14+CQ14)/AX14)</f>
        <v>0.32713573061733531</v>
      </c>
      <c r="N14" s="103">
        <f>'[1]июль 20'!AM13</f>
        <v>0</v>
      </c>
      <c r="O14" s="103">
        <f>'[1]июнь 20'!W13</f>
        <v>0</v>
      </c>
      <c r="P14" s="103">
        <f>'[1]июнь 20'!S13</f>
        <v>256.84800000000001</v>
      </c>
      <c r="Q14" s="108">
        <f>IF(P14=0,0,(1-(T14/P14))*100)</f>
        <v>1.4047218588425836</v>
      </c>
      <c r="R14" s="109">
        <f>P14*((100-Q14)/100)</f>
        <v>253.24000000000004</v>
      </c>
      <c r="S14" s="106">
        <v>34.5</v>
      </c>
      <c r="T14" s="109">
        <f>CG14+CH14+CJ14+CI14</f>
        <v>253.24</v>
      </c>
      <c r="U14" s="110">
        <f>IF(AX14=0,0,R14/AX14)</f>
        <v>1.3159426314695493</v>
      </c>
      <c r="V14" s="136">
        <v>94.58</v>
      </c>
      <c r="W14" s="130">
        <v>192.44</v>
      </c>
      <c r="X14" s="131">
        <v>0.56999999999999995</v>
      </c>
      <c r="Y14" s="146">
        <v>601</v>
      </c>
      <c r="Z14" s="147">
        <v>1216</v>
      </c>
      <c r="AA14" s="144" t="s">
        <v>311</v>
      </c>
      <c r="AB14" s="131">
        <v>75.28</v>
      </c>
      <c r="AC14" s="133">
        <v>143</v>
      </c>
      <c r="AD14" s="134">
        <v>4</v>
      </c>
      <c r="AE14" s="131">
        <v>2.85</v>
      </c>
      <c r="AF14" s="115">
        <f t="shared" si="10"/>
        <v>14.809810850135108</v>
      </c>
      <c r="AG14" s="131">
        <v>118.9</v>
      </c>
      <c r="AH14" s="115">
        <f>IF(AX14=0,0,AG14/AX14*1000)</f>
        <v>617.85491581791734</v>
      </c>
      <c r="AI14" s="131">
        <v>15.42</v>
      </c>
      <c r="AJ14" s="116"/>
      <c r="AK14" s="135">
        <v>8.19</v>
      </c>
      <c r="AL14" s="136">
        <v>42.62</v>
      </c>
      <c r="AM14" s="110">
        <f>IF(AL14=0,0,AL14/AS14)</f>
        <v>0.1785130890052356</v>
      </c>
      <c r="AN14" s="137" t="s">
        <v>315</v>
      </c>
      <c r="AO14" s="150">
        <v>9.6999999999999993</v>
      </c>
      <c r="AP14" s="138">
        <v>7.9</v>
      </c>
      <c r="AQ14" s="131"/>
      <c r="AR14" s="131">
        <v>6.98</v>
      </c>
      <c r="AS14" s="315">
        <v>238.75</v>
      </c>
      <c r="AT14" s="131">
        <v>4.5</v>
      </c>
      <c r="AU14" s="148"/>
      <c r="AV14" s="149"/>
      <c r="AW14" s="109"/>
      <c r="AX14" s="109">
        <f>AS14-AL14-AK14+AV14+AT14</f>
        <v>192.44</v>
      </c>
      <c r="AY14" s="115">
        <f>IF(AB14=0,0,((D14*0.97)*(E14/100)*0.9)/(AB14/100))</f>
        <v>190.86110196933194</v>
      </c>
      <c r="AZ14" s="140">
        <f>(AG14*AR14)/100*(55/71)</f>
        <v>6.4289732394366208</v>
      </c>
      <c r="BA14" s="141">
        <f>AX14*$BA$6</f>
        <v>7.6976000000000004</v>
      </c>
      <c r="BB14" s="128">
        <f>IF((D14*E14)=0,0,(AX14*AB14)/(D14*E14))</f>
        <v>0.88022189050859967</v>
      </c>
      <c r="BC14" s="141">
        <f>AZ14+BA14</f>
        <v>14.12657323943662</v>
      </c>
      <c r="BD14" s="142">
        <v>0.89600000000000002</v>
      </c>
      <c r="BE14" s="16">
        <f>BE13+AX14</f>
        <v>1423.8600000000001</v>
      </c>
      <c r="BF14" s="16">
        <f>IF(A14&lt;=$BD$43,$AS$43,0)</f>
        <v>183.33333333333334</v>
      </c>
      <c r="BG14" s="16">
        <f>BF14+BG13</f>
        <v>1466.6666666666665</v>
      </c>
      <c r="BH14" s="17">
        <f>IF(AX14&lt;&gt;0,1,0)</f>
        <v>1</v>
      </c>
      <c r="BI14" s="16">
        <f>BI13+BF14*BH14</f>
        <v>1466.6666666666665</v>
      </c>
      <c r="BJ14" s="249">
        <v>221.65600000000001</v>
      </c>
      <c r="BK14" s="195"/>
      <c r="BL14" s="266">
        <v>62.954000000000001</v>
      </c>
      <c r="BM14" s="196"/>
      <c r="BN14" s="313">
        <v>111.459</v>
      </c>
      <c r="BO14" s="230">
        <v>32.822000000000003</v>
      </c>
      <c r="BP14" s="250"/>
      <c r="BQ14" s="199"/>
      <c r="BR14" s="200">
        <v>0.56000000000000005</v>
      </c>
      <c r="BS14" s="200"/>
      <c r="BT14" s="200"/>
      <c r="BU14" s="200"/>
      <c r="BV14" s="208">
        <v>0.26</v>
      </c>
      <c r="BW14" s="208">
        <v>0.85</v>
      </c>
      <c r="BX14" s="201"/>
      <c r="BY14" s="202">
        <v>37.65</v>
      </c>
      <c r="BZ14" s="200"/>
      <c r="CA14" s="202">
        <v>43.1</v>
      </c>
      <c r="CB14" s="200"/>
      <c r="CC14" s="200">
        <v>39.799999999999997</v>
      </c>
      <c r="CD14" s="200">
        <v>31.48</v>
      </c>
      <c r="CE14" s="200"/>
      <c r="CF14" s="203"/>
      <c r="CG14" s="204"/>
      <c r="CH14" s="197"/>
      <c r="CI14" s="264">
        <v>253.24</v>
      </c>
      <c r="CJ14" s="265"/>
      <c r="CK14" s="202"/>
      <c r="CL14" s="202"/>
      <c r="CM14" s="270"/>
      <c r="CN14" s="201"/>
      <c r="CO14" s="284"/>
      <c r="CP14" s="286">
        <f t="shared" si="20"/>
        <v>220.41472640000001</v>
      </c>
      <c r="CQ14" s="27">
        <f t="shared" si="20"/>
        <v>0</v>
      </c>
      <c r="CR14" s="28">
        <f t="shared" si="20"/>
        <v>62.954000000000001</v>
      </c>
      <c r="CS14" s="27">
        <f t="shared" si="20"/>
        <v>0</v>
      </c>
      <c r="CT14" s="27">
        <f t="shared" si="20"/>
        <v>111.1692066</v>
      </c>
      <c r="CU14" s="24">
        <f t="shared" si="20"/>
        <v>32.543013000000002</v>
      </c>
      <c r="CV14" s="282">
        <f t="shared" si="20"/>
        <v>0</v>
      </c>
      <c r="CW14" s="237">
        <f t="shared" si="21"/>
        <v>0</v>
      </c>
      <c r="CX14" s="26">
        <f t="shared" si="21"/>
        <v>0</v>
      </c>
      <c r="CY14" s="277">
        <f t="shared" si="21"/>
        <v>253.24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28"/>
        <v>0</v>
      </c>
    </row>
    <row r="15" spans="1:112" ht="16.5" customHeight="1">
      <c r="A15" s="253">
        <v>9</v>
      </c>
      <c r="B15" s="103">
        <f>'[1]июнь 20'!K14</f>
        <v>411.11700000000002</v>
      </c>
      <c r="C15" s="104">
        <f t="shared" si="0"/>
        <v>0.28498940690849556</v>
      </c>
      <c r="D15" s="448">
        <f t="shared" si="1"/>
        <v>409.94536010000002</v>
      </c>
      <c r="E15" s="104">
        <f t="shared" si="2"/>
        <v>37.481694310865279</v>
      </c>
      <c r="F15" s="128">
        <f t="shared" si="3"/>
        <v>2.2309951570068027</v>
      </c>
      <c r="G15" s="106"/>
      <c r="H15" s="107">
        <f t="shared" si="4"/>
        <v>1.9089978780952379</v>
      </c>
      <c r="I15" s="103">
        <f>'[1]сентябрь 20'!AE14</f>
        <v>0</v>
      </c>
      <c r="J15" s="328">
        <f>'[1]июнь 20'!AA14</f>
        <v>0</v>
      </c>
      <c r="K15" s="106"/>
      <c r="L15" s="328">
        <f>'[1]июнь 20'!AI14</f>
        <v>59.167000000000002</v>
      </c>
      <c r="M15" s="103">
        <f t="shared" si="5"/>
        <v>0.32199727891156465</v>
      </c>
      <c r="N15" s="103">
        <f>'[1]июль 20'!AM14</f>
        <v>0</v>
      </c>
      <c r="O15" s="103">
        <f>'[1]июнь 20'!W14</f>
        <v>0</v>
      </c>
      <c r="P15" s="103">
        <f>'[1]июнь 20'!S14</f>
        <v>246.93899999999999</v>
      </c>
      <c r="Q15" s="108">
        <f t="shared" si="6"/>
        <v>1.4290978743738303</v>
      </c>
      <c r="R15" s="109">
        <f t="shared" si="7"/>
        <v>243.41000000000003</v>
      </c>
      <c r="S15" s="106">
        <v>25.67</v>
      </c>
      <c r="T15" s="109">
        <f t="shared" si="8"/>
        <v>243.41</v>
      </c>
      <c r="U15" s="110">
        <f t="shared" si="9"/>
        <v>1.3246802721088438</v>
      </c>
      <c r="V15" s="136">
        <v>141.31</v>
      </c>
      <c r="W15" s="130">
        <v>183.75</v>
      </c>
      <c r="X15" s="131">
        <v>0.56000000000000005</v>
      </c>
      <c r="Y15" s="112">
        <v>579</v>
      </c>
      <c r="Z15" s="133">
        <v>1218</v>
      </c>
      <c r="AA15" s="144" t="s">
        <v>302</v>
      </c>
      <c r="AB15" s="131">
        <v>75.31</v>
      </c>
      <c r="AC15" s="133">
        <v>137</v>
      </c>
      <c r="AD15" s="134">
        <v>4</v>
      </c>
      <c r="AE15" s="131">
        <v>3.85</v>
      </c>
      <c r="AF15" s="115">
        <f t="shared" si="10"/>
        <v>20.952380952380953</v>
      </c>
      <c r="AG15" s="131">
        <v>122</v>
      </c>
      <c r="AH15" s="115">
        <f t="shared" si="11"/>
        <v>663.94557823129253</v>
      </c>
      <c r="AI15" s="131">
        <v>15.91</v>
      </c>
      <c r="AJ15" s="116"/>
      <c r="AK15" s="135">
        <v>8.02</v>
      </c>
      <c r="AL15" s="136">
        <v>43.05</v>
      </c>
      <c r="AM15" s="110">
        <f t="shared" si="12"/>
        <v>0.18504190844616375</v>
      </c>
      <c r="AN15" s="137" t="s">
        <v>320</v>
      </c>
      <c r="AO15" s="150">
        <v>8.66</v>
      </c>
      <c r="AP15" s="138">
        <v>7.44</v>
      </c>
      <c r="AQ15" s="131"/>
      <c r="AR15" s="131">
        <v>9.07</v>
      </c>
      <c r="AS15" s="315">
        <v>232.65</v>
      </c>
      <c r="AT15" s="131">
        <v>2.17</v>
      </c>
      <c r="AU15" s="116"/>
      <c r="AV15" s="131"/>
      <c r="AW15" s="109"/>
      <c r="AX15" s="109">
        <f t="shared" si="13"/>
        <v>183.75</v>
      </c>
      <c r="AY15" s="115">
        <f t="shared" si="24"/>
        <v>178.11757992503934</v>
      </c>
      <c r="AZ15" s="140">
        <f t="shared" si="14"/>
        <v>8.5717887323943653</v>
      </c>
      <c r="BA15" s="141">
        <f t="shared" si="15"/>
        <v>7.3500000000000005</v>
      </c>
      <c r="BB15" s="128">
        <f t="shared" si="16"/>
        <v>0.90060593719895587</v>
      </c>
      <c r="BC15" s="141">
        <f t="shared" si="17"/>
        <v>15.921788732394365</v>
      </c>
      <c r="BD15" s="142">
        <v>0.89600000000000002</v>
      </c>
      <c r="BE15" s="16">
        <f t="shared" si="25"/>
        <v>1607.6100000000001</v>
      </c>
      <c r="BF15" s="16">
        <f t="shared" si="18"/>
        <v>183.33333333333334</v>
      </c>
      <c r="BG15" s="16">
        <f t="shared" si="26"/>
        <v>1649.9999999999998</v>
      </c>
      <c r="BH15" s="17">
        <f t="shared" si="19"/>
        <v>1</v>
      </c>
      <c r="BI15" s="16">
        <f t="shared" si="27"/>
        <v>1649.9999999999998</v>
      </c>
      <c r="BJ15" s="249">
        <v>212.91200000000001</v>
      </c>
      <c r="BK15" s="195"/>
      <c r="BL15" s="197">
        <v>59.167000000000002</v>
      </c>
      <c r="BM15" s="197"/>
      <c r="BN15" s="230">
        <v>107.321</v>
      </c>
      <c r="BO15" s="195">
        <v>31.716999999999999</v>
      </c>
      <c r="BP15" s="329"/>
      <c r="BQ15" s="199"/>
      <c r="BR15" s="200">
        <v>0.32</v>
      </c>
      <c r="BS15" s="200"/>
      <c r="BT15" s="200"/>
      <c r="BU15" s="200"/>
      <c r="BV15" s="208">
        <v>0.25</v>
      </c>
      <c r="BW15" s="208">
        <v>0.7</v>
      </c>
      <c r="BX15" s="330"/>
      <c r="BY15" s="202">
        <v>36.96</v>
      </c>
      <c r="BZ15" s="200"/>
      <c r="CA15" s="200">
        <v>43.01</v>
      </c>
      <c r="CB15" s="200"/>
      <c r="CC15" s="200">
        <v>37.81</v>
      </c>
      <c r="CD15" s="200">
        <v>29.56</v>
      </c>
      <c r="CE15" s="200"/>
      <c r="CF15" s="203"/>
      <c r="CG15" s="204"/>
      <c r="CH15" s="230"/>
      <c r="CI15" s="266">
        <v>243.41</v>
      </c>
      <c r="CJ15" s="265"/>
      <c r="CK15" s="202"/>
      <c r="CL15" s="208"/>
      <c r="CM15" s="208"/>
      <c r="CN15" s="201"/>
      <c r="CO15" s="284"/>
      <c r="CP15" s="286">
        <f t="shared" si="20"/>
        <v>212.2306816</v>
      </c>
      <c r="CQ15" s="29">
        <f t="shared" si="20"/>
        <v>0</v>
      </c>
      <c r="CR15" s="30">
        <f t="shared" si="20"/>
        <v>59.167000000000002</v>
      </c>
      <c r="CS15" s="29">
        <f t="shared" si="20"/>
        <v>0</v>
      </c>
      <c r="CT15" s="27">
        <f t="shared" si="20"/>
        <v>107.05269750000001</v>
      </c>
      <c r="CU15" s="24">
        <f t="shared" si="20"/>
        <v>31.494980999999999</v>
      </c>
      <c r="CV15" s="283">
        <f t="shared" si="20"/>
        <v>0</v>
      </c>
      <c r="CW15" s="237">
        <f t="shared" si="21"/>
        <v>0</v>
      </c>
      <c r="CX15" s="24">
        <f t="shared" si="21"/>
        <v>0</v>
      </c>
      <c r="CY15" s="277">
        <f t="shared" si="21"/>
        <v>243.41</v>
      </c>
      <c r="CZ15" s="280">
        <f t="shared" si="21"/>
        <v>0</v>
      </c>
      <c r="DA15" s="247"/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28"/>
        <v>0</v>
      </c>
    </row>
    <row r="16" spans="1:112" ht="16.5" customHeight="1">
      <c r="A16" s="127">
        <v>10</v>
      </c>
      <c r="B16" s="103">
        <f>'[1]июнь 20'!K15</f>
        <v>416.86099999999999</v>
      </c>
      <c r="C16" s="104">
        <f t="shared" si="0"/>
        <v>0.28102077191198027</v>
      </c>
      <c r="D16" s="448">
        <f t="shared" si="1"/>
        <v>415.68953399999998</v>
      </c>
      <c r="E16" s="104">
        <f t="shared" si="2"/>
        <v>38.185300112027754</v>
      </c>
      <c r="F16" s="128">
        <f t="shared" si="3"/>
        <v>2.1887612363100248</v>
      </c>
      <c r="G16" s="106"/>
      <c r="H16" s="107">
        <f t="shared" si="4"/>
        <v>1.9400565185341194</v>
      </c>
      <c r="I16" s="103">
        <f>'[1]сентябрь 20'!AE15</f>
        <v>0</v>
      </c>
      <c r="J16" s="328">
        <f>'[1]июнь 20'!AA15</f>
        <v>0</v>
      </c>
      <c r="K16" s="106"/>
      <c r="L16" s="328">
        <f>'[1]июнь 20'!AI15</f>
        <v>47.234000000000002</v>
      </c>
      <c r="M16" s="103">
        <f t="shared" si="5"/>
        <v>0.24870471777590564</v>
      </c>
      <c r="N16" s="103">
        <f>'[1]июль 20'!AM15</f>
        <v>0</v>
      </c>
      <c r="O16" s="103">
        <f>'[1]июнь 20'!W15</f>
        <v>0</v>
      </c>
      <c r="P16" s="103">
        <f>'[1]июнь 20'!S15</f>
        <v>248.30600000000001</v>
      </c>
      <c r="Q16" s="108">
        <f t="shared" si="6"/>
        <v>1.4240493584528724</v>
      </c>
      <c r="R16" s="109">
        <f t="shared" si="7"/>
        <v>244.77</v>
      </c>
      <c r="S16" s="106">
        <v>31.27</v>
      </c>
      <c r="T16" s="109">
        <f t="shared" si="8"/>
        <v>244.77</v>
      </c>
      <c r="U16" s="110">
        <f t="shared" si="9"/>
        <v>1.2888058129738837</v>
      </c>
      <c r="V16" s="136">
        <v>189.92</v>
      </c>
      <c r="W16" s="130">
        <v>143.19999999999999</v>
      </c>
      <c r="X16" s="131">
        <v>0.95</v>
      </c>
      <c r="Y16" s="112">
        <v>583</v>
      </c>
      <c r="Z16" s="133">
        <v>1215</v>
      </c>
      <c r="AA16" s="144" t="s">
        <v>321</v>
      </c>
      <c r="AB16" s="131">
        <v>75.84</v>
      </c>
      <c r="AC16" s="133">
        <v>139</v>
      </c>
      <c r="AD16" s="134">
        <v>4</v>
      </c>
      <c r="AE16" s="131">
        <v>2.9</v>
      </c>
      <c r="AF16" s="115">
        <f t="shared" si="10"/>
        <v>15.269587194608254</v>
      </c>
      <c r="AG16" s="131">
        <v>116.7</v>
      </c>
      <c r="AH16" s="115">
        <f t="shared" si="11"/>
        <v>614.46925021061497</v>
      </c>
      <c r="AI16" s="139">
        <v>16.72</v>
      </c>
      <c r="AJ16" s="131"/>
      <c r="AK16" s="136">
        <v>5.76</v>
      </c>
      <c r="AL16" s="136">
        <v>41.34</v>
      </c>
      <c r="AM16" s="110">
        <f t="shared" si="12"/>
        <v>0.17644046094750321</v>
      </c>
      <c r="AN16" s="137" t="s">
        <v>158</v>
      </c>
      <c r="AO16" s="150">
        <v>9.15</v>
      </c>
      <c r="AP16" s="138">
        <v>7.5</v>
      </c>
      <c r="AQ16" s="131"/>
      <c r="AR16" s="131">
        <v>7.09</v>
      </c>
      <c r="AS16" s="315">
        <v>234.3</v>
      </c>
      <c r="AT16" s="131">
        <v>2.72</v>
      </c>
      <c r="AU16" s="116"/>
      <c r="AV16" s="131"/>
      <c r="AW16" s="109"/>
      <c r="AX16" s="109">
        <f t="shared" si="13"/>
        <v>189.92000000000002</v>
      </c>
      <c r="AY16" s="115">
        <f t="shared" si="24"/>
        <v>182.71795159346195</v>
      </c>
      <c r="AZ16" s="140">
        <f t="shared" si="14"/>
        <v>6.4094598591549294</v>
      </c>
      <c r="BA16" s="141">
        <f t="shared" si="15"/>
        <v>7.5968000000000009</v>
      </c>
      <c r="BB16" s="128">
        <f t="shared" si="16"/>
        <v>0.90741034777413032</v>
      </c>
      <c r="BC16" s="141">
        <f t="shared" si="17"/>
        <v>14.00625985915493</v>
      </c>
      <c r="BD16" s="142">
        <v>0.89700000000000002</v>
      </c>
      <c r="BE16" s="16">
        <f t="shared" si="25"/>
        <v>1797.5300000000002</v>
      </c>
      <c r="BF16" s="16">
        <f t="shared" si="18"/>
        <v>183.33333333333334</v>
      </c>
      <c r="BG16" s="16">
        <f t="shared" si="26"/>
        <v>1833.333333333333</v>
      </c>
      <c r="BH16" s="17">
        <f t="shared" si="19"/>
        <v>1</v>
      </c>
      <c r="BI16" s="16">
        <f t="shared" si="27"/>
        <v>1833.333333333333</v>
      </c>
      <c r="BJ16" s="249">
        <v>222.495</v>
      </c>
      <c r="BK16" s="195"/>
      <c r="BL16" s="195">
        <v>47.234000000000002</v>
      </c>
      <c r="BM16" s="197"/>
      <c r="BN16" s="230">
        <v>115.355</v>
      </c>
      <c r="BO16" s="230">
        <v>31.777000000000001</v>
      </c>
      <c r="BP16" s="250"/>
      <c r="BQ16" s="199"/>
      <c r="BR16" s="200">
        <v>0.28000000000000003</v>
      </c>
      <c r="BS16" s="200"/>
      <c r="BT16" s="200"/>
      <c r="BU16" s="200"/>
      <c r="BV16" s="208">
        <v>0.2</v>
      </c>
      <c r="BW16" s="208">
        <v>1</v>
      </c>
      <c r="BX16" s="201"/>
      <c r="BY16" s="202">
        <v>37.42</v>
      </c>
      <c r="BZ16" s="200"/>
      <c r="CA16" s="200">
        <v>43.1</v>
      </c>
      <c r="CB16" s="200"/>
      <c r="CC16" s="200">
        <v>39.43</v>
      </c>
      <c r="CD16" s="200">
        <v>31.72</v>
      </c>
      <c r="CE16" s="200"/>
      <c r="CF16" s="203"/>
      <c r="CG16" s="204"/>
      <c r="CH16" s="230"/>
      <c r="CI16" s="266">
        <v>244.77</v>
      </c>
      <c r="CJ16" s="265"/>
      <c r="CK16" s="202"/>
      <c r="CL16" s="208"/>
      <c r="CM16" s="208"/>
      <c r="CN16" s="201"/>
      <c r="CO16" s="284"/>
      <c r="CP16" s="286">
        <f t="shared" si="20"/>
        <v>221.87201400000001</v>
      </c>
      <c r="CQ16" s="24">
        <f t="shared" si="20"/>
        <v>0</v>
      </c>
      <c r="CR16" s="25">
        <f t="shared" si="20"/>
        <v>47.234000000000002</v>
      </c>
      <c r="CS16" s="24">
        <f t="shared" si="20"/>
        <v>0</v>
      </c>
      <c r="CT16" s="27">
        <f t="shared" si="20"/>
        <v>115.12429</v>
      </c>
      <c r="CU16" s="24">
        <f t="shared" si="20"/>
        <v>31.459230000000002</v>
      </c>
      <c r="CV16" s="280">
        <f t="shared" si="20"/>
        <v>0</v>
      </c>
      <c r="CW16" s="237">
        <f t="shared" si="21"/>
        <v>0</v>
      </c>
      <c r="CX16" s="29">
        <f t="shared" si="21"/>
        <v>0</v>
      </c>
      <c r="CY16" s="277">
        <f t="shared" si="21"/>
        <v>244.77</v>
      </c>
      <c r="CZ16" s="280">
        <f t="shared" si="21"/>
        <v>0</v>
      </c>
      <c r="DA16" s="247"/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28"/>
        <v>0</v>
      </c>
    </row>
    <row r="17" spans="1:110" ht="16.5" customHeight="1">
      <c r="A17" s="127">
        <v>11</v>
      </c>
      <c r="B17" s="103">
        <f>'[1]июнь 20'!K16</f>
        <v>420.42500000000001</v>
      </c>
      <c r="C17" s="104">
        <f t="shared" si="0"/>
        <v>0.39236015936254981</v>
      </c>
      <c r="D17" s="448">
        <f t="shared" si="1"/>
        <v>418.77541980000001</v>
      </c>
      <c r="E17" s="104">
        <f t="shared" si="2"/>
        <v>38.133758958197063</v>
      </c>
      <c r="F17" s="128">
        <f t="shared" si="3"/>
        <v>2.3292475654930755</v>
      </c>
      <c r="G17" s="106"/>
      <c r="H17" s="107">
        <f t="shared" si="4"/>
        <v>2.0641938917626121</v>
      </c>
      <c r="I17" s="103">
        <f>'[1]сентябрь 20'!AE16</f>
        <v>0</v>
      </c>
      <c r="J17" s="328">
        <f>'[1]июнь 20'!AA16</f>
        <v>0</v>
      </c>
      <c r="K17" s="106">
        <v>26.58</v>
      </c>
      <c r="L17" s="328">
        <f>'[1]июнь 20'!AI16</f>
        <v>47.654000000000003</v>
      </c>
      <c r="M17" s="103">
        <f t="shared" si="5"/>
        <v>0.26505367373046335</v>
      </c>
      <c r="N17" s="103">
        <f>'[1]июль 20'!AM16</f>
        <v>0</v>
      </c>
      <c r="O17" s="103">
        <f>'[1]июнь 20'!W16</f>
        <v>0</v>
      </c>
      <c r="P17" s="103">
        <f>'[1]июнь 20'!S16</f>
        <v>248.542</v>
      </c>
      <c r="Q17" s="108">
        <f t="shared" si="6"/>
        <v>1.4251112488030238</v>
      </c>
      <c r="R17" s="109">
        <f t="shared" si="7"/>
        <v>245</v>
      </c>
      <c r="S17" s="106">
        <v>4.6900000000000004</v>
      </c>
      <c r="T17" s="109">
        <f t="shared" si="8"/>
        <v>245</v>
      </c>
      <c r="U17" s="110">
        <f t="shared" si="9"/>
        <v>1.3627009288614496</v>
      </c>
      <c r="V17" s="136">
        <v>179.79</v>
      </c>
      <c r="W17" s="130">
        <v>179.79</v>
      </c>
      <c r="X17" s="131">
        <v>0.71</v>
      </c>
      <c r="Y17" s="112">
        <v>596</v>
      </c>
      <c r="Z17" s="133">
        <v>1219</v>
      </c>
      <c r="AA17" s="144" t="s">
        <v>295</v>
      </c>
      <c r="AB17" s="131">
        <v>75.900000000000006</v>
      </c>
      <c r="AC17" s="133">
        <v>140</v>
      </c>
      <c r="AD17" s="134">
        <v>4</v>
      </c>
      <c r="AE17" s="131"/>
      <c r="AF17" s="115">
        <f t="shared" si="10"/>
        <v>0</v>
      </c>
      <c r="AG17" s="131">
        <v>117.5</v>
      </c>
      <c r="AH17" s="115">
        <f t="shared" si="11"/>
        <v>653.54024139273599</v>
      </c>
      <c r="AI17" s="139">
        <v>15.61</v>
      </c>
      <c r="AJ17" s="131"/>
      <c r="AK17" s="136">
        <v>8.0299999999999994</v>
      </c>
      <c r="AL17" s="136">
        <v>42.83</v>
      </c>
      <c r="AM17" s="110">
        <f t="shared" si="12"/>
        <v>0.186908138773729</v>
      </c>
      <c r="AN17" s="137" t="s">
        <v>158</v>
      </c>
      <c r="AO17" s="150">
        <v>9.2100000000000009</v>
      </c>
      <c r="AP17" s="138">
        <v>7.56</v>
      </c>
      <c r="AQ17" s="131"/>
      <c r="AR17" s="131">
        <v>8.41</v>
      </c>
      <c r="AS17" s="315">
        <v>229.15</v>
      </c>
      <c r="AT17" s="131">
        <v>1.5</v>
      </c>
      <c r="AU17" s="116"/>
      <c r="AV17" s="131"/>
      <c r="AW17" s="109"/>
      <c r="AX17" s="109">
        <f t="shared" si="13"/>
        <v>179.79</v>
      </c>
      <c r="AY17" s="115">
        <f t="shared" si="24"/>
        <v>183.68059077608126</v>
      </c>
      <c r="AZ17" s="140">
        <f t="shared" si="14"/>
        <v>7.6548767605633801</v>
      </c>
      <c r="BA17" s="141">
        <f t="shared" si="15"/>
        <v>7.1916000000000002</v>
      </c>
      <c r="BB17" s="128">
        <f t="shared" si="16"/>
        <v>0.85450873898451518</v>
      </c>
      <c r="BC17" s="141">
        <f t="shared" si="17"/>
        <v>14.84647676056338</v>
      </c>
      <c r="BD17" s="142">
        <v>0.89300000000000002</v>
      </c>
      <c r="BE17" s="16">
        <f t="shared" si="25"/>
        <v>1977.3200000000002</v>
      </c>
      <c r="BF17" s="16">
        <f t="shared" si="18"/>
        <v>183.33333333333334</v>
      </c>
      <c r="BG17" s="16">
        <f t="shared" si="26"/>
        <v>2016.6666666666663</v>
      </c>
      <c r="BH17" s="17">
        <f t="shared" si="19"/>
        <v>1</v>
      </c>
      <c r="BI17" s="16">
        <f t="shared" si="27"/>
        <v>2016.6666666666663</v>
      </c>
      <c r="BJ17" s="249">
        <v>224.01900000000001</v>
      </c>
      <c r="BK17" s="195"/>
      <c r="BL17" s="195">
        <v>47.654000000000003</v>
      </c>
      <c r="BM17" s="197"/>
      <c r="BN17" s="230">
        <v>116.224</v>
      </c>
      <c r="BO17" s="230">
        <v>32.527999999999999</v>
      </c>
      <c r="BP17" s="250"/>
      <c r="BQ17" s="199"/>
      <c r="BR17" s="200">
        <v>0.46</v>
      </c>
      <c r="BS17" s="200"/>
      <c r="BT17" s="200"/>
      <c r="BU17" s="200"/>
      <c r="BV17" s="208">
        <v>0.25</v>
      </c>
      <c r="BW17" s="208">
        <v>1.01</v>
      </c>
      <c r="BX17" s="201"/>
      <c r="BY17" s="202">
        <v>37.01</v>
      </c>
      <c r="BZ17" s="200"/>
      <c r="CA17" s="200">
        <v>42.75</v>
      </c>
      <c r="CB17" s="200"/>
      <c r="CC17" s="208">
        <v>39.479999999999997</v>
      </c>
      <c r="CD17" s="208">
        <v>34.299999999999997</v>
      </c>
      <c r="CE17" s="201"/>
      <c r="CF17" s="199"/>
      <c r="CG17" s="197"/>
      <c r="CH17" s="244"/>
      <c r="CI17" s="266">
        <v>245</v>
      </c>
      <c r="CJ17" s="265"/>
      <c r="CK17" s="231"/>
      <c r="CL17" s="208"/>
      <c r="CM17" s="208"/>
      <c r="CN17" s="201"/>
      <c r="CO17" s="284"/>
      <c r="CP17" s="286">
        <f t="shared" si="20"/>
        <v>222.98851260000001</v>
      </c>
      <c r="CQ17" s="24">
        <f t="shared" si="20"/>
        <v>0</v>
      </c>
      <c r="CR17" s="25">
        <f t="shared" si="20"/>
        <v>47.654000000000003</v>
      </c>
      <c r="CS17" s="24">
        <f t="shared" si="20"/>
        <v>0</v>
      </c>
      <c r="CT17" s="27">
        <f t="shared" si="20"/>
        <v>115.93344</v>
      </c>
      <c r="CU17" s="27">
        <f t="shared" si="20"/>
        <v>32.199467200000001</v>
      </c>
      <c r="CV17" s="280">
        <f t="shared" si="20"/>
        <v>0</v>
      </c>
      <c r="CW17" s="25">
        <f t="shared" si="21"/>
        <v>0</v>
      </c>
      <c r="CX17" s="26">
        <f t="shared" si="21"/>
        <v>0</v>
      </c>
      <c r="CY17" s="277">
        <f t="shared" si="21"/>
        <v>245</v>
      </c>
      <c r="CZ17" s="280">
        <f t="shared" si="21"/>
        <v>0</v>
      </c>
      <c r="DA17" s="247"/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28"/>
        <v>0</v>
      </c>
    </row>
    <row r="18" spans="1:110" ht="16.5" customHeight="1">
      <c r="A18" s="127">
        <v>12</v>
      </c>
      <c r="B18" s="103">
        <f>'[1]июнь 20'!K17</f>
        <v>428.48399999999998</v>
      </c>
      <c r="C18" s="104">
        <f t="shared" si="0"/>
        <v>0.35055215597315192</v>
      </c>
      <c r="D18" s="143">
        <f t="shared" si="1"/>
        <v>426.98194009999997</v>
      </c>
      <c r="E18" s="104">
        <f t="shared" si="2"/>
        <v>37.781030096806411</v>
      </c>
      <c r="F18" s="128">
        <f t="shared" si="3"/>
        <v>2.3688318452149786</v>
      </c>
      <c r="G18" s="106"/>
      <c r="H18" s="107">
        <f t="shared" si="4"/>
        <v>2.099222968654646</v>
      </c>
      <c r="I18" s="103">
        <f>'[1]сентябрь 20'!AE17</f>
        <v>0</v>
      </c>
      <c r="J18" s="328">
        <f>'[1]июнь 20'!AA17</f>
        <v>0</v>
      </c>
      <c r="K18" s="106"/>
      <c r="L18" s="328">
        <f>'[1]июнь 20'!AI17</f>
        <v>48.597000000000001</v>
      </c>
      <c r="M18" s="103">
        <f t="shared" si="5"/>
        <v>0.26960887656033283</v>
      </c>
      <c r="N18" s="103">
        <f>'[1]июль 20'!AM17</f>
        <v>0</v>
      </c>
      <c r="O18" s="103">
        <f>'[1]июнь 20'!W17</f>
        <v>0</v>
      </c>
      <c r="P18" s="103">
        <f>'[1]июнь 20'!S17</f>
        <v>253.72499999999999</v>
      </c>
      <c r="Q18" s="108">
        <f t="shared" si="6"/>
        <v>1.4129470883830986</v>
      </c>
      <c r="R18" s="109">
        <f t="shared" si="7"/>
        <v>250.14000000000001</v>
      </c>
      <c r="S18" s="106">
        <v>31.73</v>
      </c>
      <c r="T18" s="109">
        <f t="shared" si="8"/>
        <v>250.14</v>
      </c>
      <c r="U18" s="110">
        <f t="shared" si="9"/>
        <v>1.3877392510402218</v>
      </c>
      <c r="V18" s="136">
        <v>180.25</v>
      </c>
      <c r="W18" s="130">
        <v>180.25</v>
      </c>
      <c r="X18" s="131">
        <v>0.72</v>
      </c>
      <c r="Y18" s="112">
        <v>603</v>
      </c>
      <c r="Z18" s="133">
        <v>1212</v>
      </c>
      <c r="AA18" s="144" t="s">
        <v>322</v>
      </c>
      <c r="AB18" s="131">
        <v>76.05</v>
      </c>
      <c r="AC18" s="133">
        <v>143</v>
      </c>
      <c r="AD18" s="134">
        <v>4</v>
      </c>
      <c r="AE18" s="131">
        <v>3.65</v>
      </c>
      <c r="AF18" s="115">
        <f t="shared" si="10"/>
        <v>20.249653259361992</v>
      </c>
      <c r="AG18" s="131">
        <v>127.55</v>
      </c>
      <c r="AH18" s="115">
        <f t="shared" si="11"/>
        <v>707.62829403606088</v>
      </c>
      <c r="AI18" s="139">
        <v>14.02</v>
      </c>
      <c r="AJ18" s="131"/>
      <c r="AK18" s="136">
        <v>8.31</v>
      </c>
      <c r="AL18" s="136">
        <v>48.42</v>
      </c>
      <c r="AM18" s="110">
        <f t="shared" si="12"/>
        <v>0.20591112056134384</v>
      </c>
      <c r="AN18" s="137" t="s">
        <v>177</v>
      </c>
      <c r="AO18" s="150">
        <v>9.0500000000000007</v>
      </c>
      <c r="AP18" s="138">
        <v>7.56</v>
      </c>
      <c r="AQ18" s="131"/>
      <c r="AR18" s="131">
        <v>8.66</v>
      </c>
      <c r="AS18" s="315">
        <v>235.15</v>
      </c>
      <c r="AT18" s="131">
        <v>1.83</v>
      </c>
      <c r="AU18" s="116"/>
      <c r="AV18" s="131"/>
      <c r="AW18" s="109">
        <f t="shared" ref="AW18:AW37" si="29">IF(AX18=0,0,AV18/AX18*100)</f>
        <v>0</v>
      </c>
      <c r="AX18" s="109">
        <f t="shared" si="13"/>
        <v>180.25000000000003</v>
      </c>
      <c r="AY18" s="115">
        <f>IF(AB18=0,0,((D18*0.97)*(E18/100)*0.9)/(AB18/100))</f>
        <v>185.18181069608951</v>
      </c>
      <c r="AZ18" s="140">
        <f t="shared" si="14"/>
        <v>8.5566288732394362</v>
      </c>
      <c r="BA18" s="141">
        <f t="shared" si="15"/>
        <v>7.2100000000000009</v>
      </c>
      <c r="BB18" s="128">
        <f t="shared" si="16"/>
        <v>0.84975003435001484</v>
      </c>
      <c r="BC18" s="141">
        <f t="shared" si="17"/>
        <v>15.766628873239437</v>
      </c>
      <c r="BD18" s="142">
        <v>0.88900000000000001</v>
      </c>
      <c r="BE18" s="16">
        <f t="shared" si="25"/>
        <v>2157.5700000000002</v>
      </c>
      <c r="BF18" s="16">
        <f t="shared" si="18"/>
        <v>183.33333333333334</v>
      </c>
      <c r="BG18" s="16">
        <f t="shared" si="26"/>
        <v>2199.9999999999995</v>
      </c>
      <c r="BH18" s="17">
        <f t="shared" si="19"/>
        <v>1</v>
      </c>
      <c r="BI18" s="16">
        <f t="shared" si="27"/>
        <v>2199.9999999999995</v>
      </c>
      <c r="BJ18" s="249">
        <v>228.821</v>
      </c>
      <c r="BK18" s="195"/>
      <c r="BL18" s="195">
        <v>48.597000000000001</v>
      </c>
      <c r="BM18" s="197"/>
      <c r="BN18" s="230">
        <v>118.70699999999999</v>
      </c>
      <c r="BO18" s="230">
        <v>32.359000000000002</v>
      </c>
      <c r="BP18" s="250"/>
      <c r="BQ18" s="199"/>
      <c r="BR18" s="200">
        <v>0.44</v>
      </c>
      <c r="BS18" s="200"/>
      <c r="BT18" s="200"/>
      <c r="BU18" s="200"/>
      <c r="BV18" s="208">
        <v>0.27</v>
      </c>
      <c r="BW18" s="208">
        <v>0.54</v>
      </c>
      <c r="BX18" s="201"/>
      <c r="BY18" s="202">
        <v>37.29</v>
      </c>
      <c r="BZ18" s="200"/>
      <c r="CA18" s="200">
        <v>43.11</v>
      </c>
      <c r="CB18" s="200"/>
      <c r="CC18" s="208">
        <v>38.130000000000003</v>
      </c>
      <c r="CD18" s="208">
        <v>31.97</v>
      </c>
      <c r="CE18" s="209"/>
      <c r="CF18" s="199"/>
      <c r="CG18" s="197"/>
      <c r="CH18" s="268"/>
      <c r="CI18" s="289">
        <v>250.14</v>
      </c>
      <c r="CJ18" s="267"/>
      <c r="CK18" s="202"/>
      <c r="CL18" s="208"/>
      <c r="CM18" s="208"/>
      <c r="CN18" s="201"/>
      <c r="CO18" s="284"/>
      <c r="CP18" s="286">
        <f t="shared" si="20"/>
        <v>227.8141876</v>
      </c>
      <c r="CQ18" s="24">
        <f t="shared" si="20"/>
        <v>0</v>
      </c>
      <c r="CR18" s="25">
        <f t="shared" si="20"/>
        <v>48.597000000000001</v>
      </c>
      <c r="CS18" s="24">
        <f t="shared" si="20"/>
        <v>0</v>
      </c>
      <c r="CT18" s="27">
        <f t="shared" si="20"/>
        <v>118.3864911</v>
      </c>
      <c r="CU18" s="30">
        <f t="shared" si="20"/>
        <v>32.184261399999997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250.14</v>
      </c>
      <c r="CZ18" s="280">
        <f t="shared" si="21"/>
        <v>0</v>
      </c>
      <c r="DA18" s="247"/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28"/>
        <v>0</v>
      </c>
    </row>
    <row r="19" spans="1:110" ht="16.5" customHeight="1">
      <c r="A19" s="127">
        <v>13</v>
      </c>
      <c r="B19" s="103">
        <f>'[1]июнь 20'!K18</f>
        <v>429.154</v>
      </c>
      <c r="C19" s="104">
        <f t="shared" si="0"/>
        <v>0.53778976777567022</v>
      </c>
      <c r="D19" s="143">
        <f t="shared" si="1"/>
        <v>426.84605370000003</v>
      </c>
      <c r="E19" s="104">
        <f>IF(B19=0,0,(BJ19*BY19+BK19*BZ19+BM19*CB19+BP19*CE19+BL19*CA19+BO19*CD19+BN19*CC19)/B19)</f>
        <v>37.583864813097399</v>
      </c>
      <c r="F19" s="128">
        <f t="shared" si="3"/>
        <v>2.2921600993448612</v>
      </c>
      <c r="G19" s="106"/>
      <c r="H19" s="107">
        <f t="shared" si="4"/>
        <v>2.03144696434325</v>
      </c>
      <c r="I19" s="103">
        <f>'[1]сентябрь 20'!AE18</f>
        <v>0</v>
      </c>
      <c r="J19" s="328">
        <f>'[1]июнь 20'!AA18</f>
        <v>0</v>
      </c>
      <c r="K19" s="106"/>
      <c r="L19" s="328">
        <f>'[1]июнь 20'!AI18</f>
        <v>48.55</v>
      </c>
      <c r="M19" s="103">
        <f t="shared" si="5"/>
        <v>0.26071313500161097</v>
      </c>
      <c r="N19" s="103">
        <f>'[1]июль 20'!AM18</f>
        <v>0</v>
      </c>
      <c r="O19" s="103">
        <f>'[1]июнь 20'!W18</f>
        <v>0</v>
      </c>
      <c r="P19" s="103">
        <f>'[1]июнь 20'!S18</f>
        <v>252.03</v>
      </c>
      <c r="Q19" s="108">
        <f t="shared" si="6"/>
        <v>1.4204658175614115</v>
      </c>
      <c r="R19" s="109">
        <f t="shared" si="7"/>
        <v>248.45</v>
      </c>
      <c r="S19" s="106">
        <v>31.6</v>
      </c>
      <c r="T19" s="109">
        <f t="shared" si="8"/>
        <v>248.45</v>
      </c>
      <c r="U19" s="110">
        <f t="shared" si="9"/>
        <v>1.334174632155515</v>
      </c>
      <c r="V19" s="136">
        <v>186.22</v>
      </c>
      <c r="W19" s="130">
        <v>135.49</v>
      </c>
      <c r="X19" s="131">
        <v>0.92</v>
      </c>
      <c r="Y19" s="112">
        <v>619</v>
      </c>
      <c r="Z19" s="133">
        <v>1234</v>
      </c>
      <c r="AA19" s="144" t="s">
        <v>321</v>
      </c>
      <c r="AB19" s="131">
        <v>75.989999999999995</v>
      </c>
      <c r="AC19" s="133">
        <v>143</v>
      </c>
      <c r="AD19" s="134">
        <v>4</v>
      </c>
      <c r="AE19" s="131">
        <v>3.35</v>
      </c>
      <c r="AF19" s="115">
        <f t="shared" si="10"/>
        <v>17.98947481473526</v>
      </c>
      <c r="AG19" s="131">
        <v>124</v>
      </c>
      <c r="AH19" s="115">
        <f t="shared" si="11"/>
        <v>665.87906776930515</v>
      </c>
      <c r="AI19" s="139">
        <v>15.13</v>
      </c>
      <c r="AJ19" s="131"/>
      <c r="AK19" s="136">
        <v>8.66</v>
      </c>
      <c r="AL19" s="136">
        <v>50.24</v>
      </c>
      <c r="AM19" s="110">
        <f t="shared" si="12"/>
        <v>0.20696189495365602</v>
      </c>
      <c r="AN19" s="137" t="s">
        <v>323</v>
      </c>
      <c r="AO19" s="150">
        <v>8.93</v>
      </c>
      <c r="AP19" s="138">
        <v>7.63</v>
      </c>
      <c r="AQ19" s="134"/>
      <c r="AR19" s="131">
        <v>8.43</v>
      </c>
      <c r="AS19" s="315">
        <v>242.75</v>
      </c>
      <c r="AT19" s="131">
        <v>2.37</v>
      </c>
      <c r="AU19" s="116"/>
      <c r="AV19" s="131"/>
      <c r="AW19" s="109">
        <f t="shared" si="29"/>
        <v>0</v>
      </c>
      <c r="AX19" s="109">
        <f t="shared" si="13"/>
        <v>186.22</v>
      </c>
      <c r="AY19" s="115">
        <f t="shared" si="24"/>
        <v>184.30219479175247</v>
      </c>
      <c r="AZ19" s="140">
        <f t="shared" si="14"/>
        <v>8.0975492957746464</v>
      </c>
      <c r="BA19" s="141">
        <f t="shared" si="15"/>
        <v>7.4488000000000003</v>
      </c>
      <c r="BB19" s="128">
        <f t="shared" si="16"/>
        <v>0.88208423227781885</v>
      </c>
      <c r="BC19" s="141">
        <f t="shared" si="17"/>
        <v>15.546349295774647</v>
      </c>
      <c r="BD19" s="142">
        <v>0.88900000000000001</v>
      </c>
      <c r="BE19" s="16">
        <f t="shared" si="25"/>
        <v>2343.79</v>
      </c>
      <c r="BF19" s="16">
        <f t="shared" si="18"/>
        <v>183.33333333333334</v>
      </c>
      <c r="BG19" s="16">
        <f t="shared" si="26"/>
        <v>2383.333333333333</v>
      </c>
      <c r="BH19" s="17">
        <f t="shared" si="19"/>
        <v>1</v>
      </c>
      <c r="BI19" s="16">
        <f t="shared" si="27"/>
        <v>2383.333333333333</v>
      </c>
      <c r="BJ19" s="254">
        <v>228.80699999999999</v>
      </c>
      <c r="BK19" s="197"/>
      <c r="BL19" s="197">
        <v>48.55</v>
      </c>
      <c r="BM19" s="197"/>
      <c r="BN19" s="230">
        <v>118.613</v>
      </c>
      <c r="BO19" s="230">
        <v>33.183999999999997</v>
      </c>
      <c r="BP19" s="258"/>
      <c r="BQ19" s="199"/>
      <c r="BR19" s="200">
        <v>0.53</v>
      </c>
      <c r="BS19" s="200"/>
      <c r="BT19" s="200"/>
      <c r="BU19" s="200"/>
      <c r="BV19" s="208">
        <v>0.68</v>
      </c>
      <c r="BW19" s="208">
        <v>0.87</v>
      </c>
      <c r="BX19" s="201"/>
      <c r="BY19" s="202">
        <v>36.880000000000003</v>
      </c>
      <c r="BZ19" s="200"/>
      <c r="CA19" s="200">
        <v>42.99</v>
      </c>
      <c r="CB19" s="200"/>
      <c r="CC19" s="208">
        <v>38.54</v>
      </c>
      <c r="CD19" s="208">
        <v>31.11</v>
      </c>
      <c r="CE19" s="209"/>
      <c r="CF19" s="199"/>
      <c r="CG19" s="197"/>
      <c r="CH19" s="197"/>
      <c r="CI19" s="197">
        <v>248.45</v>
      </c>
      <c r="CJ19" s="198"/>
      <c r="CK19" s="202"/>
      <c r="CL19" s="208"/>
      <c r="CM19" s="208"/>
      <c r="CN19" s="201"/>
      <c r="CO19" s="284"/>
      <c r="CP19" s="286">
        <f t="shared" si="20"/>
        <v>227.59432290000001</v>
      </c>
      <c r="CQ19" s="24">
        <f t="shared" si="20"/>
        <v>0</v>
      </c>
      <c r="CR19" s="25">
        <f t="shared" si="20"/>
        <v>48.55</v>
      </c>
      <c r="CS19" s="24">
        <f t="shared" si="20"/>
        <v>0</v>
      </c>
      <c r="CT19" s="27">
        <f t="shared" si="20"/>
        <v>117.8064316</v>
      </c>
      <c r="CU19" s="24">
        <f t="shared" si="20"/>
        <v>32.895299199999997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248.45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28"/>
        <v>0</v>
      </c>
    </row>
    <row r="20" spans="1:110" ht="16.5" customHeight="1">
      <c r="A20" s="127">
        <v>14</v>
      </c>
      <c r="B20" s="103">
        <f>'[1]июнь 20'!K19</f>
        <v>443.26299999999998</v>
      </c>
      <c r="C20" s="104">
        <f t="shared" si="0"/>
        <v>0.26649539889411034</v>
      </c>
      <c r="D20" s="143">
        <f t="shared" si="1"/>
        <v>442.08172450000001</v>
      </c>
      <c r="E20" s="104">
        <f t="shared" si="2"/>
        <v>37.997473847354733</v>
      </c>
      <c r="F20" s="128">
        <f t="shared" si="3"/>
        <v>2.2225213639334371</v>
      </c>
      <c r="G20" s="106"/>
      <c r="H20" s="107">
        <f t="shared" si="4"/>
        <v>1.9696482052184408</v>
      </c>
      <c r="I20" s="103">
        <f>'[1]сентябрь 20'!AE19</f>
        <v>0</v>
      </c>
      <c r="J20" s="328">
        <f>'[1]июнь 20'!AA19</f>
        <v>0</v>
      </c>
      <c r="K20" s="106"/>
      <c r="L20" s="328">
        <f>'[1]июнь 20'!AI19</f>
        <v>50.298999999999999</v>
      </c>
      <c r="M20" s="103">
        <f t="shared" si="5"/>
        <v>0.25287315871499672</v>
      </c>
      <c r="N20" s="103">
        <f>'[1]июль 20'!AM19</f>
        <v>0</v>
      </c>
      <c r="O20" s="103">
        <f>'[1]июнь 20'!W19</f>
        <v>0</v>
      </c>
      <c r="P20" s="103">
        <f>'[1]июнь 20'!S19</f>
        <v>259.46499999999997</v>
      </c>
      <c r="Q20" s="108">
        <f t="shared" si="6"/>
        <v>1.3971055826411893</v>
      </c>
      <c r="R20" s="109">
        <f t="shared" si="7"/>
        <v>255.84</v>
      </c>
      <c r="S20" s="106">
        <v>23.57</v>
      </c>
      <c r="T20" s="109">
        <f t="shared" si="8"/>
        <v>255.84</v>
      </c>
      <c r="U20" s="110">
        <f t="shared" si="9"/>
        <v>1.286209843647881</v>
      </c>
      <c r="V20" s="136">
        <v>198.91</v>
      </c>
      <c r="W20" s="130">
        <v>51.98</v>
      </c>
      <c r="X20" s="131">
        <v>1.0900000000000001</v>
      </c>
      <c r="Y20" s="112">
        <v>612</v>
      </c>
      <c r="Z20" s="133">
        <v>1230</v>
      </c>
      <c r="AA20" s="151" t="s">
        <v>304</v>
      </c>
      <c r="AB20" s="131">
        <v>75.989999999999995</v>
      </c>
      <c r="AC20" s="133">
        <v>148</v>
      </c>
      <c r="AD20" s="134">
        <v>4</v>
      </c>
      <c r="AE20" s="131">
        <v>2.25</v>
      </c>
      <c r="AF20" s="115">
        <f t="shared" si="10"/>
        <v>11.311648484239102</v>
      </c>
      <c r="AG20" s="131">
        <v>118</v>
      </c>
      <c r="AH20" s="115">
        <f t="shared" si="11"/>
        <v>593.23312050676191</v>
      </c>
      <c r="AI20" s="139">
        <v>15.38</v>
      </c>
      <c r="AJ20" s="131"/>
      <c r="AK20" s="136">
        <v>7.76</v>
      </c>
      <c r="AL20" s="136">
        <v>47.35</v>
      </c>
      <c r="AM20" s="110">
        <f t="shared" si="12"/>
        <v>0.18830781467488567</v>
      </c>
      <c r="AN20" s="137" t="s">
        <v>324</v>
      </c>
      <c r="AO20" s="150">
        <v>9.67</v>
      </c>
      <c r="AP20" s="138">
        <v>7.56</v>
      </c>
      <c r="AQ20" s="131"/>
      <c r="AR20" s="131">
        <v>6.71</v>
      </c>
      <c r="AS20" s="315">
        <v>251.45</v>
      </c>
      <c r="AT20" s="131">
        <v>2.57</v>
      </c>
      <c r="AU20" s="148"/>
      <c r="AV20" s="131"/>
      <c r="AW20" s="109">
        <f t="shared" si="29"/>
        <v>0</v>
      </c>
      <c r="AX20" s="109">
        <f t="shared" si="13"/>
        <v>198.91</v>
      </c>
      <c r="AY20" s="115">
        <f t="shared" si="24"/>
        <v>192.98123689849706</v>
      </c>
      <c r="AZ20" s="140">
        <f t="shared" si="14"/>
        <v>6.1335070422535205</v>
      </c>
      <c r="BA20" s="141">
        <f t="shared" si="15"/>
        <v>7.9564000000000004</v>
      </c>
      <c r="BB20" s="128">
        <f t="shared" si="16"/>
        <v>0.89982027678335608</v>
      </c>
      <c r="BC20" s="141">
        <f t="shared" si="17"/>
        <v>14.089907042253522</v>
      </c>
      <c r="BD20" s="142">
        <v>0.88900000000000001</v>
      </c>
      <c r="BE20" s="16">
        <f t="shared" si="25"/>
        <v>2542.6999999999998</v>
      </c>
      <c r="BF20" s="16">
        <f t="shared" si="18"/>
        <v>183.33333333333334</v>
      </c>
      <c r="BG20" s="16">
        <f t="shared" si="26"/>
        <v>2566.6666666666665</v>
      </c>
      <c r="BH20" s="17">
        <f t="shared" si="19"/>
        <v>1</v>
      </c>
      <c r="BI20" s="16">
        <f t="shared" si="27"/>
        <v>2566.6666666666665</v>
      </c>
      <c r="BJ20" s="254">
        <v>236.50200000000001</v>
      </c>
      <c r="BK20" s="197"/>
      <c r="BL20" s="197">
        <v>50.298999999999999</v>
      </c>
      <c r="BM20" s="197"/>
      <c r="BN20" s="230">
        <v>122.855</v>
      </c>
      <c r="BO20" s="230">
        <v>33.606999999999999</v>
      </c>
      <c r="BP20" s="259"/>
      <c r="BQ20" s="199"/>
      <c r="BR20" s="200">
        <v>0.27</v>
      </c>
      <c r="BS20" s="200"/>
      <c r="BT20" s="200"/>
      <c r="BU20" s="200"/>
      <c r="BV20" s="208">
        <v>0.16</v>
      </c>
      <c r="BW20" s="208">
        <v>1.03</v>
      </c>
      <c r="BX20" s="201"/>
      <c r="BY20" s="202">
        <v>37.4</v>
      </c>
      <c r="BZ20" s="200"/>
      <c r="CA20" s="200">
        <v>42.94</v>
      </c>
      <c r="CB20" s="200"/>
      <c r="CC20" s="208">
        <v>39.32</v>
      </c>
      <c r="CD20" s="208">
        <v>29.97</v>
      </c>
      <c r="CE20" s="209"/>
      <c r="CF20" s="199"/>
      <c r="CG20" s="197"/>
      <c r="CH20" s="197"/>
      <c r="CI20" s="197">
        <v>255.84</v>
      </c>
      <c r="CJ20" s="198"/>
      <c r="CK20" s="202"/>
      <c r="CL20" s="208"/>
      <c r="CM20" s="208"/>
      <c r="CN20" s="201"/>
      <c r="CO20" s="284"/>
      <c r="CP20" s="286">
        <f t="shared" si="20"/>
        <v>235.86344460000004</v>
      </c>
      <c r="CQ20" s="24">
        <f t="shared" si="20"/>
        <v>0</v>
      </c>
      <c r="CR20" s="25">
        <f t="shared" si="20"/>
        <v>50.298999999999999</v>
      </c>
      <c r="CS20" s="24">
        <f t="shared" si="20"/>
        <v>0</v>
      </c>
      <c r="CT20" s="27">
        <f t="shared" si="20"/>
        <v>122.65843200000002</v>
      </c>
      <c r="CU20" s="30">
        <f t="shared" si="20"/>
        <v>33.260847900000002</v>
      </c>
      <c r="CV20" s="280">
        <f t="shared" si="20"/>
        <v>0</v>
      </c>
      <c r="CW20" s="237">
        <f t="shared" si="21"/>
        <v>0</v>
      </c>
      <c r="CX20" s="29">
        <f t="shared" si="21"/>
        <v>0</v>
      </c>
      <c r="CY20" s="277">
        <f t="shared" si="21"/>
        <v>255.84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28"/>
        <v>0</v>
      </c>
    </row>
    <row r="21" spans="1:110" ht="16.5" customHeight="1">
      <c r="A21" s="127">
        <v>15</v>
      </c>
      <c r="B21" s="103">
        <f>'[1]июнь 20'!K20</f>
        <v>437.94299999999998</v>
      </c>
      <c r="C21" s="104">
        <f t="shared" si="0"/>
        <v>0.48971087561623317</v>
      </c>
      <c r="D21" s="143">
        <f t="shared" si="1"/>
        <v>435.79834549999993</v>
      </c>
      <c r="E21" s="104">
        <f t="shared" si="2"/>
        <v>37.57518177023038</v>
      </c>
      <c r="F21" s="128">
        <f t="shared" si="3"/>
        <v>2.1428841299109997</v>
      </c>
      <c r="G21" s="106"/>
      <c r="H21" s="107">
        <f t="shared" si="4"/>
        <v>1.898841252397109</v>
      </c>
      <c r="I21" s="103">
        <f>'[1]сентябрь 20'!AE20</f>
        <v>0</v>
      </c>
      <c r="J21" s="328">
        <f>'[1]июнь 20'!AA20</f>
        <v>0</v>
      </c>
      <c r="K21" s="106"/>
      <c r="L21" s="328">
        <f>'[1]июнь 20'!AI20</f>
        <v>49.631</v>
      </c>
      <c r="M21" s="103">
        <f t="shared" si="5"/>
        <v>0.24404287751389098</v>
      </c>
      <c r="N21" s="103">
        <f>'[1]июль 20'!AM20</f>
        <v>0</v>
      </c>
      <c r="O21" s="103">
        <f>'[1]июнь 20'!W20</f>
        <v>0</v>
      </c>
      <c r="P21" s="103">
        <f>'[1]июнь 20'!S20</f>
        <v>254.67699999999999</v>
      </c>
      <c r="Q21" s="108">
        <f t="shared" si="6"/>
        <v>1.3966710774824587</v>
      </c>
      <c r="R21" s="109">
        <f t="shared" si="7"/>
        <v>251.12000000000003</v>
      </c>
      <c r="S21" s="106">
        <v>17.68</v>
      </c>
      <c r="T21" s="109">
        <f t="shared" si="8"/>
        <v>251.12</v>
      </c>
      <c r="U21" s="110">
        <f t="shared" si="9"/>
        <v>1.2347937257215915</v>
      </c>
      <c r="V21" s="136">
        <v>203.37</v>
      </c>
      <c r="W21" s="130">
        <v>203.37</v>
      </c>
      <c r="X21" s="131">
        <v>0.64</v>
      </c>
      <c r="Y21" s="112">
        <v>600</v>
      </c>
      <c r="Z21" s="133">
        <v>1244</v>
      </c>
      <c r="AA21" s="151" t="s">
        <v>286</v>
      </c>
      <c r="AB21" s="131">
        <v>76.72</v>
      </c>
      <c r="AC21" s="133">
        <v>146</v>
      </c>
      <c r="AD21" s="134">
        <v>4</v>
      </c>
      <c r="AE21" s="131"/>
      <c r="AF21" s="115">
        <f t="shared" si="10"/>
        <v>0</v>
      </c>
      <c r="AG21" s="131">
        <v>132.5</v>
      </c>
      <c r="AH21" s="115">
        <f t="shared" si="11"/>
        <v>651.52185671436303</v>
      </c>
      <c r="AI21" s="139">
        <v>13.79</v>
      </c>
      <c r="AJ21" s="131"/>
      <c r="AK21" s="136">
        <v>9.27</v>
      </c>
      <c r="AL21" s="136">
        <v>47.25</v>
      </c>
      <c r="AM21" s="110">
        <f t="shared" si="12"/>
        <v>0.18321054672353626</v>
      </c>
      <c r="AN21" s="137" t="s">
        <v>323</v>
      </c>
      <c r="AO21" s="150">
        <v>9.08</v>
      </c>
      <c r="AP21" s="138">
        <v>8.01</v>
      </c>
      <c r="AQ21" s="131"/>
      <c r="AR21" s="131">
        <v>7.48</v>
      </c>
      <c r="AS21" s="315">
        <v>257.89999999999998</v>
      </c>
      <c r="AT21" s="131">
        <v>1.99</v>
      </c>
      <c r="AU21" s="116"/>
      <c r="AV21" s="131"/>
      <c r="AW21" s="109">
        <f t="shared" si="29"/>
        <v>0</v>
      </c>
      <c r="AX21" s="109">
        <f t="shared" si="13"/>
        <v>203.36999999999998</v>
      </c>
      <c r="AY21" s="115">
        <f t="shared" si="24"/>
        <v>186.33409003281389</v>
      </c>
      <c r="AZ21" s="140">
        <f t="shared" si="14"/>
        <v>7.677535211267605</v>
      </c>
      <c r="BA21" s="141">
        <f t="shared" si="15"/>
        <v>8.1347999999999985</v>
      </c>
      <c r="BB21" s="128">
        <f t="shared" si="16"/>
        <v>0.95281550449911978</v>
      </c>
      <c r="BC21" s="141">
        <f t="shared" si="17"/>
        <v>15.812335211267603</v>
      </c>
      <c r="BD21" s="142">
        <v>0.89400000000000002</v>
      </c>
      <c r="BE21" s="16">
        <f t="shared" si="25"/>
        <v>2746.0699999999997</v>
      </c>
      <c r="BF21" s="16">
        <f t="shared" si="18"/>
        <v>183.33333333333334</v>
      </c>
      <c r="BG21" s="16">
        <f t="shared" si="26"/>
        <v>2750</v>
      </c>
      <c r="BH21" s="17">
        <f t="shared" si="19"/>
        <v>1</v>
      </c>
      <c r="BI21" s="16">
        <f t="shared" si="27"/>
        <v>2750</v>
      </c>
      <c r="BJ21" s="254">
        <v>233.62299999999999</v>
      </c>
      <c r="BK21" s="197"/>
      <c r="BL21" s="197">
        <v>49.631</v>
      </c>
      <c r="BM21" s="197"/>
      <c r="BN21" s="230">
        <v>121.182</v>
      </c>
      <c r="BO21" s="230">
        <v>33.506999999999998</v>
      </c>
      <c r="BP21" s="259"/>
      <c r="BQ21" s="199"/>
      <c r="BR21" s="200">
        <v>0.55000000000000004</v>
      </c>
      <c r="BS21" s="200"/>
      <c r="BT21" s="200"/>
      <c r="BU21" s="200"/>
      <c r="BV21" s="208">
        <v>0.35</v>
      </c>
      <c r="BW21" s="208">
        <v>1.3</v>
      </c>
      <c r="BX21" s="201"/>
      <c r="BY21" s="202">
        <v>37.020000000000003</v>
      </c>
      <c r="BZ21" s="200"/>
      <c r="CA21" s="200">
        <v>42.96</v>
      </c>
      <c r="CB21" s="200"/>
      <c r="CC21" s="208">
        <v>38.46</v>
      </c>
      <c r="CD21" s="208">
        <v>30.27</v>
      </c>
      <c r="CE21" s="209"/>
      <c r="CF21" s="199"/>
      <c r="CG21" s="197"/>
      <c r="CH21" s="197"/>
      <c r="CI21" s="197">
        <v>251.12</v>
      </c>
      <c r="CJ21" s="198"/>
      <c r="CK21" s="202"/>
      <c r="CL21" s="208"/>
      <c r="CM21" s="208"/>
      <c r="CN21" s="201"/>
      <c r="CO21" s="284"/>
      <c r="CP21" s="286">
        <f t="shared" si="20"/>
        <v>232.33807350000001</v>
      </c>
      <c r="CQ21" s="27">
        <f t="shared" si="20"/>
        <v>0</v>
      </c>
      <c r="CR21" s="28">
        <f t="shared" si="20"/>
        <v>49.631</v>
      </c>
      <c r="CS21" s="27">
        <f t="shared" si="20"/>
        <v>0</v>
      </c>
      <c r="CT21" s="27">
        <f t="shared" si="20"/>
        <v>120.75786300000001</v>
      </c>
      <c r="CU21" s="24">
        <f t="shared" si="20"/>
        <v>33.071408999999996</v>
      </c>
      <c r="CV21" s="281">
        <f t="shared" si="20"/>
        <v>0</v>
      </c>
      <c r="CW21" s="237">
        <f t="shared" si="21"/>
        <v>0</v>
      </c>
      <c r="CX21" s="24">
        <f t="shared" si="21"/>
        <v>0</v>
      </c>
      <c r="CY21" s="277">
        <f t="shared" si="21"/>
        <v>251.12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28"/>
        <v>0</v>
      </c>
    </row>
    <row r="22" spans="1:110" ht="16.5" customHeight="1">
      <c r="A22" s="127">
        <v>16</v>
      </c>
      <c r="B22" s="103">
        <f>'[1]июнь 20'!K21</f>
        <v>438.488</v>
      </c>
      <c r="C22" s="104">
        <f t="shared" si="0"/>
        <v>0.40474938880881578</v>
      </c>
      <c r="D22" s="143">
        <f t="shared" si="1"/>
        <v>436.71322250000003</v>
      </c>
      <c r="E22" s="104">
        <f t="shared" si="2"/>
        <v>38.198711709328421</v>
      </c>
      <c r="F22" s="128">
        <f t="shared" si="3"/>
        <v>2.4133135637709993</v>
      </c>
      <c r="G22" s="106"/>
      <c r="H22" s="107">
        <f t="shared" si="4"/>
        <v>2.13908721540672</v>
      </c>
      <c r="I22" s="103">
        <f>'[1]сентябрь 20'!AE21</f>
        <v>0</v>
      </c>
      <c r="J22" s="328">
        <f>'[1]июнь 20'!AA21</f>
        <v>0</v>
      </c>
      <c r="K22" s="106"/>
      <c r="L22" s="328">
        <f>'[1]июнь 20'!AI21</f>
        <v>49.624000000000002</v>
      </c>
      <c r="M22" s="103">
        <f t="shared" si="5"/>
        <v>0.27422634836427939</v>
      </c>
      <c r="N22" s="103">
        <f>'[1]июль 20'!AM21</f>
        <v>0</v>
      </c>
      <c r="O22" s="103">
        <f>'[1]июнь 20'!W21</f>
        <v>0</v>
      </c>
      <c r="P22" s="103">
        <f>'[1]июнь 20'!S21</f>
        <v>254.72399999999999</v>
      </c>
      <c r="Q22" s="108">
        <f t="shared" si="6"/>
        <v>1.4148647163204076</v>
      </c>
      <c r="R22" s="109">
        <f t="shared" si="7"/>
        <v>251.12</v>
      </c>
      <c r="S22" s="106">
        <v>39.39</v>
      </c>
      <c r="T22" s="109">
        <f t="shared" si="8"/>
        <v>251.12</v>
      </c>
      <c r="U22" s="110">
        <f t="shared" si="9"/>
        <v>1.3877099911582669</v>
      </c>
      <c r="V22" s="136">
        <v>180.96</v>
      </c>
      <c r="W22" s="129">
        <v>180.96</v>
      </c>
      <c r="X22" s="131">
        <v>0.74</v>
      </c>
      <c r="Y22" s="112">
        <v>584</v>
      </c>
      <c r="Z22" s="152">
        <v>1224</v>
      </c>
      <c r="AA22" s="144" t="s">
        <v>325</v>
      </c>
      <c r="AB22" s="131">
        <v>76.41</v>
      </c>
      <c r="AC22" s="133">
        <v>146</v>
      </c>
      <c r="AD22" s="134">
        <v>4</v>
      </c>
      <c r="AE22" s="131"/>
      <c r="AF22" s="115">
        <f t="shared" si="10"/>
        <v>0</v>
      </c>
      <c r="AG22" s="131">
        <v>122.5</v>
      </c>
      <c r="AH22" s="115">
        <f t="shared" si="11"/>
        <v>676.94518125552599</v>
      </c>
      <c r="AI22" s="139">
        <v>16.88</v>
      </c>
      <c r="AJ22" s="131"/>
      <c r="AK22" s="136">
        <v>12.63</v>
      </c>
      <c r="AL22" s="136">
        <v>49.57</v>
      </c>
      <c r="AM22" s="110">
        <f t="shared" si="12"/>
        <v>0.20701607851325957</v>
      </c>
      <c r="AN22" s="137" t="s">
        <v>326</v>
      </c>
      <c r="AO22" s="150">
        <v>9</v>
      </c>
      <c r="AP22" s="138">
        <v>7.64</v>
      </c>
      <c r="AQ22" s="134"/>
      <c r="AR22" s="131">
        <v>9.11</v>
      </c>
      <c r="AS22" s="315">
        <v>239.45</v>
      </c>
      <c r="AT22" s="131">
        <v>3.71</v>
      </c>
      <c r="AU22" s="116"/>
      <c r="AV22" s="131"/>
      <c r="AW22" s="109">
        <f t="shared" si="29"/>
        <v>0</v>
      </c>
      <c r="AX22" s="109">
        <f t="shared" si="13"/>
        <v>180.96</v>
      </c>
      <c r="AY22" s="115">
        <f t="shared" si="24"/>
        <v>190.59394595231353</v>
      </c>
      <c r="AZ22" s="140">
        <f t="shared" si="14"/>
        <v>8.6448767605633794</v>
      </c>
      <c r="BA22" s="141">
        <f t="shared" si="15"/>
        <v>7.2384000000000004</v>
      </c>
      <c r="BB22" s="128">
        <f t="shared" si="16"/>
        <v>0.82887249755312797</v>
      </c>
      <c r="BC22" s="141">
        <f t="shared" si="17"/>
        <v>15.88327676056338</v>
      </c>
      <c r="BD22" s="142">
        <v>0.89</v>
      </c>
      <c r="BE22" s="16">
        <f t="shared" si="25"/>
        <v>2927.0299999999997</v>
      </c>
      <c r="BF22" s="16">
        <f t="shared" si="18"/>
        <v>183.33333333333334</v>
      </c>
      <c r="BG22" s="16">
        <f t="shared" si="26"/>
        <v>2933.3333333333335</v>
      </c>
      <c r="BH22" s="17">
        <f t="shared" si="19"/>
        <v>1</v>
      </c>
      <c r="BI22" s="16">
        <f t="shared" si="27"/>
        <v>2933.3333333333335</v>
      </c>
      <c r="BJ22" s="254">
        <v>233.94900000000001</v>
      </c>
      <c r="BK22" s="197"/>
      <c r="BL22" s="197">
        <v>49.624000000000002</v>
      </c>
      <c r="BM22" s="197"/>
      <c r="BN22" s="230">
        <v>121.288</v>
      </c>
      <c r="BO22" s="230">
        <v>33.627000000000002</v>
      </c>
      <c r="BP22" s="258"/>
      <c r="BQ22" s="199"/>
      <c r="BR22" s="200">
        <v>0.44</v>
      </c>
      <c r="BS22" s="200"/>
      <c r="BT22" s="200"/>
      <c r="BU22" s="200"/>
      <c r="BV22" s="208">
        <v>0.39</v>
      </c>
      <c r="BW22" s="208">
        <v>0.81</v>
      </c>
      <c r="BX22" s="201"/>
      <c r="BY22" s="202">
        <v>37.94</v>
      </c>
      <c r="BZ22" s="200"/>
      <c r="CA22" s="200">
        <v>42.95</v>
      </c>
      <c r="CB22" s="200"/>
      <c r="CC22" s="208">
        <v>38.549999999999997</v>
      </c>
      <c r="CD22" s="208">
        <v>31.72</v>
      </c>
      <c r="CE22" s="201"/>
      <c r="CF22" s="199"/>
      <c r="CG22" s="197"/>
      <c r="CH22" s="197"/>
      <c r="CI22" s="197">
        <v>251.12</v>
      </c>
      <c r="CJ22" s="198"/>
      <c r="CK22" s="202"/>
      <c r="CL22" s="200"/>
      <c r="CM22" s="208"/>
      <c r="CN22" s="201"/>
      <c r="CO22" s="284"/>
      <c r="CP22" s="286">
        <f t="shared" si="20"/>
        <v>232.91962440000003</v>
      </c>
      <c r="CQ22" s="29">
        <f t="shared" si="20"/>
        <v>0</v>
      </c>
      <c r="CR22" s="30">
        <f t="shared" si="20"/>
        <v>49.624000000000002</v>
      </c>
      <c r="CS22" s="29">
        <f t="shared" si="20"/>
        <v>0</v>
      </c>
      <c r="CT22" s="27">
        <f t="shared" si="20"/>
        <v>120.8149768</v>
      </c>
      <c r="CU22" s="24">
        <f t="shared" si="20"/>
        <v>33.354621300000005</v>
      </c>
      <c r="CV22" s="282">
        <f t="shared" si="20"/>
        <v>0</v>
      </c>
      <c r="CW22" s="237">
        <f t="shared" si="21"/>
        <v>0</v>
      </c>
      <c r="CX22" s="24">
        <f t="shared" si="21"/>
        <v>0</v>
      </c>
      <c r="CY22" s="277">
        <f t="shared" si="21"/>
        <v>251.12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28"/>
        <v>0</v>
      </c>
    </row>
    <row r="23" spans="1:110" ht="16.5" customHeight="1">
      <c r="A23" s="127">
        <v>17</v>
      </c>
      <c r="B23" s="103">
        <f>'[1]июнь 20'!K22</f>
        <v>438.35300000000001</v>
      </c>
      <c r="C23" s="104">
        <f t="shared" si="0"/>
        <v>0.56687760777273111</v>
      </c>
      <c r="D23" s="143">
        <f t="shared" si="1"/>
        <v>435.86807500000003</v>
      </c>
      <c r="E23" s="104">
        <f t="shared" si="2"/>
        <v>37.893837888642253</v>
      </c>
      <c r="F23" s="128">
        <f t="shared" si="3"/>
        <v>2.3009453360080241</v>
      </c>
      <c r="G23" s="106"/>
      <c r="H23" s="107">
        <f t="shared" si="4"/>
        <v>2.0389540991395236</v>
      </c>
      <c r="I23" s="103">
        <f>'[1]сентябрь 20'!AE22</f>
        <v>0</v>
      </c>
      <c r="J23" s="328">
        <f>'[1]июнь 20'!AA22</f>
        <v>0</v>
      </c>
      <c r="K23" s="106">
        <v>35.97</v>
      </c>
      <c r="L23" s="328">
        <f>'[1]июнь 20'!AI22</f>
        <v>49.628999999999998</v>
      </c>
      <c r="M23" s="103">
        <f t="shared" si="5"/>
        <v>0.26199123686850023</v>
      </c>
      <c r="N23" s="103">
        <f>'[1]июль 20'!AM22</f>
        <v>0</v>
      </c>
      <c r="O23" s="103">
        <f>'[1]июнь 20'!W22</f>
        <v>0</v>
      </c>
      <c r="P23" s="103">
        <f>'[1]июнь 20'!S22</f>
        <v>254.863</v>
      </c>
      <c r="Q23" s="108">
        <f t="shared" si="6"/>
        <v>1.4686321670858482</v>
      </c>
      <c r="R23" s="109">
        <f t="shared" si="7"/>
        <v>251.12</v>
      </c>
      <c r="S23" s="106">
        <v>15.23</v>
      </c>
      <c r="T23" s="109">
        <f t="shared" si="8"/>
        <v>251.12</v>
      </c>
      <c r="U23" s="110">
        <f t="shared" si="9"/>
        <v>1.3256611941086416</v>
      </c>
      <c r="V23" s="136">
        <v>97.91</v>
      </c>
      <c r="W23" s="129">
        <v>189.43</v>
      </c>
      <c r="X23" s="131">
        <v>0.72</v>
      </c>
      <c r="Y23" s="112">
        <v>604</v>
      </c>
      <c r="Z23" s="133">
        <v>1237</v>
      </c>
      <c r="AA23" s="144" t="s">
        <v>279</v>
      </c>
      <c r="AB23" s="131">
        <v>75.180000000000007</v>
      </c>
      <c r="AC23" s="133">
        <v>146</v>
      </c>
      <c r="AD23" s="134">
        <v>4</v>
      </c>
      <c r="AE23" s="131">
        <v>5.7</v>
      </c>
      <c r="AF23" s="115">
        <f t="shared" si="10"/>
        <v>30.090270812437311</v>
      </c>
      <c r="AG23" s="131">
        <v>129.30000000000001</v>
      </c>
      <c r="AH23" s="115">
        <f t="shared" si="11"/>
        <v>682.57403790318324</v>
      </c>
      <c r="AI23" s="139">
        <v>15.77</v>
      </c>
      <c r="AJ23" s="131"/>
      <c r="AK23" s="136">
        <v>12.53</v>
      </c>
      <c r="AL23" s="136">
        <v>47.34</v>
      </c>
      <c r="AM23" s="110">
        <f t="shared" si="12"/>
        <v>0.19232175502742233</v>
      </c>
      <c r="AN23" s="137" t="s">
        <v>175</v>
      </c>
      <c r="AO23" s="150">
        <v>9.23</v>
      </c>
      <c r="AP23" s="138">
        <v>7.62</v>
      </c>
      <c r="AQ23" s="134"/>
      <c r="AR23" s="131">
        <v>8.23</v>
      </c>
      <c r="AS23" s="315">
        <v>246.15</v>
      </c>
      <c r="AT23" s="131">
        <v>3.15</v>
      </c>
      <c r="AU23" s="116"/>
      <c r="AV23" s="131"/>
      <c r="AW23" s="109">
        <f t="shared" si="29"/>
        <v>0</v>
      </c>
      <c r="AX23" s="109">
        <f t="shared" si="13"/>
        <v>189.43</v>
      </c>
      <c r="AY23" s="115">
        <f t="shared" si="24"/>
        <v>191.79424680332835</v>
      </c>
      <c r="AZ23" s="140">
        <f t="shared" si="14"/>
        <v>8.2433302816901417</v>
      </c>
      <c r="BA23" s="141">
        <f t="shared" si="15"/>
        <v>7.5772000000000004</v>
      </c>
      <c r="BB23" s="128">
        <f t="shared" si="16"/>
        <v>0.86223853299196151</v>
      </c>
      <c r="BC23" s="141">
        <f t="shared" si="17"/>
        <v>15.820530281690143</v>
      </c>
      <c r="BD23" s="142">
        <v>0.88800000000000001</v>
      </c>
      <c r="BE23" s="16">
        <f t="shared" si="25"/>
        <v>3116.4599999999996</v>
      </c>
      <c r="BF23" s="16">
        <f t="shared" si="18"/>
        <v>183.33333333333334</v>
      </c>
      <c r="BG23" s="16">
        <f t="shared" si="26"/>
        <v>3116.666666666667</v>
      </c>
      <c r="BH23" s="17">
        <f t="shared" si="19"/>
        <v>1</v>
      </c>
      <c r="BI23" s="16">
        <f t="shared" si="27"/>
        <v>3116.666666666667</v>
      </c>
      <c r="BJ23" s="254">
        <v>233.53399999999999</v>
      </c>
      <c r="BK23" s="197"/>
      <c r="BL23" s="197">
        <v>49.628999999999998</v>
      </c>
      <c r="BM23" s="197"/>
      <c r="BN23" s="230">
        <v>121.182</v>
      </c>
      <c r="BO23" s="230">
        <v>34.008000000000003</v>
      </c>
      <c r="BP23" s="258"/>
      <c r="BQ23" s="199"/>
      <c r="BR23" s="200">
        <v>0.68</v>
      </c>
      <c r="BS23" s="200"/>
      <c r="BT23" s="200"/>
      <c r="BU23" s="200"/>
      <c r="BV23" s="208">
        <v>0.51</v>
      </c>
      <c r="BW23" s="208">
        <v>0.82</v>
      </c>
      <c r="BX23" s="201"/>
      <c r="BY23" s="202">
        <v>36.979999999999997</v>
      </c>
      <c r="BZ23" s="200"/>
      <c r="CA23" s="200">
        <v>42.84</v>
      </c>
      <c r="CB23" s="200"/>
      <c r="CC23" s="208">
        <v>38.36</v>
      </c>
      <c r="CD23" s="208">
        <v>35.29</v>
      </c>
      <c r="CE23" s="209"/>
      <c r="CF23" s="199"/>
      <c r="CG23" s="197"/>
      <c r="CH23" s="197"/>
      <c r="CI23" s="197">
        <v>251.12</v>
      </c>
      <c r="CJ23" s="198"/>
      <c r="CK23" s="202"/>
      <c r="CL23" s="208"/>
      <c r="CM23" s="208"/>
      <c r="CN23" s="201"/>
      <c r="CO23" s="284"/>
      <c r="CP23" s="286">
        <f t="shared" si="20"/>
        <v>231.94596879999997</v>
      </c>
      <c r="CQ23" s="24">
        <f t="shared" si="20"/>
        <v>0</v>
      </c>
      <c r="CR23" s="25">
        <f t="shared" si="20"/>
        <v>49.628999999999998</v>
      </c>
      <c r="CS23" s="24">
        <f t="shared" si="20"/>
        <v>0</v>
      </c>
      <c r="CT23" s="27">
        <f t="shared" si="20"/>
        <v>120.56397179999999</v>
      </c>
      <c r="CU23" s="24">
        <f t="shared" si="20"/>
        <v>33.729134400000007</v>
      </c>
      <c r="CV23" s="280">
        <f t="shared" si="20"/>
        <v>0</v>
      </c>
      <c r="CW23" s="237">
        <f t="shared" si="21"/>
        <v>0</v>
      </c>
      <c r="CX23" s="29">
        <f t="shared" si="21"/>
        <v>0</v>
      </c>
      <c r="CY23" s="277">
        <f t="shared" si="21"/>
        <v>251.12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28"/>
        <v>0</v>
      </c>
    </row>
    <row r="24" spans="1:110" ht="16.5" customHeight="1">
      <c r="A24" s="127">
        <v>18</v>
      </c>
      <c r="B24" s="103">
        <f>'[1]июнь 20'!K23</f>
        <v>425.495</v>
      </c>
      <c r="C24" s="104">
        <f t="shared" si="0"/>
        <v>0.5309860750420099</v>
      </c>
      <c r="D24" s="143">
        <f t="shared" si="1"/>
        <v>423.23568080000001</v>
      </c>
      <c r="E24" s="104">
        <f t="shared" si="2"/>
        <v>37.282048837236637</v>
      </c>
      <c r="F24" s="128">
        <f t="shared" si="3"/>
        <v>2.2317848597342334</v>
      </c>
      <c r="G24" s="106"/>
      <c r="H24" s="107">
        <f t="shared" si="4"/>
        <v>1.9774292385572663</v>
      </c>
      <c r="I24" s="103">
        <f>'[1]сентябрь 20'!AE23</f>
        <v>0</v>
      </c>
      <c r="J24" s="328">
        <f>'[1]июнь 20'!AA23</f>
        <v>0</v>
      </c>
      <c r="K24" s="106"/>
      <c r="L24" s="328">
        <f>'[1]июнь 20'!AI23</f>
        <v>48.235999999999997</v>
      </c>
      <c r="M24" s="103">
        <f t="shared" si="5"/>
        <v>0.25435562117696686</v>
      </c>
      <c r="N24" s="103">
        <f>'[1]июль 20'!AM23</f>
        <v>0</v>
      </c>
      <c r="O24" s="103">
        <f>'[1]июнь 20'!W23</f>
        <v>0</v>
      </c>
      <c r="P24" s="103">
        <f>'[1]июнь 20'!S23</f>
        <v>247.93799999999999</v>
      </c>
      <c r="Q24" s="108">
        <f t="shared" si="6"/>
        <v>1.4915019077349934</v>
      </c>
      <c r="R24" s="109">
        <f t="shared" si="7"/>
        <v>244.23999999999998</v>
      </c>
      <c r="S24" s="106">
        <v>35.14</v>
      </c>
      <c r="T24" s="109">
        <f t="shared" si="8"/>
        <v>244.24</v>
      </c>
      <c r="U24" s="110">
        <f t="shared" si="9"/>
        <v>1.2879139422062855</v>
      </c>
      <c r="V24" s="136">
        <v>189.64</v>
      </c>
      <c r="W24" s="129">
        <v>189.64</v>
      </c>
      <c r="X24" s="131">
        <v>0.75</v>
      </c>
      <c r="Y24" s="133">
        <v>631</v>
      </c>
      <c r="Z24" s="133">
        <v>1235</v>
      </c>
      <c r="AA24" s="144" t="s">
        <v>297</v>
      </c>
      <c r="AB24" s="131">
        <v>76.209999999999994</v>
      </c>
      <c r="AC24" s="133">
        <v>142</v>
      </c>
      <c r="AD24" s="134">
        <v>4</v>
      </c>
      <c r="AE24" s="131">
        <v>1.85</v>
      </c>
      <c r="AF24" s="115">
        <f t="shared" si="10"/>
        <v>9.7553258806159047</v>
      </c>
      <c r="AG24" s="131">
        <v>130.05000000000001</v>
      </c>
      <c r="AH24" s="115">
        <f t="shared" si="11"/>
        <v>685.77304366167493</v>
      </c>
      <c r="AI24" s="139">
        <v>15.1</v>
      </c>
      <c r="AJ24" s="131"/>
      <c r="AK24" s="136">
        <v>10.41</v>
      </c>
      <c r="AL24" s="136">
        <v>47.95</v>
      </c>
      <c r="AM24" s="110">
        <f t="shared" si="12"/>
        <v>0.19444444444444445</v>
      </c>
      <c r="AN24" s="137" t="s">
        <v>180</v>
      </c>
      <c r="AO24" s="150">
        <v>9.19</v>
      </c>
      <c r="AP24" s="138">
        <v>7.93</v>
      </c>
      <c r="AQ24" s="134"/>
      <c r="AR24" s="131">
        <v>8.06</v>
      </c>
      <c r="AS24" s="315">
        <v>246.6</v>
      </c>
      <c r="AT24" s="131">
        <v>1.4</v>
      </c>
      <c r="AU24" s="116"/>
      <c r="AV24" s="131"/>
      <c r="AW24" s="109">
        <f t="shared" si="29"/>
        <v>0</v>
      </c>
      <c r="AX24" s="109">
        <f t="shared" si="13"/>
        <v>189.64</v>
      </c>
      <c r="AY24" s="115">
        <f t="shared" si="24"/>
        <v>180.75250583189043</v>
      </c>
      <c r="AZ24" s="140">
        <f t="shared" si="14"/>
        <v>8.1198823943661989</v>
      </c>
      <c r="BA24" s="141"/>
      <c r="BB24" s="128">
        <f t="shared" si="16"/>
        <v>0.91592489541459388</v>
      </c>
      <c r="BC24" s="141">
        <f t="shared" si="17"/>
        <v>8.1198823943661989</v>
      </c>
      <c r="BD24" s="142">
        <v>0.88900000000000001</v>
      </c>
      <c r="BE24" s="16">
        <f t="shared" si="25"/>
        <v>3306.0999999999995</v>
      </c>
      <c r="BF24" s="16">
        <f t="shared" si="18"/>
        <v>183.33333333333334</v>
      </c>
      <c r="BG24" s="16">
        <f t="shared" si="26"/>
        <v>3300.0000000000005</v>
      </c>
      <c r="BH24" s="17">
        <f t="shared" si="19"/>
        <v>1</v>
      </c>
      <c r="BI24" s="16">
        <f t="shared" si="27"/>
        <v>3300.0000000000005</v>
      </c>
      <c r="BJ24" s="254">
        <v>227.208</v>
      </c>
      <c r="BK24" s="197"/>
      <c r="BL24" s="197">
        <v>48.235999999999997</v>
      </c>
      <c r="BM24" s="197"/>
      <c r="BN24" s="230">
        <v>117.89100000000001</v>
      </c>
      <c r="BO24" s="230">
        <v>32.159999999999997</v>
      </c>
      <c r="BP24" s="258"/>
      <c r="BQ24" s="199"/>
      <c r="BR24" s="200">
        <v>0.65</v>
      </c>
      <c r="BS24" s="200"/>
      <c r="BT24" s="200"/>
      <c r="BU24" s="200"/>
      <c r="BV24" s="208">
        <v>0.32</v>
      </c>
      <c r="BW24" s="208">
        <v>1.26</v>
      </c>
      <c r="BX24" s="201"/>
      <c r="BY24" s="202">
        <v>37.19</v>
      </c>
      <c r="BZ24" s="200"/>
      <c r="CA24" s="200">
        <v>43.04</v>
      </c>
      <c r="CB24" s="200"/>
      <c r="CC24" s="208">
        <v>36.909999999999997</v>
      </c>
      <c r="CD24" s="208">
        <v>30.66</v>
      </c>
      <c r="CE24" s="209"/>
      <c r="CF24" s="199"/>
      <c r="CG24" s="197"/>
      <c r="CH24" s="197"/>
      <c r="CI24" s="197">
        <v>244.24</v>
      </c>
      <c r="CJ24" s="198"/>
      <c r="CK24" s="202"/>
      <c r="CL24" s="208"/>
      <c r="CM24" s="208"/>
      <c r="CN24" s="201"/>
      <c r="CO24" s="284"/>
      <c r="CP24" s="286">
        <f t="shared" si="20"/>
        <v>225.73114799999999</v>
      </c>
      <c r="CQ24" s="29">
        <f t="shared" si="20"/>
        <v>0</v>
      </c>
      <c r="CR24" s="30">
        <f t="shared" si="20"/>
        <v>48.235999999999997</v>
      </c>
      <c r="CS24" s="29">
        <f t="shared" si="20"/>
        <v>0</v>
      </c>
      <c r="CT24" s="27">
        <f t="shared" si="20"/>
        <v>117.5137488</v>
      </c>
      <c r="CU24" s="27">
        <f t="shared" si="20"/>
        <v>31.754783999999994</v>
      </c>
      <c r="CV24" s="282">
        <f t="shared" si="20"/>
        <v>0</v>
      </c>
      <c r="CW24" s="25">
        <f t="shared" si="21"/>
        <v>0</v>
      </c>
      <c r="CX24" s="26">
        <f t="shared" si="21"/>
        <v>0</v>
      </c>
      <c r="CY24" s="277">
        <f t="shared" si="21"/>
        <v>244.24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28"/>
        <v>0</v>
      </c>
    </row>
    <row r="25" spans="1:110" ht="16.5" customHeight="1">
      <c r="A25" s="127">
        <v>19</v>
      </c>
      <c r="B25" s="103">
        <f>'[1]июнь 20'!K24</f>
        <v>423.55500000000001</v>
      </c>
      <c r="C25" s="104">
        <f t="shared" si="0"/>
        <v>0.53209077923764325</v>
      </c>
      <c r="D25" s="143">
        <f t="shared" si="1"/>
        <v>421.3013029</v>
      </c>
      <c r="E25" s="104">
        <f t="shared" si="2"/>
        <v>37.336635950466878</v>
      </c>
      <c r="F25" s="128">
        <f t="shared" si="3"/>
        <v>2.2603213847309407</v>
      </c>
      <c r="G25" s="106"/>
      <c r="H25" s="107">
        <f t="shared" si="4"/>
        <v>2.0031402054831271</v>
      </c>
      <c r="I25" s="103">
        <f>'[1]сентябрь 20'!AE24</f>
        <v>0</v>
      </c>
      <c r="J25" s="328">
        <f>'[1]июнь 20'!AA24</f>
        <v>0</v>
      </c>
      <c r="K25" s="106"/>
      <c r="L25" s="328">
        <f>'[1]июнь 20'!AI24</f>
        <v>47.936</v>
      </c>
      <c r="M25" s="103">
        <f t="shared" si="5"/>
        <v>0.25718117924781375</v>
      </c>
      <c r="N25" s="103">
        <f>'[1]июль 20'!AM24</f>
        <v>2.8069999999999999</v>
      </c>
      <c r="O25" s="103">
        <f>'[1]июнь 20'!W24</f>
        <v>0</v>
      </c>
      <c r="P25" s="103">
        <f>'[1]июнь 20'!S24</f>
        <v>246.17500000000001</v>
      </c>
      <c r="Q25" s="108">
        <f t="shared" si="6"/>
        <v>1.4847161572052459</v>
      </c>
      <c r="R25" s="109">
        <f t="shared" si="7"/>
        <v>242.52</v>
      </c>
      <c r="S25" s="106">
        <v>18.48</v>
      </c>
      <c r="T25" s="109">
        <f t="shared" si="8"/>
        <v>242.52</v>
      </c>
      <c r="U25" s="110">
        <f t="shared" si="9"/>
        <v>1.3011427651698053</v>
      </c>
      <c r="V25" s="136">
        <v>186.39</v>
      </c>
      <c r="W25" s="129">
        <v>186.39</v>
      </c>
      <c r="X25" s="131">
        <v>0.56999999999999995</v>
      </c>
      <c r="Y25" s="133">
        <v>651</v>
      </c>
      <c r="Z25" s="133">
        <v>1236</v>
      </c>
      <c r="AA25" s="144" t="s">
        <v>321</v>
      </c>
      <c r="AB25" s="131">
        <v>75.72</v>
      </c>
      <c r="AC25" s="133">
        <v>141</v>
      </c>
      <c r="AD25" s="134">
        <v>4</v>
      </c>
      <c r="AE25" s="131">
        <v>1.75</v>
      </c>
      <c r="AF25" s="115">
        <f t="shared" si="10"/>
        <v>9.3889157143623585</v>
      </c>
      <c r="AG25" s="131">
        <v>115.2</v>
      </c>
      <c r="AH25" s="115">
        <f t="shared" si="11"/>
        <v>618.05890873973931</v>
      </c>
      <c r="AI25" s="139">
        <v>12.99</v>
      </c>
      <c r="AJ25" s="131"/>
      <c r="AK25" s="136">
        <v>2.9</v>
      </c>
      <c r="AL25" s="136">
        <v>48.69</v>
      </c>
      <c r="AM25" s="110">
        <f t="shared" si="12"/>
        <v>0.20767754318618042</v>
      </c>
      <c r="AN25" s="137" t="s">
        <v>225</v>
      </c>
      <c r="AO25" s="150">
        <v>9.5399999999999991</v>
      </c>
      <c r="AP25" s="138">
        <v>7.35</v>
      </c>
      <c r="AQ25" s="153"/>
      <c r="AR25" s="131">
        <v>7.1</v>
      </c>
      <c r="AS25" s="315">
        <v>234.45</v>
      </c>
      <c r="AT25" s="131">
        <v>3.53</v>
      </c>
      <c r="AU25" s="148"/>
      <c r="AV25" s="131"/>
      <c r="AW25" s="109">
        <f t="shared" si="29"/>
        <v>0</v>
      </c>
      <c r="AX25" s="109">
        <f t="shared" si="13"/>
        <v>186.39</v>
      </c>
      <c r="AY25" s="115">
        <f t="shared" si="24"/>
        <v>181.35587366100992</v>
      </c>
      <c r="AZ25" s="140">
        <f t="shared" si="14"/>
        <v>6.3359999999999994</v>
      </c>
      <c r="BA25" s="141">
        <f t="shared" ref="BA25:BA37" si="30">AX25*$BA$6</f>
        <v>7.4555999999999996</v>
      </c>
      <c r="BB25" s="128">
        <f t="shared" si="16"/>
        <v>0.89723297467692198</v>
      </c>
      <c r="BC25" s="141">
        <f t="shared" si="17"/>
        <v>13.791599999999999</v>
      </c>
      <c r="BD25" s="142">
        <v>0.89</v>
      </c>
      <c r="BE25" s="16">
        <f t="shared" si="25"/>
        <v>3492.4899999999993</v>
      </c>
      <c r="BF25" s="16">
        <f t="shared" si="18"/>
        <v>183.33333333333334</v>
      </c>
      <c r="BG25" s="16">
        <f t="shared" si="26"/>
        <v>3483.3333333333339</v>
      </c>
      <c r="BH25" s="17">
        <f t="shared" si="19"/>
        <v>1</v>
      </c>
      <c r="BI25" s="16">
        <f t="shared" si="27"/>
        <v>3483.3333333333339</v>
      </c>
      <c r="BJ25" s="254">
        <v>225.7</v>
      </c>
      <c r="BK25" s="197"/>
      <c r="BL25" s="197">
        <v>47.936</v>
      </c>
      <c r="BM25" s="197"/>
      <c r="BN25" s="230">
        <v>117.316</v>
      </c>
      <c r="BO25" s="230">
        <v>32.603000000000002</v>
      </c>
      <c r="BP25" s="258"/>
      <c r="BQ25" s="199"/>
      <c r="BR25" s="200">
        <v>0.71</v>
      </c>
      <c r="BS25" s="200"/>
      <c r="BT25" s="200"/>
      <c r="BU25" s="200"/>
      <c r="BV25" s="208">
        <v>0.33</v>
      </c>
      <c r="BW25" s="208">
        <v>0.81</v>
      </c>
      <c r="BX25" s="201"/>
      <c r="BY25" s="202">
        <v>37.17</v>
      </c>
      <c r="BZ25" s="200"/>
      <c r="CA25" s="200">
        <v>43.14</v>
      </c>
      <c r="CB25" s="200"/>
      <c r="CC25" s="208">
        <v>36.479999999999997</v>
      </c>
      <c r="CD25" s="208">
        <v>33.04</v>
      </c>
      <c r="CE25" s="201"/>
      <c r="CF25" s="199"/>
      <c r="CG25" s="197"/>
      <c r="CH25" s="197"/>
      <c r="CI25" s="197">
        <v>242.52</v>
      </c>
      <c r="CJ25" s="198"/>
      <c r="CK25" s="202"/>
      <c r="CL25" s="208"/>
      <c r="CM25" s="208"/>
      <c r="CN25" s="201"/>
      <c r="CO25" s="284"/>
      <c r="CP25" s="286">
        <f t="shared" si="20"/>
        <v>224.09753000000001</v>
      </c>
      <c r="CQ25" s="24">
        <f t="shared" si="20"/>
        <v>0</v>
      </c>
      <c r="CR25" s="25">
        <f t="shared" si="20"/>
        <v>47.936</v>
      </c>
      <c r="CS25" s="24">
        <f t="shared" si="20"/>
        <v>0</v>
      </c>
      <c r="CT25" s="27">
        <f t="shared" si="20"/>
        <v>116.92885720000001</v>
      </c>
      <c r="CU25" s="30">
        <f t="shared" si="20"/>
        <v>32.338915700000001</v>
      </c>
      <c r="CV25" s="280">
        <f t="shared" si="20"/>
        <v>0</v>
      </c>
      <c r="CW25" s="25">
        <f t="shared" si="21"/>
        <v>0</v>
      </c>
      <c r="CX25" s="26">
        <f t="shared" si="21"/>
        <v>0</v>
      </c>
      <c r="CY25" s="277">
        <f t="shared" si="21"/>
        <v>242.52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28"/>
        <v>0</v>
      </c>
    </row>
    <row r="26" spans="1:110" ht="16.5" customHeight="1">
      <c r="A26" s="127">
        <v>20</v>
      </c>
      <c r="B26" s="103">
        <f>'[1]июнь 20'!K25</f>
        <v>449.84800000000001</v>
      </c>
      <c r="C26" s="104">
        <f t="shared" si="0"/>
        <v>0.47268417332076607</v>
      </c>
      <c r="D26" s="143">
        <f t="shared" si="1"/>
        <v>447.72163969999997</v>
      </c>
      <c r="E26" s="104">
        <f t="shared" si="2"/>
        <v>37.783637161885792</v>
      </c>
      <c r="F26" s="128">
        <f t="shared" si="3"/>
        <v>2.3774513577952421</v>
      </c>
      <c r="G26" s="106"/>
      <c r="H26" s="107">
        <f t="shared" si="4"/>
        <v>2.1067047562659305</v>
      </c>
      <c r="I26" s="103">
        <f>'[1]сентябрь 20'!AE25</f>
        <v>0</v>
      </c>
      <c r="J26" s="328">
        <f>'[1]июнь 20'!AA25</f>
        <v>0</v>
      </c>
      <c r="K26" s="106"/>
      <c r="L26" s="328">
        <f>'[1]июнь 20'!AI25</f>
        <v>50.987000000000002</v>
      </c>
      <c r="M26" s="103">
        <f t="shared" si="5"/>
        <v>0.27074660152931185</v>
      </c>
      <c r="N26" s="103">
        <f>'[1]июль 20'!AM25</f>
        <v>7.1479999999999997</v>
      </c>
      <c r="O26" s="103">
        <f>'[1]июнь 20'!W25</f>
        <v>0</v>
      </c>
      <c r="P26" s="103">
        <f>'[1]июнь 20'!S25</f>
        <v>261.81599999999997</v>
      </c>
      <c r="Q26" s="108">
        <f t="shared" si="6"/>
        <v>1.4575121459345364</v>
      </c>
      <c r="R26" s="109">
        <f t="shared" si="7"/>
        <v>258.00000000000006</v>
      </c>
      <c r="S26" s="106">
        <v>15.75</v>
      </c>
      <c r="T26" s="109">
        <f t="shared" si="8"/>
        <v>258</v>
      </c>
      <c r="U26" s="110">
        <f t="shared" si="9"/>
        <v>1.3700084961767209</v>
      </c>
      <c r="V26" s="136">
        <v>188.32</v>
      </c>
      <c r="W26" s="154">
        <v>188.32</v>
      </c>
      <c r="X26" s="149">
        <v>0.56000000000000005</v>
      </c>
      <c r="Y26" s="147">
        <v>610</v>
      </c>
      <c r="Z26" s="147">
        <v>1226</v>
      </c>
      <c r="AA26" s="144" t="s">
        <v>322</v>
      </c>
      <c r="AB26" s="149">
        <v>75.92</v>
      </c>
      <c r="AC26" s="147">
        <v>150</v>
      </c>
      <c r="AD26" s="155">
        <v>4</v>
      </c>
      <c r="AE26" s="149">
        <v>2.85</v>
      </c>
      <c r="AF26" s="115">
        <f t="shared" si="10"/>
        <v>15.133814783347495</v>
      </c>
      <c r="AG26" s="149">
        <v>116.15</v>
      </c>
      <c r="AH26" s="115">
        <f t="shared" si="11"/>
        <v>616.76932880203913</v>
      </c>
      <c r="AI26" s="156">
        <v>16.62</v>
      </c>
      <c r="AJ26" s="149"/>
      <c r="AK26" s="157">
        <v>8.83</v>
      </c>
      <c r="AL26" s="157">
        <v>48.12</v>
      </c>
      <c r="AM26" s="110">
        <f t="shared" si="12"/>
        <v>0.1986377708978328</v>
      </c>
      <c r="AN26" s="158" t="s">
        <v>168</v>
      </c>
      <c r="AO26" s="404">
        <v>9.31</v>
      </c>
      <c r="AP26" s="159">
        <v>7.57</v>
      </c>
      <c r="AQ26" s="155"/>
      <c r="AR26" s="149">
        <v>7.44</v>
      </c>
      <c r="AS26" s="315">
        <v>242.25</v>
      </c>
      <c r="AT26" s="131">
        <v>3.02</v>
      </c>
      <c r="AU26" s="148"/>
      <c r="AV26" s="149"/>
      <c r="AW26" s="160">
        <f t="shared" si="29"/>
        <v>0</v>
      </c>
      <c r="AX26" s="109">
        <f t="shared" si="13"/>
        <v>188.32</v>
      </c>
      <c r="AY26" s="115">
        <f t="shared" si="24"/>
        <v>194.52252215473908</v>
      </c>
      <c r="AZ26" s="140">
        <f t="shared" si="14"/>
        <v>6.6941661971830984</v>
      </c>
      <c r="BA26" s="140">
        <f t="shared" si="30"/>
        <v>7.5327999999999999</v>
      </c>
      <c r="BB26" s="161">
        <f t="shared" si="16"/>
        <v>0.84516362516223265</v>
      </c>
      <c r="BC26" s="140">
        <f t="shared" si="17"/>
        <v>14.226966197183099</v>
      </c>
      <c r="BD26" s="162">
        <v>0.88700000000000001</v>
      </c>
      <c r="BE26" s="16">
        <f t="shared" si="25"/>
        <v>3680.8099999999995</v>
      </c>
      <c r="BF26" s="16">
        <f t="shared" si="18"/>
        <v>183.33333333333334</v>
      </c>
      <c r="BG26" s="16">
        <f t="shared" si="26"/>
        <v>3666.6666666666674</v>
      </c>
      <c r="BH26" s="17">
        <f t="shared" si="19"/>
        <v>1</v>
      </c>
      <c r="BI26" s="16">
        <f t="shared" si="27"/>
        <v>3666.6666666666674</v>
      </c>
      <c r="BJ26" s="254">
        <v>239.982</v>
      </c>
      <c r="BK26" s="197"/>
      <c r="BL26" s="197">
        <v>50.987000000000002</v>
      </c>
      <c r="BM26" s="197"/>
      <c r="BN26" s="230">
        <v>124.44199999999999</v>
      </c>
      <c r="BO26" s="230">
        <v>34.436999999999998</v>
      </c>
      <c r="BP26" s="258"/>
      <c r="BQ26" s="199"/>
      <c r="BR26" s="200">
        <v>0.6</v>
      </c>
      <c r="BS26" s="200"/>
      <c r="BT26" s="200"/>
      <c r="BU26" s="200"/>
      <c r="BV26" s="208">
        <v>0.25</v>
      </c>
      <c r="BW26" s="208">
        <v>1.0900000000000001</v>
      </c>
      <c r="BX26" s="201"/>
      <c r="BY26" s="202">
        <v>37.409999999999997</v>
      </c>
      <c r="BZ26" s="200"/>
      <c r="CA26" s="200">
        <v>42.86</v>
      </c>
      <c r="CB26" s="200"/>
      <c r="CC26" s="208">
        <v>37.380000000000003</v>
      </c>
      <c r="CD26" s="208">
        <v>34.33</v>
      </c>
      <c r="CE26" s="209"/>
      <c r="CF26" s="199"/>
      <c r="CG26" s="197"/>
      <c r="CH26" s="197"/>
      <c r="CI26" s="197">
        <v>258</v>
      </c>
      <c r="CJ26" s="198"/>
      <c r="CK26" s="202"/>
      <c r="CL26" s="208"/>
      <c r="CM26" s="208"/>
      <c r="CN26" s="201"/>
      <c r="CO26" s="284"/>
      <c r="CP26" s="286">
        <f t="shared" si="20"/>
        <v>238.54210800000001</v>
      </c>
      <c r="CQ26" s="24">
        <f t="shared" si="20"/>
        <v>0</v>
      </c>
      <c r="CR26" s="25">
        <f t="shared" si="20"/>
        <v>50.987000000000002</v>
      </c>
      <c r="CS26" s="24">
        <f t="shared" si="20"/>
        <v>0</v>
      </c>
      <c r="CT26" s="27">
        <f t="shared" si="20"/>
        <v>124.130895</v>
      </c>
      <c r="CU26" s="24">
        <f t="shared" si="20"/>
        <v>34.061636699999994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258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28"/>
        <v>0</v>
      </c>
    </row>
    <row r="27" spans="1:110" ht="16.5" customHeight="1">
      <c r="A27" s="127">
        <v>21</v>
      </c>
      <c r="B27" s="103">
        <f>'[1]июнь 20'!K26</f>
        <v>430.5</v>
      </c>
      <c r="C27" s="104">
        <f t="shared" si="0"/>
        <v>0.64186132404181184</v>
      </c>
      <c r="D27" s="143">
        <f t="shared" si="1"/>
        <v>427.73678699999999</v>
      </c>
      <c r="E27" s="104">
        <f t="shared" si="2"/>
        <v>37.240938815331006</v>
      </c>
      <c r="F27" s="128">
        <f t="shared" si="3"/>
        <v>2.2273317381795459</v>
      </c>
      <c r="G27" s="106"/>
      <c r="H27" s="107">
        <f t="shared" si="4"/>
        <v>1.9901623984586545</v>
      </c>
      <c r="I27" s="103">
        <f>'[1]сентябрь 20'!AE26</f>
        <v>0</v>
      </c>
      <c r="J27" s="328">
        <f>'[1]июнь 20'!AA26</f>
        <v>0</v>
      </c>
      <c r="K27" s="106"/>
      <c r="L27" s="328">
        <f>'[1]июнь 20'!AI26</f>
        <v>45.545999999999999</v>
      </c>
      <c r="M27" s="103">
        <f t="shared" si="5"/>
        <v>0.23716933972089149</v>
      </c>
      <c r="N27" s="103">
        <f>'[1]июль 20'!AM26</f>
        <v>7.0339999999999998</v>
      </c>
      <c r="O27" s="103">
        <f>'[1]июнь 20'!W26</f>
        <v>0</v>
      </c>
      <c r="P27" s="103">
        <f>'[1]июнь 20'!S26</f>
        <v>250.98</v>
      </c>
      <c r="Q27" s="108">
        <f t="shared" si="6"/>
        <v>1.5260180094031295</v>
      </c>
      <c r="R27" s="109">
        <f t="shared" si="7"/>
        <v>247.15</v>
      </c>
      <c r="S27" s="106">
        <v>14.82</v>
      </c>
      <c r="T27" s="109">
        <f t="shared" si="8"/>
        <v>247.15</v>
      </c>
      <c r="U27" s="110">
        <f t="shared" si="9"/>
        <v>1.2869714642782755</v>
      </c>
      <c r="V27" s="129">
        <v>192.04</v>
      </c>
      <c r="W27" s="129">
        <v>192.04</v>
      </c>
      <c r="X27" s="131">
        <v>0.43</v>
      </c>
      <c r="Y27" s="133">
        <v>655</v>
      </c>
      <c r="Z27" s="133">
        <v>1243</v>
      </c>
      <c r="AA27" s="144" t="s">
        <v>302</v>
      </c>
      <c r="AB27" s="131">
        <v>76.349999999999994</v>
      </c>
      <c r="AC27" s="133">
        <v>143</v>
      </c>
      <c r="AD27" s="134">
        <v>4</v>
      </c>
      <c r="AE27" s="131">
        <v>2.6</v>
      </c>
      <c r="AF27" s="115">
        <f t="shared" si="10"/>
        <v>13.538846073734641</v>
      </c>
      <c r="AG27" s="131">
        <v>122</v>
      </c>
      <c r="AH27" s="115">
        <f t="shared" si="11"/>
        <v>635.28431576754838</v>
      </c>
      <c r="AI27" s="139">
        <v>15.55</v>
      </c>
      <c r="AJ27" s="131"/>
      <c r="AK27" s="136">
        <v>7</v>
      </c>
      <c r="AL27" s="136">
        <v>48.65</v>
      </c>
      <c r="AM27" s="110">
        <f t="shared" si="12"/>
        <v>0.19865251122907307</v>
      </c>
      <c r="AN27" s="137" t="s">
        <v>323</v>
      </c>
      <c r="AO27" s="150">
        <v>9.0500000000000007</v>
      </c>
      <c r="AP27" s="138">
        <v>7.76</v>
      </c>
      <c r="AQ27" s="134"/>
      <c r="AR27" s="131">
        <v>7.77</v>
      </c>
      <c r="AS27" s="139">
        <v>244.9</v>
      </c>
      <c r="AT27" s="131">
        <v>2.79</v>
      </c>
      <c r="AU27" s="148"/>
      <c r="AV27" s="131"/>
      <c r="AW27" s="109">
        <f t="shared" si="29"/>
        <v>0</v>
      </c>
      <c r="AX27" s="109">
        <f t="shared" si="13"/>
        <v>192.04</v>
      </c>
      <c r="AY27" s="115">
        <f t="shared" si="24"/>
        <v>182.13878108040794</v>
      </c>
      <c r="AZ27" s="140">
        <f t="shared" si="14"/>
        <v>7.3431971830985914</v>
      </c>
      <c r="BA27" s="141">
        <f t="shared" si="30"/>
        <v>7.6815999999999995</v>
      </c>
      <c r="BB27" s="128">
        <f t="shared" si="16"/>
        <v>0.92045702186832978</v>
      </c>
      <c r="BC27" s="141">
        <f t="shared" si="17"/>
        <v>15.024797183098592</v>
      </c>
      <c r="BD27" s="142">
        <v>0.88900000000000001</v>
      </c>
      <c r="BE27" s="16">
        <f t="shared" si="25"/>
        <v>3872.8499999999995</v>
      </c>
      <c r="BF27" s="16">
        <f t="shared" si="18"/>
        <v>183.33333333333334</v>
      </c>
      <c r="BG27" s="16">
        <f t="shared" si="26"/>
        <v>3850.0000000000009</v>
      </c>
      <c r="BH27" s="17">
        <f t="shared" si="19"/>
        <v>1</v>
      </c>
      <c r="BI27" s="16">
        <f t="shared" si="27"/>
        <v>3850.0000000000009</v>
      </c>
      <c r="BJ27" s="254">
        <v>234.16399999999999</v>
      </c>
      <c r="BK27" s="197"/>
      <c r="BL27" s="197">
        <v>45.545999999999999</v>
      </c>
      <c r="BM27" s="197"/>
      <c r="BN27" s="230">
        <v>119.782</v>
      </c>
      <c r="BO27" s="230">
        <v>31.007999999999999</v>
      </c>
      <c r="BP27" s="258"/>
      <c r="BQ27" s="199"/>
      <c r="BR27" s="200">
        <v>0.89</v>
      </c>
      <c r="BS27" s="200"/>
      <c r="BT27" s="200"/>
      <c r="BU27" s="200"/>
      <c r="BV27" s="208">
        <v>0.28999999999999998</v>
      </c>
      <c r="BW27" s="208">
        <v>1.07</v>
      </c>
      <c r="BX27" s="201"/>
      <c r="BY27" s="202">
        <v>37.32</v>
      </c>
      <c r="BZ27" s="200"/>
      <c r="CA27" s="200">
        <v>43.28</v>
      </c>
      <c r="CB27" s="200"/>
      <c r="CC27" s="208">
        <v>36.24</v>
      </c>
      <c r="CD27" s="208">
        <v>31.64</v>
      </c>
      <c r="CE27" s="209"/>
      <c r="CF27" s="199"/>
      <c r="CG27" s="197"/>
      <c r="CH27" s="197"/>
      <c r="CI27" s="197">
        <v>247.15</v>
      </c>
      <c r="CJ27" s="198"/>
      <c r="CK27" s="202"/>
      <c r="CL27" s="208"/>
      <c r="CM27" s="208"/>
      <c r="CN27" s="201"/>
      <c r="CO27" s="284"/>
      <c r="CP27" s="286">
        <f t="shared" si="20"/>
        <v>232.07994039999997</v>
      </c>
      <c r="CQ27" s="24">
        <f t="shared" si="20"/>
        <v>0</v>
      </c>
      <c r="CR27" s="25">
        <f t="shared" si="20"/>
        <v>45.545999999999999</v>
      </c>
      <c r="CS27" s="24">
        <f t="shared" si="20"/>
        <v>0</v>
      </c>
      <c r="CT27" s="27">
        <f t="shared" si="20"/>
        <v>119.4346322</v>
      </c>
      <c r="CU27" s="29">
        <f t="shared" si="20"/>
        <v>30.676214400000003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247.15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28"/>
        <v>0</v>
      </c>
    </row>
    <row r="28" spans="1:110" ht="16.5" customHeight="1">
      <c r="A28" s="127">
        <v>22</v>
      </c>
      <c r="B28" s="103">
        <f>'[1]июнь 20'!K27</f>
        <v>413.94200000000001</v>
      </c>
      <c r="C28" s="104">
        <f t="shared" si="0"/>
        <v>0.34320064163578468</v>
      </c>
      <c r="D28" s="143">
        <f t="shared" si="1"/>
        <v>412.52134839999997</v>
      </c>
      <c r="E28" s="104">
        <f t="shared" si="2"/>
        <v>37.667541056476509</v>
      </c>
      <c r="F28" s="128">
        <f t="shared" si="3"/>
        <v>2.2788716627996908</v>
      </c>
      <c r="G28" s="106"/>
      <c r="H28" s="107">
        <f t="shared" si="4"/>
        <v>2.050167652193128</v>
      </c>
      <c r="I28" s="103">
        <f>'[1]сентябрь 20'!AE27</f>
        <v>0</v>
      </c>
      <c r="J28" s="328">
        <f>'[1]июнь 20'!AA27</f>
        <v>0</v>
      </c>
      <c r="K28" s="106">
        <v>30.3</v>
      </c>
      <c r="L28" s="328">
        <f>'[1]июнь 20'!AI27</f>
        <v>41.4</v>
      </c>
      <c r="M28" s="103">
        <f t="shared" si="5"/>
        <v>0.22870401060656281</v>
      </c>
      <c r="N28" s="103">
        <f>'[1]июль 20'!AM27</f>
        <v>6.6520000000000001</v>
      </c>
      <c r="O28" s="103">
        <f>'[1]июнь 20'!W27</f>
        <v>0</v>
      </c>
      <c r="P28" s="103">
        <f>'[1]июнь 20'!S27</f>
        <v>242.36699999999999</v>
      </c>
      <c r="Q28" s="108">
        <f t="shared" si="6"/>
        <v>1.4634830649387087</v>
      </c>
      <c r="R28" s="109">
        <f t="shared" si="7"/>
        <v>238.82</v>
      </c>
      <c r="S28" s="106">
        <v>4.3899999999999997</v>
      </c>
      <c r="T28" s="109">
        <f t="shared" si="8"/>
        <v>238.82</v>
      </c>
      <c r="U28" s="110">
        <f t="shared" si="9"/>
        <v>1.3193017346149598</v>
      </c>
      <c r="V28" s="129">
        <v>181.02</v>
      </c>
      <c r="W28" s="136">
        <v>134.76</v>
      </c>
      <c r="X28" s="131">
        <v>0.81</v>
      </c>
      <c r="Y28" s="133">
        <v>642</v>
      </c>
      <c r="Z28" s="133">
        <v>1229</v>
      </c>
      <c r="AA28" s="144" t="s">
        <v>327</v>
      </c>
      <c r="AB28" s="131">
        <v>76.25</v>
      </c>
      <c r="AC28" s="133">
        <v>138</v>
      </c>
      <c r="AD28" s="134">
        <v>4</v>
      </c>
      <c r="AE28" s="131">
        <v>3.05</v>
      </c>
      <c r="AF28" s="115">
        <f t="shared" si="10"/>
        <v>16.848966964976249</v>
      </c>
      <c r="AG28" s="131">
        <v>120.45</v>
      </c>
      <c r="AH28" s="115">
        <f t="shared" si="11"/>
        <v>665.39608882996356</v>
      </c>
      <c r="AI28" s="139">
        <v>14.26</v>
      </c>
      <c r="AJ28" s="131"/>
      <c r="AK28" s="136">
        <v>6.56</v>
      </c>
      <c r="AL28" s="136">
        <v>48.99</v>
      </c>
      <c r="AM28" s="110">
        <f t="shared" si="12"/>
        <v>0.20900170648464164</v>
      </c>
      <c r="AN28" s="137" t="s">
        <v>328</v>
      </c>
      <c r="AO28" s="150">
        <v>8.69</v>
      </c>
      <c r="AP28" s="138">
        <v>8.3800000000000008</v>
      </c>
      <c r="AQ28" s="134"/>
      <c r="AR28" s="131">
        <v>8.02</v>
      </c>
      <c r="AS28" s="139">
        <v>234.4</v>
      </c>
      <c r="AT28" s="131">
        <v>2.17</v>
      </c>
      <c r="AU28" s="148"/>
      <c r="AV28" s="131"/>
      <c r="AW28" s="109">
        <f t="shared" si="29"/>
        <v>0</v>
      </c>
      <c r="AX28" s="109">
        <f t="shared" si="13"/>
        <v>181.01999999999998</v>
      </c>
      <c r="AY28" s="115">
        <f t="shared" si="24"/>
        <v>177.90497566470469</v>
      </c>
      <c r="AZ28" s="140">
        <f t="shared" si="14"/>
        <v>7.4831683098591553</v>
      </c>
      <c r="BA28" s="141">
        <f t="shared" si="30"/>
        <v>7.2407999999999992</v>
      </c>
      <c r="BB28" s="128">
        <f t="shared" si="16"/>
        <v>0.88828577958290511</v>
      </c>
      <c r="BC28" s="141">
        <f t="shared" si="17"/>
        <v>14.723968309859155</v>
      </c>
      <c r="BD28" s="142">
        <v>0.88900000000000001</v>
      </c>
      <c r="BE28" s="16">
        <f t="shared" si="25"/>
        <v>4053.8699999999994</v>
      </c>
      <c r="BF28" s="16">
        <f t="shared" si="18"/>
        <v>183.33333333333334</v>
      </c>
      <c r="BG28" s="16">
        <f t="shared" si="26"/>
        <v>4033.3333333333344</v>
      </c>
      <c r="BH28" s="17">
        <f t="shared" si="19"/>
        <v>1</v>
      </c>
      <c r="BI28" s="16">
        <f t="shared" si="27"/>
        <v>4033.3333333333344</v>
      </c>
      <c r="BJ28" s="254"/>
      <c r="BK28" s="197"/>
      <c r="BL28" s="197">
        <v>41.4</v>
      </c>
      <c r="BM28" s="197">
        <v>227.59700000000001</v>
      </c>
      <c r="BN28" s="230">
        <v>115.97</v>
      </c>
      <c r="BO28" s="230">
        <v>28.975000000000001</v>
      </c>
      <c r="BP28" s="258"/>
      <c r="BQ28" s="199"/>
      <c r="BR28" s="200"/>
      <c r="BS28" s="200"/>
      <c r="BT28" s="200"/>
      <c r="BU28" s="200">
        <v>0.33</v>
      </c>
      <c r="BV28" s="208">
        <v>0.37</v>
      </c>
      <c r="BW28" s="208">
        <v>0.83</v>
      </c>
      <c r="BX28" s="201"/>
      <c r="BY28" s="202"/>
      <c r="BZ28" s="200"/>
      <c r="CA28" s="200">
        <v>42.99</v>
      </c>
      <c r="CB28" s="200">
        <v>37.04</v>
      </c>
      <c r="CC28" s="208">
        <v>38.57</v>
      </c>
      <c r="CD28" s="208">
        <v>31.38</v>
      </c>
      <c r="CE28" s="209"/>
      <c r="CF28" s="199"/>
      <c r="CG28" s="197"/>
      <c r="CH28" s="197"/>
      <c r="CI28" s="197">
        <v>238.82</v>
      </c>
      <c r="CJ28" s="198"/>
      <c r="CK28" s="202"/>
      <c r="CL28" s="208"/>
      <c r="CM28" s="208"/>
      <c r="CN28" s="201"/>
      <c r="CO28" s="284"/>
      <c r="CP28" s="286">
        <f t="shared" si="20"/>
        <v>0</v>
      </c>
      <c r="CQ28" s="29">
        <f t="shared" si="20"/>
        <v>0</v>
      </c>
      <c r="CR28" s="30">
        <f t="shared" si="20"/>
        <v>41.4</v>
      </c>
      <c r="CS28" s="29">
        <f t="shared" si="20"/>
        <v>226.84592990000002</v>
      </c>
      <c r="CT28" s="27">
        <f t="shared" si="20"/>
        <v>115.54091099999999</v>
      </c>
      <c r="CU28" s="24">
        <f t="shared" si="20"/>
        <v>28.734507500000003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238.82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28"/>
        <v>0</v>
      </c>
    </row>
    <row r="29" spans="1:110" ht="16.5" customHeight="1">
      <c r="A29" s="127">
        <v>23</v>
      </c>
      <c r="B29" s="103">
        <f>'[1]июнь 20'!K28</f>
        <v>407.52699999999999</v>
      </c>
      <c r="C29" s="104">
        <f t="shared" si="0"/>
        <v>0.52370630657600603</v>
      </c>
      <c r="D29" s="143">
        <f t="shared" si="1"/>
        <v>405.3927554</v>
      </c>
      <c r="E29" s="104">
        <f t="shared" si="2"/>
        <v>38.351479116721102</v>
      </c>
      <c r="F29" s="128">
        <f t="shared" si="3"/>
        <v>2.4793147538376861</v>
      </c>
      <c r="G29" s="106"/>
      <c r="H29" s="107">
        <f t="shared" si="4"/>
        <v>2.2297948467983613</v>
      </c>
      <c r="I29" s="103">
        <f>'[1]сентябрь 20'!AE28</f>
        <v>0</v>
      </c>
      <c r="J29" s="328">
        <f>'[1]июнь 20'!AA28</f>
        <v>0</v>
      </c>
      <c r="K29" s="106"/>
      <c r="L29" s="328">
        <f>'[1]июнь 20'!AI28</f>
        <v>40.798999999999999</v>
      </c>
      <c r="M29" s="103">
        <f t="shared" si="5"/>
        <v>0.24951990703932483</v>
      </c>
      <c r="N29" s="103">
        <f>'[1]июль 20'!AM28</f>
        <v>7.056</v>
      </c>
      <c r="O29" s="103">
        <f>'[1]июнь 20'!W28</f>
        <v>0</v>
      </c>
      <c r="P29" s="103">
        <f>'[1]июнь 20'!S28</f>
        <v>241.017</v>
      </c>
      <c r="Q29" s="108">
        <f t="shared" si="6"/>
        <v>1.6500910724139839</v>
      </c>
      <c r="R29" s="109">
        <f t="shared" si="7"/>
        <v>237.04</v>
      </c>
      <c r="S29" s="106">
        <v>44.54</v>
      </c>
      <c r="T29" s="109">
        <f t="shared" si="8"/>
        <v>237.04</v>
      </c>
      <c r="U29" s="110">
        <f t="shared" si="9"/>
        <v>1.4496972662222494</v>
      </c>
      <c r="V29" s="129">
        <v>163.51</v>
      </c>
      <c r="W29" s="136">
        <v>163.51</v>
      </c>
      <c r="X29" s="131">
        <v>0.43</v>
      </c>
      <c r="Y29" s="133">
        <v>604</v>
      </c>
      <c r="Z29" s="133">
        <v>1238</v>
      </c>
      <c r="AA29" s="144" t="s">
        <v>330</v>
      </c>
      <c r="AB29" s="131">
        <v>76.010000000000005</v>
      </c>
      <c r="AC29" s="133">
        <v>136</v>
      </c>
      <c r="AD29" s="134">
        <v>4</v>
      </c>
      <c r="AE29" s="131">
        <v>2.0499999999999998</v>
      </c>
      <c r="AF29" s="115">
        <f t="shared" si="10"/>
        <v>12.537459482600452</v>
      </c>
      <c r="AG29" s="131">
        <v>109.75</v>
      </c>
      <c r="AH29" s="115">
        <f t="shared" si="11"/>
        <v>671.21276986117061</v>
      </c>
      <c r="AI29" s="139">
        <v>15.83</v>
      </c>
      <c r="AJ29" s="131"/>
      <c r="AK29" s="136">
        <v>8.0500000000000007</v>
      </c>
      <c r="AL29" s="136">
        <v>48.24</v>
      </c>
      <c r="AM29" s="110">
        <f t="shared" si="12"/>
        <v>0.22128440366972477</v>
      </c>
      <c r="AN29" s="137" t="s">
        <v>329</v>
      </c>
      <c r="AO29" s="150">
        <v>8.58</v>
      </c>
      <c r="AP29" s="138">
        <v>8.35</v>
      </c>
      <c r="AQ29" s="134"/>
      <c r="AR29" s="131">
        <v>8.2799999999999994</v>
      </c>
      <c r="AS29" s="139">
        <v>218</v>
      </c>
      <c r="AT29" s="131">
        <v>1.8</v>
      </c>
      <c r="AU29" s="148"/>
      <c r="AV29" s="131"/>
      <c r="AW29" s="109">
        <f t="shared" si="29"/>
        <v>0</v>
      </c>
      <c r="AX29" s="109">
        <f t="shared" si="13"/>
        <v>163.51</v>
      </c>
      <c r="AY29" s="115">
        <f t="shared" si="24"/>
        <v>178.56716872922505</v>
      </c>
      <c r="AZ29" s="140">
        <f t="shared" si="14"/>
        <v>7.0394577464788721</v>
      </c>
      <c r="BA29" s="141">
        <f t="shared" si="30"/>
        <v>6.5404</v>
      </c>
      <c r="BB29" s="128">
        <f t="shared" si="16"/>
        <v>0.7993867574640996</v>
      </c>
      <c r="BC29" s="141">
        <f t="shared" si="17"/>
        <v>13.579857746478872</v>
      </c>
      <c r="BD29" s="142">
        <v>0.88500000000000001</v>
      </c>
      <c r="BE29" s="16">
        <f t="shared" si="25"/>
        <v>4217.3799999999992</v>
      </c>
      <c r="BF29" s="16">
        <f t="shared" si="18"/>
        <v>183.33333333333334</v>
      </c>
      <c r="BG29" s="16">
        <f t="shared" si="26"/>
        <v>4216.6666666666679</v>
      </c>
      <c r="BH29" s="17">
        <f t="shared" si="19"/>
        <v>1</v>
      </c>
      <c r="BI29" s="16">
        <f t="shared" si="27"/>
        <v>4216.6666666666679</v>
      </c>
      <c r="BJ29" s="254"/>
      <c r="BK29" s="197"/>
      <c r="BL29" s="197">
        <v>40.798999999999999</v>
      </c>
      <c r="BM29" s="197">
        <v>224.35400000000001</v>
      </c>
      <c r="BN29" s="230">
        <v>114.264</v>
      </c>
      <c r="BO29" s="230">
        <v>28.11</v>
      </c>
      <c r="BP29" s="258"/>
      <c r="BQ29" s="199"/>
      <c r="BR29" s="200"/>
      <c r="BS29" s="200"/>
      <c r="BT29" s="200"/>
      <c r="BU29" s="200">
        <v>0.7</v>
      </c>
      <c r="BV29" s="208">
        <v>0.24</v>
      </c>
      <c r="BW29" s="208">
        <v>1.03</v>
      </c>
      <c r="BX29" s="201"/>
      <c r="BY29" s="202"/>
      <c r="BZ29" s="200"/>
      <c r="CA29" s="200">
        <v>42.71</v>
      </c>
      <c r="CB29" s="200">
        <v>37.51</v>
      </c>
      <c r="CC29" s="208">
        <v>39.700000000000003</v>
      </c>
      <c r="CD29" s="208">
        <v>33.26</v>
      </c>
      <c r="CE29" s="201"/>
      <c r="CF29" s="199"/>
      <c r="CG29" s="197"/>
      <c r="CH29" s="197"/>
      <c r="CI29" s="230">
        <v>237.04</v>
      </c>
      <c r="CJ29" s="198"/>
      <c r="CK29" s="202"/>
      <c r="CL29" s="208"/>
      <c r="CM29" s="208"/>
      <c r="CN29" s="201"/>
      <c r="CO29" s="284"/>
      <c r="CP29" s="286">
        <f t="shared" si="20"/>
        <v>0</v>
      </c>
      <c r="CQ29" s="24">
        <f t="shared" si="20"/>
        <v>0</v>
      </c>
      <c r="CR29" s="25">
        <f t="shared" si="20"/>
        <v>40.798999999999999</v>
      </c>
      <c r="CS29" s="24">
        <f t="shared" si="20"/>
        <v>222.783522</v>
      </c>
      <c r="CT29" s="27">
        <f t="shared" si="20"/>
        <v>113.98976640000001</v>
      </c>
      <c r="CU29" s="29">
        <f t="shared" si="20"/>
        <v>27.820467000000001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237.04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28"/>
        <v>0</v>
      </c>
    </row>
    <row r="30" spans="1:110" ht="16.5" customHeight="1">
      <c r="A30" s="127">
        <v>24</v>
      </c>
      <c r="B30" s="103">
        <f>'[1]июнь 20'!K29</f>
        <v>422.76100000000002</v>
      </c>
      <c r="C30" s="104">
        <f t="shared" si="0"/>
        <v>1.2357145053588199</v>
      </c>
      <c r="D30" s="143">
        <f t="shared" si="1"/>
        <v>417.53688100000005</v>
      </c>
      <c r="E30" s="104">
        <f t="shared" si="2"/>
        <v>37.998519967546677</v>
      </c>
      <c r="F30" s="128">
        <f t="shared" si="3"/>
        <v>2.2427720953966808</v>
      </c>
      <c r="G30" s="106"/>
      <c r="H30" s="107">
        <f t="shared" si="4"/>
        <v>2.0157430359348982</v>
      </c>
      <c r="I30" s="103">
        <f>'[1]сентябрь 20'!AE29</f>
        <v>0</v>
      </c>
      <c r="J30" s="328">
        <f>'[1]июнь 20'!AA29</f>
        <v>0</v>
      </c>
      <c r="K30" s="106"/>
      <c r="L30" s="328">
        <f>'[1]июнь 20'!AI29</f>
        <v>42.265999999999998</v>
      </c>
      <c r="M30" s="103">
        <f t="shared" si="5"/>
        <v>0.22702905946178226</v>
      </c>
      <c r="N30" s="103">
        <f>'[1]июль 20'!AM29</f>
        <v>6.6029999999999998</v>
      </c>
      <c r="O30" s="103">
        <f>'[1]июнь 20'!W29</f>
        <v>0</v>
      </c>
      <c r="P30" s="103">
        <f>'[1]июнь 20'!S29</f>
        <v>250.203</v>
      </c>
      <c r="Q30" s="108">
        <f t="shared" si="6"/>
        <v>1.571923598038405</v>
      </c>
      <c r="R30" s="109">
        <f t="shared" si="7"/>
        <v>246.26999999999998</v>
      </c>
      <c r="S30" s="163"/>
      <c r="T30" s="109">
        <f t="shared" si="8"/>
        <v>246.26999999999998</v>
      </c>
      <c r="U30" s="110">
        <f t="shared" si="9"/>
        <v>1.322823226083687</v>
      </c>
      <c r="V30" s="154">
        <v>93.59</v>
      </c>
      <c r="W30" s="157">
        <v>186.17</v>
      </c>
      <c r="X30" s="149">
        <v>0.42</v>
      </c>
      <c r="Y30" s="147">
        <v>600</v>
      </c>
      <c r="Z30" s="147">
        <v>1230</v>
      </c>
      <c r="AA30" s="144" t="s">
        <v>330</v>
      </c>
      <c r="AB30" s="149">
        <v>75.06</v>
      </c>
      <c r="AC30" s="147">
        <v>141</v>
      </c>
      <c r="AD30" s="155">
        <v>4</v>
      </c>
      <c r="AE30" s="149"/>
      <c r="AF30" s="115">
        <f t="shared" si="10"/>
        <v>0</v>
      </c>
      <c r="AG30" s="131">
        <v>128.80000000000001</v>
      </c>
      <c r="AH30" s="115">
        <f t="shared" si="11"/>
        <v>691.8407906751894</v>
      </c>
      <c r="AI30" s="139">
        <v>13.74</v>
      </c>
      <c r="AJ30" s="131"/>
      <c r="AK30" s="157">
        <v>7.43</v>
      </c>
      <c r="AL30" s="157">
        <v>42.6</v>
      </c>
      <c r="AM30" s="110">
        <f t="shared" si="12"/>
        <v>0.18216805644644005</v>
      </c>
      <c r="AN30" s="158" t="s">
        <v>331</v>
      </c>
      <c r="AO30" s="404">
        <v>8.41</v>
      </c>
      <c r="AP30" s="159">
        <v>8.2200000000000006</v>
      </c>
      <c r="AQ30" s="155"/>
      <c r="AR30" s="149">
        <v>9.23</v>
      </c>
      <c r="AS30" s="156">
        <v>233.85</v>
      </c>
      <c r="AT30" s="131">
        <v>2.35</v>
      </c>
      <c r="AU30" s="164"/>
      <c r="AV30" s="149"/>
      <c r="AW30" s="109">
        <f t="shared" si="29"/>
        <v>0</v>
      </c>
      <c r="AX30" s="109">
        <f t="shared" si="13"/>
        <v>186.17</v>
      </c>
      <c r="AY30" s="115">
        <f t="shared" si="24"/>
        <v>184.53009597805388</v>
      </c>
      <c r="AZ30" s="140">
        <f t="shared" si="14"/>
        <v>9.2092000000000009</v>
      </c>
      <c r="BA30" s="141">
        <f t="shared" si="30"/>
        <v>7.4467999999999996</v>
      </c>
      <c r="BB30" s="128">
        <f t="shared" si="16"/>
        <v>0.88075828031503989</v>
      </c>
      <c r="BC30" s="141">
        <f t="shared" si="17"/>
        <v>16.655999999999999</v>
      </c>
      <c r="BD30" s="162">
        <v>0.88500000000000001</v>
      </c>
      <c r="BE30" s="16">
        <f t="shared" si="25"/>
        <v>4403.5499999999993</v>
      </c>
      <c r="BF30" s="16">
        <f t="shared" si="18"/>
        <v>183.33333333333334</v>
      </c>
      <c r="BG30" s="16">
        <f t="shared" si="26"/>
        <v>4400.0000000000009</v>
      </c>
      <c r="BH30" s="17">
        <f t="shared" si="19"/>
        <v>1</v>
      </c>
      <c r="BI30" s="16">
        <f t="shared" si="27"/>
        <v>4400.0000000000009</v>
      </c>
      <c r="BJ30" s="255"/>
      <c r="BK30" s="210"/>
      <c r="BL30" s="210">
        <v>42.265999999999998</v>
      </c>
      <c r="BM30" s="210">
        <v>232.66</v>
      </c>
      <c r="BN30" s="233">
        <v>118.38500000000001</v>
      </c>
      <c r="BO30" s="233">
        <v>29.45</v>
      </c>
      <c r="BP30" s="260"/>
      <c r="BQ30" s="212"/>
      <c r="BR30" s="213"/>
      <c r="BS30" s="213"/>
      <c r="BT30" s="213"/>
      <c r="BU30" s="213">
        <v>1.6</v>
      </c>
      <c r="BV30" s="235">
        <v>0.94</v>
      </c>
      <c r="BW30" s="235">
        <v>1.32</v>
      </c>
      <c r="BX30" s="214"/>
      <c r="BY30" s="215"/>
      <c r="BZ30" s="213"/>
      <c r="CA30" s="216">
        <v>43.2</v>
      </c>
      <c r="CB30" s="213">
        <v>37.869999999999997</v>
      </c>
      <c r="CC30" s="235">
        <v>37.64</v>
      </c>
      <c r="CD30" s="235">
        <v>32.99</v>
      </c>
      <c r="CE30" s="214"/>
      <c r="CF30" s="212"/>
      <c r="CG30" s="210"/>
      <c r="CH30" s="210">
        <v>68.88</v>
      </c>
      <c r="CI30" s="233">
        <v>177.39</v>
      </c>
      <c r="CJ30" s="198"/>
      <c r="CK30" s="202"/>
      <c r="CL30" s="208"/>
      <c r="CM30" s="208"/>
      <c r="CN30" s="201"/>
      <c r="CO30" s="284"/>
      <c r="CP30" s="286">
        <f t="shared" si="20"/>
        <v>0</v>
      </c>
      <c r="CQ30" s="24">
        <f t="shared" si="20"/>
        <v>0</v>
      </c>
      <c r="CR30" s="25">
        <f t="shared" si="20"/>
        <v>42.265999999999998</v>
      </c>
      <c r="CS30" s="24">
        <f t="shared" si="20"/>
        <v>228.93744000000001</v>
      </c>
      <c r="CT30" s="27">
        <f t="shared" si="20"/>
        <v>117.272181</v>
      </c>
      <c r="CU30" s="24">
        <f t="shared" si="20"/>
        <v>29.061260000000004</v>
      </c>
      <c r="CV30" s="280">
        <f t="shared" si="20"/>
        <v>0</v>
      </c>
      <c r="CW30" s="25">
        <f t="shared" si="21"/>
        <v>0</v>
      </c>
      <c r="CX30" s="26">
        <f t="shared" si="21"/>
        <v>68.88</v>
      </c>
      <c r="CY30" s="277">
        <f t="shared" si="21"/>
        <v>177.39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28"/>
        <v>0</v>
      </c>
    </row>
    <row r="31" spans="1:110" ht="16.5" customHeight="1">
      <c r="A31" s="127">
        <v>25</v>
      </c>
      <c r="B31" s="103">
        <f>'[1]июнь 20'!K30</f>
        <v>427.95400000000001</v>
      </c>
      <c r="C31" s="104">
        <f t="shared" si="0"/>
        <v>1.2406300677175586</v>
      </c>
      <c r="D31" s="143">
        <f t="shared" si="1"/>
        <v>422.64467400000001</v>
      </c>
      <c r="E31" s="104">
        <f t="shared" si="2"/>
        <v>38.495561532314227</v>
      </c>
      <c r="F31" s="128">
        <f t="shared" si="3"/>
        <v>2.4464266844176894</v>
      </c>
      <c r="G31" s="106"/>
      <c r="H31" s="107">
        <f t="shared" si="4"/>
        <v>2.1851046191247976</v>
      </c>
      <c r="I31" s="103">
        <f>'[1]сентябрь 20'!AE30</f>
        <v>0</v>
      </c>
      <c r="J31" s="328">
        <f>'[1]июнь 20'!AA30</f>
        <v>0</v>
      </c>
      <c r="K31" s="106"/>
      <c r="L31" s="328">
        <f>'[1]июнь 20'!AI30</f>
        <v>45.146000000000001</v>
      </c>
      <c r="M31" s="103">
        <f t="shared" si="5"/>
        <v>0.26132206529289187</v>
      </c>
      <c r="N31" s="103">
        <f>'[1]июль 20'!AM30</f>
        <v>7.069</v>
      </c>
      <c r="O31" s="103">
        <f>'[1]июнь 20'!W30</f>
        <v>0</v>
      </c>
      <c r="P31" s="103">
        <f>'[1]июнь 20'!S30</f>
        <v>251.73500000000001</v>
      </c>
      <c r="Q31" s="108">
        <f t="shared" si="6"/>
        <v>1.2850815341529875</v>
      </c>
      <c r="R31" s="109">
        <f t="shared" si="7"/>
        <v>248.49999999999997</v>
      </c>
      <c r="S31" s="106">
        <v>37.81</v>
      </c>
      <c r="T31" s="109">
        <f t="shared" si="8"/>
        <v>248.5</v>
      </c>
      <c r="U31" s="110">
        <f t="shared" si="9"/>
        <v>1.4384116693679092</v>
      </c>
      <c r="V31" s="136">
        <v>172.76</v>
      </c>
      <c r="W31" s="136">
        <v>172.76</v>
      </c>
      <c r="X31" s="131">
        <v>0.48</v>
      </c>
      <c r="Y31" s="133">
        <v>638</v>
      </c>
      <c r="Z31" s="133">
        <v>1233</v>
      </c>
      <c r="AA31" s="144" t="s">
        <v>332</v>
      </c>
      <c r="AB31" s="131">
        <v>76.3</v>
      </c>
      <c r="AC31" s="133">
        <v>143</v>
      </c>
      <c r="AD31" s="134">
        <v>4</v>
      </c>
      <c r="AE31" s="131">
        <v>7.05</v>
      </c>
      <c r="AF31" s="115">
        <f t="shared" si="10"/>
        <v>40.808057420699235</v>
      </c>
      <c r="AG31" s="131">
        <v>105.95</v>
      </c>
      <c r="AH31" s="115">
        <f t="shared" si="11"/>
        <v>613.27853669830995</v>
      </c>
      <c r="AI31" s="139">
        <v>14.69</v>
      </c>
      <c r="AJ31" s="131"/>
      <c r="AK31" s="136">
        <v>8.14</v>
      </c>
      <c r="AL31" s="136">
        <v>43.04</v>
      </c>
      <c r="AM31" s="110">
        <f t="shared" si="12"/>
        <v>0.19383021841927492</v>
      </c>
      <c r="AN31" s="137" t="s">
        <v>179</v>
      </c>
      <c r="AO31" s="150">
        <v>8.19</v>
      </c>
      <c r="AP31" s="138">
        <v>7.75</v>
      </c>
      <c r="AQ31" s="134"/>
      <c r="AR31" s="131">
        <v>9.1999999999999993</v>
      </c>
      <c r="AS31" s="139">
        <v>222.05</v>
      </c>
      <c r="AT31" s="131">
        <v>1.89</v>
      </c>
      <c r="AU31" s="148"/>
      <c r="AV31" s="131"/>
      <c r="AW31" s="109">
        <f t="shared" si="29"/>
        <v>0</v>
      </c>
      <c r="AX31" s="109">
        <f t="shared" si="13"/>
        <v>172.76</v>
      </c>
      <c r="AY31" s="115">
        <f t="shared" si="24"/>
        <v>186.1554542513677</v>
      </c>
      <c r="AZ31" s="140">
        <f t="shared" si="14"/>
        <v>7.550802816901407</v>
      </c>
      <c r="BA31" s="141">
        <f t="shared" si="30"/>
        <v>6.9104000000000001</v>
      </c>
      <c r="BB31" s="128">
        <f t="shared" si="16"/>
        <v>0.81018029048102347</v>
      </c>
      <c r="BC31" s="141">
        <f t="shared" si="17"/>
        <v>14.461202816901407</v>
      </c>
      <c r="BD31" s="142">
        <v>0.88200000000000001</v>
      </c>
      <c r="BE31" s="16">
        <f t="shared" si="25"/>
        <v>4576.3099999999995</v>
      </c>
      <c r="BF31" s="16">
        <f t="shared" si="18"/>
        <v>183.33333333333334</v>
      </c>
      <c r="BG31" s="16">
        <f t="shared" si="26"/>
        <v>4583.3333333333339</v>
      </c>
      <c r="BH31" s="17">
        <f t="shared" si="19"/>
        <v>1</v>
      </c>
      <c r="BI31" s="16">
        <f t="shared" si="27"/>
        <v>4583.3333333333339</v>
      </c>
      <c r="BJ31" s="254"/>
      <c r="BK31" s="197"/>
      <c r="BL31" s="197">
        <v>45.146000000000001</v>
      </c>
      <c r="BM31" s="197">
        <v>240.02799999999999</v>
      </c>
      <c r="BN31" s="230">
        <v>110.708</v>
      </c>
      <c r="BO31" s="230">
        <v>32.072000000000003</v>
      </c>
      <c r="BP31" s="259"/>
      <c r="BQ31" s="199"/>
      <c r="BR31" s="200"/>
      <c r="BS31" s="200"/>
      <c r="BT31" s="200"/>
      <c r="BU31" s="200">
        <v>1.37</v>
      </c>
      <c r="BV31" s="208">
        <v>1.22</v>
      </c>
      <c r="BW31" s="208">
        <v>2.09</v>
      </c>
      <c r="BX31" s="201"/>
      <c r="BY31" s="202"/>
      <c r="BZ31" s="200"/>
      <c r="CA31" s="200">
        <v>43.33</v>
      </c>
      <c r="CB31" s="200">
        <v>37.770000000000003</v>
      </c>
      <c r="CC31" s="208">
        <v>39.950000000000003</v>
      </c>
      <c r="CD31" s="208">
        <v>32.1</v>
      </c>
      <c r="CE31" s="209"/>
      <c r="CF31" s="199"/>
      <c r="CG31" s="197"/>
      <c r="CH31" s="197">
        <v>177</v>
      </c>
      <c r="CI31" s="230">
        <v>71.5</v>
      </c>
      <c r="CJ31" s="198"/>
      <c r="CK31" s="202"/>
      <c r="CL31" s="208"/>
      <c r="CM31" s="208"/>
      <c r="CN31" s="201"/>
      <c r="CO31" s="284"/>
      <c r="CP31" s="286">
        <f t="shared" si="20"/>
        <v>0</v>
      </c>
      <c r="CQ31" s="24">
        <f t="shared" si="20"/>
        <v>0</v>
      </c>
      <c r="CR31" s="25">
        <f t="shared" si="20"/>
        <v>45.146000000000001</v>
      </c>
      <c r="CS31" s="24">
        <f t="shared" si="20"/>
        <v>236.73961639999999</v>
      </c>
      <c r="CT31" s="27">
        <f t="shared" si="20"/>
        <v>109.3573624</v>
      </c>
      <c r="CU31" s="24">
        <f t="shared" si="20"/>
        <v>31.401695200000002</v>
      </c>
      <c r="CV31" s="280">
        <f t="shared" si="20"/>
        <v>0</v>
      </c>
      <c r="CW31" s="28">
        <f t="shared" si="21"/>
        <v>0</v>
      </c>
      <c r="CX31" s="24">
        <f t="shared" si="21"/>
        <v>177</v>
      </c>
      <c r="CY31" s="277">
        <f t="shared" si="21"/>
        <v>71.5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28"/>
        <v>0</v>
      </c>
    </row>
    <row r="32" spans="1:110" ht="16.5" customHeight="1">
      <c r="A32" s="127">
        <v>26</v>
      </c>
      <c r="B32" s="103">
        <f>'[1]июнь 20'!K31</f>
        <v>428.26299999999998</v>
      </c>
      <c r="C32" s="104">
        <f t="shared" si="0"/>
        <v>0.51746440855268849</v>
      </c>
      <c r="D32" s="143">
        <f t="shared" si="1"/>
        <v>426.04689139999999</v>
      </c>
      <c r="E32" s="104">
        <f t="shared" si="2"/>
        <v>38.318455575195614</v>
      </c>
      <c r="F32" s="128">
        <f t="shared" si="3"/>
        <v>2.4086775859339666</v>
      </c>
      <c r="G32" s="106"/>
      <c r="H32" s="107">
        <f t="shared" si="4"/>
        <v>2.1264636555857082</v>
      </c>
      <c r="I32" s="103">
        <f>'[1]сентябрь 20'!AE31</f>
        <v>0</v>
      </c>
      <c r="J32" s="328">
        <f>'[1]июнь 20'!AA31</f>
        <v>0</v>
      </c>
      <c r="K32" s="106"/>
      <c r="L32" s="328">
        <f>'[1]июнь 20'!AI31</f>
        <v>49.917999999999999</v>
      </c>
      <c r="M32" s="103">
        <f t="shared" si="5"/>
        <v>0.2822139303482587</v>
      </c>
      <c r="N32" s="103">
        <f>'[1]июль 20'!AM31</f>
        <v>7.0679999999999996</v>
      </c>
      <c r="O32" s="103">
        <f>'[1]июнь 20'!W31</f>
        <v>0</v>
      </c>
      <c r="P32" s="103">
        <f>'[1]июнь 20'!S31</f>
        <v>252.83199999999999</v>
      </c>
      <c r="Q32" s="108">
        <f t="shared" si="6"/>
        <v>1.7568978610302488</v>
      </c>
      <c r="R32" s="109">
        <f t="shared" si="7"/>
        <v>248.39</v>
      </c>
      <c r="S32" s="106">
        <v>1.78</v>
      </c>
      <c r="T32" s="109">
        <f t="shared" si="8"/>
        <v>248.39</v>
      </c>
      <c r="U32" s="110">
        <f t="shared" si="9"/>
        <v>1.4042853912256896</v>
      </c>
      <c r="V32" s="136">
        <v>176.88</v>
      </c>
      <c r="W32" s="136">
        <v>176.88</v>
      </c>
      <c r="X32" s="131">
        <v>0.34</v>
      </c>
      <c r="Y32" s="133">
        <v>635</v>
      </c>
      <c r="Z32" s="133">
        <v>1225</v>
      </c>
      <c r="AA32" s="144" t="s">
        <v>333</v>
      </c>
      <c r="AB32" s="131">
        <v>75.84</v>
      </c>
      <c r="AC32" s="133">
        <v>143</v>
      </c>
      <c r="AD32" s="134">
        <v>4</v>
      </c>
      <c r="AE32" s="131">
        <v>3.6</v>
      </c>
      <c r="AF32" s="115">
        <f t="shared" si="10"/>
        <v>20.3527815468114</v>
      </c>
      <c r="AG32" s="131">
        <v>133.15</v>
      </c>
      <c r="AH32" s="115">
        <f t="shared" si="11"/>
        <v>752.77023971053825</v>
      </c>
      <c r="AI32" s="139">
        <v>12.4</v>
      </c>
      <c r="AJ32" s="131"/>
      <c r="AK32" s="136">
        <v>8.0500000000000007</v>
      </c>
      <c r="AL32" s="136">
        <v>49.88</v>
      </c>
      <c r="AM32" s="110">
        <f t="shared" si="12"/>
        <v>0.21481481481481485</v>
      </c>
      <c r="AN32" s="137" t="s">
        <v>334</v>
      </c>
      <c r="AO32" s="150">
        <v>7.83</v>
      </c>
      <c r="AP32" s="138">
        <v>7.61</v>
      </c>
      <c r="AQ32" s="134"/>
      <c r="AR32" s="458">
        <v>11.63</v>
      </c>
      <c r="AS32" s="139">
        <v>232.2</v>
      </c>
      <c r="AT32" s="131">
        <v>2.61</v>
      </c>
      <c r="AU32" s="148"/>
      <c r="AV32" s="131"/>
      <c r="AW32" s="109">
        <f t="shared" si="29"/>
        <v>0</v>
      </c>
      <c r="AX32" s="109">
        <f t="shared" si="13"/>
        <v>176.88</v>
      </c>
      <c r="AY32" s="115">
        <f t="shared" si="24"/>
        <v>187.92359708816363</v>
      </c>
      <c r="AZ32" s="140">
        <f t="shared" si="14"/>
        <v>11.995689788732395</v>
      </c>
      <c r="BA32" s="141">
        <f t="shared" si="30"/>
        <v>7.0751999999999997</v>
      </c>
      <c r="BB32" s="128">
        <f t="shared" si="16"/>
        <v>0.82169691509021192</v>
      </c>
      <c r="BC32" s="141">
        <f t="shared" si="17"/>
        <v>19.070889788732394</v>
      </c>
      <c r="BD32" s="142">
        <v>0.879</v>
      </c>
      <c r="BE32" s="16">
        <f t="shared" si="25"/>
        <v>4753.1899999999996</v>
      </c>
      <c r="BF32" s="16">
        <f t="shared" si="18"/>
        <v>183.33333333333334</v>
      </c>
      <c r="BG32" s="16">
        <f t="shared" si="26"/>
        <v>4766.666666666667</v>
      </c>
      <c r="BH32" s="17">
        <f t="shared" si="19"/>
        <v>1</v>
      </c>
      <c r="BI32" s="16">
        <f t="shared" si="27"/>
        <v>4766.666666666667</v>
      </c>
      <c r="BJ32" s="254"/>
      <c r="BK32" s="197"/>
      <c r="BL32" s="197">
        <v>49.917999999999999</v>
      </c>
      <c r="BM32" s="197">
        <v>249.625</v>
      </c>
      <c r="BN32" s="230">
        <v>92.801000000000002</v>
      </c>
      <c r="BO32" s="230">
        <v>35.918999999999997</v>
      </c>
      <c r="BP32" s="258"/>
      <c r="BQ32" s="199"/>
      <c r="BR32" s="200"/>
      <c r="BS32" s="200"/>
      <c r="BT32" s="200"/>
      <c r="BU32" s="200">
        <v>0.56999999999999995</v>
      </c>
      <c r="BV32" s="208">
        <v>0.34</v>
      </c>
      <c r="BW32" s="208">
        <v>1.33</v>
      </c>
      <c r="BX32" s="201"/>
      <c r="BY32" s="202"/>
      <c r="BZ32" s="200"/>
      <c r="CA32" s="200">
        <v>42.81</v>
      </c>
      <c r="CB32" s="200">
        <v>37.99</v>
      </c>
      <c r="CC32" s="208">
        <v>38.5</v>
      </c>
      <c r="CD32" s="208">
        <v>33.89</v>
      </c>
      <c r="CE32" s="209"/>
      <c r="CF32" s="199"/>
      <c r="CG32" s="197"/>
      <c r="CH32" s="197">
        <v>176.89</v>
      </c>
      <c r="CI32" s="230">
        <v>71.5</v>
      </c>
      <c r="CJ32" s="198"/>
      <c r="CK32" s="202"/>
      <c r="CL32" s="208"/>
      <c r="CM32" s="208"/>
      <c r="CN32" s="201"/>
      <c r="CO32" s="284"/>
      <c r="CP32" s="286">
        <f t="shared" si="20"/>
        <v>0</v>
      </c>
      <c r="CQ32" s="24">
        <f t="shared" si="20"/>
        <v>0</v>
      </c>
      <c r="CR32" s="25">
        <f t="shared" si="20"/>
        <v>49.917999999999999</v>
      </c>
      <c r="CS32" s="24">
        <f t="shared" si="20"/>
        <v>248.20213750000002</v>
      </c>
      <c r="CT32" s="27">
        <f t="shared" si="20"/>
        <v>92.485476599999998</v>
      </c>
      <c r="CU32" s="24">
        <f t="shared" si="20"/>
        <v>35.441277299999996</v>
      </c>
      <c r="CV32" s="280">
        <f t="shared" si="20"/>
        <v>0</v>
      </c>
      <c r="CW32" s="25">
        <f t="shared" si="21"/>
        <v>0</v>
      </c>
      <c r="CX32" s="24">
        <f t="shared" si="21"/>
        <v>176.89</v>
      </c>
      <c r="CY32" s="277">
        <f t="shared" si="21"/>
        <v>71.5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28"/>
        <v>0</v>
      </c>
    </row>
    <row r="33" spans="1:110" ht="16.5" customHeight="1">
      <c r="A33" s="127">
        <v>27</v>
      </c>
      <c r="B33" s="103">
        <f>'[1]июнь 20'!K32</f>
        <v>425.73200000000003</v>
      </c>
      <c r="C33" s="104">
        <f t="shared" si="0"/>
        <v>0.64724284291526113</v>
      </c>
      <c r="D33" s="143">
        <f t="shared" si="1"/>
        <v>422.9764801</v>
      </c>
      <c r="E33" s="104">
        <f t="shared" si="2"/>
        <v>38.177037455488424</v>
      </c>
      <c r="F33" s="128">
        <f t="shared" si="3"/>
        <v>2.3794806486273625</v>
      </c>
      <c r="G33" s="106"/>
      <c r="H33" s="107">
        <f t="shared" si="4"/>
        <v>2.1001039609585956</v>
      </c>
      <c r="I33" s="103">
        <f>'[1]сентябрь 20'!AE32</f>
        <v>0</v>
      </c>
      <c r="J33" s="328">
        <f>'[1]июнь 20'!AA32</f>
        <v>0</v>
      </c>
      <c r="K33" s="106"/>
      <c r="L33" s="328">
        <f>'[1]июнь 20'!AI32</f>
        <v>49.661999999999999</v>
      </c>
      <c r="M33" s="103">
        <f t="shared" si="5"/>
        <v>0.27937668766876683</v>
      </c>
      <c r="N33" s="103">
        <f>'[1]июль 20'!AM32</f>
        <v>6.9580000000000002</v>
      </c>
      <c r="O33" s="103">
        <f>'[1]июнь 20'!W32</f>
        <v>0</v>
      </c>
      <c r="P33" s="103">
        <f>'[1]июнь 20'!S32</f>
        <v>253.845</v>
      </c>
      <c r="Q33" s="108">
        <f t="shared" si="6"/>
        <v>1.7392503299257345</v>
      </c>
      <c r="R33" s="109">
        <f t="shared" si="7"/>
        <v>249.43</v>
      </c>
      <c r="S33" s="131">
        <v>32.92</v>
      </c>
      <c r="T33" s="109">
        <f t="shared" si="8"/>
        <v>249.43</v>
      </c>
      <c r="U33" s="110">
        <f t="shared" si="9"/>
        <v>1.4031840684068406</v>
      </c>
      <c r="V33" s="136">
        <v>177.76</v>
      </c>
      <c r="W33" s="136">
        <v>177.76</v>
      </c>
      <c r="X33" s="131">
        <v>0.3</v>
      </c>
      <c r="Y33" s="133">
        <v>696</v>
      </c>
      <c r="Z33" s="133">
        <v>1236</v>
      </c>
      <c r="AA33" s="144" t="s">
        <v>295</v>
      </c>
      <c r="AB33" s="131">
        <v>75.78</v>
      </c>
      <c r="AC33" s="133">
        <v>142</v>
      </c>
      <c r="AD33" s="134">
        <v>4</v>
      </c>
      <c r="AE33" s="131">
        <v>1.75</v>
      </c>
      <c r="AF33" s="115">
        <f t="shared" si="10"/>
        <v>9.8447344734473425</v>
      </c>
      <c r="AG33" s="131">
        <v>115.85</v>
      </c>
      <c r="AH33" s="115">
        <f t="shared" si="11"/>
        <v>651.72142214221412</v>
      </c>
      <c r="AI33" s="139">
        <v>15.57</v>
      </c>
      <c r="AJ33" s="131"/>
      <c r="AK33" s="136">
        <v>7.35</v>
      </c>
      <c r="AL33" s="136">
        <v>41.1</v>
      </c>
      <c r="AM33" s="110">
        <f t="shared" si="12"/>
        <v>0.18397493285586392</v>
      </c>
      <c r="AN33" s="137" t="s">
        <v>335</v>
      </c>
      <c r="AO33" s="150">
        <v>8.0299999999999994</v>
      </c>
      <c r="AP33" s="138">
        <v>7.48</v>
      </c>
      <c r="AQ33" s="134"/>
      <c r="AR33" s="458">
        <v>10</v>
      </c>
      <c r="AS33" s="139">
        <v>223.4</v>
      </c>
      <c r="AT33" s="131">
        <v>2.81</v>
      </c>
      <c r="AU33" s="116"/>
      <c r="AV33" s="131"/>
      <c r="AW33" s="109">
        <f t="shared" si="29"/>
        <v>0</v>
      </c>
      <c r="AX33" s="109">
        <f t="shared" si="13"/>
        <v>177.76000000000002</v>
      </c>
      <c r="AY33" s="115">
        <f t="shared" si="24"/>
        <v>186.02790090096559</v>
      </c>
      <c r="AZ33" s="140">
        <f t="shared" si="14"/>
        <v>8.9742957746478869</v>
      </c>
      <c r="BA33" s="141">
        <f t="shared" si="30"/>
        <v>7.1104000000000012</v>
      </c>
      <c r="BB33" s="128">
        <f t="shared" si="16"/>
        <v>0.83420002724545339</v>
      </c>
      <c r="BC33" s="141">
        <f t="shared" si="17"/>
        <v>16.084695774647887</v>
      </c>
      <c r="BD33" s="142">
        <v>0.878</v>
      </c>
      <c r="BE33" s="16">
        <f t="shared" si="25"/>
        <v>4930.95</v>
      </c>
      <c r="BF33" s="16">
        <f t="shared" si="18"/>
        <v>183.33333333333334</v>
      </c>
      <c r="BG33" s="16">
        <f t="shared" si="26"/>
        <v>4950</v>
      </c>
      <c r="BH33" s="17">
        <f t="shared" si="19"/>
        <v>1</v>
      </c>
      <c r="BI33" s="16">
        <f t="shared" si="27"/>
        <v>4950</v>
      </c>
      <c r="BJ33" s="254"/>
      <c r="BK33" s="197"/>
      <c r="BL33" s="197">
        <v>49.661999999999999</v>
      </c>
      <c r="BM33" s="197">
        <v>248.56800000000001</v>
      </c>
      <c r="BN33" s="230">
        <v>92.275000000000006</v>
      </c>
      <c r="BO33" s="230">
        <v>35.226999999999997</v>
      </c>
      <c r="BP33" s="258"/>
      <c r="BQ33" s="199"/>
      <c r="BR33" s="200"/>
      <c r="BS33" s="200"/>
      <c r="BT33" s="200"/>
      <c r="BU33" s="200">
        <v>0.74</v>
      </c>
      <c r="BV33" s="208">
        <v>0.34</v>
      </c>
      <c r="BW33" s="208">
        <v>1.71</v>
      </c>
      <c r="BX33" s="201"/>
      <c r="BY33" s="202"/>
      <c r="BZ33" s="200"/>
      <c r="CA33" s="200">
        <v>42.66</v>
      </c>
      <c r="CB33" s="200">
        <v>37.71</v>
      </c>
      <c r="CC33" s="208">
        <v>39.56</v>
      </c>
      <c r="CD33" s="208">
        <v>31.53</v>
      </c>
      <c r="CE33" s="209"/>
      <c r="CF33" s="199"/>
      <c r="CG33" s="197"/>
      <c r="CH33" s="197">
        <v>178.43</v>
      </c>
      <c r="CI33" s="230">
        <v>71</v>
      </c>
      <c r="CJ33" s="198"/>
      <c r="CK33" s="202"/>
      <c r="CL33" s="208"/>
      <c r="CM33" s="208"/>
      <c r="CN33" s="209"/>
      <c r="CO33" s="284"/>
      <c r="CP33" s="286">
        <f t="shared" si="20"/>
        <v>0</v>
      </c>
      <c r="CQ33" s="24">
        <f t="shared" si="20"/>
        <v>0</v>
      </c>
      <c r="CR33" s="25">
        <f t="shared" si="20"/>
        <v>49.661999999999999</v>
      </c>
      <c r="CS33" s="24">
        <f t="shared" si="20"/>
        <v>246.72859680000002</v>
      </c>
      <c r="CT33" s="27">
        <f t="shared" si="20"/>
        <v>91.961264999999997</v>
      </c>
      <c r="CU33" s="24">
        <f t="shared" si="20"/>
        <v>34.624618300000002</v>
      </c>
      <c r="CV33" s="280">
        <f t="shared" si="20"/>
        <v>0</v>
      </c>
      <c r="CW33" s="25">
        <f t="shared" si="21"/>
        <v>0</v>
      </c>
      <c r="CX33" s="24">
        <f t="shared" si="21"/>
        <v>178.43</v>
      </c>
      <c r="CY33" s="277">
        <f t="shared" si="21"/>
        <v>71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28"/>
        <v>0</v>
      </c>
    </row>
    <row r="34" spans="1:110" ht="16.5" customHeight="1">
      <c r="A34" s="127">
        <v>28</v>
      </c>
      <c r="B34" s="103">
        <f>'[1]июнь 20'!K33</f>
        <v>416.86200000000002</v>
      </c>
      <c r="C34" s="104">
        <f t="shared" si="0"/>
        <v>0.79624098622565731</v>
      </c>
      <c r="D34" s="143">
        <f t="shared" si="1"/>
        <v>413.54277389999999</v>
      </c>
      <c r="E34" s="104">
        <f t="shared" si="2"/>
        <v>38.429370607059411</v>
      </c>
      <c r="F34" s="128">
        <f t="shared" si="3"/>
        <v>2.2944006541278292</v>
      </c>
      <c r="G34" s="106"/>
      <c r="H34" s="107">
        <f t="shared" si="4"/>
        <v>2.0244827668664005</v>
      </c>
      <c r="I34" s="103">
        <f>'[1]сентябрь 20'!AE33</f>
        <v>0</v>
      </c>
      <c r="J34" s="328">
        <f>'[1]июнь 20'!AA33</f>
        <v>0</v>
      </c>
      <c r="K34" s="106"/>
      <c r="L34" s="328">
        <f>'[1]июнь 20'!AI33</f>
        <v>48.65</v>
      </c>
      <c r="M34" s="103">
        <f t="shared" si="5"/>
        <v>0.26991788726142918</v>
      </c>
      <c r="N34" s="103">
        <f>'[1]июль 20'!AM33</f>
        <v>7.2119999999999997</v>
      </c>
      <c r="O34" s="103">
        <f>'[1]июнь 20'!W33</f>
        <v>0</v>
      </c>
      <c r="P34" s="103">
        <f>'[1]июнь 20'!S33</f>
        <v>251.56899999999999</v>
      </c>
      <c r="Q34" s="108">
        <f t="shared" si="6"/>
        <v>1.88775246552636</v>
      </c>
      <c r="R34" s="109">
        <f t="shared" si="7"/>
        <v>246.82</v>
      </c>
      <c r="S34" s="149">
        <v>15.45</v>
      </c>
      <c r="T34" s="109">
        <f t="shared" si="8"/>
        <v>246.82</v>
      </c>
      <c r="U34" s="110">
        <f t="shared" si="9"/>
        <v>1.3693963604083443</v>
      </c>
      <c r="V34" s="157">
        <v>180.24</v>
      </c>
      <c r="W34" s="157">
        <v>180.24</v>
      </c>
      <c r="X34" s="149">
        <v>0.4</v>
      </c>
      <c r="Y34" s="147">
        <v>675</v>
      </c>
      <c r="Z34" s="147">
        <v>1224</v>
      </c>
      <c r="AA34" s="144" t="s">
        <v>285</v>
      </c>
      <c r="AB34" s="149">
        <v>75.84</v>
      </c>
      <c r="AC34" s="147">
        <v>139</v>
      </c>
      <c r="AD34" s="155">
        <v>4</v>
      </c>
      <c r="AE34" s="149">
        <v>2.6</v>
      </c>
      <c r="AF34" s="115">
        <f t="shared" si="10"/>
        <v>14.425210830004438</v>
      </c>
      <c r="AG34" s="149">
        <v>114.1</v>
      </c>
      <c r="AH34" s="115">
        <f t="shared" si="11"/>
        <v>633.04482911673324</v>
      </c>
      <c r="AI34" s="156">
        <v>16.079999999999998</v>
      </c>
      <c r="AJ34" s="149"/>
      <c r="AK34" s="157">
        <v>8.81</v>
      </c>
      <c r="AL34" s="157">
        <v>36.25</v>
      </c>
      <c r="AM34" s="110">
        <f t="shared" si="12"/>
        <v>0.16208361278783814</v>
      </c>
      <c r="AN34" s="158" t="s">
        <v>336</v>
      </c>
      <c r="AO34" s="404">
        <v>7.96</v>
      </c>
      <c r="AP34" s="159">
        <v>7.94</v>
      </c>
      <c r="AQ34" s="155"/>
      <c r="AR34" s="149">
        <v>9.5500000000000007</v>
      </c>
      <c r="AS34" s="156">
        <v>223.65</v>
      </c>
      <c r="AT34" s="131">
        <v>1.65</v>
      </c>
      <c r="AU34" s="148"/>
      <c r="AV34" s="149"/>
      <c r="AW34" s="109">
        <f t="shared" si="29"/>
        <v>0</v>
      </c>
      <c r="AX34" s="109">
        <f t="shared" si="13"/>
        <v>180.24</v>
      </c>
      <c r="AY34" s="115">
        <f t="shared" si="24"/>
        <v>182.936189056237</v>
      </c>
      <c r="AZ34" s="140">
        <f t="shared" si="14"/>
        <v>8.4409894366197182</v>
      </c>
      <c r="BA34" s="141">
        <f t="shared" si="30"/>
        <v>7.2096000000000009</v>
      </c>
      <c r="BB34" s="128">
        <f t="shared" si="16"/>
        <v>0.86013336569304322</v>
      </c>
      <c r="BC34" s="141">
        <f t="shared" si="17"/>
        <v>15.650589436619718</v>
      </c>
      <c r="BD34" s="165">
        <v>0.877</v>
      </c>
      <c r="BE34" s="16">
        <f t="shared" si="25"/>
        <v>5111.1899999999996</v>
      </c>
      <c r="BF34" s="16">
        <f t="shared" si="18"/>
        <v>183.33333333333334</v>
      </c>
      <c r="BG34" s="16">
        <f t="shared" si="26"/>
        <v>5133.333333333333</v>
      </c>
      <c r="BH34" s="17">
        <f t="shared" si="19"/>
        <v>1</v>
      </c>
      <c r="BI34" s="16">
        <f t="shared" si="27"/>
        <v>5133.333333333333</v>
      </c>
      <c r="BJ34" s="255"/>
      <c r="BK34" s="210"/>
      <c r="BL34" s="210">
        <v>48.65</v>
      </c>
      <c r="BM34" s="210">
        <v>243.25700000000001</v>
      </c>
      <c r="BN34" s="233">
        <v>90.433000000000007</v>
      </c>
      <c r="BO34" s="233">
        <v>34.521999999999998</v>
      </c>
      <c r="BP34" s="260"/>
      <c r="BQ34" s="212"/>
      <c r="BR34" s="213"/>
      <c r="BS34" s="213"/>
      <c r="BT34" s="213"/>
      <c r="BU34" s="213">
        <v>0.67</v>
      </c>
      <c r="BV34" s="235">
        <v>0.7</v>
      </c>
      <c r="BW34" s="235">
        <v>3.06</v>
      </c>
      <c r="BX34" s="214"/>
      <c r="BY34" s="215"/>
      <c r="BZ34" s="213"/>
      <c r="CA34" s="213">
        <v>42.83</v>
      </c>
      <c r="CB34" s="213">
        <v>37.869999999999997</v>
      </c>
      <c r="CC34" s="235">
        <v>38.619999999999997</v>
      </c>
      <c r="CD34" s="235">
        <v>35.67</v>
      </c>
      <c r="CE34" s="211"/>
      <c r="CF34" s="212"/>
      <c r="CG34" s="210"/>
      <c r="CH34" s="210">
        <v>177.32</v>
      </c>
      <c r="CI34" s="233">
        <v>69.5</v>
      </c>
      <c r="CJ34" s="198"/>
      <c r="CK34" s="202"/>
      <c r="CL34" s="208"/>
      <c r="CM34" s="208"/>
      <c r="CN34" s="209"/>
      <c r="CO34" s="284"/>
      <c r="CP34" s="286">
        <f t="shared" si="20"/>
        <v>0</v>
      </c>
      <c r="CQ34" s="24">
        <f t="shared" si="20"/>
        <v>0</v>
      </c>
      <c r="CR34" s="25">
        <f t="shared" si="20"/>
        <v>48.65</v>
      </c>
      <c r="CS34" s="24">
        <f t="shared" si="20"/>
        <v>241.62717810000001</v>
      </c>
      <c r="CT34" s="27">
        <f t="shared" si="20"/>
        <v>89.799969000000004</v>
      </c>
      <c r="CU34" s="24">
        <f t="shared" si="20"/>
        <v>33.465626799999995</v>
      </c>
      <c r="CV34" s="280">
        <f t="shared" si="20"/>
        <v>0</v>
      </c>
      <c r="CW34" s="30">
        <f t="shared" si="21"/>
        <v>0</v>
      </c>
      <c r="CX34" s="29">
        <f t="shared" si="21"/>
        <v>177.32</v>
      </c>
      <c r="CY34" s="277">
        <f t="shared" si="21"/>
        <v>69.5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28"/>
        <v>0</v>
      </c>
    </row>
    <row r="35" spans="1:110" ht="16.5" customHeight="1">
      <c r="A35" s="127">
        <v>29</v>
      </c>
      <c r="B35" s="103">
        <f>'[1]июнь 20'!K34</f>
        <v>387.40800000000002</v>
      </c>
      <c r="C35" s="104">
        <f t="shared" si="0"/>
        <v>0.9248340509230577</v>
      </c>
      <c r="D35" s="143">
        <f t="shared" si="1"/>
        <v>383.82511890000006</v>
      </c>
      <c r="E35" s="104">
        <f t="shared" si="2"/>
        <v>37.916223671168375</v>
      </c>
      <c r="F35" s="128">
        <f t="shared" si="3"/>
        <v>2.2510416919828753</v>
      </c>
      <c r="G35" s="106"/>
      <c r="H35" s="107">
        <f t="shared" si="4"/>
        <v>1.9864413752859069</v>
      </c>
      <c r="I35" s="103">
        <f>'[1]сентябрь 20'!AE34</f>
        <v>0</v>
      </c>
      <c r="J35" s="328">
        <f>'[1]июнь 20'!AA34</f>
        <v>0</v>
      </c>
      <c r="K35" s="106"/>
      <c r="L35" s="328">
        <f>'[1]июнь 20'!AI34</f>
        <v>45.116999999999997</v>
      </c>
      <c r="M35" s="103">
        <f t="shared" si="5"/>
        <v>0.26460031669696799</v>
      </c>
      <c r="N35" s="103">
        <f>'[1]июль 20'!AM34</f>
        <v>6.298</v>
      </c>
      <c r="O35" s="328">
        <f>'[1]июнь 20'!W34</f>
        <v>10.055</v>
      </c>
      <c r="P35" s="103">
        <f>'[1]июнь 20'!S34</f>
        <v>237.988</v>
      </c>
      <c r="Q35" s="108">
        <f t="shared" si="6"/>
        <v>2.1085096727566088</v>
      </c>
      <c r="R35" s="109">
        <f t="shared" si="7"/>
        <v>232.97</v>
      </c>
      <c r="S35" s="131">
        <v>14.35</v>
      </c>
      <c r="T35" s="109">
        <f t="shared" si="8"/>
        <v>232.97</v>
      </c>
      <c r="U35" s="110">
        <f t="shared" si="9"/>
        <v>1.3663128262272008</v>
      </c>
      <c r="V35" s="136">
        <v>131.16999999999999</v>
      </c>
      <c r="W35" s="136">
        <v>170.51</v>
      </c>
      <c r="X35" s="131">
        <v>0.57999999999999996</v>
      </c>
      <c r="Y35" s="133">
        <v>670</v>
      </c>
      <c r="Z35" s="133">
        <v>1233</v>
      </c>
      <c r="AA35" s="144" t="s">
        <v>330</v>
      </c>
      <c r="AB35" s="131">
        <v>75.97</v>
      </c>
      <c r="AC35" s="133">
        <v>129</v>
      </c>
      <c r="AD35" s="134">
        <v>4</v>
      </c>
      <c r="AE35" s="166">
        <v>3.2</v>
      </c>
      <c r="AF35" s="115">
        <f t="shared" si="10"/>
        <v>18.767227728578973</v>
      </c>
      <c r="AG35" s="166">
        <v>114.75</v>
      </c>
      <c r="AH35" s="115">
        <f t="shared" si="11"/>
        <v>672.98105682951143</v>
      </c>
      <c r="AI35" s="139">
        <v>15.37</v>
      </c>
      <c r="AJ35" s="131"/>
      <c r="AK35" s="167">
        <v>10.08</v>
      </c>
      <c r="AL35" s="167">
        <v>42.72</v>
      </c>
      <c r="AM35" s="110">
        <f t="shared" si="12"/>
        <v>0.19325944356480432</v>
      </c>
      <c r="AN35" s="168" t="s">
        <v>161</v>
      </c>
      <c r="AO35" s="405">
        <v>7.98</v>
      </c>
      <c r="AP35" s="169">
        <v>7.65</v>
      </c>
      <c r="AQ35" s="170"/>
      <c r="AR35" s="166">
        <v>9.94</v>
      </c>
      <c r="AS35" s="171">
        <v>221.05</v>
      </c>
      <c r="AT35" s="131">
        <v>2.2599999999999998</v>
      </c>
      <c r="AU35" s="116"/>
      <c r="AV35" s="131"/>
      <c r="AW35" s="109">
        <f t="shared" si="29"/>
        <v>0</v>
      </c>
      <c r="AX35" s="109">
        <f t="shared" si="13"/>
        <v>170.51</v>
      </c>
      <c r="AY35" s="115">
        <f t="shared" si="24"/>
        <v>167.23631404968276</v>
      </c>
      <c r="AZ35" s="140">
        <f t="shared" si="14"/>
        <v>8.8357499999999991</v>
      </c>
      <c r="BA35" s="141">
        <f t="shared" si="30"/>
        <v>6.8203999999999994</v>
      </c>
      <c r="BB35" s="128">
        <f t="shared" si="16"/>
        <v>0.8900891582421383</v>
      </c>
      <c r="BC35" s="141">
        <f t="shared" si="17"/>
        <v>15.656149999999998</v>
      </c>
      <c r="BD35" s="165">
        <v>0.878</v>
      </c>
      <c r="BE35" s="16">
        <f t="shared" si="25"/>
        <v>5281.7</v>
      </c>
      <c r="BF35" s="16">
        <f t="shared" si="18"/>
        <v>183.33333333333334</v>
      </c>
      <c r="BG35" s="16">
        <f t="shared" si="26"/>
        <v>5316.6666666666661</v>
      </c>
      <c r="BH35" s="17">
        <f t="shared" si="19"/>
        <v>1</v>
      </c>
      <c r="BI35" s="16">
        <f t="shared" si="27"/>
        <v>5316.6666666666661</v>
      </c>
      <c r="BJ35" s="254"/>
      <c r="BK35" s="197">
        <v>21.003</v>
      </c>
      <c r="BL35" s="197">
        <v>24.114000000000001</v>
      </c>
      <c r="BM35" s="197">
        <v>225.815</v>
      </c>
      <c r="BN35" s="230">
        <v>83.867000000000004</v>
      </c>
      <c r="BO35" s="230">
        <v>32.609000000000002</v>
      </c>
      <c r="BP35" s="259"/>
      <c r="BQ35" s="199"/>
      <c r="BR35" s="200"/>
      <c r="BS35" s="200"/>
      <c r="BT35" s="200"/>
      <c r="BU35" s="200">
        <v>0.84</v>
      </c>
      <c r="BV35" s="208">
        <v>0.98</v>
      </c>
      <c r="BW35" s="208">
        <v>2.65</v>
      </c>
      <c r="BX35" s="201"/>
      <c r="BY35" s="202"/>
      <c r="BZ35" s="200">
        <v>43.45</v>
      </c>
      <c r="CA35" s="200">
        <v>43.31</v>
      </c>
      <c r="CB35" s="200">
        <v>37.67</v>
      </c>
      <c r="CC35" s="208">
        <v>38.25</v>
      </c>
      <c r="CD35" s="208">
        <v>31.21</v>
      </c>
      <c r="CE35" s="209"/>
      <c r="CF35" s="199"/>
      <c r="CG35" s="197"/>
      <c r="CH35" s="197">
        <v>168.47</v>
      </c>
      <c r="CI35" s="230">
        <v>64.5</v>
      </c>
      <c r="CJ35" s="198"/>
      <c r="CK35" s="202"/>
      <c r="CL35" s="208"/>
      <c r="CM35" s="208"/>
      <c r="CN35" s="209"/>
      <c r="CP35" s="286">
        <f t="shared" si="20"/>
        <v>0</v>
      </c>
      <c r="CQ35" s="24">
        <f t="shared" si="20"/>
        <v>21.003</v>
      </c>
      <c r="CR35" s="24">
        <f t="shared" si="20"/>
        <v>24.114000000000001</v>
      </c>
      <c r="CS35" s="24">
        <f t="shared" si="20"/>
        <v>223.91815399999999</v>
      </c>
      <c r="CT35" s="27">
        <f t="shared" si="20"/>
        <v>83.045103400000002</v>
      </c>
      <c r="CU35" s="27">
        <f t="shared" si="20"/>
        <v>31.744861499999999</v>
      </c>
      <c r="CV35" s="280">
        <f t="shared" si="20"/>
        <v>0</v>
      </c>
      <c r="CW35" s="237">
        <f t="shared" si="21"/>
        <v>0</v>
      </c>
      <c r="CX35" s="26">
        <f t="shared" si="21"/>
        <v>168.47</v>
      </c>
      <c r="CY35" s="277">
        <f t="shared" si="21"/>
        <v>64.5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28"/>
        <v>0</v>
      </c>
    </row>
    <row r="36" spans="1:110" ht="16.5" customHeight="1">
      <c r="A36" s="127">
        <v>30</v>
      </c>
      <c r="B36" s="103">
        <f>'[1]июнь 20'!K35</f>
        <v>279.48399999999998</v>
      </c>
      <c r="C36" s="104">
        <f t="shared" si="0"/>
        <v>1.4639014397961958</v>
      </c>
      <c r="D36" s="143">
        <f t="shared" si="1"/>
        <v>275.39262969999999</v>
      </c>
      <c r="E36" s="104">
        <f t="shared" si="2"/>
        <v>38.066214022985214</v>
      </c>
      <c r="F36" s="128">
        <f t="shared" si="3"/>
        <v>2.7086911547162384</v>
      </c>
      <c r="G36" s="106"/>
      <c r="H36" s="107">
        <f t="shared" si="4"/>
        <v>2.407579715747024</v>
      </c>
      <c r="I36" s="103">
        <f>'[1]сентябрь 20'!AE35</f>
        <v>0</v>
      </c>
      <c r="J36" s="328">
        <f>'[1]июнь 20'!AA35</f>
        <v>0</v>
      </c>
      <c r="K36" s="106">
        <v>23.16</v>
      </c>
      <c r="L36" s="328">
        <f>'[1]июнь 20'!AI35</f>
        <v>30.614000000000001</v>
      </c>
      <c r="M36" s="103">
        <f t="shared" si="5"/>
        <v>0.30111143896921411</v>
      </c>
      <c r="N36" s="103">
        <f>'[1]июль 20'!AM35</f>
        <v>7.1239999999999997</v>
      </c>
      <c r="O36" s="103">
        <f>'[1]июнь 20'!W35</f>
        <v>9.2780000000000005</v>
      </c>
      <c r="P36" s="103">
        <f>'[1]июнь 20'!S35</f>
        <v>173.4</v>
      </c>
      <c r="Q36" s="108">
        <f t="shared" si="6"/>
        <v>1.7589388696655051</v>
      </c>
      <c r="R36" s="109">
        <f t="shared" si="7"/>
        <v>170.35000000000005</v>
      </c>
      <c r="S36" s="131">
        <v>1.98</v>
      </c>
      <c r="T36" s="109">
        <f t="shared" si="8"/>
        <v>170.35000000000002</v>
      </c>
      <c r="U36" s="110">
        <f t="shared" si="9"/>
        <v>1.6755188354480184</v>
      </c>
      <c r="V36" s="136">
        <v>64.91</v>
      </c>
      <c r="W36" s="136">
        <v>101.67</v>
      </c>
      <c r="X36" s="131">
        <v>0.33</v>
      </c>
      <c r="Y36" s="133">
        <v>666</v>
      </c>
      <c r="Z36" s="133">
        <v>1178</v>
      </c>
      <c r="AA36" s="144" t="s">
        <v>339</v>
      </c>
      <c r="AB36" s="131">
        <v>75.23</v>
      </c>
      <c r="AC36" s="133">
        <v>93</v>
      </c>
      <c r="AD36" s="134">
        <v>3</v>
      </c>
      <c r="AE36" s="131"/>
      <c r="AF36" s="115">
        <f t="shared" si="10"/>
        <v>0</v>
      </c>
      <c r="AG36" s="131">
        <v>84.45</v>
      </c>
      <c r="AH36" s="115">
        <f t="shared" si="11"/>
        <v>830.62850398347587</v>
      </c>
      <c r="AI36" s="139">
        <v>14.03</v>
      </c>
      <c r="AJ36" s="131"/>
      <c r="AK36" s="136">
        <v>6.1</v>
      </c>
      <c r="AL36" s="136">
        <v>36.03</v>
      </c>
      <c r="AM36" s="110">
        <f t="shared" si="12"/>
        <v>0.25055632823365787</v>
      </c>
      <c r="AN36" s="137" t="s">
        <v>215</v>
      </c>
      <c r="AO36" s="150">
        <v>8.0299999999999994</v>
      </c>
      <c r="AP36" s="138">
        <v>7.06</v>
      </c>
      <c r="AQ36" s="134"/>
      <c r="AR36" s="131">
        <v>9.01</v>
      </c>
      <c r="AS36" s="139">
        <v>143.80000000000001</v>
      </c>
      <c r="AT36" s="131"/>
      <c r="AU36" s="116"/>
      <c r="AV36" s="131"/>
      <c r="AW36" s="109">
        <f t="shared" si="29"/>
        <v>0</v>
      </c>
      <c r="AX36" s="109">
        <f t="shared" si="13"/>
        <v>101.67000000000002</v>
      </c>
      <c r="AY36" s="115">
        <f t="shared" si="24"/>
        <v>121.65085903407912</v>
      </c>
      <c r="AZ36" s="140">
        <f t="shared" si="14"/>
        <v>5.8942531690140845</v>
      </c>
      <c r="BA36" s="141">
        <f t="shared" si="30"/>
        <v>4.0668000000000006</v>
      </c>
      <c r="BB36" s="128">
        <f t="shared" si="16"/>
        <v>0.72961186385979793</v>
      </c>
      <c r="BC36" s="141">
        <f t="shared" si="17"/>
        <v>9.961053169014086</v>
      </c>
      <c r="BD36" s="165">
        <v>0.874</v>
      </c>
      <c r="BE36" s="16">
        <f t="shared" si="25"/>
        <v>5383.37</v>
      </c>
      <c r="BF36" s="16">
        <f t="shared" si="18"/>
        <v>183.33333333333334</v>
      </c>
      <c r="BG36" s="16">
        <f t="shared" si="26"/>
        <v>5499.9999999999991</v>
      </c>
      <c r="BH36" s="17">
        <f t="shared" si="19"/>
        <v>1</v>
      </c>
      <c r="BI36" s="16">
        <f t="shared" si="27"/>
        <v>5499.9999999999991</v>
      </c>
      <c r="BJ36" s="254"/>
      <c r="BK36" s="197">
        <v>30.614000000000001</v>
      </c>
      <c r="BL36" s="197"/>
      <c r="BM36" s="197">
        <v>166.703</v>
      </c>
      <c r="BN36" s="230">
        <v>60.600999999999999</v>
      </c>
      <c r="BO36" s="230">
        <v>21.565999999999999</v>
      </c>
      <c r="BP36" s="258"/>
      <c r="BQ36" s="199"/>
      <c r="BR36" s="200"/>
      <c r="BS36" s="200"/>
      <c r="BT36" s="200"/>
      <c r="BU36" s="200">
        <v>1.39</v>
      </c>
      <c r="BV36" s="208">
        <v>1.28</v>
      </c>
      <c r="BW36" s="208">
        <v>4.63</v>
      </c>
      <c r="BX36" s="201"/>
      <c r="BY36" s="202"/>
      <c r="BZ36" s="200">
        <v>43.16</v>
      </c>
      <c r="CA36" s="200"/>
      <c r="CB36" s="200">
        <v>37.75</v>
      </c>
      <c r="CC36" s="208">
        <v>37.97</v>
      </c>
      <c r="CD36" s="208">
        <v>33.549999999999997</v>
      </c>
      <c r="CE36" s="209"/>
      <c r="CF36" s="199"/>
      <c r="CG36" s="197"/>
      <c r="CH36" s="197">
        <v>106.17</v>
      </c>
      <c r="CI36" s="230">
        <v>64.180000000000007</v>
      </c>
      <c r="CJ36" s="198"/>
      <c r="CK36" s="202"/>
      <c r="CL36" s="208"/>
      <c r="CM36" s="208"/>
      <c r="CN36" s="209"/>
      <c r="CP36" s="286">
        <f t="shared" si="20"/>
        <v>0</v>
      </c>
      <c r="CQ36" s="27">
        <f t="shared" si="20"/>
        <v>30.614000000000001</v>
      </c>
      <c r="CR36" s="28">
        <f t="shared" si="20"/>
        <v>0</v>
      </c>
      <c r="CS36" s="27">
        <f t="shared" si="20"/>
        <v>164.38582829999999</v>
      </c>
      <c r="CT36" s="27">
        <f t="shared" si="20"/>
        <v>59.825307199999997</v>
      </c>
      <c r="CU36" s="29">
        <f t="shared" si="20"/>
        <v>20.567494199999999</v>
      </c>
      <c r="CV36" s="281">
        <f t="shared" si="20"/>
        <v>0</v>
      </c>
      <c r="CW36" s="25">
        <f t="shared" si="21"/>
        <v>0</v>
      </c>
      <c r="CX36" s="24">
        <f t="shared" si="21"/>
        <v>106.17</v>
      </c>
      <c r="CY36" s="277">
        <f t="shared" si="21"/>
        <v>64.180000000000007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28"/>
        <v>0</v>
      </c>
    </row>
    <row r="37" spans="1:110" ht="16.5" customHeight="1" thickBot="1">
      <c r="A37" s="172">
        <v>31</v>
      </c>
      <c r="B37" s="103">
        <f>'[1]июнь 20'!K36</f>
        <v>0</v>
      </c>
      <c r="C37" s="104">
        <f t="shared" si="0"/>
        <v>0</v>
      </c>
      <c r="D37" s="173">
        <f t="shared" si="1"/>
        <v>0</v>
      </c>
      <c r="E37" s="104">
        <f t="shared" si="2"/>
        <v>0</v>
      </c>
      <c r="F37" s="174">
        <f t="shared" si="3"/>
        <v>0</v>
      </c>
      <c r="G37" s="106"/>
      <c r="H37" s="107">
        <f t="shared" si="4"/>
        <v>0</v>
      </c>
      <c r="I37" s="103">
        <f>'[1]сентябрь 20'!AE36</f>
        <v>0</v>
      </c>
      <c r="J37" s="328">
        <f>'[1]июнь 20'!AA36</f>
        <v>0</v>
      </c>
      <c r="K37" s="106"/>
      <c r="L37" s="328">
        <f>'[1]июнь 20'!AI36</f>
        <v>0</v>
      </c>
      <c r="M37" s="103">
        <f t="shared" si="5"/>
        <v>0</v>
      </c>
      <c r="N37" s="103">
        <f>'[1]июль 20'!AM36</f>
        <v>6.7409999999999997</v>
      </c>
      <c r="O37" s="103">
        <f>'[1]июнь 20'!W36</f>
        <v>0</v>
      </c>
      <c r="P37" s="103">
        <f>'[1]июнь 20'!S36</f>
        <v>0</v>
      </c>
      <c r="Q37" s="108">
        <f t="shared" si="6"/>
        <v>0</v>
      </c>
      <c r="R37" s="175">
        <f t="shared" si="7"/>
        <v>0</v>
      </c>
      <c r="S37" s="176"/>
      <c r="T37" s="109">
        <f t="shared" si="8"/>
        <v>0</v>
      </c>
      <c r="U37" s="227">
        <f t="shared" si="9"/>
        <v>0</v>
      </c>
      <c r="V37" s="177"/>
      <c r="W37" s="177"/>
      <c r="X37" s="176"/>
      <c r="Y37" s="178"/>
      <c r="Z37" s="178"/>
      <c r="AA37" s="179"/>
      <c r="AB37" s="176"/>
      <c r="AC37" s="178"/>
      <c r="AD37" s="180"/>
      <c r="AE37" s="176"/>
      <c r="AF37" s="115">
        <f t="shared" si="10"/>
        <v>0</v>
      </c>
      <c r="AG37" s="176"/>
      <c r="AH37" s="181">
        <f t="shared" si="11"/>
        <v>0</v>
      </c>
      <c r="AI37" s="182"/>
      <c r="AJ37" s="176"/>
      <c r="AK37" s="177"/>
      <c r="AL37" s="177"/>
      <c r="AM37" s="227">
        <f t="shared" si="12"/>
        <v>0</v>
      </c>
      <c r="AN37" s="183"/>
      <c r="AO37" s="406"/>
      <c r="AP37" s="184"/>
      <c r="AQ37" s="180"/>
      <c r="AR37" s="176"/>
      <c r="AS37" s="176"/>
      <c r="AT37" s="131"/>
      <c r="AU37" s="176"/>
      <c r="AV37" s="176"/>
      <c r="AW37" s="185">
        <f t="shared" si="29"/>
        <v>0</v>
      </c>
      <c r="AX37" s="109">
        <f t="shared" si="13"/>
        <v>0</v>
      </c>
      <c r="AY37" s="115">
        <f t="shared" si="24"/>
        <v>0</v>
      </c>
      <c r="AZ37" s="186">
        <f t="shared" si="14"/>
        <v>0</v>
      </c>
      <c r="BA37" s="181">
        <f t="shared" si="30"/>
        <v>0</v>
      </c>
      <c r="BB37" s="174">
        <f t="shared" si="16"/>
        <v>0</v>
      </c>
      <c r="BC37" s="181">
        <f t="shared" si="17"/>
        <v>0</v>
      </c>
      <c r="BD37" s="187"/>
      <c r="BE37" s="16">
        <f t="shared" si="25"/>
        <v>5383.37</v>
      </c>
      <c r="BF37" s="16">
        <f t="shared" si="18"/>
        <v>0</v>
      </c>
      <c r="BG37" s="16">
        <f t="shared" si="26"/>
        <v>5499.9999999999991</v>
      </c>
      <c r="BH37" s="17">
        <f t="shared" si="19"/>
        <v>0</v>
      </c>
      <c r="BI37" s="16">
        <f t="shared" si="27"/>
        <v>5499.9999999999991</v>
      </c>
      <c r="BJ37" s="256"/>
      <c r="BK37" s="257"/>
      <c r="BL37" s="257"/>
      <c r="BM37" s="257"/>
      <c r="BN37" s="261"/>
      <c r="BO37" s="261"/>
      <c r="BP37" s="262"/>
      <c r="BQ37" s="219"/>
      <c r="BR37" s="220"/>
      <c r="BS37" s="220"/>
      <c r="BT37" s="220"/>
      <c r="BU37" s="220"/>
      <c r="BV37" s="224"/>
      <c r="BW37" s="224"/>
      <c r="BX37" s="221"/>
      <c r="BY37" s="222"/>
      <c r="BZ37" s="220"/>
      <c r="CA37" s="220"/>
      <c r="CB37" s="220"/>
      <c r="CC37" s="224"/>
      <c r="CD37" s="224"/>
      <c r="CE37" s="221"/>
      <c r="CF37" s="219"/>
      <c r="CG37" s="217"/>
      <c r="CH37" s="217"/>
      <c r="CI37" s="234"/>
      <c r="CJ37" s="223"/>
      <c r="CK37" s="222"/>
      <c r="CL37" s="224"/>
      <c r="CM37" s="224"/>
      <c r="CN37" s="218"/>
      <c r="CP37" s="287">
        <f t="shared" si="20"/>
        <v>0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0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28"/>
        <v>0</v>
      </c>
    </row>
    <row r="38" spans="1:110" ht="16.5" customHeight="1" thickBot="1">
      <c r="A38" s="55" t="s">
        <v>58</v>
      </c>
      <c r="B38" s="188">
        <f>SUM(B7:B37)</f>
        <v>12327.416000000003</v>
      </c>
      <c r="C38" s="326"/>
      <c r="D38" s="327">
        <f>SUM(D7:D37)</f>
        <v>12262.008862922252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0</v>
      </c>
      <c r="K38" s="188">
        <f>SUM(K7:K37)</f>
        <v>179.79999999999998</v>
      </c>
      <c r="L38" s="331">
        <f>SUM(L7:L37)</f>
        <v>1580.3960000000002</v>
      </c>
      <c r="M38" s="342"/>
      <c r="N38" s="342">
        <f>SUM(N7:N37)</f>
        <v>85.77</v>
      </c>
      <c r="O38" s="331">
        <f>SUM(O7:O37)</f>
        <v>19.332999999999998</v>
      </c>
      <c r="P38" s="188">
        <f>SUM(P7:P37)</f>
        <v>7332.0710000000008</v>
      </c>
      <c r="Q38" s="342"/>
      <c r="R38" s="341">
        <f>SUM(R7:R37)</f>
        <v>7221.7300003</v>
      </c>
      <c r="S38" s="343">
        <f>SUM(S7:S37)</f>
        <v>611.66000000000008</v>
      </c>
      <c r="T38" s="341">
        <f>SUM(T7:T37)</f>
        <v>7221.7300003</v>
      </c>
      <c r="U38" s="344"/>
      <c r="V38" s="194">
        <f>SUM(V7:V37)</f>
        <v>4386.5700000000006</v>
      </c>
      <c r="W38" s="194">
        <f>SUM(W7:W37)</f>
        <v>4908.9100000000008</v>
      </c>
      <c r="X38" s="345"/>
      <c r="Y38" s="346"/>
      <c r="Z38" s="347"/>
      <c r="AA38" s="348"/>
      <c r="AB38" s="345"/>
      <c r="AC38" s="345"/>
      <c r="AD38" s="459">
        <f>SUM(AD7:AD37)</f>
        <v>117</v>
      </c>
      <c r="AE38" s="194">
        <f>SUM(AE7:AE37)</f>
        <v>71.349999999999994</v>
      </c>
      <c r="AF38" s="349"/>
      <c r="AG38" s="194">
        <f>SUM(AG7:AG37)</f>
        <v>3459.7499999999995</v>
      </c>
      <c r="AH38" s="343"/>
      <c r="AI38" s="338">
        <f>SUM(AI7:AI37)</f>
        <v>464.0499999999999</v>
      </c>
      <c r="AJ38" s="343">
        <f>SUM(AJ7:AJ37)</f>
        <v>0</v>
      </c>
      <c r="AK38" s="337">
        <f>SUM(AK7:AK37)</f>
        <v>247.59000000000006</v>
      </c>
      <c r="AL38" s="395">
        <f>SUM(AL7:AL37)</f>
        <v>1323.5900000000001</v>
      </c>
      <c r="AM38" s="350"/>
      <c r="AN38" s="351"/>
      <c r="AO38" s="343"/>
      <c r="AP38" s="351"/>
      <c r="AQ38" s="351"/>
      <c r="AR38" s="352"/>
      <c r="AS38" s="337">
        <f>SUM(AS7:AS37)</f>
        <v>6877.95</v>
      </c>
      <c r="AT38" s="341">
        <f>SUM(AT7:AT37)</f>
        <v>76.600000000000009</v>
      </c>
      <c r="AU38" s="343">
        <f>SUM(AU7:AU36)</f>
        <v>0</v>
      </c>
      <c r="AV38" s="343">
        <f>SUM(AV7:AV37)</f>
        <v>0</v>
      </c>
      <c r="AW38" s="340"/>
      <c r="AX38" s="252">
        <f>SUM(AX7:AX37)</f>
        <v>5383.37</v>
      </c>
      <c r="AY38" s="252">
        <f>SUM(AY7:AY37)</f>
        <v>5375.7866850813871</v>
      </c>
      <c r="AZ38" s="351">
        <f>SUM(AZ7:AZ36)</f>
        <v>223.71272852112679</v>
      </c>
      <c r="BA38" s="351">
        <f>SUM(BA7:BA36)</f>
        <v>207.74920000000003</v>
      </c>
      <c r="BB38" s="340"/>
      <c r="BC38" s="351">
        <f>SUM(BC7:BC37)</f>
        <v>431.46192852112677</v>
      </c>
      <c r="BD38" s="353"/>
      <c r="BE38" s="16"/>
      <c r="BF38" s="16">
        <f t="shared" si="18"/>
        <v>0</v>
      </c>
      <c r="BG38" s="16"/>
      <c r="BH38" s="17">
        <f>SUM(BH7:BH37)</f>
        <v>30</v>
      </c>
      <c r="BI38" s="33"/>
      <c r="BJ38" s="228">
        <f t="shared" ref="BJ38:BP38" si="31">SUM(BJ7:BJ37)</f>
        <v>4554.1409999999996</v>
      </c>
      <c r="BK38" s="38">
        <f t="shared" si="31"/>
        <v>51.617000099999998</v>
      </c>
      <c r="BL38" s="38">
        <f t="shared" si="31"/>
        <v>1528.7790000000002</v>
      </c>
      <c r="BM38" s="38">
        <f t="shared" si="31"/>
        <v>2058.6070001000003</v>
      </c>
      <c r="BN38" s="38">
        <f t="shared" si="31"/>
        <v>3234.0950000000007</v>
      </c>
      <c r="BO38" s="38">
        <f>SUM(BO7:BO37)</f>
        <v>900.17700000000013</v>
      </c>
      <c r="BP38" s="38">
        <f t="shared" si="31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9.9999999999999995E-8</v>
      </c>
      <c r="CH38" s="457">
        <f>SUM(CH7:CH37)</f>
        <v>1053.1600000999999</v>
      </c>
      <c r="CI38" s="457">
        <f>SUM(CI7:CI37)</f>
        <v>6168.57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2">SUM(CP7:CP37)</f>
        <v>4531.9613490000002</v>
      </c>
      <c r="CQ38" s="190">
        <f t="shared" si="32"/>
        <v>51.617000099999998</v>
      </c>
      <c r="CR38" s="191">
        <f t="shared" si="32"/>
        <v>1528.7789999222503</v>
      </c>
      <c r="CS38" s="192">
        <f t="shared" si="32"/>
        <v>2040.1684031</v>
      </c>
      <c r="CT38" s="192">
        <f t="shared" si="32"/>
        <v>3220.5527875999996</v>
      </c>
      <c r="CU38" s="192">
        <f t="shared" si="32"/>
        <v>888.93032340000013</v>
      </c>
      <c r="CV38" s="278">
        <f t="shared" si="32"/>
        <v>9.99999999E-8</v>
      </c>
      <c r="CW38" s="278">
        <f t="shared" si="32"/>
        <v>9.99999999E-8</v>
      </c>
      <c r="CX38" s="192">
        <f t="shared" si="32"/>
        <v>1053.1600000999999</v>
      </c>
      <c r="CY38" s="192">
        <f t="shared" si="32"/>
        <v>6168.56999974474</v>
      </c>
      <c r="CZ38" s="192">
        <f t="shared" si="32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</row>
    <row r="39" spans="1:110" ht="16.5" customHeight="1" thickBot="1">
      <c r="A39" s="56" t="s">
        <v>59</v>
      </c>
      <c r="B39" s="84">
        <f>B38/AS2</f>
        <v>410.91386666666676</v>
      </c>
      <c r="C39" s="84">
        <f>(BJ38*BR39+BK38*BS39+BM38*BU39+BP38*BX39+BL38*BT39+BO38*BW39+BN38*BV39)/B38</f>
        <v>0.53058270344531233</v>
      </c>
      <c r="D39" s="82"/>
      <c r="E39" s="354">
        <f>(BJ38*BY39+BK38*BZ39+BM38*CB39+BP38*CE39+BL38*CA39+BO38*CD39+BN38*CC39)/B38</f>
        <v>38.00006729634174</v>
      </c>
      <c r="F39" s="355">
        <f>IF(AX38=0,0,D38/AX38)</f>
        <v>2.277757030061514</v>
      </c>
      <c r="G39" s="354">
        <f>G38/AS2</f>
        <v>0</v>
      </c>
      <c r="H39" s="355">
        <f>IF(AX38=0,0,(CV38+CS38+CU38+CP38+CT38)/AX38)</f>
        <v>1.9841870172772818</v>
      </c>
      <c r="I39" s="354">
        <f>I38/AS2</f>
        <v>0</v>
      </c>
      <c r="J39" s="354">
        <f>J38/AS2</f>
        <v>0</v>
      </c>
      <c r="K39" s="354">
        <f>K38/AS2</f>
        <v>5.9933333333333332</v>
      </c>
      <c r="L39" s="354">
        <f>L38/AS2</f>
        <v>52.679866666666676</v>
      </c>
      <c r="M39" s="355">
        <f>IF($AX$38=0,0,(CR38+CQ38)/$AX$38)</f>
        <v>0.29357001283995904</v>
      </c>
      <c r="N39" s="354">
        <f>N38/AS2</f>
        <v>2.859</v>
      </c>
      <c r="O39" s="354">
        <f>O38/AS2</f>
        <v>0.6444333333333333</v>
      </c>
      <c r="P39" s="356">
        <f>P38/AS2</f>
        <v>244.40236666666669</v>
      </c>
      <c r="Q39" s="354">
        <f>(SUMPRODUCT(P7:P37,Q7:Q37))/P38</f>
        <v>1.504909045479782</v>
      </c>
      <c r="R39" s="357"/>
      <c r="S39" s="354">
        <f>S38/AS2</f>
        <v>20.388666666666669</v>
      </c>
      <c r="T39" s="354">
        <f>T38/AS2:AS2</f>
        <v>240.72433334333334</v>
      </c>
      <c r="U39" s="358">
        <f>IF($AX$38=0,0,R38/$AX$38)</f>
        <v>1.3414886957983567</v>
      </c>
      <c r="V39" s="354">
        <f>V38/AS2</f>
        <v>146.21900000000002</v>
      </c>
      <c r="W39" s="354">
        <f>W38/AS2</f>
        <v>163.63033333333337</v>
      </c>
      <c r="X39" s="354">
        <f>(SUMPRODUCT(X7:X37,AX7:AX37))/AX38</f>
        <v>0.62728404326657838</v>
      </c>
      <c r="Y39" s="359">
        <f>AVERAGE(Y7:Y37)</f>
        <v>622.36666666666667</v>
      </c>
      <c r="Z39" s="359">
        <f>AVERAGE(Z7:Z37)</f>
        <v>1223.3666666666666</v>
      </c>
      <c r="AA39" s="359"/>
      <c r="AB39" s="354">
        <f>(SUMPRODUCT(AB7:AB37,AX7:AX37))/AX38</f>
        <v>75.666016955921648</v>
      </c>
      <c r="AC39" s="360">
        <f>AVERAGE(AC7:AC37)</f>
        <v>137.06666666666666</v>
      </c>
      <c r="AD39" s="360">
        <f>AVERAGE(AD7:AD37)</f>
        <v>3.9</v>
      </c>
      <c r="AE39" s="354">
        <f>AE38/AS2</f>
        <v>2.378333333333333</v>
      </c>
      <c r="AF39" s="361">
        <f>IF(AX38=0,0,AE38/AX38*1000)</f>
        <v>13.253779695618171</v>
      </c>
      <c r="AG39" s="361">
        <f>AG38/AS2</f>
        <v>115.32499999999999</v>
      </c>
      <c r="AH39" s="361">
        <f>IF(AX38=0,0,AG38/AX38*1000)</f>
        <v>642.67364123216487</v>
      </c>
      <c r="AI39" s="354">
        <f>AI38/AS2</f>
        <v>15.46833333333333</v>
      </c>
      <c r="AJ39" s="359"/>
      <c r="AK39" s="354">
        <f>AK38/AS2</f>
        <v>8.2530000000000019</v>
      </c>
      <c r="AL39" s="354">
        <f>AL38/AS2</f>
        <v>44.119666666666674</v>
      </c>
      <c r="AM39" s="346">
        <f>IF(AL39=0,0,AL39/AS39)</f>
        <v>0.19243960773195506</v>
      </c>
      <c r="AN39" s="361">
        <f>SUM(AN8:AN38)</f>
        <v>0</v>
      </c>
      <c r="AO39" s="354">
        <f>AVERAGE(AO7:AO37)</f>
        <v>8.9386666666666663</v>
      </c>
      <c r="AP39" s="354">
        <f>AVERAGE(AP7:AP37)</f>
        <v>7.6676666666666655</v>
      </c>
      <c r="AQ39" s="362"/>
      <c r="AR39" s="354">
        <f>AVERAGE(AR7:AR37)</f>
        <v>8.3260000000000005</v>
      </c>
      <c r="AS39" s="363">
        <f>AS38/AS2</f>
        <v>229.26499999999999</v>
      </c>
      <c r="AT39" s="363">
        <f>AT38/AS2</f>
        <v>2.5533333333333337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179.44566666666665</v>
      </c>
      <c r="AY39" s="354">
        <f>AY38/AS2</f>
        <v>179.19288950271292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0.87419659775080771</v>
      </c>
      <c r="BC39" s="354">
        <f>BC38/AS2</f>
        <v>14.382064284037559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0.48702161395529914</v>
      </c>
      <c r="BS39" s="42">
        <f t="shared" ref="BS39:BX39" si="33">(SUMPRODUCT(BK7:BK37,BS7:BS37))/BK38</f>
        <v>1.9373462193902274E-16</v>
      </c>
      <c r="BT39" s="42">
        <f t="shared" si="33"/>
        <v>5.0857579807153277E-9</v>
      </c>
      <c r="BU39" s="42">
        <f t="shared" si="33"/>
        <v>0.8956831973807684</v>
      </c>
      <c r="BV39" s="42">
        <f t="shared" si="33"/>
        <v>0.41873267173660622</v>
      </c>
      <c r="BW39" s="46">
        <f>(SUMPRODUCT(BO7:BO37,BW7:BW37))/BO38</f>
        <v>1.2493850209458806</v>
      </c>
      <c r="BX39" s="240">
        <f t="shared" si="33"/>
        <v>9.9999999999999982E-8</v>
      </c>
      <c r="BY39" s="41">
        <f t="shared" ref="BY39:CE39" si="34">(SUMPRODUCT(BJ7:BJ37,BY7:BY37))/BJ38</f>
        <v>37.211370427485676</v>
      </c>
      <c r="BZ39" s="42">
        <f t="shared" si="34"/>
        <v>43.278001156057115</v>
      </c>
      <c r="CA39" s="42">
        <f t="shared" si="34"/>
        <v>42.984571295131602</v>
      </c>
      <c r="CB39" s="42">
        <f t="shared" si="34"/>
        <v>37.69091822588328</v>
      </c>
      <c r="CC39" s="42">
        <f t="shared" si="34"/>
        <v>38.46760331715673</v>
      </c>
      <c r="CD39" s="46">
        <f t="shared" si="34"/>
        <v>32.249599467660246</v>
      </c>
      <c r="CE39" s="240">
        <f t="shared" si="34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9.9999999999999982E-8</v>
      </c>
      <c r="CL39" s="46">
        <f>(SUMPRODUCT(CH7:CH37,CL7:CL37))/CH38</f>
        <v>9.4952333919352003E-18</v>
      </c>
      <c r="CM39" s="46">
        <f>(SUMPRODUCT(CI7:CI37,CM7:CM37))/CI38</f>
        <v>4.1380741403599214E-9</v>
      </c>
      <c r="CN39" s="44">
        <f>(SUMPRODUCT(CJ7:CJ37,CN7:CN37))/CJ38</f>
        <v>9.9999999999999982E-8</v>
      </c>
      <c r="CP39" s="667">
        <f>CP38+CQ38</f>
        <v>4583.5783491000002</v>
      </c>
      <c r="CQ39" s="667"/>
      <c r="CR39" s="668">
        <f>CR38+CS38+CV38+CU38+CT38</f>
        <v>7678.4305141222494</v>
      </c>
      <c r="CS39" s="668"/>
      <c r="CT39" s="668"/>
      <c r="CU39" s="668"/>
      <c r="CV39" s="668"/>
      <c r="CW39" s="669">
        <f>CW38+CX38+CZ38+CY38</f>
        <v>7221.7300000447403</v>
      </c>
      <c r="CX39" s="668"/>
      <c r="CY39" s="668"/>
      <c r="CZ39" s="668"/>
      <c r="DB39" s="302"/>
      <c r="DC39" s="303"/>
      <c r="DD39" s="303"/>
      <c r="DE39" s="304"/>
      <c r="DF39" s="305"/>
    </row>
    <row r="40" spans="1:110" ht="16.5" customHeight="1" thickBot="1">
      <c r="A40" s="57" t="s">
        <v>60</v>
      </c>
      <c r="B40" s="85"/>
      <c r="C40" s="86"/>
      <c r="D40" s="87"/>
      <c r="E40" s="365">
        <v>38.4</v>
      </c>
      <c r="F40" s="366">
        <v>2.2200000000000002</v>
      </c>
      <c r="G40" s="366"/>
      <c r="H40" s="366">
        <v>1.887</v>
      </c>
      <c r="I40" s="366"/>
      <c r="J40" s="408"/>
      <c r="K40" s="366"/>
      <c r="L40" s="366"/>
      <c r="M40" s="366">
        <v>0.33300000000000002</v>
      </c>
      <c r="N40" s="365"/>
      <c r="O40" s="366">
        <v>21.99</v>
      </c>
      <c r="P40" s="367"/>
      <c r="Q40" s="368"/>
      <c r="R40" s="367"/>
      <c r="S40" s="450">
        <v>21.779</v>
      </c>
      <c r="T40" s="367"/>
      <c r="U40" s="369">
        <v>1.32</v>
      </c>
      <c r="V40" s="370">
        <v>5500</v>
      </c>
      <c r="W40" s="370">
        <v>5500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750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5500</v>
      </c>
      <c r="AT40" s="379">
        <v>38.5</v>
      </c>
      <c r="AU40" s="380"/>
      <c r="AV40" s="381"/>
      <c r="AW40" s="382"/>
      <c r="AX40" s="365">
        <v>183.33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12262.008863222251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0" ht="16.5" customHeight="1" thickBot="1">
      <c r="A41" s="58" t="s">
        <v>61</v>
      </c>
      <c r="B41" s="88"/>
      <c r="C41" s="88"/>
      <c r="D41" s="88"/>
      <c r="E41" s="384"/>
      <c r="F41" s="385">
        <f>F39-F40</f>
        <v>5.7757030061513781E-2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1.504909045479782</v>
      </c>
      <c r="R41" s="386"/>
      <c r="S41" s="388"/>
      <c r="T41" s="388"/>
      <c r="U41" s="385">
        <f>U39-U40</f>
        <v>2.1488695798356661E-2</v>
      </c>
      <c r="V41" s="385"/>
      <c r="W41" s="385"/>
      <c r="X41" s="385"/>
      <c r="Y41" s="385"/>
      <c r="Z41" s="389">
        <f>Z39-Z40</f>
        <v>-26.633333333333439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1377.9499999999998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0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183.33333333333334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30</v>
      </c>
    </row>
    <row r="44" spans="1:110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  <c r="CS44">
        <v>12262.009</v>
      </c>
    </row>
    <row r="45" spans="1:11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58.785897435897432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29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189.65517241379311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-116.6299999999992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-2.1205454545454399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338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L3:AL6"/>
    <mergeCell ref="AM3:AM6"/>
    <mergeCell ref="AN3:AN6"/>
    <mergeCell ref="AO3:AO6"/>
    <mergeCell ref="AP3:AP6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V3:V6"/>
    <mergeCell ref="S4:S6"/>
    <mergeCell ref="T4:T6"/>
    <mergeCell ref="U4:U6"/>
    <mergeCell ref="AE5:AE6"/>
    <mergeCell ref="DB5:DF5"/>
    <mergeCell ref="CP39:CQ39"/>
    <mergeCell ref="CR39:CV39"/>
    <mergeCell ref="CW39:CZ39"/>
    <mergeCell ref="CG3:CJ5"/>
    <mergeCell ref="CK3:CN5"/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L88"/>
  <sheetViews>
    <sheetView showZeros="0" zoomScale="90" zoomScaleNormal="90" workbookViewId="0">
      <pane xSplit="1" ySplit="6" topLeftCell="AK7" activePane="bottomRight" state="frozen"/>
      <selection pane="topRight" activeCell="B1" sqref="B1"/>
      <selection pane="bottomLeft" activeCell="A7" sqref="A7"/>
      <selection pane="bottomRight" activeCell="CU4" sqref="CU4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6" customWidth="1"/>
    <col min="11" max="11" width="7.140625" customWidth="1"/>
    <col min="12" max="12" width="8" customWidth="1"/>
    <col min="13" max="13" width="7.28515625" customWidth="1"/>
    <col min="14" max="14" width="7" hidden="1" customWidth="1"/>
    <col min="15" max="15" width="7.5703125" customWidth="1"/>
    <col min="16" max="16" width="9" customWidth="1"/>
    <col min="17" max="17" width="5.140625" customWidth="1"/>
    <col min="18" max="18" width="8.85546875" customWidth="1"/>
    <col min="19" max="19" width="7.7109375" customWidth="1"/>
    <col min="20" max="20" width="7.85546875" hidden="1" customWidth="1"/>
    <col min="21" max="21" width="6.85546875" customWidth="1"/>
    <col min="22" max="23" width="8.42578125" customWidth="1"/>
    <col min="24" max="24" width="6.5703125" customWidth="1"/>
    <col min="25" max="25" width="4.85546875" customWidth="1"/>
    <col min="26" max="26" width="6.42578125" customWidth="1"/>
    <col min="27" max="27" width="7.140625" customWidth="1"/>
    <col min="28" max="28" width="6.85546875" customWidth="1"/>
    <col min="29" max="29" width="7.140625" customWidth="1"/>
    <col min="30" max="30" width="4.28515625" customWidth="1"/>
    <col min="31" max="31" width="6.85546875" customWidth="1"/>
    <col min="32" max="32" width="6.5703125" customWidth="1"/>
    <col min="33" max="33" width="8" customWidth="1"/>
    <col min="34" max="34" width="7" customWidth="1"/>
    <col min="35" max="35" width="6.85546875" customWidth="1"/>
    <col min="36" max="36" width="2.7109375" hidden="1" customWidth="1"/>
    <col min="37" max="37" width="7.28515625" customWidth="1"/>
    <col min="38" max="38" width="7.42578125" customWidth="1"/>
    <col min="39" max="39" width="7.5703125" customWidth="1"/>
    <col min="40" max="40" width="9.28515625" customWidth="1"/>
    <col min="41" max="41" width="5.85546875" customWidth="1"/>
    <col min="42" max="42" width="5.28515625" customWidth="1"/>
    <col min="43" max="43" width="0" hidden="1" customWidth="1"/>
    <col min="44" max="44" width="6.140625" customWidth="1"/>
    <col min="45" max="45" width="8.7109375" customWidth="1"/>
    <col min="46" max="46" width="6.5703125" customWidth="1"/>
    <col min="47" max="47" width="9.140625" hidden="1" customWidth="1"/>
    <col min="48" max="49" width="5.85546875" hidden="1" customWidth="1"/>
    <col min="50" max="50" width="9" customWidth="1"/>
    <col min="51" max="51" width="8" customWidth="1"/>
    <col min="52" max="53" width="0" hidden="1" customWidth="1"/>
    <col min="54" max="54" width="6.5703125" customWidth="1"/>
    <col min="55" max="55" width="6.85546875" customWidth="1"/>
    <col min="56" max="56" width="7.28515625" customWidth="1"/>
    <col min="57" max="59" width="7.42578125" customWidth="1"/>
    <col min="60" max="61" width="9.7109375" customWidth="1"/>
    <col min="62" max="62" width="10.7109375" customWidth="1"/>
    <col min="63" max="63" width="12.42578125" customWidth="1"/>
    <col min="64" max="64" width="10.7109375" customWidth="1"/>
    <col min="65" max="68" width="11.140625" customWidth="1"/>
    <col min="69" max="69" width="9.140625" hidden="1" customWidth="1"/>
    <col min="71" max="71" width="10.28515625" customWidth="1"/>
    <col min="73" max="75" width="10" customWidth="1"/>
    <col min="76" max="76" width="8.5703125" customWidth="1"/>
    <col min="77" max="77" width="9.42578125" customWidth="1"/>
    <col min="78" max="78" width="9.7109375" customWidth="1"/>
    <col min="79" max="79" width="10.28515625" customWidth="1"/>
    <col min="80" max="82" width="10" customWidth="1"/>
    <col min="83" max="83" width="8.5703125" customWidth="1"/>
    <col min="84" max="84" width="9.140625" hidden="1" customWidth="1"/>
    <col min="85" max="85" width="11.5703125" customWidth="1"/>
    <col min="86" max="87" width="9.7109375" customWidth="1"/>
    <col min="88" max="88" width="11.5703125" customWidth="1"/>
    <col min="89" max="89" width="11" customWidth="1"/>
    <col min="93" max="93" width="12.28515625" customWidth="1"/>
    <col min="94" max="94" width="11" customWidth="1"/>
    <col min="95" max="95" width="12.42578125" customWidth="1"/>
    <col min="96" max="96" width="12" customWidth="1"/>
    <col min="97" max="99" width="11.5703125" customWidth="1"/>
    <col min="100" max="100" width="11.42578125" customWidth="1"/>
    <col min="101" max="101" width="12.140625" customWidth="1"/>
    <col min="102" max="103" width="12.85546875" customWidth="1"/>
    <col min="104" max="104" width="14.28515625" customWidth="1"/>
    <col min="105" max="105" width="8.85546875" customWidth="1"/>
    <col min="107" max="107" width="9.7109375" customWidth="1"/>
    <col min="109" max="109" width="0" hidden="1" customWidth="1"/>
    <col min="112" max="112" width="12.7109375" bestFit="1" customWidth="1"/>
  </cols>
  <sheetData>
    <row r="1" spans="1:116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20"/>
      <c r="S1" s="320"/>
      <c r="T1" s="76"/>
      <c r="U1" s="76"/>
      <c r="V1" s="76"/>
      <c r="W1" s="1"/>
      <c r="X1" s="1"/>
      <c r="Y1" s="1"/>
      <c r="Z1" s="1"/>
      <c r="AA1" s="1"/>
      <c r="AB1" s="1"/>
      <c r="AC1" s="1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</row>
    <row r="2" spans="1:116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80"/>
      <c r="Q2" s="80"/>
      <c r="R2" s="80"/>
      <c r="S2" s="80"/>
      <c r="T2" s="80"/>
      <c r="U2" s="80"/>
      <c r="V2" s="50"/>
      <c r="W2" s="49"/>
      <c r="X2" s="49"/>
      <c r="Y2" s="49"/>
      <c r="Z2" s="49"/>
      <c r="AA2" s="49"/>
      <c r="AB2" s="49"/>
      <c r="AC2" s="49"/>
      <c r="AD2" s="49"/>
      <c r="AE2" s="49"/>
      <c r="AF2" s="8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321" t="s">
        <v>1</v>
      </c>
      <c r="AS2" s="322">
        <v>30</v>
      </c>
      <c r="AT2" s="321"/>
      <c r="AU2" s="321"/>
      <c r="AV2" s="322"/>
      <c r="AW2" s="321"/>
      <c r="AX2" s="323" t="s">
        <v>308</v>
      </c>
      <c r="AY2" s="323"/>
      <c r="AZ2" s="323"/>
      <c r="BA2" s="323"/>
      <c r="BB2" s="323" t="s">
        <v>107</v>
      </c>
      <c r="BC2" s="324"/>
      <c r="BD2" s="49"/>
      <c r="BL2" s="2"/>
    </row>
    <row r="3" spans="1:116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37"/>
      <c r="P3" s="638" t="s">
        <v>5</v>
      </c>
      <c r="Q3" s="639"/>
      <c r="R3" s="639"/>
      <c r="S3" s="639"/>
      <c r="T3" s="639"/>
      <c r="U3" s="640"/>
      <c r="V3" s="663" t="s">
        <v>6</v>
      </c>
      <c r="W3" s="645" t="s">
        <v>7</v>
      </c>
      <c r="X3" s="633" t="s">
        <v>8</v>
      </c>
      <c r="Y3" s="633" t="s">
        <v>9</v>
      </c>
      <c r="Z3" s="633" t="s">
        <v>10</v>
      </c>
      <c r="AA3" s="633" t="s">
        <v>11</v>
      </c>
      <c r="AB3" s="633" t="s">
        <v>12</v>
      </c>
      <c r="AC3" s="633" t="s">
        <v>13</v>
      </c>
      <c r="AD3" s="633" t="s">
        <v>14</v>
      </c>
      <c r="AE3" s="647" t="s">
        <v>15</v>
      </c>
      <c r="AF3" s="647"/>
      <c r="AG3" s="646" t="s">
        <v>16</v>
      </c>
      <c r="AH3" s="646"/>
      <c r="AI3" s="633" t="s">
        <v>17</v>
      </c>
      <c r="AJ3" s="643"/>
      <c r="AK3" s="633" t="s">
        <v>18</v>
      </c>
      <c r="AL3" s="633" t="s">
        <v>19</v>
      </c>
      <c r="AM3" s="647" t="s">
        <v>86</v>
      </c>
      <c r="AN3" s="633" t="s">
        <v>20</v>
      </c>
      <c r="AO3" s="633" t="s">
        <v>105</v>
      </c>
      <c r="AP3" s="633" t="s">
        <v>21</v>
      </c>
      <c r="AQ3" s="70"/>
      <c r="AR3" s="633" t="s">
        <v>22</v>
      </c>
      <c r="AS3" s="646" t="s">
        <v>23</v>
      </c>
      <c r="AT3" s="646"/>
      <c r="AU3" s="646"/>
      <c r="AV3" s="646"/>
      <c r="AW3" s="646"/>
      <c r="AX3" s="646"/>
      <c r="AY3" s="633" t="s">
        <v>24</v>
      </c>
      <c r="AZ3" s="657" t="s">
        <v>25</v>
      </c>
      <c r="BA3" s="657"/>
      <c r="BB3" s="633" t="s">
        <v>26</v>
      </c>
      <c r="BC3" s="633" t="s">
        <v>25</v>
      </c>
      <c r="BD3" s="649" t="s">
        <v>27</v>
      </c>
      <c r="BE3" s="3"/>
      <c r="BF3" s="3"/>
      <c r="BG3" s="3"/>
      <c r="BH3" s="3"/>
      <c r="BI3" s="4"/>
      <c r="BJ3" s="650" t="s">
        <v>28</v>
      </c>
      <c r="BK3" s="650"/>
      <c r="BL3" s="650"/>
      <c r="BM3" s="650"/>
      <c r="BN3" s="650"/>
      <c r="BO3" s="650"/>
      <c r="BP3" s="650"/>
      <c r="BQ3" s="5"/>
      <c r="BR3" s="652" t="s">
        <v>29</v>
      </c>
      <c r="BS3" s="652"/>
      <c r="BT3" s="652"/>
      <c r="BU3" s="652"/>
      <c r="BV3" s="652"/>
      <c r="BW3" s="652"/>
      <c r="BX3" s="652"/>
      <c r="BY3" s="652" t="s">
        <v>30</v>
      </c>
      <c r="BZ3" s="655"/>
      <c r="CA3" s="655"/>
      <c r="CB3" s="655"/>
      <c r="CC3" s="655"/>
      <c r="CD3" s="655"/>
      <c r="CE3" s="655"/>
      <c r="CF3" s="6"/>
      <c r="CG3" s="670" t="s">
        <v>31</v>
      </c>
      <c r="CH3" s="670"/>
      <c r="CI3" s="670"/>
      <c r="CJ3" s="670"/>
      <c r="CK3" s="652" t="s">
        <v>32</v>
      </c>
      <c r="CL3" s="655"/>
      <c r="CM3" s="655"/>
      <c r="CN3" s="655"/>
      <c r="CO3" s="7"/>
      <c r="CP3" s="7"/>
      <c r="CQ3" s="7"/>
      <c r="CR3" s="7"/>
    </row>
    <row r="4" spans="1:116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34</v>
      </c>
      <c r="O4" s="662" t="s">
        <v>100</v>
      </c>
      <c r="P4" s="641" t="s">
        <v>38</v>
      </c>
      <c r="Q4" s="641" t="s">
        <v>32</v>
      </c>
      <c r="R4" s="641" t="s">
        <v>39</v>
      </c>
      <c r="S4" s="641" t="s">
        <v>40</v>
      </c>
      <c r="T4" s="641" t="s">
        <v>41</v>
      </c>
      <c r="U4" s="641" t="s">
        <v>42</v>
      </c>
      <c r="V4" s="645"/>
      <c r="W4" s="645"/>
      <c r="X4" s="633"/>
      <c r="Y4" s="633"/>
      <c r="Z4" s="633"/>
      <c r="AA4" s="633"/>
      <c r="AB4" s="633"/>
      <c r="AC4" s="633"/>
      <c r="AD4" s="633"/>
      <c r="AE4" s="647"/>
      <c r="AF4" s="647"/>
      <c r="AG4" s="646"/>
      <c r="AH4" s="646"/>
      <c r="AI4" s="633"/>
      <c r="AJ4" s="643"/>
      <c r="AK4" s="633"/>
      <c r="AL4" s="633"/>
      <c r="AM4" s="648"/>
      <c r="AN4" s="633"/>
      <c r="AO4" s="633"/>
      <c r="AP4" s="633"/>
      <c r="AQ4" s="71"/>
      <c r="AR4" s="633"/>
      <c r="AS4" s="646"/>
      <c r="AT4" s="646"/>
      <c r="AU4" s="646"/>
      <c r="AV4" s="646"/>
      <c r="AW4" s="646"/>
      <c r="AX4" s="646"/>
      <c r="AY4" s="633"/>
      <c r="AZ4" s="657"/>
      <c r="BA4" s="657"/>
      <c r="BB4" s="633"/>
      <c r="BC4" s="633"/>
      <c r="BD4" s="649"/>
      <c r="BE4" s="3"/>
      <c r="BF4" s="3"/>
      <c r="BG4" s="3"/>
      <c r="BH4" s="3"/>
      <c r="BI4" s="4"/>
      <c r="BJ4" s="650"/>
      <c r="BK4" s="650"/>
      <c r="BL4" s="650"/>
      <c r="BM4" s="650"/>
      <c r="BN4" s="650"/>
      <c r="BO4" s="650"/>
      <c r="BP4" s="650"/>
      <c r="BQ4" s="8"/>
      <c r="BR4" s="652"/>
      <c r="BS4" s="652"/>
      <c r="BT4" s="652"/>
      <c r="BU4" s="652"/>
      <c r="BV4" s="652"/>
      <c r="BW4" s="652"/>
      <c r="BX4" s="652"/>
      <c r="BY4" s="652"/>
      <c r="BZ4" s="655"/>
      <c r="CA4" s="655"/>
      <c r="CB4" s="655"/>
      <c r="CC4" s="655"/>
      <c r="CD4" s="655"/>
      <c r="CE4" s="655"/>
      <c r="CF4" s="9"/>
      <c r="CG4" s="670"/>
      <c r="CH4" s="670"/>
      <c r="CI4" s="670"/>
      <c r="CJ4" s="670"/>
      <c r="CK4" s="652"/>
      <c r="CL4" s="655"/>
      <c r="CM4" s="655"/>
      <c r="CN4" s="655"/>
      <c r="CO4" s="7"/>
      <c r="CP4" s="7"/>
      <c r="CQ4" s="7"/>
      <c r="CR4" s="7"/>
    </row>
    <row r="5" spans="1:116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62"/>
      <c r="P5" s="641"/>
      <c r="Q5" s="641"/>
      <c r="R5" s="644"/>
      <c r="S5" s="644"/>
      <c r="T5" s="644"/>
      <c r="U5" s="644"/>
      <c r="V5" s="645"/>
      <c r="W5" s="645"/>
      <c r="X5" s="633"/>
      <c r="Y5" s="633"/>
      <c r="Z5" s="633"/>
      <c r="AA5" s="633"/>
      <c r="AB5" s="633"/>
      <c r="AC5" s="633"/>
      <c r="AD5" s="633"/>
      <c r="AE5" s="644" t="s">
        <v>43</v>
      </c>
      <c r="AF5" s="644" t="s">
        <v>44</v>
      </c>
      <c r="AG5" s="644" t="s">
        <v>43</v>
      </c>
      <c r="AH5" s="644" t="s">
        <v>45</v>
      </c>
      <c r="AI5" s="633"/>
      <c r="AJ5" s="643"/>
      <c r="AK5" s="633"/>
      <c r="AL5" s="633"/>
      <c r="AM5" s="648"/>
      <c r="AN5" s="633"/>
      <c r="AO5" s="633"/>
      <c r="AP5" s="633"/>
      <c r="AQ5" s="72"/>
      <c r="AR5" s="633"/>
      <c r="AS5" s="644" t="s">
        <v>46</v>
      </c>
      <c r="AT5" s="644" t="s">
        <v>47</v>
      </c>
      <c r="AU5" s="644" t="s">
        <v>48</v>
      </c>
      <c r="AV5" s="658" t="s">
        <v>49</v>
      </c>
      <c r="AW5" s="658" t="s">
        <v>50</v>
      </c>
      <c r="AX5" s="644" t="s">
        <v>51</v>
      </c>
      <c r="AY5" s="633"/>
      <c r="AZ5" s="73" t="s">
        <v>52</v>
      </c>
      <c r="BA5" s="73" t="s">
        <v>53</v>
      </c>
      <c r="BB5" s="633"/>
      <c r="BC5" s="633"/>
      <c r="BD5" s="649"/>
      <c r="BE5" s="3"/>
      <c r="BF5" s="3"/>
      <c r="BG5" s="3"/>
      <c r="BH5" s="3"/>
      <c r="BI5" s="4"/>
      <c r="BJ5" s="650"/>
      <c r="BK5" s="650"/>
      <c r="BL5" s="650"/>
      <c r="BM5" s="650"/>
      <c r="BN5" s="650"/>
      <c r="BO5" s="650"/>
      <c r="BP5" s="651"/>
      <c r="BQ5" s="11"/>
      <c r="BR5" s="653"/>
      <c r="BS5" s="653"/>
      <c r="BT5" s="653"/>
      <c r="BU5" s="653"/>
      <c r="BV5" s="653"/>
      <c r="BW5" s="653"/>
      <c r="BX5" s="654"/>
      <c r="BY5" s="653"/>
      <c r="BZ5" s="656"/>
      <c r="CA5" s="656"/>
      <c r="CB5" s="656"/>
      <c r="CC5" s="656"/>
      <c r="CD5" s="656"/>
      <c r="CE5" s="656"/>
      <c r="CF5" s="12"/>
      <c r="CG5" s="671"/>
      <c r="CH5" s="671"/>
      <c r="CI5" s="671"/>
      <c r="CJ5" s="671"/>
      <c r="CK5" s="653"/>
      <c r="CL5" s="656"/>
      <c r="CM5" s="656"/>
      <c r="CN5" s="656"/>
      <c r="CO5" s="13"/>
      <c r="CP5"/>
      <c r="CQ5" s="272"/>
      <c r="CR5"/>
      <c r="CS5" s="272"/>
      <c r="CT5" s="13"/>
      <c r="CU5"/>
      <c r="CV5"/>
      <c r="CW5"/>
      <c r="CX5" s="274"/>
      <c r="CZ5"/>
      <c r="DA5"/>
      <c r="DB5" s="664" t="s">
        <v>88</v>
      </c>
      <c r="DC5" s="665"/>
      <c r="DD5" s="665"/>
      <c r="DE5" s="665"/>
      <c r="DF5" s="666"/>
    </row>
    <row r="6" spans="1:116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62"/>
      <c r="P6" s="641"/>
      <c r="Q6" s="641"/>
      <c r="R6" s="644"/>
      <c r="S6" s="644"/>
      <c r="T6" s="644"/>
      <c r="U6" s="644"/>
      <c r="V6" s="645"/>
      <c r="W6" s="645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43"/>
      <c r="AK6" s="633"/>
      <c r="AL6" s="633"/>
      <c r="AM6" s="641"/>
      <c r="AN6" s="633"/>
      <c r="AO6" s="633"/>
      <c r="AP6" s="633"/>
      <c r="AQ6" s="460"/>
      <c r="AR6" s="633"/>
      <c r="AS6" s="644"/>
      <c r="AT6" s="644"/>
      <c r="AU6" s="644"/>
      <c r="AV6" s="658"/>
      <c r="AW6" s="658"/>
      <c r="AX6" s="644"/>
      <c r="AY6" s="644"/>
      <c r="AZ6" s="74"/>
      <c r="BA6" s="75">
        <v>0.04</v>
      </c>
      <c r="BB6" s="633"/>
      <c r="BC6" s="633"/>
      <c r="BD6" s="649"/>
      <c r="BE6" s="14" t="s">
        <v>54</v>
      </c>
      <c r="BF6" s="14" t="s">
        <v>55</v>
      </c>
      <c r="BG6" s="14" t="s">
        <v>56</v>
      </c>
      <c r="BH6" s="3"/>
      <c r="BI6" s="4"/>
      <c r="BJ6" s="226" t="s">
        <v>94</v>
      </c>
      <c r="BK6" s="52" t="s">
        <v>81</v>
      </c>
      <c r="BL6" s="232" t="s">
        <v>101</v>
      </c>
      <c r="BM6" s="396" t="s">
        <v>99</v>
      </c>
      <c r="BN6" s="232" t="s">
        <v>296</v>
      </c>
      <c r="BO6" s="310" t="s">
        <v>147</v>
      </c>
      <c r="BP6" s="397" t="s">
        <v>96</v>
      </c>
      <c r="BQ6" s="15"/>
      <c r="BR6" s="399" t="s">
        <v>94</v>
      </c>
      <c r="BS6" s="52"/>
      <c r="BT6" s="333"/>
      <c r="BU6" s="396" t="s">
        <v>99</v>
      </c>
      <c r="BV6" s="232" t="s">
        <v>296</v>
      </c>
      <c r="BW6" s="310" t="s">
        <v>98</v>
      </c>
      <c r="BX6" s="398" t="s">
        <v>96</v>
      </c>
      <c r="BY6" s="332" t="s">
        <v>94</v>
      </c>
      <c r="BZ6" s="333" t="s">
        <v>85</v>
      </c>
      <c r="CA6" s="400" t="s">
        <v>101</v>
      </c>
      <c r="CB6" s="396" t="s">
        <v>99</v>
      </c>
      <c r="CC6" s="232" t="s">
        <v>296</v>
      </c>
      <c r="CD6" s="310" t="s">
        <v>147</v>
      </c>
      <c r="CE6" s="334" t="s">
        <v>96</v>
      </c>
      <c r="CF6" s="53" t="s">
        <v>57</v>
      </c>
      <c r="CG6" s="335" t="s">
        <v>108</v>
      </c>
      <c r="CH6" s="225" t="s">
        <v>84</v>
      </c>
      <c r="CI6" s="263" t="s">
        <v>106</v>
      </c>
      <c r="CJ6" s="288" t="s">
        <v>102</v>
      </c>
      <c r="CK6" s="312" t="s">
        <v>108</v>
      </c>
      <c r="CL6" s="225" t="s">
        <v>84</v>
      </c>
      <c r="CM6" s="263" t="s">
        <v>106</v>
      </c>
      <c r="CN6" s="288" t="s">
        <v>102</v>
      </c>
      <c r="CO6"/>
      <c r="CP6" s="251" t="s">
        <v>95</v>
      </c>
      <c r="CQ6" s="275" t="s">
        <v>85</v>
      </c>
      <c r="CR6" s="51" t="s">
        <v>101</v>
      </c>
      <c r="CS6" s="245" t="s">
        <v>99</v>
      </c>
      <c r="CT6" s="51" t="s">
        <v>296</v>
      </c>
      <c r="CU6" s="51" t="s">
        <v>147</v>
      </c>
      <c r="CV6" s="229" t="s">
        <v>97</v>
      </c>
      <c r="CW6" s="229" t="s">
        <v>108</v>
      </c>
      <c r="CX6" s="273" t="s">
        <v>93</v>
      </c>
      <c r="CY6" s="229" t="s">
        <v>106</v>
      </c>
      <c r="CZ6" s="229" t="s">
        <v>103</v>
      </c>
      <c r="DA6"/>
      <c r="DB6" s="290" t="s">
        <v>89</v>
      </c>
      <c r="DC6" s="291" t="s">
        <v>90</v>
      </c>
      <c r="DD6" s="292" t="s">
        <v>91</v>
      </c>
      <c r="DE6" s="292"/>
      <c r="DF6" s="291" t="s">
        <v>92</v>
      </c>
    </row>
    <row r="7" spans="1:116" ht="16.5" customHeight="1">
      <c r="A7" s="102">
        <v>1</v>
      </c>
      <c r="B7" s="103">
        <f>BJ7+BK7+BL7+BM7+BN7+BO7</f>
        <v>433.31900030000003</v>
      </c>
      <c r="C7" s="104">
        <f t="shared" ref="C7:C37" si="0">IF(B7=0,0,(BJ7*BR7+BK7*BS7+BM7*BU7+BP7*BX7+BL7*BT7+BO7*BW7+BN7*BV7)/B7)</f>
        <v>0.5123069374901813</v>
      </c>
      <c r="D7" s="447">
        <f t="shared" ref="D7:D37" si="1">B7*((100-C7)/100)</f>
        <v>431.09907700000002</v>
      </c>
      <c r="E7" s="104">
        <f t="shared" ref="E7:E37" si="2">IF(B7=0,0,(BJ7*BY7+BK7*BZ7+BM7*CB7+BP7*CE7+BL7*CA7+BO7*CD7+BN7*CC7)/B7)</f>
        <v>37.482274926221365</v>
      </c>
      <c r="F7" s="103">
        <f t="shared" ref="F7:F37" si="3">IF(AX7=0,0,D7/AX7)</f>
        <v>2.1623066509504945</v>
      </c>
      <c r="G7" s="106"/>
      <c r="H7" s="107">
        <f t="shared" ref="H7:H37" si="4">IF(AX7=0,0,(CV7+CS7+CU7+CP7+CT7)/AX7)</f>
        <v>2.1623066504489143</v>
      </c>
      <c r="I7" s="103">
        <f>'[1]сентябрь 20'!AE6</f>
        <v>0</v>
      </c>
      <c r="J7" s="328">
        <f>'[1]июнь 20'!AA6</f>
        <v>0</v>
      </c>
      <c r="K7" s="106">
        <v>30.13</v>
      </c>
      <c r="L7" s="328"/>
      <c r="M7" s="103">
        <f t="shared" ref="M7:M37" si="5">IF(AX7=0,0,(CR7+CQ7)/AX7)</f>
        <v>1.0031599528514823E-9</v>
      </c>
      <c r="N7" s="103">
        <f>'[1]июль 20'!AM6</f>
        <v>0</v>
      </c>
      <c r="O7" s="103">
        <f>'[1]июнь 20'!W6</f>
        <v>0</v>
      </c>
      <c r="P7" s="103">
        <v>278.62</v>
      </c>
      <c r="Q7" s="108">
        <f t="shared" ref="Q7:Q37" si="6">IF(P7=0,0,(1-(T7/P7))*100)</f>
        <v>1.3961667145215628</v>
      </c>
      <c r="R7" s="109">
        <f t="shared" ref="R7:R37" si="7">P7*((100-Q7)/100)</f>
        <v>274.73000029999997</v>
      </c>
      <c r="S7" s="106">
        <v>7.37</v>
      </c>
      <c r="T7" s="109">
        <f t="shared" ref="T7:T37" si="8">CG7+CH7+CJ7+CI7</f>
        <v>274.73000030000003</v>
      </c>
      <c r="U7" s="110">
        <f t="shared" ref="U7:U37" si="9">IF(AX7=0,0,R7/AX7)</f>
        <v>1.3779906721171691</v>
      </c>
      <c r="V7" s="136">
        <v>153.99</v>
      </c>
      <c r="W7" s="111">
        <v>199.37</v>
      </c>
      <c r="X7" s="106">
        <v>0.24</v>
      </c>
      <c r="Y7" s="112">
        <v>603</v>
      </c>
      <c r="Z7" s="238">
        <v>1229</v>
      </c>
      <c r="AA7" s="113" t="s">
        <v>280</v>
      </c>
      <c r="AB7" s="106">
        <v>74.97</v>
      </c>
      <c r="AC7" s="112">
        <v>145</v>
      </c>
      <c r="AD7" s="114">
        <v>4</v>
      </c>
      <c r="AE7" s="106">
        <v>5.0999999999999996</v>
      </c>
      <c r="AF7" s="115">
        <f t="shared" ref="AF7:AF37" si="10">IF(AX7=0,0,AE7/AX7*1000)</f>
        <v>25.580578823293376</v>
      </c>
      <c r="AG7" s="106">
        <v>129.15</v>
      </c>
      <c r="AH7" s="115">
        <f t="shared" ref="AH7:AH37" si="11">IF(AX7=0,0,AG7/AX7*1000)</f>
        <v>647.79054020163528</v>
      </c>
      <c r="AI7" s="106">
        <v>17.510000000000002</v>
      </c>
      <c r="AJ7" s="116"/>
      <c r="AK7" s="117">
        <v>8.85</v>
      </c>
      <c r="AL7" s="118">
        <v>42.43</v>
      </c>
      <c r="AM7" s="110">
        <f t="shared" ref="AM7:AM37" si="12">IF(AL7=0,0,AL7/AS7)</f>
        <v>0.1742863010885192</v>
      </c>
      <c r="AN7" s="119" t="s">
        <v>238</v>
      </c>
      <c r="AO7" s="403">
        <v>8.31</v>
      </c>
      <c r="AP7" s="120">
        <v>7.35</v>
      </c>
      <c r="AQ7" s="106"/>
      <c r="AR7" s="106">
        <v>9.8699999999999992</v>
      </c>
      <c r="AS7" s="314">
        <v>243.45</v>
      </c>
      <c r="AT7" s="121">
        <v>7.2</v>
      </c>
      <c r="AU7" s="122"/>
      <c r="AV7" s="123"/>
      <c r="AW7" s="124"/>
      <c r="AX7" s="109">
        <f t="shared" ref="AX7:AX37" si="13">AS7-AL7-AK7+AV7+AT7</f>
        <v>199.36999999999998</v>
      </c>
      <c r="AY7" s="115">
        <f>IF(AB7=0,0,((D7*0.97)*(E7/100)*0.9)/(AB7/100))</f>
        <v>188.16106723670643</v>
      </c>
      <c r="AZ7" s="125">
        <f t="shared" ref="AZ7:AZ37" si="14">(AG7*AR7)/100*(55/71)</f>
        <v>9.8745179577464786</v>
      </c>
      <c r="BA7" s="115">
        <f t="shared" ref="BA7:BA23" si="15">AX7*$BA$6</f>
        <v>7.9747999999999992</v>
      </c>
      <c r="BB7" s="103">
        <f t="shared" ref="BB7:BB37" si="16">IF((D7*E7)=0,0,(AX7*AB7)/(D7*E7))</f>
        <v>0.925005435800623</v>
      </c>
      <c r="BC7" s="115">
        <f t="shared" ref="BC7:BC37" si="17">AZ7+BA7</f>
        <v>17.849317957746479</v>
      </c>
      <c r="BD7" s="126">
        <v>0.92500000000000004</v>
      </c>
      <c r="BE7" s="16">
        <f>AX7</f>
        <v>199.36999999999998</v>
      </c>
      <c r="BF7" s="16">
        <f t="shared" ref="BF7:BF38" si="18">IF(A7&lt;=$BD$43,$AS$43,0)</f>
        <v>183.33333333333334</v>
      </c>
      <c r="BG7" s="16">
        <f>BF7</f>
        <v>183.33333333333334</v>
      </c>
      <c r="BH7" s="17">
        <f t="shared" ref="BH7:BH37" si="19">IF(AX7&lt;&gt;0,1,0)</f>
        <v>1</v>
      </c>
      <c r="BI7" s="16">
        <f>BF7*BH7</f>
        <v>183.33333333333334</v>
      </c>
      <c r="BJ7" s="440">
        <f>DJ7</f>
        <v>294.93299999999999</v>
      </c>
      <c r="BK7" s="336">
        <v>9.9999999999999995E-8</v>
      </c>
      <c r="BL7" s="336">
        <v>9.9999999999999995E-8</v>
      </c>
      <c r="BM7" s="336">
        <v>9.9999999999999995E-8</v>
      </c>
      <c r="BN7" s="336">
        <v>112.354</v>
      </c>
      <c r="BO7" s="336">
        <v>26.032</v>
      </c>
      <c r="BP7" s="336">
        <v>9.9999999999999995E-8</v>
      </c>
      <c r="BQ7" s="336">
        <v>9.9999999999999995E-8</v>
      </c>
      <c r="BR7" s="336">
        <v>0.51</v>
      </c>
      <c r="BS7" s="336">
        <v>9.9999999999999995E-8</v>
      </c>
      <c r="BT7" s="336">
        <v>9.9999999999999995E-8</v>
      </c>
      <c r="BU7" s="336">
        <v>9.9999999999999995E-8</v>
      </c>
      <c r="BV7" s="336">
        <v>0.41</v>
      </c>
      <c r="BW7" s="336">
        <v>0.98</v>
      </c>
      <c r="BX7" s="336">
        <v>9.9999999999999995E-8</v>
      </c>
      <c r="BY7" s="336">
        <v>37.5</v>
      </c>
      <c r="BZ7" s="336">
        <v>9.9999999999999995E-8</v>
      </c>
      <c r="CA7" s="336">
        <v>9.9999999999999995E-8</v>
      </c>
      <c r="CB7" s="336">
        <v>9.9999999999999995E-8</v>
      </c>
      <c r="CC7" s="336">
        <v>38.56</v>
      </c>
      <c r="CD7" s="336">
        <v>32.630000000000003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431">
        <f>DL7</f>
        <v>274.73</v>
      </c>
      <c r="CJ7" s="336">
        <v>9.9999999999999995E-8</v>
      </c>
      <c r="CK7" s="336">
        <v>9.9999999999999995E-8</v>
      </c>
      <c r="CL7" s="336">
        <v>9.9999999999999995E-8</v>
      </c>
      <c r="CM7" s="336">
        <v>9.9999999999999995E-8</v>
      </c>
      <c r="CN7" s="336">
        <v>9.9999999999999995E-8</v>
      </c>
      <c r="CO7" s="284"/>
      <c r="CP7" s="285">
        <f t="shared" ref="CP7:CV37" si="20">BJ7*((100-BR7)/100)</f>
        <v>293.42884169999996</v>
      </c>
      <c r="CQ7" s="22">
        <f t="shared" si="20"/>
        <v>9.99999999E-8</v>
      </c>
      <c r="CR7" s="22">
        <f t="shared" si="20"/>
        <v>9.99999999E-8</v>
      </c>
      <c r="CS7" s="27">
        <f t="shared" si="20"/>
        <v>9.99999999E-8</v>
      </c>
      <c r="CT7" s="27">
        <f t="shared" si="20"/>
        <v>111.8933486</v>
      </c>
      <c r="CU7" s="276">
        <f t="shared" si="20"/>
        <v>25.776886399999999</v>
      </c>
      <c r="CV7" s="279">
        <f t="shared" si="20"/>
        <v>9.99999999E-8</v>
      </c>
      <c r="CW7" s="276">
        <f t="shared" ref="CW7:CZ37" si="21">CG7*((100-CK7)/100)</f>
        <v>9.99999999E-8</v>
      </c>
      <c r="CX7" s="21">
        <f t="shared" si="21"/>
        <v>9.99999999E-8</v>
      </c>
      <c r="CY7" s="21">
        <f t="shared" si="21"/>
        <v>274.72999972527003</v>
      </c>
      <c r="CZ7" s="279">
        <f t="shared" si="21"/>
        <v>9.99999999E-8</v>
      </c>
      <c r="DA7" s="247"/>
      <c r="DB7" s="293">
        <f t="shared" ref="DB7:DB37" si="22">I7</f>
        <v>0</v>
      </c>
      <c r="DC7" s="294"/>
      <c r="DD7" s="294"/>
      <c r="DE7" s="295">
        <f t="shared" ref="DE7:DE37" si="23">DB7*((100-DC7)/100)</f>
        <v>0</v>
      </c>
      <c r="DF7" s="296">
        <f>IF(I7=0,0,(DE7*DD7%)/(AB7/100))</f>
        <v>0</v>
      </c>
      <c r="DH7" s="336">
        <v>215.93299999999999</v>
      </c>
      <c r="DJ7" s="247">
        <f>DH7+79</f>
        <v>294.93299999999999</v>
      </c>
      <c r="DK7" s="336">
        <v>255.26</v>
      </c>
      <c r="DL7" s="247">
        <f>DK7+19.47</f>
        <v>274.73</v>
      </c>
    </row>
    <row r="8" spans="1:116" ht="16.5" customHeight="1">
      <c r="A8" s="127">
        <v>2</v>
      </c>
      <c r="B8" s="103">
        <f t="shared" ref="B8:B36" si="24">BJ8+BK8+BL8+BM8+BN8+BO8</f>
        <v>249.43100000000001</v>
      </c>
      <c r="C8" s="104">
        <f t="shared" si="0"/>
        <v>0.58733830197529568</v>
      </c>
      <c r="D8" s="447">
        <f t="shared" si="1"/>
        <v>247.96599620000001</v>
      </c>
      <c r="E8" s="104">
        <f t="shared" si="2"/>
        <v>36.845262016349203</v>
      </c>
      <c r="F8" s="128">
        <f t="shared" si="3"/>
        <v>2.8290473040501993</v>
      </c>
      <c r="G8" s="106"/>
      <c r="H8" s="107">
        <f t="shared" si="4"/>
        <v>2.8290473040501993</v>
      </c>
      <c r="I8" s="103">
        <f>'[1]сентябрь 20'!AE7</f>
        <v>0</v>
      </c>
      <c r="J8" s="328">
        <f>'[1]июнь 20'!AA7</f>
        <v>0</v>
      </c>
      <c r="K8" s="106"/>
      <c r="L8" s="328"/>
      <c r="M8" s="103">
        <f t="shared" si="5"/>
        <v>0</v>
      </c>
      <c r="N8" s="103">
        <f>'[1]июль 20'!AM7</f>
        <v>0</v>
      </c>
      <c r="O8" s="103">
        <f>'[1]июнь 20'!W7</f>
        <v>0</v>
      </c>
      <c r="P8" s="103">
        <v>150.87</v>
      </c>
      <c r="Q8" s="108">
        <f t="shared" si="6"/>
        <v>1.5112348379399454</v>
      </c>
      <c r="R8" s="109">
        <f t="shared" si="7"/>
        <v>148.59</v>
      </c>
      <c r="S8" s="106">
        <v>11.48</v>
      </c>
      <c r="T8" s="109">
        <f t="shared" si="8"/>
        <v>148.59</v>
      </c>
      <c r="U8" s="110">
        <f t="shared" si="9"/>
        <v>1.6952652595550484</v>
      </c>
      <c r="V8" s="136">
        <v>52.83</v>
      </c>
      <c r="W8" s="130">
        <v>87.65</v>
      </c>
      <c r="X8" s="131">
        <v>0.31</v>
      </c>
      <c r="Y8" s="112">
        <v>590</v>
      </c>
      <c r="Z8" s="112">
        <v>1177</v>
      </c>
      <c r="AA8" s="132" t="s">
        <v>316</v>
      </c>
      <c r="AB8" s="131">
        <v>75.06</v>
      </c>
      <c r="AC8" s="133">
        <v>71</v>
      </c>
      <c r="AD8" s="134">
        <v>2</v>
      </c>
      <c r="AE8" s="131"/>
      <c r="AF8" s="115">
        <f t="shared" si="10"/>
        <v>0</v>
      </c>
      <c r="AG8" s="131">
        <v>54.3</v>
      </c>
      <c r="AH8" s="115">
        <f t="shared" si="11"/>
        <v>619.50941243582429</v>
      </c>
      <c r="AI8" s="131">
        <v>10.35</v>
      </c>
      <c r="AJ8" s="116"/>
      <c r="AK8" s="135">
        <v>5.69</v>
      </c>
      <c r="AL8" s="136">
        <v>17.78</v>
      </c>
      <c r="AM8" s="110">
        <f t="shared" si="12"/>
        <v>0.16274599542334098</v>
      </c>
      <c r="AN8" s="137" t="s">
        <v>158</v>
      </c>
      <c r="AO8" s="150">
        <v>8.7899999999999991</v>
      </c>
      <c r="AP8" s="138">
        <v>7.69</v>
      </c>
      <c r="AQ8" s="131"/>
      <c r="AR8" s="131">
        <v>8.52</v>
      </c>
      <c r="AS8" s="315">
        <v>109.25</v>
      </c>
      <c r="AT8" s="131">
        <v>1.87</v>
      </c>
      <c r="AU8" s="116"/>
      <c r="AV8" s="131"/>
      <c r="AW8" s="109"/>
      <c r="AX8" s="109">
        <f t="shared" si="13"/>
        <v>87.65</v>
      </c>
      <c r="AY8" s="115">
        <f t="shared" ref="AY8:AY37" si="25">IF(AB8=0,0,((D8*0.97)*(E8/100)*0.9)/(AB8/100))</f>
        <v>106.26236136810587</v>
      </c>
      <c r="AZ8" s="140">
        <f t="shared" si="14"/>
        <v>3.5837999999999997</v>
      </c>
      <c r="BA8" s="141">
        <f t="shared" si="15"/>
        <v>3.5060000000000002</v>
      </c>
      <c r="BB8" s="128">
        <f t="shared" si="16"/>
        <v>0.72008987015572434</v>
      </c>
      <c r="BC8" s="141">
        <f t="shared" si="17"/>
        <v>7.0898000000000003</v>
      </c>
      <c r="BD8" s="142">
        <v>0.85099999999999998</v>
      </c>
      <c r="BE8" s="16">
        <f t="shared" ref="BE8:BE37" si="26">BE7+AX8</f>
        <v>287.02</v>
      </c>
      <c r="BF8" s="16">
        <f t="shared" si="18"/>
        <v>183.33333333333334</v>
      </c>
      <c r="BG8" s="16">
        <f t="shared" ref="BG8:BG37" si="27">BF8+BG7</f>
        <v>366.66666666666669</v>
      </c>
      <c r="BH8" s="17">
        <f t="shared" si="19"/>
        <v>1</v>
      </c>
      <c r="BI8" s="16">
        <f t="shared" ref="BI8:BI37" si="28">BI7+BF8*BH8</f>
        <v>366.66666666666669</v>
      </c>
      <c r="BJ8" s="461">
        <f t="shared" ref="BJ8:BJ27" si="29">DJ8</f>
        <v>182.471</v>
      </c>
      <c r="BK8" s="195"/>
      <c r="BL8" s="197"/>
      <c r="BM8" s="197"/>
      <c r="BN8" s="230">
        <v>54.415999999999997</v>
      </c>
      <c r="BO8" s="230">
        <v>12.544</v>
      </c>
      <c r="BP8" s="250"/>
      <c r="BQ8" s="199"/>
      <c r="BR8" s="200">
        <v>0.57999999999999996</v>
      </c>
      <c r="BS8" s="200"/>
      <c r="BT8" s="200"/>
      <c r="BU8" s="200"/>
      <c r="BV8" s="208">
        <v>0.42</v>
      </c>
      <c r="BW8" s="208">
        <v>1.42</v>
      </c>
      <c r="BX8" s="198"/>
      <c r="BY8" s="202">
        <v>36.89</v>
      </c>
      <c r="BZ8" s="200"/>
      <c r="CA8" s="200"/>
      <c r="CB8" s="200"/>
      <c r="CC8" s="197">
        <v>37.69</v>
      </c>
      <c r="CD8" s="197">
        <v>32.53</v>
      </c>
      <c r="CE8" s="197"/>
      <c r="CF8" s="203"/>
      <c r="CG8" s="204"/>
      <c r="CH8" s="230"/>
      <c r="CI8" s="266">
        <f t="shared" ref="CI8:CI36" si="30">DL8</f>
        <v>148.59</v>
      </c>
      <c r="CJ8" s="453"/>
      <c r="CK8" s="205"/>
      <c r="CL8" s="206"/>
      <c r="CM8" s="269"/>
      <c r="CN8" s="207"/>
      <c r="CO8" s="284"/>
      <c r="CP8" s="286">
        <f t="shared" si="20"/>
        <v>181.41266819999998</v>
      </c>
      <c r="CQ8" s="24">
        <f t="shared" si="20"/>
        <v>0</v>
      </c>
      <c r="CR8" s="25">
        <f t="shared" si="20"/>
        <v>0</v>
      </c>
      <c r="CS8" s="24">
        <f t="shared" si="20"/>
        <v>0</v>
      </c>
      <c r="CT8" s="27">
        <f t="shared" si="20"/>
        <v>54.187452799999996</v>
      </c>
      <c r="CU8" s="237">
        <f t="shared" si="20"/>
        <v>12.365875200000001</v>
      </c>
      <c r="CV8" s="280">
        <f t="shared" si="20"/>
        <v>0</v>
      </c>
      <c r="CW8" s="237">
        <f t="shared" si="21"/>
        <v>0</v>
      </c>
      <c r="CX8" s="26">
        <f t="shared" si="21"/>
        <v>0</v>
      </c>
      <c r="CY8" s="277">
        <f t="shared" si="21"/>
        <v>148.59</v>
      </c>
      <c r="CZ8" s="280">
        <f t="shared" si="21"/>
        <v>0</v>
      </c>
      <c r="DA8" s="247"/>
      <c r="DB8" s="293">
        <f t="shared" si="22"/>
        <v>0</v>
      </c>
      <c r="DC8" s="294"/>
      <c r="DD8" s="294"/>
      <c r="DE8" s="295">
        <f t="shared" si="23"/>
        <v>0</v>
      </c>
      <c r="DF8" s="296">
        <f t="shared" ref="DF8:DF37" si="31">IF(I8=0,0,(DE8*DD8%)/(AB8/100))</f>
        <v>0</v>
      </c>
      <c r="DH8" s="249">
        <v>103.471</v>
      </c>
      <c r="DJ8" s="247">
        <f t="shared" ref="DJ8:DJ27" si="32">DH8+79</f>
        <v>182.471</v>
      </c>
      <c r="DK8" s="197">
        <v>129.12</v>
      </c>
      <c r="DL8" s="247">
        <f t="shared" ref="DL8:DL35" si="33">DK8+19.47</f>
        <v>148.59</v>
      </c>
    </row>
    <row r="9" spans="1:116" ht="16.5" customHeight="1">
      <c r="A9" s="127">
        <v>3</v>
      </c>
      <c r="B9" s="103">
        <f t="shared" si="24"/>
        <v>408.61099999999999</v>
      </c>
      <c r="C9" s="104">
        <f t="shared" si="0"/>
        <v>0.56624332188805493</v>
      </c>
      <c r="D9" s="448">
        <f t="shared" si="1"/>
        <v>406.29726750000003</v>
      </c>
      <c r="E9" s="104">
        <f t="shared" si="2"/>
        <v>37.04793243451595</v>
      </c>
      <c r="F9" s="128">
        <f t="shared" si="3"/>
        <v>2.2924858517181064</v>
      </c>
      <c r="G9" s="106"/>
      <c r="H9" s="107">
        <f t="shared" si="4"/>
        <v>2.2924858517181059</v>
      </c>
      <c r="I9" s="103">
        <f>'[1]сентябрь 20'!AE8</f>
        <v>0</v>
      </c>
      <c r="J9" s="328">
        <f>'[1]июнь 20'!AA8</f>
        <v>0</v>
      </c>
      <c r="K9" s="106"/>
      <c r="L9" s="328"/>
      <c r="M9" s="103">
        <f t="shared" si="5"/>
        <v>0</v>
      </c>
      <c r="N9" s="103">
        <f>'[1]июль 20'!AM8</f>
        <v>0</v>
      </c>
      <c r="O9" s="103">
        <f>'[1]июнь 20'!W8</f>
        <v>0</v>
      </c>
      <c r="P9" s="103">
        <v>264.75</v>
      </c>
      <c r="Q9" s="108">
        <f t="shared" si="6"/>
        <v>1.3597733711048221</v>
      </c>
      <c r="R9" s="109">
        <f t="shared" si="7"/>
        <v>261.14999999999998</v>
      </c>
      <c r="S9" s="106">
        <v>16.600000000000001</v>
      </c>
      <c r="T9" s="109">
        <f t="shared" si="8"/>
        <v>261.14999999999998</v>
      </c>
      <c r="U9" s="110">
        <f t="shared" si="9"/>
        <v>1.4735089996050328</v>
      </c>
      <c r="V9" s="136">
        <v>92.34</v>
      </c>
      <c r="W9" s="130">
        <v>177.23</v>
      </c>
      <c r="X9" s="131">
        <v>0.5</v>
      </c>
      <c r="Y9" s="112">
        <v>633</v>
      </c>
      <c r="Z9" s="112">
        <v>1196</v>
      </c>
      <c r="AA9" s="144" t="s">
        <v>309</v>
      </c>
      <c r="AB9" s="131">
        <v>74.98</v>
      </c>
      <c r="AC9" s="133">
        <v>134</v>
      </c>
      <c r="AD9" s="134">
        <v>4</v>
      </c>
      <c r="AE9" s="131"/>
      <c r="AF9" s="115">
        <f t="shared" si="10"/>
        <v>0</v>
      </c>
      <c r="AG9" s="131">
        <v>111.9</v>
      </c>
      <c r="AH9" s="115">
        <f t="shared" si="11"/>
        <v>631.38294871071491</v>
      </c>
      <c r="AI9" s="131">
        <v>18.14</v>
      </c>
      <c r="AJ9" s="116"/>
      <c r="AK9" s="135">
        <v>9.34</v>
      </c>
      <c r="AL9" s="136">
        <v>49.54</v>
      </c>
      <c r="AM9" s="110">
        <f t="shared" si="12"/>
        <v>0.2121173196317705</v>
      </c>
      <c r="AN9" s="137" t="s">
        <v>317</v>
      </c>
      <c r="AO9" s="150">
        <v>9.77</v>
      </c>
      <c r="AP9" s="131">
        <v>7.06</v>
      </c>
      <c r="AQ9" s="131"/>
      <c r="AR9" s="131">
        <v>7.05</v>
      </c>
      <c r="AS9" s="315">
        <v>233.55</v>
      </c>
      <c r="AT9" s="131">
        <v>2.56</v>
      </c>
      <c r="AU9" s="116"/>
      <c r="AV9" s="131"/>
      <c r="AW9" s="109"/>
      <c r="AX9" s="109">
        <f t="shared" si="13"/>
        <v>177.23000000000002</v>
      </c>
      <c r="AY9" s="115">
        <f t="shared" si="25"/>
        <v>175.25752937990876</v>
      </c>
      <c r="AZ9" s="140">
        <f t="shared" si="14"/>
        <v>6.1111584507042247</v>
      </c>
      <c r="BA9" s="141">
        <f t="shared" si="15"/>
        <v>7.0892000000000008</v>
      </c>
      <c r="BB9" s="128">
        <f t="shared" si="16"/>
        <v>0.88282535162644526</v>
      </c>
      <c r="BC9" s="141">
        <f t="shared" si="17"/>
        <v>13.200358450704226</v>
      </c>
      <c r="BD9" s="142">
        <v>0.86299999999999999</v>
      </c>
      <c r="BE9" s="16">
        <f t="shared" si="26"/>
        <v>464.25</v>
      </c>
      <c r="BF9" s="16">
        <f t="shared" si="18"/>
        <v>183.33333333333334</v>
      </c>
      <c r="BG9" s="16">
        <f t="shared" si="27"/>
        <v>550</v>
      </c>
      <c r="BH9" s="17">
        <f t="shared" si="19"/>
        <v>1</v>
      </c>
      <c r="BI9" s="16">
        <f t="shared" si="28"/>
        <v>550</v>
      </c>
      <c r="BJ9" s="462">
        <f t="shared" si="29"/>
        <v>280.01099999999997</v>
      </c>
      <c r="BK9" s="195"/>
      <c r="BL9" s="197"/>
      <c r="BM9" s="197"/>
      <c r="BN9" s="230">
        <v>104.468</v>
      </c>
      <c r="BO9" s="230">
        <v>24.132000000000001</v>
      </c>
      <c r="BP9" s="250"/>
      <c r="BQ9" s="199"/>
      <c r="BR9" s="200">
        <v>0.59</v>
      </c>
      <c r="BS9" s="200"/>
      <c r="BT9" s="200"/>
      <c r="BU9" s="200"/>
      <c r="BV9" s="208">
        <v>0.34</v>
      </c>
      <c r="BW9" s="208">
        <v>1.27</v>
      </c>
      <c r="BX9" s="201"/>
      <c r="BY9" s="202">
        <v>37.119999999999997</v>
      </c>
      <c r="BZ9" s="200"/>
      <c r="CA9" s="200"/>
      <c r="CB9" s="200"/>
      <c r="CC9" s="200">
        <v>38.729999999999997</v>
      </c>
      <c r="CD9" s="200">
        <v>28.93</v>
      </c>
      <c r="CE9" s="200"/>
      <c r="CF9" s="203"/>
      <c r="CG9" s="204"/>
      <c r="CH9" s="230"/>
      <c r="CI9" s="266">
        <f t="shared" si="30"/>
        <v>261.14999999999998</v>
      </c>
      <c r="CJ9" s="453"/>
      <c r="CK9" s="202"/>
      <c r="CL9" s="208"/>
      <c r="CM9" s="208"/>
      <c r="CN9" s="201"/>
      <c r="CO9" s="284"/>
      <c r="CP9" s="286">
        <f t="shared" si="20"/>
        <v>278.35893509999994</v>
      </c>
      <c r="CQ9" s="27">
        <f t="shared" si="20"/>
        <v>0</v>
      </c>
      <c r="CR9" s="28">
        <f t="shared" si="20"/>
        <v>0</v>
      </c>
      <c r="CS9" s="27">
        <f t="shared" si="20"/>
        <v>0</v>
      </c>
      <c r="CT9" s="27">
        <f t="shared" si="20"/>
        <v>104.1128088</v>
      </c>
      <c r="CU9" s="237">
        <f t="shared" si="20"/>
        <v>23.825523600000004</v>
      </c>
      <c r="CV9" s="281">
        <f t="shared" si="20"/>
        <v>0</v>
      </c>
      <c r="CW9" s="237">
        <f t="shared" si="21"/>
        <v>0</v>
      </c>
      <c r="CX9" s="26">
        <f t="shared" si="21"/>
        <v>0</v>
      </c>
      <c r="CY9" s="277">
        <f t="shared" si="21"/>
        <v>261.14999999999998</v>
      </c>
      <c r="CZ9" s="280">
        <f t="shared" si="21"/>
        <v>0</v>
      </c>
      <c r="DA9" s="247"/>
      <c r="DB9" s="293">
        <f t="shared" si="22"/>
        <v>0</v>
      </c>
      <c r="DC9" s="294"/>
      <c r="DD9" s="294"/>
      <c r="DE9" s="295">
        <f t="shared" si="23"/>
        <v>0</v>
      </c>
      <c r="DF9" s="296">
        <f t="shared" si="31"/>
        <v>0</v>
      </c>
      <c r="DH9" s="249">
        <v>201.011</v>
      </c>
      <c r="DJ9" s="247">
        <f t="shared" si="32"/>
        <v>280.01099999999997</v>
      </c>
      <c r="DK9" s="197">
        <v>241.68</v>
      </c>
      <c r="DL9" s="247">
        <f t="shared" si="33"/>
        <v>261.14999999999998</v>
      </c>
    </row>
    <row r="10" spans="1:116" ht="16.5" customHeight="1">
      <c r="A10" s="127">
        <v>4</v>
      </c>
      <c r="B10" s="103">
        <f t="shared" si="24"/>
        <v>418.524</v>
      </c>
      <c r="C10" s="104">
        <f t="shared" si="0"/>
        <v>0.29028062906786711</v>
      </c>
      <c r="D10" s="448">
        <f t="shared" si="1"/>
        <v>417.30910590000002</v>
      </c>
      <c r="E10" s="104">
        <f t="shared" si="2"/>
        <v>36.822478352495921</v>
      </c>
      <c r="F10" s="128">
        <f t="shared" si="3"/>
        <v>2.1589792844948006</v>
      </c>
      <c r="G10" s="106"/>
      <c r="H10" s="107">
        <f t="shared" si="4"/>
        <v>2.1589792844948001</v>
      </c>
      <c r="I10" s="103">
        <f>'[1]сентябрь 20'!AE9</f>
        <v>0</v>
      </c>
      <c r="J10" s="328">
        <f>'[1]июнь 20'!AA9</f>
        <v>0</v>
      </c>
      <c r="K10" s="106"/>
      <c r="L10" s="328"/>
      <c r="M10" s="103">
        <f t="shared" si="5"/>
        <v>0</v>
      </c>
      <c r="N10" s="103">
        <f>'[1]июль 20'!AM9</f>
        <v>0</v>
      </c>
      <c r="O10" s="103">
        <f>'[1]июнь 20'!W9</f>
        <v>0</v>
      </c>
      <c r="P10" s="103">
        <v>273.52999999999997</v>
      </c>
      <c r="Q10" s="108">
        <f t="shared" si="6"/>
        <v>1.3929002303220694</v>
      </c>
      <c r="R10" s="109">
        <f t="shared" si="7"/>
        <v>269.72000000000003</v>
      </c>
      <c r="S10" s="106">
        <v>3.48</v>
      </c>
      <c r="T10" s="109">
        <f t="shared" si="8"/>
        <v>269.72000000000003</v>
      </c>
      <c r="U10" s="110">
        <f t="shared" si="9"/>
        <v>1.3954162139789952</v>
      </c>
      <c r="V10" s="136">
        <v>97.17</v>
      </c>
      <c r="W10" s="130">
        <v>193.29</v>
      </c>
      <c r="X10" s="131">
        <v>0.55000000000000004</v>
      </c>
      <c r="Y10" s="112">
        <v>615</v>
      </c>
      <c r="Z10" s="112">
        <v>1213</v>
      </c>
      <c r="AA10" s="144" t="s">
        <v>318</v>
      </c>
      <c r="AB10" s="131">
        <v>74.98</v>
      </c>
      <c r="AC10" s="133">
        <v>138</v>
      </c>
      <c r="AD10" s="134">
        <v>4</v>
      </c>
      <c r="AE10" s="131">
        <v>2.9</v>
      </c>
      <c r="AF10" s="115">
        <f t="shared" si="10"/>
        <v>15.003362822701639</v>
      </c>
      <c r="AG10" s="131">
        <v>108.6</v>
      </c>
      <c r="AH10" s="115">
        <f t="shared" si="11"/>
        <v>561.85006984324059</v>
      </c>
      <c r="AI10" s="131">
        <v>19.78</v>
      </c>
      <c r="AJ10" s="116"/>
      <c r="AK10" s="135">
        <v>6.81</v>
      </c>
      <c r="AL10" s="136">
        <v>42.11</v>
      </c>
      <c r="AM10" s="110">
        <f t="shared" si="12"/>
        <v>0.17648784576697402</v>
      </c>
      <c r="AN10" s="137" t="s">
        <v>315</v>
      </c>
      <c r="AO10" s="150">
        <v>9.67</v>
      </c>
      <c r="AP10" s="138">
        <v>7.71</v>
      </c>
      <c r="AQ10" s="131"/>
      <c r="AR10" s="131">
        <v>7.19</v>
      </c>
      <c r="AS10" s="315">
        <v>238.6</v>
      </c>
      <c r="AT10" s="131">
        <v>3.61</v>
      </c>
      <c r="AU10" s="116"/>
      <c r="AV10" s="131"/>
      <c r="AW10" s="109"/>
      <c r="AX10" s="109">
        <f t="shared" si="13"/>
        <v>193.29000000000002</v>
      </c>
      <c r="AY10" s="115">
        <f>IF(AB10=0,0,((D10*0.97)*(E10/100)*0.9)/(AB10/100))</f>
        <v>178.91208812320355</v>
      </c>
      <c r="AZ10" s="140">
        <f t="shared" si="14"/>
        <v>6.0487140845070417</v>
      </c>
      <c r="BA10" s="141">
        <f t="shared" si="15"/>
        <v>7.7316000000000011</v>
      </c>
      <c r="BB10" s="128">
        <f t="shared" si="16"/>
        <v>0.94315689772621603</v>
      </c>
      <c r="BC10" s="141">
        <f t="shared" si="17"/>
        <v>13.780314084507044</v>
      </c>
      <c r="BD10" s="142">
        <v>0.88500000000000001</v>
      </c>
      <c r="BE10" s="16">
        <f t="shared" si="26"/>
        <v>657.54</v>
      </c>
      <c r="BF10" s="16">
        <f t="shared" si="18"/>
        <v>183.33333333333334</v>
      </c>
      <c r="BG10" s="16">
        <f t="shared" si="27"/>
        <v>733.33333333333337</v>
      </c>
      <c r="BH10" s="17">
        <f t="shared" si="19"/>
        <v>1</v>
      </c>
      <c r="BI10" s="16">
        <f t="shared" si="28"/>
        <v>733.33333333333337</v>
      </c>
      <c r="BJ10" s="462">
        <f t="shared" si="29"/>
        <v>285.99</v>
      </c>
      <c r="BK10" s="195"/>
      <c r="BL10" s="197"/>
      <c r="BM10" s="195"/>
      <c r="BN10" s="195">
        <v>107.685</v>
      </c>
      <c r="BO10" s="230">
        <v>24.849</v>
      </c>
      <c r="BP10" s="250"/>
      <c r="BQ10" s="199"/>
      <c r="BR10" s="200">
        <v>0.26</v>
      </c>
      <c r="BS10" s="200"/>
      <c r="BT10" s="200"/>
      <c r="BU10" s="200"/>
      <c r="BV10" s="208">
        <v>0.28999999999999998</v>
      </c>
      <c r="BW10" s="208">
        <v>0.64</v>
      </c>
      <c r="BX10" s="201"/>
      <c r="BY10" s="202">
        <v>37</v>
      </c>
      <c r="BZ10" s="200"/>
      <c r="CA10" s="200"/>
      <c r="CB10" s="200"/>
      <c r="CC10" s="200">
        <v>37.24</v>
      </c>
      <c r="CD10" s="200">
        <v>32.97</v>
      </c>
      <c r="CE10" s="200"/>
      <c r="CF10" s="203"/>
      <c r="CG10" s="204"/>
      <c r="CH10" s="230"/>
      <c r="CI10" s="266">
        <f t="shared" si="30"/>
        <v>269.72000000000003</v>
      </c>
      <c r="CJ10" s="453"/>
      <c r="CK10" s="202"/>
      <c r="CL10" s="208"/>
      <c r="CM10" s="208"/>
      <c r="CN10" s="201"/>
      <c r="CO10" s="284"/>
      <c r="CP10" s="286">
        <f t="shared" si="20"/>
        <v>285.24642599999999</v>
      </c>
      <c r="CQ10" s="29">
        <f t="shared" si="20"/>
        <v>0</v>
      </c>
      <c r="CR10" s="30">
        <f t="shared" si="20"/>
        <v>0</v>
      </c>
      <c r="CS10" s="29">
        <f t="shared" si="20"/>
        <v>0</v>
      </c>
      <c r="CT10" s="27">
        <f t="shared" si="20"/>
        <v>107.3727135</v>
      </c>
      <c r="CU10" s="24">
        <f t="shared" si="20"/>
        <v>24.689966399999999</v>
      </c>
      <c r="CV10" s="282">
        <f t="shared" si="20"/>
        <v>0</v>
      </c>
      <c r="CW10" s="237">
        <f t="shared" si="21"/>
        <v>0</v>
      </c>
      <c r="CX10" s="26">
        <f t="shared" si="21"/>
        <v>0</v>
      </c>
      <c r="CY10" s="277">
        <f t="shared" si="21"/>
        <v>269.72000000000003</v>
      </c>
      <c r="CZ10" s="280">
        <f t="shared" si="21"/>
        <v>0</v>
      </c>
      <c r="DA10" s="247"/>
      <c r="DB10" s="293">
        <f t="shared" si="22"/>
        <v>0</v>
      </c>
      <c r="DC10" s="294"/>
      <c r="DD10" s="294"/>
      <c r="DE10" s="295">
        <f t="shared" si="23"/>
        <v>0</v>
      </c>
      <c r="DF10" s="296">
        <f t="shared" si="31"/>
        <v>0</v>
      </c>
      <c r="DH10" s="249">
        <v>206.99</v>
      </c>
      <c r="DJ10" s="247">
        <f t="shared" si="32"/>
        <v>285.99</v>
      </c>
      <c r="DK10" s="197">
        <v>250.25</v>
      </c>
      <c r="DL10" s="247">
        <f t="shared" si="33"/>
        <v>269.72000000000003</v>
      </c>
    </row>
    <row r="11" spans="1:116" ht="16.5" customHeight="1">
      <c r="A11" s="127">
        <v>5</v>
      </c>
      <c r="B11" s="103">
        <f t="shared" si="24"/>
        <v>413.62099999999998</v>
      </c>
      <c r="C11" s="104">
        <f t="shared" si="0"/>
        <v>0.32820652239610659</v>
      </c>
      <c r="D11" s="448">
        <f t="shared" si="1"/>
        <v>412.26346890000002</v>
      </c>
      <c r="E11" s="104">
        <f t="shared" si="2"/>
        <v>37.389384654067378</v>
      </c>
      <c r="F11" s="128">
        <f t="shared" si="3"/>
        <v>2.1513514006157703</v>
      </c>
      <c r="G11" s="106"/>
      <c r="H11" s="107">
        <f>IF(AX11=0,0,(CV11+CS11+CU11+CP11+CT11)/AX11)</f>
        <v>2.1513514006157703</v>
      </c>
      <c r="I11" s="103">
        <f>'[1]сентябрь 20'!AE10</f>
        <v>0</v>
      </c>
      <c r="J11" s="328">
        <f>'[1]июнь 20'!AA10</f>
        <v>0</v>
      </c>
      <c r="K11" s="106"/>
      <c r="L11" s="328"/>
      <c r="M11" s="103">
        <f t="shared" si="5"/>
        <v>0</v>
      </c>
      <c r="N11" s="103">
        <f>'[1]июль 20'!AM10</f>
        <v>0</v>
      </c>
      <c r="O11" s="103">
        <f>'[1]июнь 20'!W10</f>
        <v>0</v>
      </c>
      <c r="P11" s="103">
        <v>268.95999999999998</v>
      </c>
      <c r="Q11" s="108">
        <f t="shared" si="6"/>
        <v>1.435157644259355</v>
      </c>
      <c r="R11" s="109">
        <f t="shared" si="7"/>
        <v>265.10000000000002</v>
      </c>
      <c r="S11" s="106">
        <v>37.32</v>
      </c>
      <c r="T11" s="109">
        <f t="shared" si="8"/>
        <v>265.10000000000002</v>
      </c>
      <c r="U11" s="110">
        <f t="shared" si="9"/>
        <v>1.3833950842769922</v>
      </c>
      <c r="V11" s="136">
        <v>51.98</v>
      </c>
      <c r="W11" s="130">
        <v>98.01</v>
      </c>
      <c r="X11" s="131">
        <v>0.92</v>
      </c>
      <c r="Y11" s="112">
        <v>636</v>
      </c>
      <c r="Z11" s="112">
        <v>1225</v>
      </c>
      <c r="AA11" s="144" t="s">
        <v>302</v>
      </c>
      <c r="AB11" s="131">
        <v>74.739999999999995</v>
      </c>
      <c r="AC11" s="133">
        <v>136</v>
      </c>
      <c r="AD11" s="134">
        <v>4</v>
      </c>
      <c r="AE11" s="131">
        <v>2.85</v>
      </c>
      <c r="AF11" s="115">
        <f t="shared" si="10"/>
        <v>14.872410374158536</v>
      </c>
      <c r="AG11" s="131">
        <v>104</v>
      </c>
      <c r="AH11" s="115">
        <f t="shared" si="11"/>
        <v>542.71251891666225</v>
      </c>
      <c r="AI11" s="131">
        <v>16.88</v>
      </c>
      <c r="AJ11" s="116"/>
      <c r="AK11" s="135">
        <v>9.39</v>
      </c>
      <c r="AL11" s="136">
        <v>42.69</v>
      </c>
      <c r="AM11" s="110">
        <f t="shared" si="12"/>
        <v>0.17669701986754965</v>
      </c>
      <c r="AN11" s="137" t="s">
        <v>168</v>
      </c>
      <c r="AO11" s="150">
        <v>9.74</v>
      </c>
      <c r="AP11" s="138">
        <v>7.6</v>
      </c>
      <c r="AQ11" s="131"/>
      <c r="AR11" s="131">
        <v>7.04</v>
      </c>
      <c r="AS11" s="315">
        <v>241.6</v>
      </c>
      <c r="AT11" s="131">
        <v>2.11</v>
      </c>
      <c r="AU11" s="145"/>
      <c r="AV11" s="131"/>
      <c r="AW11" s="109"/>
      <c r="AX11" s="109">
        <f t="shared" si="13"/>
        <v>191.63</v>
      </c>
      <c r="AY11" s="115">
        <f t="shared" si="25"/>
        <v>180.04634981933265</v>
      </c>
      <c r="AZ11" s="140">
        <f t="shared" si="14"/>
        <v>5.6716619718309857</v>
      </c>
      <c r="BA11" s="141">
        <f t="shared" si="15"/>
        <v>7.6651999999999996</v>
      </c>
      <c r="BB11" s="128">
        <f t="shared" si="16"/>
        <v>0.92916624062565012</v>
      </c>
      <c r="BC11" s="141">
        <f t="shared" si="17"/>
        <v>13.336861971830984</v>
      </c>
      <c r="BD11" s="142">
        <v>0.89500000000000002</v>
      </c>
      <c r="BE11" s="16">
        <f t="shared" si="26"/>
        <v>849.17</v>
      </c>
      <c r="BF11" s="16">
        <f t="shared" si="18"/>
        <v>183.33333333333334</v>
      </c>
      <c r="BG11" s="16">
        <f t="shared" si="27"/>
        <v>916.66666666666674</v>
      </c>
      <c r="BH11" s="17">
        <f t="shared" si="19"/>
        <v>1</v>
      </c>
      <c r="BI11" s="16">
        <f t="shared" si="28"/>
        <v>916.66666666666674</v>
      </c>
      <c r="BJ11" s="462">
        <f t="shared" si="29"/>
        <v>282.976</v>
      </c>
      <c r="BK11" s="195"/>
      <c r="BL11" s="197"/>
      <c r="BM11" s="197"/>
      <c r="BN11" s="230">
        <v>106.173</v>
      </c>
      <c r="BO11" s="230">
        <v>24.472000000000001</v>
      </c>
      <c r="BP11" s="250"/>
      <c r="BQ11" s="199"/>
      <c r="BR11" s="200">
        <v>0.33</v>
      </c>
      <c r="BS11" s="200"/>
      <c r="BT11" s="200"/>
      <c r="BU11" s="200"/>
      <c r="BV11" s="208">
        <v>0.27</v>
      </c>
      <c r="BW11" s="208">
        <v>0.56000000000000005</v>
      </c>
      <c r="BX11" s="201"/>
      <c r="BY11" s="202">
        <v>36.840000000000003</v>
      </c>
      <c r="BZ11" s="200"/>
      <c r="CA11" s="200"/>
      <c r="CB11" s="200"/>
      <c r="CC11" s="200">
        <v>39.19</v>
      </c>
      <c r="CD11" s="200">
        <v>35.93</v>
      </c>
      <c r="CE11" s="200"/>
      <c r="CF11" s="203"/>
      <c r="CG11" s="204"/>
      <c r="CH11" s="230"/>
      <c r="CI11" s="266">
        <f t="shared" si="30"/>
        <v>265.10000000000002</v>
      </c>
      <c r="CJ11" s="453"/>
      <c r="CK11" s="202"/>
      <c r="CL11" s="208"/>
      <c r="CM11" s="208"/>
      <c r="CN11" s="201"/>
      <c r="CO11" s="284"/>
      <c r="CP11" s="286">
        <f t="shared" si="20"/>
        <v>282.04217920000002</v>
      </c>
      <c r="CQ11" s="24">
        <f t="shared" si="20"/>
        <v>0</v>
      </c>
      <c r="CR11" s="25">
        <f t="shared" si="20"/>
        <v>0</v>
      </c>
      <c r="CS11" s="24">
        <f t="shared" si="20"/>
        <v>0</v>
      </c>
      <c r="CT11" s="27">
        <f t="shared" si="20"/>
        <v>105.88633290000001</v>
      </c>
      <c r="CU11" s="24">
        <f t="shared" si="20"/>
        <v>24.3349568</v>
      </c>
      <c r="CV11" s="280">
        <f t="shared" si="20"/>
        <v>0</v>
      </c>
      <c r="CW11" s="237">
        <f t="shared" si="21"/>
        <v>0</v>
      </c>
      <c r="CX11" s="26">
        <f t="shared" si="21"/>
        <v>0</v>
      </c>
      <c r="CY11" s="277">
        <f t="shared" si="21"/>
        <v>265.10000000000002</v>
      </c>
      <c r="CZ11" s="280">
        <f t="shared" si="21"/>
        <v>0</v>
      </c>
      <c r="DA11" s="247"/>
      <c r="DB11" s="293">
        <f t="shared" si="22"/>
        <v>0</v>
      </c>
      <c r="DC11" s="294"/>
      <c r="DD11" s="294"/>
      <c r="DE11" s="295">
        <f t="shared" si="23"/>
        <v>0</v>
      </c>
      <c r="DF11" s="296">
        <f t="shared" si="31"/>
        <v>0</v>
      </c>
      <c r="DH11" s="249">
        <v>203.976</v>
      </c>
      <c r="DJ11" s="247">
        <f t="shared" si="32"/>
        <v>282.976</v>
      </c>
      <c r="DK11" s="230">
        <v>245.63</v>
      </c>
      <c r="DL11" s="247">
        <f t="shared" si="33"/>
        <v>265.10000000000002</v>
      </c>
    </row>
    <row r="12" spans="1:116" ht="16.5" customHeight="1">
      <c r="A12" s="127">
        <v>6</v>
      </c>
      <c r="B12" s="103">
        <f t="shared" si="24"/>
        <v>416.29500000000002</v>
      </c>
      <c r="C12" s="104">
        <f t="shared" si="0"/>
        <v>0.1857941363696417</v>
      </c>
      <c r="D12" s="448">
        <f t="shared" si="1"/>
        <v>415.52154830000006</v>
      </c>
      <c r="E12" s="104">
        <f t="shared" si="2"/>
        <v>37.028164522754295</v>
      </c>
      <c r="F12" s="128">
        <f t="shared" si="3"/>
        <v>2.1492864444214561</v>
      </c>
      <c r="G12" s="106"/>
      <c r="H12" s="107">
        <f t="shared" si="4"/>
        <v>2.1492864444214561</v>
      </c>
      <c r="I12" s="103">
        <f>'[1]сентябрь 20'!AE11</f>
        <v>0</v>
      </c>
      <c r="J12" s="328">
        <f>'[1]июнь 20'!AA11</f>
        <v>0</v>
      </c>
      <c r="K12" s="106"/>
      <c r="L12" s="328"/>
      <c r="M12" s="103">
        <f t="shared" si="5"/>
        <v>0</v>
      </c>
      <c r="N12" s="103">
        <f>'[1]июль 20'!AM11</f>
        <v>0</v>
      </c>
      <c r="O12" s="103">
        <f>'[1]июнь 20'!W11</f>
        <v>0</v>
      </c>
      <c r="P12" s="103">
        <v>269.42</v>
      </c>
      <c r="Q12" s="108">
        <f t="shared" si="6"/>
        <v>1.4104372355430272</v>
      </c>
      <c r="R12" s="109">
        <f t="shared" si="7"/>
        <v>265.62</v>
      </c>
      <c r="S12" s="106">
        <v>14.06</v>
      </c>
      <c r="T12" s="109">
        <f t="shared" si="8"/>
        <v>265.62</v>
      </c>
      <c r="U12" s="110">
        <f t="shared" si="9"/>
        <v>1.3739202400041381</v>
      </c>
      <c r="V12" s="136">
        <v>47.31</v>
      </c>
      <c r="W12" s="130">
        <v>193.33</v>
      </c>
      <c r="X12" s="131">
        <v>0.88</v>
      </c>
      <c r="Y12" s="112">
        <v>635</v>
      </c>
      <c r="Z12" s="133">
        <v>1221</v>
      </c>
      <c r="AA12" s="144" t="s">
        <v>279</v>
      </c>
      <c r="AB12" s="131">
        <v>74.56</v>
      </c>
      <c r="AC12" s="133">
        <v>137</v>
      </c>
      <c r="AD12" s="134">
        <v>4</v>
      </c>
      <c r="AE12" s="131">
        <v>1.85</v>
      </c>
      <c r="AF12" s="115">
        <f t="shared" si="10"/>
        <v>9.5691305022500401</v>
      </c>
      <c r="AG12" s="131">
        <v>106.6</v>
      </c>
      <c r="AH12" s="115">
        <f t="shared" si="11"/>
        <v>551.38881704856976</v>
      </c>
      <c r="AI12" s="131">
        <v>17.82</v>
      </c>
      <c r="AJ12" s="116"/>
      <c r="AK12" s="135">
        <v>6.78</v>
      </c>
      <c r="AL12" s="136">
        <v>44.28</v>
      </c>
      <c r="AM12" s="110">
        <f t="shared" si="12"/>
        <v>0.18301301921884688</v>
      </c>
      <c r="AN12" s="137" t="s">
        <v>168</v>
      </c>
      <c r="AO12" s="150">
        <v>9.8699999999999992</v>
      </c>
      <c r="AP12" s="138">
        <v>7.78</v>
      </c>
      <c r="AQ12" s="131"/>
      <c r="AR12" s="131">
        <v>7.01</v>
      </c>
      <c r="AS12" s="315">
        <v>241.95</v>
      </c>
      <c r="AT12" s="131">
        <v>2.44</v>
      </c>
      <c r="AU12" s="116"/>
      <c r="AV12" s="131"/>
      <c r="AW12" s="109"/>
      <c r="AX12" s="109">
        <f t="shared" si="13"/>
        <v>193.32999999999998</v>
      </c>
      <c r="AY12" s="115">
        <f t="shared" si="25"/>
        <v>180.14992249256093</v>
      </c>
      <c r="AZ12" s="140">
        <f t="shared" si="14"/>
        <v>5.7886802816901399</v>
      </c>
      <c r="BA12" s="141">
        <f t="shared" si="15"/>
        <v>7.7331999999999992</v>
      </c>
      <c r="BB12" s="128">
        <f t="shared" si="16"/>
        <v>0.9368701782648251</v>
      </c>
      <c r="BC12" s="141">
        <f t="shared" si="17"/>
        <v>13.521880281690139</v>
      </c>
      <c r="BD12" s="142">
        <v>0.90200000000000002</v>
      </c>
      <c r="BE12" s="16">
        <f t="shared" si="26"/>
        <v>1042.5</v>
      </c>
      <c r="BF12" s="16">
        <f t="shared" si="18"/>
        <v>183.33333333333334</v>
      </c>
      <c r="BG12" s="16">
        <f t="shared" si="27"/>
        <v>1100</v>
      </c>
      <c r="BH12" s="17">
        <f t="shared" si="19"/>
        <v>1</v>
      </c>
      <c r="BI12" s="16">
        <f t="shared" si="28"/>
        <v>1100</v>
      </c>
      <c r="BJ12" s="462">
        <f t="shared" si="29"/>
        <v>284.63200000000001</v>
      </c>
      <c r="BK12" s="195"/>
      <c r="BL12" s="271"/>
      <c r="BM12" s="197"/>
      <c r="BN12" s="230">
        <v>106.87</v>
      </c>
      <c r="BO12" s="230">
        <v>24.792999999999999</v>
      </c>
      <c r="BP12" s="250"/>
      <c r="BQ12" s="199"/>
      <c r="BR12" s="200">
        <v>0.16</v>
      </c>
      <c r="BS12" s="200"/>
      <c r="BT12" s="200"/>
      <c r="BU12" s="200"/>
      <c r="BV12" s="208">
        <v>0.17</v>
      </c>
      <c r="BW12" s="208">
        <v>0.55000000000000004</v>
      </c>
      <c r="BX12" s="201"/>
      <c r="BY12" s="202">
        <v>36.9</v>
      </c>
      <c r="BZ12" s="200"/>
      <c r="CA12" s="200"/>
      <c r="CB12" s="200"/>
      <c r="CC12" s="200">
        <v>38.71</v>
      </c>
      <c r="CD12" s="200">
        <v>31.25</v>
      </c>
      <c r="CE12" s="200"/>
      <c r="CF12" s="203"/>
      <c r="CG12" s="204"/>
      <c r="CH12" s="230"/>
      <c r="CI12" s="266">
        <f t="shared" si="30"/>
        <v>265.62</v>
      </c>
      <c r="CJ12" s="453"/>
      <c r="CK12" s="202"/>
      <c r="CL12" s="202"/>
      <c r="CM12" s="270"/>
      <c r="CN12" s="201"/>
      <c r="CO12" s="284"/>
      <c r="CP12" s="286">
        <f t="shared" si="20"/>
        <v>284.17658880000005</v>
      </c>
      <c r="CQ12" s="24">
        <f t="shared" si="20"/>
        <v>0</v>
      </c>
      <c r="CR12" s="25">
        <f t="shared" si="20"/>
        <v>0</v>
      </c>
      <c r="CS12" s="24">
        <f t="shared" si="20"/>
        <v>0</v>
      </c>
      <c r="CT12" s="27">
        <f t="shared" si="20"/>
        <v>106.688321</v>
      </c>
      <c r="CU12" s="30">
        <f t="shared" si="20"/>
        <v>24.6566385</v>
      </c>
      <c r="CV12" s="280">
        <f t="shared" si="20"/>
        <v>0</v>
      </c>
      <c r="CW12" s="237">
        <f t="shared" si="21"/>
        <v>0</v>
      </c>
      <c r="CX12" s="26">
        <f t="shared" si="21"/>
        <v>0</v>
      </c>
      <c r="CY12" s="277">
        <f t="shared" si="21"/>
        <v>265.62</v>
      </c>
      <c r="CZ12" s="280">
        <f t="shared" si="21"/>
        <v>0</v>
      </c>
      <c r="DA12" s="247"/>
      <c r="DB12" s="293">
        <f t="shared" si="22"/>
        <v>0</v>
      </c>
      <c r="DC12" s="294"/>
      <c r="DD12" s="294"/>
      <c r="DE12" s="295">
        <f t="shared" si="23"/>
        <v>0</v>
      </c>
      <c r="DF12" s="296">
        <f t="shared" si="31"/>
        <v>0</v>
      </c>
      <c r="DH12" s="249">
        <v>205.63200000000001</v>
      </c>
      <c r="DJ12" s="247">
        <f t="shared" si="32"/>
        <v>284.63200000000001</v>
      </c>
      <c r="DK12" s="230">
        <v>246.15</v>
      </c>
      <c r="DL12" s="247">
        <f t="shared" si="33"/>
        <v>265.62</v>
      </c>
    </row>
    <row r="13" spans="1:116" ht="16.5" customHeight="1">
      <c r="A13" s="127">
        <v>7</v>
      </c>
      <c r="B13" s="103">
        <f t="shared" si="24"/>
        <v>427.52499999999992</v>
      </c>
      <c r="C13" s="104">
        <f t="shared" si="0"/>
        <v>0.38081630314016723</v>
      </c>
      <c r="D13" s="448">
        <f t="shared" si="1"/>
        <v>425.89691509999994</v>
      </c>
      <c r="E13" s="104">
        <f t="shared" si="2"/>
        <v>37.606233670545585</v>
      </c>
      <c r="F13" s="128">
        <f t="shared" si="3"/>
        <v>2.2543770648951935</v>
      </c>
      <c r="G13" s="106"/>
      <c r="H13" s="107">
        <f t="shared" si="4"/>
        <v>2.254377064895194</v>
      </c>
      <c r="I13" s="103">
        <f>'[1]сентябрь 20'!AE12</f>
        <v>0</v>
      </c>
      <c r="J13" s="328">
        <f>'[1]июнь 20'!AA12</f>
        <v>0</v>
      </c>
      <c r="K13" s="106">
        <v>33.659999999999997</v>
      </c>
      <c r="L13" s="328"/>
      <c r="M13" s="103">
        <f t="shared" si="5"/>
        <v>0</v>
      </c>
      <c r="N13" s="103">
        <f>'[1]июль 20'!AM12</f>
        <v>0</v>
      </c>
      <c r="O13" s="103">
        <f>'[1]июнь 20'!W12</f>
        <v>0</v>
      </c>
      <c r="P13" s="103">
        <v>272.12</v>
      </c>
      <c r="Q13" s="108">
        <f t="shared" si="6"/>
        <v>1.3670439511980104</v>
      </c>
      <c r="R13" s="109">
        <f t="shared" si="7"/>
        <v>268.39999999999998</v>
      </c>
      <c r="S13" s="106">
        <v>28.61</v>
      </c>
      <c r="T13" s="109">
        <f t="shared" si="8"/>
        <v>268.39999999999998</v>
      </c>
      <c r="U13" s="110">
        <f t="shared" si="9"/>
        <v>1.4207071776413296</v>
      </c>
      <c r="V13" s="136">
        <v>139.5</v>
      </c>
      <c r="W13" s="130">
        <v>98.72</v>
      </c>
      <c r="X13" s="131">
        <v>1</v>
      </c>
      <c r="Y13" s="146">
        <v>605</v>
      </c>
      <c r="Z13" s="147">
        <v>1225</v>
      </c>
      <c r="AA13" s="144" t="s">
        <v>307</v>
      </c>
      <c r="AB13" s="131">
        <v>75.19</v>
      </c>
      <c r="AC13" s="133">
        <v>140</v>
      </c>
      <c r="AD13" s="134">
        <v>4</v>
      </c>
      <c r="AE13" s="131">
        <v>1.75</v>
      </c>
      <c r="AF13" s="115">
        <f t="shared" si="10"/>
        <v>9.2631801820876571</v>
      </c>
      <c r="AG13" s="131">
        <v>105.6</v>
      </c>
      <c r="AH13" s="115">
        <f t="shared" si="11"/>
        <v>558.96675841626086</v>
      </c>
      <c r="AI13" s="131">
        <v>16.71</v>
      </c>
      <c r="AJ13" s="116"/>
      <c r="AK13" s="135">
        <v>11.86</v>
      </c>
      <c r="AL13" s="136">
        <v>42.49</v>
      </c>
      <c r="AM13" s="110">
        <f t="shared" si="12"/>
        <v>0.17612435233160623</v>
      </c>
      <c r="AN13" s="137" t="s">
        <v>319</v>
      </c>
      <c r="AO13" s="150">
        <v>9.5399999999999991</v>
      </c>
      <c r="AP13" s="138">
        <v>7.37</v>
      </c>
      <c r="AQ13" s="131"/>
      <c r="AR13" s="131">
        <v>7.7</v>
      </c>
      <c r="AS13" s="315">
        <v>241.25</v>
      </c>
      <c r="AT13" s="131">
        <v>2.02</v>
      </c>
      <c r="AU13" s="148"/>
      <c r="AV13" s="149"/>
      <c r="AW13" s="109"/>
      <c r="AX13" s="109">
        <f t="shared" si="13"/>
        <v>188.92</v>
      </c>
      <c r="AY13" s="115">
        <f t="shared" si="25"/>
        <v>185.95955296443134</v>
      </c>
      <c r="AZ13" s="140">
        <f t="shared" si="14"/>
        <v>6.2988169014084505</v>
      </c>
      <c r="BA13" s="141">
        <f t="shared" si="15"/>
        <v>7.5568</v>
      </c>
      <c r="BB13" s="128">
        <f t="shared" si="16"/>
        <v>0.88689802363391224</v>
      </c>
      <c r="BC13" s="141">
        <f t="shared" si="17"/>
        <v>13.85561690140845</v>
      </c>
      <c r="BD13" s="142">
        <v>0.9</v>
      </c>
      <c r="BE13" s="16">
        <f t="shared" si="26"/>
        <v>1231.42</v>
      </c>
      <c r="BF13" s="16">
        <f t="shared" si="18"/>
        <v>183.33333333333334</v>
      </c>
      <c r="BG13" s="16">
        <f t="shared" si="27"/>
        <v>1283.3333333333333</v>
      </c>
      <c r="BH13" s="17">
        <f t="shared" si="19"/>
        <v>1</v>
      </c>
      <c r="BI13" s="16">
        <f t="shared" si="28"/>
        <v>1283.3333333333333</v>
      </c>
      <c r="BJ13" s="463">
        <f t="shared" si="29"/>
        <v>292.75599999999997</v>
      </c>
      <c r="BK13" s="195"/>
      <c r="BL13" s="266"/>
      <c r="BM13" s="196"/>
      <c r="BN13" s="313">
        <v>109.208</v>
      </c>
      <c r="BO13" s="230">
        <v>25.561</v>
      </c>
      <c r="BP13" s="250"/>
      <c r="BQ13" s="199"/>
      <c r="BR13" s="200">
        <v>0.38</v>
      </c>
      <c r="BS13" s="200"/>
      <c r="BT13" s="200"/>
      <c r="BU13" s="200"/>
      <c r="BV13" s="208">
        <v>0.32</v>
      </c>
      <c r="BW13" s="208">
        <v>0.65</v>
      </c>
      <c r="BX13" s="201"/>
      <c r="BY13" s="202">
        <v>37.26</v>
      </c>
      <c r="BZ13" s="200"/>
      <c r="CA13" s="202"/>
      <c r="CB13" s="200"/>
      <c r="CC13" s="200">
        <v>40.200000000000003</v>
      </c>
      <c r="CD13" s="200">
        <v>30.49</v>
      </c>
      <c r="CE13" s="200"/>
      <c r="CF13" s="203"/>
      <c r="CG13" s="204"/>
      <c r="CH13" s="230"/>
      <c r="CI13" s="266">
        <f t="shared" si="30"/>
        <v>268.39999999999998</v>
      </c>
      <c r="CJ13" s="454"/>
      <c r="CK13" s="202"/>
      <c r="CL13" s="202"/>
      <c r="CM13" s="270"/>
      <c r="CN13" s="201"/>
      <c r="CO13" s="284"/>
      <c r="CP13" s="286">
        <f t="shared" si="20"/>
        <v>291.64352719999999</v>
      </c>
      <c r="CQ13" s="24">
        <f t="shared" si="20"/>
        <v>0</v>
      </c>
      <c r="CR13" s="25">
        <f t="shared" si="20"/>
        <v>0</v>
      </c>
      <c r="CS13" s="24">
        <f t="shared" si="20"/>
        <v>0</v>
      </c>
      <c r="CT13" s="27">
        <f t="shared" si="20"/>
        <v>108.8585344</v>
      </c>
      <c r="CU13" s="24">
        <f t="shared" si="20"/>
        <v>25.3948535</v>
      </c>
      <c r="CV13" s="280">
        <f t="shared" si="20"/>
        <v>0</v>
      </c>
      <c r="CW13" s="237">
        <f t="shared" si="21"/>
        <v>0</v>
      </c>
      <c r="CX13" s="26">
        <f t="shared" si="21"/>
        <v>0</v>
      </c>
      <c r="CY13" s="277">
        <f t="shared" si="21"/>
        <v>268.39999999999998</v>
      </c>
      <c r="CZ13" s="280">
        <f t="shared" si="21"/>
        <v>0</v>
      </c>
      <c r="DA13" s="247"/>
      <c r="DB13" s="293">
        <f t="shared" si="22"/>
        <v>0</v>
      </c>
      <c r="DC13" s="294"/>
      <c r="DD13" s="294"/>
      <c r="DE13" s="295">
        <f t="shared" si="23"/>
        <v>0</v>
      </c>
      <c r="DF13" s="296">
        <f t="shared" si="31"/>
        <v>0</v>
      </c>
      <c r="DH13" s="249">
        <v>213.756</v>
      </c>
      <c r="DJ13" s="247">
        <f t="shared" si="32"/>
        <v>292.75599999999997</v>
      </c>
      <c r="DK13" s="264">
        <v>248.93</v>
      </c>
      <c r="DL13" s="247">
        <f t="shared" si="33"/>
        <v>268.39999999999998</v>
      </c>
    </row>
    <row r="14" spans="1:116" ht="16.5" customHeight="1">
      <c r="A14" s="127">
        <v>8</v>
      </c>
      <c r="B14" s="103">
        <f t="shared" si="24"/>
        <v>444.93700000000001</v>
      </c>
      <c r="C14" s="104">
        <f>IF(B14=0,0,(BJ14*BR14+BK14*BS14+BM14*BU14+BP14*BX14+BL14*BT14+BO14*BW14+BN14*BV14)/B14)</f>
        <v>0.50624110829173574</v>
      </c>
      <c r="D14" s="448">
        <f>B14*((100-C14)/100)</f>
        <v>442.68454600000007</v>
      </c>
      <c r="E14" s="104">
        <f>IF(B14=0,0,(BJ14*BY14+BK14*BZ14+BM14*CB14+BP14*CE14+BL14*CA14+BO14*CD14+BN14*CC14)/B14)</f>
        <v>37.733439026199214</v>
      </c>
      <c r="F14" s="128">
        <f>IF(AX14=0,0,D14/AX14)</f>
        <v>2.3003769798378721</v>
      </c>
      <c r="G14" s="106"/>
      <c r="H14" s="107">
        <f>IF(AX14=0,0,(CV14+CS14+CU14+CP14+CT14)/AX14)</f>
        <v>2.3003769798378717</v>
      </c>
      <c r="I14" s="103">
        <f>'[1]сентябрь 20'!AE13</f>
        <v>0</v>
      </c>
      <c r="J14" s="328">
        <f>'[1]июнь 20'!AA13</f>
        <v>0</v>
      </c>
      <c r="K14" s="106"/>
      <c r="L14" s="328"/>
      <c r="M14" s="103">
        <f>IF(AX14=0,0,(CR14+CQ14)/AX14)</f>
        <v>0</v>
      </c>
      <c r="N14" s="103">
        <f>'[1]июль 20'!AM13</f>
        <v>0</v>
      </c>
      <c r="O14" s="103">
        <f>'[1]июнь 20'!W13</f>
        <v>0</v>
      </c>
      <c r="P14" s="103">
        <v>276.58</v>
      </c>
      <c r="Q14" s="108">
        <f>IF(P14=0,0,(1-(T14/P14))*100)</f>
        <v>1.3992334948296881</v>
      </c>
      <c r="R14" s="109">
        <f>P14*((100-Q14)/100)</f>
        <v>272.71000000000004</v>
      </c>
      <c r="S14" s="106">
        <v>34.5</v>
      </c>
      <c r="T14" s="109">
        <f>CG14+CH14+CJ14+CI14</f>
        <v>272.71000000000004</v>
      </c>
      <c r="U14" s="110">
        <f>IF(AX14=0,0,R14/AX14)</f>
        <v>1.4171170234878405</v>
      </c>
      <c r="V14" s="136">
        <v>94.58</v>
      </c>
      <c r="W14" s="130">
        <v>192.44</v>
      </c>
      <c r="X14" s="131">
        <v>0.56999999999999995</v>
      </c>
      <c r="Y14" s="146">
        <v>601</v>
      </c>
      <c r="Z14" s="147">
        <v>1216</v>
      </c>
      <c r="AA14" s="144" t="s">
        <v>311</v>
      </c>
      <c r="AB14" s="131">
        <v>75.28</v>
      </c>
      <c r="AC14" s="133">
        <v>143</v>
      </c>
      <c r="AD14" s="134">
        <v>4</v>
      </c>
      <c r="AE14" s="131">
        <v>2.85</v>
      </c>
      <c r="AF14" s="115">
        <f t="shared" si="10"/>
        <v>14.809810850135108</v>
      </c>
      <c r="AG14" s="131">
        <v>118.9</v>
      </c>
      <c r="AH14" s="115">
        <f>IF(AX14=0,0,AG14/AX14*1000)</f>
        <v>617.85491581791734</v>
      </c>
      <c r="AI14" s="131">
        <v>15.42</v>
      </c>
      <c r="AJ14" s="116"/>
      <c r="AK14" s="135">
        <v>8.19</v>
      </c>
      <c r="AL14" s="136">
        <v>42.62</v>
      </c>
      <c r="AM14" s="110">
        <f>IF(AL14=0,0,AL14/AS14)</f>
        <v>0.1785130890052356</v>
      </c>
      <c r="AN14" s="137" t="s">
        <v>315</v>
      </c>
      <c r="AO14" s="150">
        <v>9.6999999999999993</v>
      </c>
      <c r="AP14" s="138">
        <v>7.9</v>
      </c>
      <c r="AQ14" s="131"/>
      <c r="AR14" s="131">
        <v>6.98</v>
      </c>
      <c r="AS14" s="315">
        <v>238.75</v>
      </c>
      <c r="AT14" s="131">
        <v>4.5</v>
      </c>
      <c r="AU14" s="148"/>
      <c r="AV14" s="149"/>
      <c r="AW14" s="109"/>
      <c r="AX14" s="109">
        <f>AS14-AL14-AK14+AV14+AT14</f>
        <v>192.44</v>
      </c>
      <c r="AY14" s="115">
        <f>IF(AB14=0,0,((D14*0.97)*(E14/100)*0.9)/(AB14/100))</f>
        <v>193.71149061027575</v>
      </c>
      <c r="AZ14" s="140">
        <f>(AG14*AR14)/100*(55/71)</f>
        <v>6.4289732394366208</v>
      </c>
      <c r="BA14" s="141">
        <f>AX14*$BA$6</f>
        <v>7.6976000000000004</v>
      </c>
      <c r="BB14" s="128">
        <f>IF((D14*E14)=0,0,(AX14*AB14)/(D14*E14))</f>
        <v>0.86726977047528919</v>
      </c>
      <c r="BC14" s="141">
        <f>AZ14+BA14</f>
        <v>14.12657323943662</v>
      </c>
      <c r="BD14" s="142">
        <v>0.89500000000000002</v>
      </c>
      <c r="BE14" s="16">
        <f>BE13+AX14</f>
        <v>1423.8600000000001</v>
      </c>
      <c r="BF14" s="16">
        <f>IF(A14&lt;=$BD$43,$AS$43,0)</f>
        <v>183.33333333333334</v>
      </c>
      <c r="BG14" s="16">
        <f>BF14+BG13</f>
        <v>1466.6666666666665</v>
      </c>
      <c r="BH14" s="17">
        <f>IF(AX14&lt;&gt;0,1,0)</f>
        <v>1</v>
      </c>
      <c r="BI14" s="16">
        <f>BI13+BF14*BH14</f>
        <v>1466.6666666666665</v>
      </c>
      <c r="BJ14" s="461">
        <f t="shared" si="29"/>
        <v>300.65600000000001</v>
      </c>
      <c r="BK14" s="195"/>
      <c r="BL14" s="266"/>
      <c r="BM14" s="196"/>
      <c r="BN14" s="313">
        <v>111.459</v>
      </c>
      <c r="BO14" s="230">
        <v>32.822000000000003</v>
      </c>
      <c r="BP14" s="250"/>
      <c r="BQ14" s="199"/>
      <c r="BR14" s="200">
        <v>0.56000000000000005</v>
      </c>
      <c r="BS14" s="200"/>
      <c r="BT14" s="200"/>
      <c r="BU14" s="200"/>
      <c r="BV14" s="208">
        <v>0.26</v>
      </c>
      <c r="BW14" s="208">
        <v>0.85</v>
      </c>
      <c r="BX14" s="201"/>
      <c r="BY14" s="202">
        <v>37.65</v>
      </c>
      <c r="BZ14" s="200"/>
      <c r="CA14" s="202"/>
      <c r="CB14" s="200"/>
      <c r="CC14" s="200">
        <v>39.799999999999997</v>
      </c>
      <c r="CD14" s="200">
        <v>31.48</v>
      </c>
      <c r="CE14" s="200"/>
      <c r="CF14" s="203"/>
      <c r="CG14" s="204"/>
      <c r="CH14" s="230"/>
      <c r="CI14" s="266">
        <f t="shared" si="30"/>
        <v>272.71000000000004</v>
      </c>
      <c r="CJ14" s="454"/>
      <c r="CK14" s="202"/>
      <c r="CL14" s="202"/>
      <c r="CM14" s="270"/>
      <c r="CN14" s="201"/>
      <c r="CO14" s="284"/>
      <c r="CP14" s="286">
        <f t="shared" si="20"/>
        <v>298.97232639999999</v>
      </c>
      <c r="CQ14" s="27">
        <f t="shared" si="20"/>
        <v>0</v>
      </c>
      <c r="CR14" s="28">
        <f t="shared" si="20"/>
        <v>0</v>
      </c>
      <c r="CS14" s="27">
        <f t="shared" si="20"/>
        <v>0</v>
      </c>
      <c r="CT14" s="27">
        <f t="shared" si="20"/>
        <v>111.1692066</v>
      </c>
      <c r="CU14" s="24">
        <f t="shared" si="20"/>
        <v>32.543013000000002</v>
      </c>
      <c r="CV14" s="282">
        <f t="shared" si="20"/>
        <v>0</v>
      </c>
      <c r="CW14" s="237">
        <f t="shared" si="21"/>
        <v>0</v>
      </c>
      <c r="CX14" s="26">
        <f t="shared" si="21"/>
        <v>0</v>
      </c>
      <c r="CY14" s="277">
        <f t="shared" si="21"/>
        <v>272.71000000000004</v>
      </c>
      <c r="CZ14" s="280">
        <f t="shared" si="21"/>
        <v>0</v>
      </c>
      <c r="DA14" s="247"/>
      <c r="DB14" s="293">
        <f t="shared" si="22"/>
        <v>0</v>
      </c>
      <c r="DC14" s="294"/>
      <c r="DD14" s="294"/>
      <c r="DE14" s="295">
        <f t="shared" si="23"/>
        <v>0</v>
      </c>
      <c r="DF14" s="296">
        <f t="shared" si="31"/>
        <v>0</v>
      </c>
      <c r="DH14" s="249">
        <v>221.65600000000001</v>
      </c>
      <c r="DJ14" s="247">
        <f t="shared" si="32"/>
        <v>300.65600000000001</v>
      </c>
      <c r="DK14" s="264">
        <v>253.24</v>
      </c>
      <c r="DL14" s="247">
        <f t="shared" si="33"/>
        <v>272.71000000000004</v>
      </c>
    </row>
    <row r="15" spans="1:116" ht="16.5" customHeight="1">
      <c r="A15" s="253">
        <v>9</v>
      </c>
      <c r="B15" s="103">
        <f t="shared" si="24"/>
        <v>430.95000000000005</v>
      </c>
      <c r="C15" s="104">
        <f t="shared" si="0"/>
        <v>0.3305348416289593</v>
      </c>
      <c r="D15" s="448">
        <f t="shared" si="1"/>
        <v>429.52556010000006</v>
      </c>
      <c r="E15" s="104">
        <f t="shared" si="2"/>
        <v>36.627054298642534</v>
      </c>
      <c r="F15" s="128">
        <f t="shared" si="3"/>
        <v>2.3375540685714289</v>
      </c>
      <c r="G15" s="106"/>
      <c r="H15" s="107">
        <f t="shared" si="4"/>
        <v>2.3375540685714289</v>
      </c>
      <c r="I15" s="103">
        <f>'[1]сентябрь 20'!AE14</f>
        <v>0</v>
      </c>
      <c r="J15" s="328">
        <f>'[1]июнь 20'!AA14</f>
        <v>0</v>
      </c>
      <c r="K15" s="106"/>
      <c r="L15" s="328"/>
      <c r="M15" s="103">
        <f t="shared" si="5"/>
        <v>0</v>
      </c>
      <c r="N15" s="103">
        <f>'[1]июль 20'!AM14</f>
        <v>0</v>
      </c>
      <c r="O15" s="103">
        <f>'[1]июнь 20'!W14</f>
        <v>0</v>
      </c>
      <c r="P15" s="103">
        <v>266.7</v>
      </c>
      <c r="Q15" s="108">
        <f t="shared" si="6"/>
        <v>1.432320959880018</v>
      </c>
      <c r="R15" s="109">
        <f t="shared" si="7"/>
        <v>262.88</v>
      </c>
      <c r="S15" s="106">
        <v>25.67</v>
      </c>
      <c r="T15" s="109">
        <f t="shared" si="8"/>
        <v>262.88</v>
      </c>
      <c r="U15" s="110">
        <f t="shared" si="9"/>
        <v>1.430639455782313</v>
      </c>
      <c r="V15" s="136">
        <v>141.31</v>
      </c>
      <c r="W15" s="130">
        <v>183.75</v>
      </c>
      <c r="X15" s="131">
        <v>0.56000000000000005</v>
      </c>
      <c r="Y15" s="112">
        <v>579</v>
      </c>
      <c r="Z15" s="133">
        <v>1218</v>
      </c>
      <c r="AA15" s="144" t="s">
        <v>302</v>
      </c>
      <c r="AB15" s="131">
        <v>75.31</v>
      </c>
      <c r="AC15" s="133">
        <v>137</v>
      </c>
      <c r="AD15" s="134">
        <v>4</v>
      </c>
      <c r="AE15" s="131">
        <v>3.85</v>
      </c>
      <c r="AF15" s="115">
        <f t="shared" si="10"/>
        <v>20.952380952380953</v>
      </c>
      <c r="AG15" s="131">
        <v>122</v>
      </c>
      <c r="AH15" s="115">
        <f t="shared" si="11"/>
        <v>663.94557823129253</v>
      </c>
      <c r="AI15" s="131">
        <v>15.91</v>
      </c>
      <c r="AJ15" s="116"/>
      <c r="AK15" s="135">
        <v>8.02</v>
      </c>
      <c r="AL15" s="136">
        <v>43.05</v>
      </c>
      <c r="AM15" s="110">
        <f t="shared" si="12"/>
        <v>0.18504190844616375</v>
      </c>
      <c r="AN15" s="137" t="s">
        <v>320</v>
      </c>
      <c r="AO15" s="150">
        <v>8.66</v>
      </c>
      <c r="AP15" s="138">
        <v>7.44</v>
      </c>
      <c r="AQ15" s="131"/>
      <c r="AR15" s="131">
        <v>9.07</v>
      </c>
      <c r="AS15" s="315">
        <v>232.65</v>
      </c>
      <c r="AT15" s="131">
        <v>2.17</v>
      </c>
      <c r="AU15" s="116"/>
      <c r="AV15" s="131"/>
      <c r="AW15" s="109"/>
      <c r="AX15" s="109">
        <f t="shared" si="13"/>
        <v>183.75</v>
      </c>
      <c r="AY15" s="115">
        <f t="shared" si="25"/>
        <v>182.369665367919</v>
      </c>
      <c r="AZ15" s="140">
        <f t="shared" si="14"/>
        <v>8.5717887323943653</v>
      </c>
      <c r="BA15" s="141">
        <f t="shared" si="15"/>
        <v>7.3500000000000005</v>
      </c>
      <c r="BB15" s="128">
        <f t="shared" si="16"/>
        <v>0.87960763472574033</v>
      </c>
      <c r="BC15" s="141">
        <f t="shared" si="17"/>
        <v>15.921788732394365</v>
      </c>
      <c r="BD15" s="142">
        <v>0.89300000000000002</v>
      </c>
      <c r="BE15" s="16">
        <f t="shared" si="26"/>
        <v>1607.6100000000001</v>
      </c>
      <c r="BF15" s="16">
        <f t="shared" si="18"/>
        <v>183.33333333333334</v>
      </c>
      <c r="BG15" s="16">
        <f t="shared" si="27"/>
        <v>1649.9999999999998</v>
      </c>
      <c r="BH15" s="17">
        <f t="shared" si="19"/>
        <v>1</v>
      </c>
      <c r="BI15" s="16">
        <f t="shared" si="28"/>
        <v>1649.9999999999998</v>
      </c>
      <c r="BJ15" s="462">
        <f t="shared" si="29"/>
        <v>291.91200000000003</v>
      </c>
      <c r="BK15" s="195"/>
      <c r="BL15" s="197"/>
      <c r="BM15" s="197"/>
      <c r="BN15" s="230">
        <v>107.321</v>
      </c>
      <c r="BO15" s="195">
        <v>31.716999999999999</v>
      </c>
      <c r="BP15" s="329"/>
      <c r="BQ15" s="199"/>
      <c r="BR15" s="200">
        <v>0.32</v>
      </c>
      <c r="BS15" s="200"/>
      <c r="BT15" s="200"/>
      <c r="BU15" s="200"/>
      <c r="BV15" s="208">
        <v>0.25</v>
      </c>
      <c r="BW15" s="208">
        <v>0.7</v>
      </c>
      <c r="BX15" s="330"/>
      <c r="BY15" s="202">
        <v>36.96</v>
      </c>
      <c r="BZ15" s="200"/>
      <c r="CA15" s="200"/>
      <c r="CB15" s="200"/>
      <c r="CC15" s="200">
        <v>37.81</v>
      </c>
      <c r="CD15" s="200">
        <v>29.56</v>
      </c>
      <c r="CE15" s="200"/>
      <c r="CF15" s="203"/>
      <c r="CG15" s="204"/>
      <c r="CH15" s="230"/>
      <c r="CI15" s="266">
        <f t="shared" si="30"/>
        <v>262.88</v>
      </c>
      <c r="CJ15" s="454"/>
      <c r="CK15" s="202"/>
      <c r="CL15" s="208"/>
      <c r="CM15" s="208"/>
      <c r="CN15" s="201"/>
      <c r="CO15" s="284"/>
      <c r="CP15" s="286">
        <f t="shared" si="20"/>
        <v>290.97788160000005</v>
      </c>
      <c r="CQ15" s="29">
        <f t="shared" si="20"/>
        <v>0</v>
      </c>
      <c r="CR15" s="30">
        <f t="shared" si="20"/>
        <v>0</v>
      </c>
      <c r="CS15" s="29">
        <f t="shared" si="20"/>
        <v>0</v>
      </c>
      <c r="CT15" s="27">
        <f t="shared" si="20"/>
        <v>107.05269750000001</v>
      </c>
      <c r="CU15" s="24">
        <f t="shared" si="20"/>
        <v>31.494980999999999</v>
      </c>
      <c r="CV15" s="283">
        <f t="shared" si="20"/>
        <v>0</v>
      </c>
      <c r="CW15" s="237">
        <f t="shared" si="21"/>
        <v>0</v>
      </c>
      <c r="CX15" s="24">
        <f t="shared" si="21"/>
        <v>0</v>
      </c>
      <c r="CY15" s="277">
        <f t="shared" si="21"/>
        <v>262.88</v>
      </c>
      <c r="CZ15" s="280">
        <f t="shared" si="21"/>
        <v>0</v>
      </c>
      <c r="DA15" s="247"/>
      <c r="DB15" s="293">
        <f t="shared" si="22"/>
        <v>0</v>
      </c>
      <c r="DC15" s="294"/>
      <c r="DD15" s="294"/>
      <c r="DE15" s="295">
        <f t="shared" si="23"/>
        <v>0</v>
      </c>
      <c r="DF15" s="296">
        <f t="shared" si="31"/>
        <v>0</v>
      </c>
      <c r="DH15" s="249">
        <v>212.91200000000001</v>
      </c>
      <c r="DJ15" s="247">
        <f t="shared" si="32"/>
        <v>291.91200000000003</v>
      </c>
      <c r="DK15" s="266">
        <v>243.41</v>
      </c>
      <c r="DL15" s="247">
        <f t="shared" si="33"/>
        <v>262.88</v>
      </c>
    </row>
    <row r="16" spans="1:116" ht="16.5" customHeight="1">
      <c r="A16" s="127">
        <v>10</v>
      </c>
      <c r="B16" s="103">
        <f t="shared" si="24"/>
        <v>448.62700000000001</v>
      </c>
      <c r="C16" s="104">
        <f t="shared" si="0"/>
        <v>0.31042848513352966</v>
      </c>
      <c r="D16" s="448">
        <f t="shared" si="1"/>
        <v>447.23433399999999</v>
      </c>
      <c r="E16" s="104">
        <f t="shared" si="2"/>
        <v>37.533088712895122</v>
      </c>
      <c r="F16" s="128">
        <f t="shared" si="3"/>
        <v>2.3548564342881209</v>
      </c>
      <c r="G16" s="106"/>
      <c r="H16" s="107">
        <f t="shared" si="4"/>
        <v>2.3548564342881209</v>
      </c>
      <c r="I16" s="103">
        <f>'[1]сентябрь 20'!AE15</f>
        <v>0</v>
      </c>
      <c r="J16" s="328">
        <f>'[1]июнь 20'!AA15</f>
        <v>0</v>
      </c>
      <c r="K16" s="106"/>
      <c r="L16" s="328"/>
      <c r="M16" s="103">
        <f t="shared" si="5"/>
        <v>0</v>
      </c>
      <c r="N16" s="103">
        <f>'[1]июль 20'!AM15</f>
        <v>0</v>
      </c>
      <c r="O16" s="103">
        <f>'[1]июнь 20'!W15</f>
        <v>0</v>
      </c>
      <c r="P16" s="103">
        <v>268.05</v>
      </c>
      <c r="Q16" s="108">
        <f t="shared" si="6"/>
        <v>1.4213766088416402</v>
      </c>
      <c r="R16" s="109">
        <f t="shared" si="7"/>
        <v>264.24</v>
      </c>
      <c r="S16" s="106">
        <v>31.27</v>
      </c>
      <c r="T16" s="109">
        <f t="shared" si="8"/>
        <v>264.24</v>
      </c>
      <c r="U16" s="110">
        <f t="shared" si="9"/>
        <v>1.3913226621735466</v>
      </c>
      <c r="V16" s="136">
        <v>189.92</v>
      </c>
      <c r="W16" s="130">
        <v>143.19999999999999</v>
      </c>
      <c r="X16" s="131">
        <v>0.95</v>
      </c>
      <c r="Y16" s="112">
        <v>583</v>
      </c>
      <c r="Z16" s="133">
        <v>1215</v>
      </c>
      <c r="AA16" s="144" t="s">
        <v>321</v>
      </c>
      <c r="AB16" s="131">
        <v>75.84</v>
      </c>
      <c r="AC16" s="133">
        <v>139</v>
      </c>
      <c r="AD16" s="134">
        <v>4</v>
      </c>
      <c r="AE16" s="131">
        <v>2.9</v>
      </c>
      <c r="AF16" s="115">
        <f t="shared" si="10"/>
        <v>15.269587194608254</v>
      </c>
      <c r="AG16" s="131">
        <v>116.7</v>
      </c>
      <c r="AH16" s="115">
        <f t="shared" si="11"/>
        <v>614.46925021061497</v>
      </c>
      <c r="AI16" s="139">
        <v>16.72</v>
      </c>
      <c r="AJ16" s="131"/>
      <c r="AK16" s="136">
        <v>5.76</v>
      </c>
      <c r="AL16" s="136">
        <v>41.34</v>
      </c>
      <c r="AM16" s="110">
        <f t="shared" si="12"/>
        <v>0.17644046094750321</v>
      </c>
      <c r="AN16" s="137" t="s">
        <v>158</v>
      </c>
      <c r="AO16" s="150">
        <v>9.15</v>
      </c>
      <c r="AP16" s="138">
        <v>7.5</v>
      </c>
      <c r="AQ16" s="131"/>
      <c r="AR16" s="131">
        <v>7.09</v>
      </c>
      <c r="AS16" s="315">
        <v>234.3</v>
      </c>
      <c r="AT16" s="131">
        <v>2.72</v>
      </c>
      <c r="AU16" s="116"/>
      <c r="AV16" s="131"/>
      <c r="AW16" s="109"/>
      <c r="AX16" s="109">
        <f t="shared" si="13"/>
        <v>189.92000000000002</v>
      </c>
      <c r="AY16" s="115">
        <f t="shared" si="25"/>
        <v>193.22591007282827</v>
      </c>
      <c r="AZ16" s="140">
        <f t="shared" si="14"/>
        <v>6.4094598591549294</v>
      </c>
      <c r="BA16" s="141">
        <f t="shared" si="15"/>
        <v>7.5968000000000009</v>
      </c>
      <c r="BB16" s="128">
        <f t="shared" si="16"/>
        <v>0.85806380695792162</v>
      </c>
      <c r="BC16" s="141">
        <f t="shared" si="17"/>
        <v>14.00625985915493</v>
      </c>
      <c r="BD16" s="142">
        <v>0.88900000000000001</v>
      </c>
      <c r="BE16" s="16">
        <f t="shared" si="26"/>
        <v>1797.5300000000002</v>
      </c>
      <c r="BF16" s="16">
        <f t="shared" si="18"/>
        <v>183.33333333333334</v>
      </c>
      <c r="BG16" s="16">
        <f t="shared" si="27"/>
        <v>1833.333333333333</v>
      </c>
      <c r="BH16" s="17">
        <f t="shared" si="19"/>
        <v>1</v>
      </c>
      <c r="BI16" s="16">
        <f t="shared" si="28"/>
        <v>1833.333333333333</v>
      </c>
      <c r="BJ16" s="462">
        <f t="shared" si="29"/>
        <v>301.495</v>
      </c>
      <c r="BK16" s="195"/>
      <c r="BL16" s="195"/>
      <c r="BM16" s="197"/>
      <c r="BN16" s="230">
        <v>115.355</v>
      </c>
      <c r="BO16" s="230">
        <v>31.777000000000001</v>
      </c>
      <c r="BP16" s="250"/>
      <c r="BQ16" s="199"/>
      <c r="BR16" s="200">
        <v>0.28000000000000003</v>
      </c>
      <c r="BS16" s="200"/>
      <c r="BT16" s="200"/>
      <c r="BU16" s="200"/>
      <c r="BV16" s="208">
        <v>0.2</v>
      </c>
      <c r="BW16" s="208">
        <v>1</v>
      </c>
      <c r="BX16" s="201"/>
      <c r="BY16" s="202">
        <v>37.42</v>
      </c>
      <c r="BZ16" s="200"/>
      <c r="CA16" s="200"/>
      <c r="CB16" s="200"/>
      <c r="CC16" s="200">
        <v>39.43</v>
      </c>
      <c r="CD16" s="200">
        <v>31.72</v>
      </c>
      <c r="CE16" s="200"/>
      <c r="CF16" s="203"/>
      <c r="CG16" s="204"/>
      <c r="CH16" s="230"/>
      <c r="CI16" s="266">
        <f t="shared" si="30"/>
        <v>264.24</v>
      </c>
      <c r="CJ16" s="454"/>
      <c r="CK16" s="202"/>
      <c r="CL16" s="208"/>
      <c r="CM16" s="208"/>
      <c r="CN16" s="201"/>
      <c r="CO16" s="284"/>
      <c r="CP16" s="286">
        <f t="shared" si="20"/>
        <v>300.65081400000003</v>
      </c>
      <c r="CQ16" s="24">
        <f t="shared" si="20"/>
        <v>0</v>
      </c>
      <c r="CR16" s="25">
        <f t="shared" si="20"/>
        <v>0</v>
      </c>
      <c r="CS16" s="24">
        <f t="shared" si="20"/>
        <v>0</v>
      </c>
      <c r="CT16" s="27">
        <f t="shared" si="20"/>
        <v>115.12429</v>
      </c>
      <c r="CU16" s="24">
        <f t="shared" si="20"/>
        <v>31.459230000000002</v>
      </c>
      <c r="CV16" s="280">
        <f t="shared" si="20"/>
        <v>0</v>
      </c>
      <c r="CW16" s="237">
        <f t="shared" si="21"/>
        <v>0</v>
      </c>
      <c r="CX16" s="29">
        <f t="shared" si="21"/>
        <v>0</v>
      </c>
      <c r="CY16" s="277">
        <f t="shared" si="21"/>
        <v>264.24</v>
      </c>
      <c r="CZ16" s="280">
        <f t="shared" si="21"/>
        <v>0</v>
      </c>
      <c r="DA16" s="247"/>
      <c r="DB16" s="293">
        <f t="shared" si="22"/>
        <v>0</v>
      </c>
      <c r="DC16" s="294"/>
      <c r="DD16" s="294"/>
      <c r="DE16" s="295">
        <f t="shared" si="23"/>
        <v>0</v>
      </c>
      <c r="DF16" s="296">
        <f t="shared" si="31"/>
        <v>0</v>
      </c>
      <c r="DH16" s="249">
        <v>222.495</v>
      </c>
      <c r="DJ16" s="247">
        <f t="shared" si="32"/>
        <v>301.495</v>
      </c>
      <c r="DK16" s="266">
        <v>244.77</v>
      </c>
      <c r="DL16" s="247">
        <f t="shared" si="33"/>
        <v>264.24</v>
      </c>
    </row>
    <row r="17" spans="1:116" ht="16.5" customHeight="1">
      <c r="A17" s="127">
        <v>11</v>
      </c>
      <c r="B17" s="103">
        <f t="shared" si="24"/>
        <v>451.77100000000002</v>
      </c>
      <c r="C17" s="104">
        <f t="shared" si="0"/>
        <v>0.44557534680180894</v>
      </c>
      <c r="D17" s="448">
        <f t="shared" si="1"/>
        <v>449.7580198</v>
      </c>
      <c r="E17" s="104">
        <f t="shared" si="2"/>
        <v>37.45031688621004</v>
      </c>
      <c r="F17" s="128">
        <f t="shared" si="3"/>
        <v>2.5015741687524335</v>
      </c>
      <c r="G17" s="106"/>
      <c r="H17" s="107">
        <f t="shared" si="4"/>
        <v>2.501574168752434</v>
      </c>
      <c r="I17" s="103">
        <f>'[1]сентябрь 20'!AE16</f>
        <v>0</v>
      </c>
      <c r="J17" s="328">
        <f>'[1]июнь 20'!AA16</f>
        <v>0</v>
      </c>
      <c r="K17" s="106">
        <v>26.58</v>
      </c>
      <c r="L17" s="328"/>
      <c r="M17" s="103">
        <f t="shared" si="5"/>
        <v>0</v>
      </c>
      <c r="N17" s="103">
        <f>'[1]июль 20'!AM16</f>
        <v>0</v>
      </c>
      <c r="O17" s="103">
        <f>'[1]июнь 20'!W16</f>
        <v>0</v>
      </c>
      <c r="P17" s="103">
        <v>268.3</v>
      </c>
      <c r="Q17" s="108">
        <f t="shared" si="6"/>
        <v>1.4275065225493822</v>
      </c>
      <c r="R17" s="109">
        <f t="shared" si="7"/>
        <v>264.47000000000003</v>
      </c>
      <c r="S17" s="106">
        <v>4.6900000000000004</v>
      </c>
      <c r="T17" s="109">
        <f t="shared" si="8"/>
        <v>264.47000000000003</v>
      </c>
      <c r="U17" s="110">
        <f t="shared" si="9"/>
        <v>1.4709939373713778</v>
      </c>
      <c r="V17" s="136">
        <v>179.79</v>
      </c>
      <c r="W17" s="130">
        <v>179.79</v>
      </c>
      <c r="X17" s="131">
        <v>0.71</v>
      </c>
      <c r="Y17" s="112">
        <v>596</v>
      </c>
      <c r="Z17" s="133">
        <v>1219</v>
      </c>
      <c r="AA17" s="144" t="s">
        <v>295</v>
      </c>
      <c r="AB17" s="131">
        <v>75.900000000000006</v>
      </c>
      <c r="AC17" s="133">
        <v>140</v>
      </c>
      <c r="AD17" s="134">
        <v>4</v>
      </c>
      <c r="AE17" s="131"/>
      <c r="AF17" s="115">
        <f t="shared" si="10"/>
        <v>0</v>
      </c>
      <c r="AG17" s="131">
        <v>117.5</v>
      </c>
      <c r="AH17" s="115">
        <f t="shared" si="11"/>
        <v>653.54024139273599</v>
      </c>
      <c r="AI17" s="139">
        <v>15.61</v>
      </c>
      <c r="AJ17" s="131"/>
      <c r="AK17" s="136">
        <v>8.0299999999999994</v>
      </c>
      <c r="AL17" s="136">
        <v>42.83</v>
      </c>
      <c r="AM17" s="110">
        <f t="shared" si="12"/>
        <v>0.186908138773729</v>
      </c>
      <c r="AN17" s="137" t="s">
        <v>158</v>
      </c>
      <c r="AO17" s="150">
        <v>9.2100000000000009</v>
      </c>
      <c r="AP17" s="138">
        <v>7.56</v>
      </c>
      <c r="AQ17" s="131"/>
      <c r="AR17" s="131">
        <v>8.41</v>
      </c>
      <c r="AS17" s="315">
        <v>229.15</v>
      </c>
      <c r="AT17" s="131">
        <v>1.5</v>
      </c>
      <c r="AU17" s="116"/>
      <c r="AV17" s="131"/>
      <c r="AW17" s="109"/>
      <c r="AX17" s="109">
        <f t="shared" si="13"/>
        <v>179.79</v>
      </c>
      <c r="AY17" s="115">
        <f t="shared" si="25"/>
        <v>193.73446188990829</v>
      </c>
      <c r="AZ17" s="140">
        <f t="shared" si="14"/>
        <v>7.6548767605633801</v>
      </c>
      <c r="BA17" s="141">
        <f t="shared" si="15"/>
        <v>7.1916000000000002</v>
      </c>
      <c r="BB17" s="128">
        <f t="shared" si="16"/>
        <v>0.81016391440564828</v>
      </c>
      <c r="BC17" s="141">
        <f t="shared" si="17"/>
        <v>14.84647676056338</v>
      </c>
      <c r="BD17" s="142">
        <v>0.88200000000000001</v>
      </c>
      <c r="BE17" s="16">
        <f t="shared" si="26"/>
        <v>1977.3200000000002</v>
      </c>
      <c r="BF17" s="16">
        <f t="shared" si="18"/>
        <v>183.33333333333334</v>
      </c>
      <c r="BG17" s="16">
        <f t="shared" si="27"/>
        <v>2016.6666666666663</v>
      </c>
      <c r="BH17" s="17">
        <f t="shared" si="19"/>
        <v>1</v>
      </c>
      <c r="BI17" s="16">
        <f t="shared" si="28"/>
        <v>2016.6666666666663</v>
      </c>
      <c r="BJ17" s="462">
        <f t="shared" si="29"/>
        <v>303.01900000000001</v>
      </c>
      <c r="BK17" s="195"/>
      <c r="BL17" s="195"/>
      <c r="BM17" s="197"/>
      <c r="BN17" s="230">
        <v>116.224</v>
      </c>
      <c r="BO17" s="230">
        <v>32.527999999999999</v>
      </c>
      <c r="BP17" s="250"/>
      <c r="BQ17" s="199"/>
      <c r="BR17" s="200">
        <v>0.46</v>
      </c>
      <c r="BS17" s="200"/>
      <c r="BT17" s="200"/>
      <c r="BU17" s="200"/>
      <c r="BV17" s="208">
        <v>0.25</v>
      </c>
      <c r="BW17" s="208">
        <v>1.01</v>
      </c>
      <c r="BX17" s="201"/>
      <c r="BY17" s="202">
        <v>37.01</v>
      </c>
      <c r="BZ17" s="200"/>
      <c r="CA17" s="200"/>
      <c r="CB17" s="200"/>
      <c r="CC17" s="208">
        <v>39.479999999999997</v>
      </c>
      <c r="CD17" s="208">
        <v>34.299999999999997</v>
      </c>
      <c r="CE17" s="201"/>
      <c r="CF17" s="199"/>
      <c r="CG17" s="197"/>
      <c r="CH17" s="244"/>
      <c r="CI17" s="266">
        <f t="shared" si="30"/>
        <v>264.47000000000003</v>
      </c>
      <c r="CJ17" s="454"/>
      <c r="CK17" s="231"/>
      <c r="CL17" s="208"/>
      <c r="CM17" s="208"/>
      <c r="CN17" s="201"/>
      <c r="CO17" s="284"/>
      <c r="CP17" s="286">
        <f t="shared" si="20"/>
        <v>301.62511260000002</v>
      </c>
      <c r="CQ17" s="24">
        <f t="shared" si="20"/>
        <v>0</v>
      </c>
      <c r="CR17" s="25">
        <f t="shared" si="20"/>
        <v>0</v>
      </c>
      <c r="CS17" s="24">
        <f t="shared" si="20"/>
        <v>0</v>
      </c>
      <c r="CT17" s="27">
        <f t="shared" si="20"/>
        <v>115.93344</v>
      </c>
      <c r="CU17" s="27">
        <f t="shared" si="20"/>
        <v>32.199467200000001</v>
      </c>
      <c r="CV17" s="280">
        <f t="shared" si="20"/>
        <v>0</v>
      </c>
      <c r="CW17" s="25">
        <f t="shared" si="21"/>
        <v>0</v>
      </c>
      <c r="CX17" s="26">
        <f t="shared" si="21"/>
        <v>0</v>
      </c>
      <c r="CY17" s="277">
        <f t="shared" si="21"/>
        <v>264.47000000000003</v>
      </c>
      <c r="CZ17" s="280">
        <f t="shared" si="21"/>
        <v>0</v>
      </c>
      <c r="DA17" s="247"/>
      <c r="DB17" s="293">
        <f t="shared" si="22"/>
        <v>0</v>
      </c>
      <c r="DC17" s="294"/>
      <c r="DD17" s="294"/>
      <c r="DE17" s="295">
        <f t="shared" si="23"/>
        <v>0</v>
      </c>
      <c r="DF17" s="296">
        <f t="shared" si="31"/>
        <v>0</v>
      </c>
      <c r="DH17" s="249">
        <v>224.01900000000001</v>
      </c>
      <c r="DJ17" s="247">
        <f t="shared" si="32"/>
        <v>303.01900000000001</v>
      </c>
      <c r="DK17" s="266">
        <v>245</v>
      </c>
      <c r="DL17" s="247">
        <f t="shared" si="33"/>
        <v>264.47000000000003</v>
      </c>
    </row>
    <row r="18" spans="1:116" ht="16.5" customHeight="1">
      <c r="A18" s="127">
        <v>12</v>
      </c>
      <c r="B18" s="103">
        <f t="shared" si="24"/>
        <v>458.887</v>
      </c>
      <c r="C18" s="104">
        <f t="shared" si="0"/>
        <v>0.40307524510391457</v>
      </c>
      <c r="D18" s="143">
        <f t="shared" si="1"/>
        <v>457.03734009999994</v>
      </c>
      <c r="E18" s="104">
        <f t="shared" si="2"/>
        <v>37.13214850279045</v>
      </c>
      <c r="F18" s="128">
        <f t="shared" si="3"/>
        <v>2.5355747023578354</v>
      </c>
      <c r="G18" s="106"/>
      <c r="H18" s="107">
        <f t="shared" si="4"/>
        <v>2.5355747023578359</v>
      </c>
      <c r="I18" s="103">
        <f>'[1]сентябрь 20'!AE17</f>
        <v>0</v>
      </c>
      <c r="J18" s="328">
        <f>'[1]июнь 20'!AA17</f>
        <v>0</v>
      </c>
      <c r="K18" s="106"/>
      <c r="L18" s="328"/>
      <c r="M18" s="103">
        <f t="shared" si="5"/>
        <v>0</v>
      </c>
      <c r="N18" s="103">
        <f>'[1]июль 20'!AM17</f>
        <v>0</v>
      </c>
      <c r="O18" s="103">
        <f>'[1]июнь 20'!W17</f>
        <v>0</v>
      </c>
      <c r="P18" s="103">
        <v>273.45999999999998</v>
      </c>
      <c r="Q18" s="108">
        <f t="shared" si="6"/>
        <v>1.4078841512469742</v>
      </c>
      <c r="R18" s="109">
        <f t="shared" si="7"/>
        <v>269.61</v>
      </c>
      <c r="S18" s="106">
        <v>31.73</v>
      </c>
      <c r="T18" s="109">
        <f t="shared" si="8"/>
        <v>269.61</v>
      </c>
      <c r="U18" s="110">
        <f t="shared" si="9"/>
        <v>1.4957558945908458</v>
      </c>
      <c r="V18" s="136">
        <v>180.25</v>
      </c>
      <c r="W18" s="130">
        <v>180.25</v>
      </c>
      <c r="X18" s="131">
        <v>0.72</v>
      </c>
      <c r="Y18" s="112">
        <v>603</v>
      </c>
      <c r="Z18" s="133">
        <v>1212</v>
      </c>
      <c r="AA18" s="144" t="s">
        <v>322</v>
      </c>
      <c r="AB18" s="131">
        <v>76.05</v>
      </c>
      <c r="AC18" s="133">
        <v>143</v>
      </c>
      <c r="AD18" s="134">
        <v>4</v>
      </c>
      <c r="AE18" s="131">
        <v>3.65</v>
      </c>
      <c r="AF18" s="115">
        <f t="shared" si="10"/>
        <v>20.249653259361992</v>
      </c>
      <c r="AG18" s="131">
        <v>127.55</v>
      </c>
      <c r="AH18" s="115">
        <f t="shared" si="11"/>
        <v>707.62829403606088</v>
      </c>
      <c r="AI18" s="139">
        <v>14.02</v>
      </c>
      <c r="AJ18" s="131"/>
      <c r="AK18" s="136">
        <v>8.31</v>
      </c>
      <c r="AL18" s="136">
        <v>48.42</v>
      </c>
      <c r="AM18" s="110">
        <f t="shared" si="12"/>
        <v>0.20591112056134384</v>
      </c>
      <c r="AN18" s="137" t="s">
        <v>177</v>
      </c>
      <c r="AO18" s="150">
        <v>9.0500000000000007</v>
      </c>
      <c r="AP18" s="138">
        <v>7.56</v>
      </c>
      <c r="AQ18" s="131"/>
      <c r="AR18" s="131">
        <v>8.66</v>
      </c>
      <c r="AS18" s="315">
        <v>235.15</v>
      </c>
      <c r="AT18" s="131">
        <v>1.83</v>
      </c>
      <c r="AU18" s="116"/>
      <c r="AV18" s="131"/>
      <c r="AW18" s="109">
        <f t="shared" ref="AW18:AW37" si="34">IF(AX18=0,0,AV18/AX18*100)</f>
        <v>0</v>
      </c>
      <c r="AX18" s="109">
        <f t="shared" si="13"/>
        <v>180.25000000000003</v>
      </c>
      <c r="AY18" s="115">
        <f>IF(AB18=0,0,((D18*0.97)*(E18/100)*0.9)/(AB18/100))</f>
        <v>194.81248559048686</v>
      </c>
      <c r="AZ18" s="140">
        <f t="shared" si="14"/>
        <v>8.5566288732394362</v>
      </c>
      <c r="BA18" s="141">
        <f t="shared" si="15"/>
        <v>7.2100000000000009</v>
      </c>
      <c r="BB18" s="128">
        <f t="shared" si="16"/>
        <v>0.80774211941826501</v>
      </c>
      <c r="BC18" s="141">
        <f t="shared" si="17"/>
        <v>15.766628873239437</v>
      </c>
      <c r="BD18" s="142">
        <v>0.875</v>
      </c>
      <c r="BE18" s="16">
        <f t="shared" si="26"/>
        <v>2157.5700000000002</v>
      </c>
      <c r="BF18" s="16">
        <f t="shared" si="18"/>
        <v>183.33333333333334</v>
      </c>
      <c r="BG18" s="16">
        <f t="shared" si="27"/>
        <v>2199.9999999999995</v>
      </c>
      <c r="BH18" s="17">
        <f t="shared" si="19"/>
        <v>1</v>
      </c>
      <c r="BI18" s="16">
        <f t="shared" si="28"/>
        <v>2199.9999999999995</v>
      </c>
      <c r="BJ18" s="462">
        <f t="shared" si="29"/>
        <v>307.82100000000003</v>
      </c>
      <c r="BK18" s="195"/>
      <c r="BL18" s="195"/>
      <c r="BM18" s="197"/>
      <c r="BN18" s="230">
        <v>118.70699999999999</v>
      </c>
      <c r="BO18" s="230">
        <v>32.359000000000002</v>
      </c>
      <c r="BP18" s="250"/>
      <c r="BQ18" s="199"/>
      <c r="BR18" s="200">
        <v>0.44</v>
      </c>
      <c r="BS18" s="200"/>
      <c r="BT18" s="200"/>
      <c r="BU18" s="200"/>
      <c r="BV18" s="208">
        <v>0.27</v>
      </c>
      <c r="BW18" s="208">
        <v>0.54</v>
      </c>
      <c r="BX18" s="201"/>
      <c r="BY18" s="202">
        <v>37.29</v>
      </c>
      <c r="BZ18" s="200"/>
      <c r="CA18" s="200"/>
      <c r="CB18" s="200"/>
      <c r="CC18" s="208">
        <v>38.130000000000003</v>
      </c>
      <c r="CD18" s="208">
        <v>31.97</v>
      </c>
      <c r="CE18" s="209"/>
      <c r="CF18" s="199"/>
      <c r="CG18" s="197"/>
      <c r="CH18" s="230"/>
      <c r="CI18" s="266">
        <f t="shared" si="30"/>
        <v>269.61</v>
      </c>
      <c r="CJ18" s="453"/>
      <c r="CK18" s="202"/>
      <c r="CL18" s="208"/>
      <c r="CM18" s="208"/>
      <c r="CN18" s="201"/>
      <c r="CO18" s="284"/>
      <c r="CP18" s="286">
        <f t="shared" si="20"/>
        <v>306.46658760000003</v>
      </c>
      <c r="CQ18" s="24">
        <f t="shared" si="20"/>
        <v>0</v>
      </c>
      <c r="CR18" s="25">
        <f t="shared" si="20"/>
        <v>0</v>
      </c>
      <c r="CS18" s="24">
        <f t="shared" si="20"/>
        <v>0</v>
      </c>
      <c r="CT18" s="27">
        <f t="shared" si="20"/>
        <v>118.3864911</v>
      </c>
      <c r="CU18" s="30">
        <f t="shared" si="20"/>
        <v>32.184261399999997</v>
      </c>
      <c r="CV18" s="280">
        <f t="shared" si="20"/>
        <v>0</v>
      </c>
      <c r="CW18" s="30">
        <f t="shared" si="21"/>
        <v>0</v>
      </c>
      <c r="CX18" s="24">
        <f t="shared" si="21"/>
        <v>0</v>
      </c>
      <c r="CY18" s="277">
        <f t="shared" si="21"/>
        <v>269.61</v>
      </c>
      <c r="CZ18" s="280">
        <f t="shared" si="21"/>
        <v>0</v>
      </c>
      <c r="DA18" s="247"/>
      <c r="DB18" s="293">
        <f t="shared" si="22"/>
        <v>0</v>
      </c>
      <c r="DC18" s="294"/>
      <c r="DD18" s="294"/>
      <c r="DE18" s="295">
        <f t="shared" si="23"/>
        <v>0</v>
      </c>
      <c r="DF18" s="296">
        <f t="shared" si="31"/>
        <v>0</v>
      </c>
      <c r="DH18" s="249">
        <v>228.821</v>
      </c>
      <c r="DJ18" s="247">
        <f t="shared" si="32"/>
        <v>307.82100000000003</v>
      </c>
      <c r="DK18" s="289">
        <v>250.14</v>
      </c>
      <c r="DL18" s="247">
        <f t="shared" si="33"/>
        <v>269.61</v>
      </c>
    </row>
    <row r="19" spans="1:116" ht="16.5" customHeight="1">
      <c r="A19" s="127">
        <v>13</v>
      </c>
      <c r="B19" s="103">
        <f t="shared" si="24"/>
        <v>459.60400000000004</v>
      </c>
      <c r="C19" s="104">
        <f t="shared" si="0"/>
        <v>0.59325991505731024</v>
      </c>
      <c r="D19" s="143">
        <f t="shared" si="1"/>
        <v>456.87735370000001</v>
      </c>
      <c r="E19" s="104">
        <f>IF(B19=0,0,(BJ19*BY19+BK19*BZ19+BM19*CB19+BP19*CE19+BL19*CA19+BO19*CD19+BN19*CC19)/B19)</f>
        <v>36.891805597862508</v>
      </c>
      <c r="F19" s="128">
        <f t="shared" si="3"/>
        <v>2.4534279545698636</v>
      </c>
      <c r="G19" s="106"/>
      <c r="H19" s="107">
        <f t="shared" si="4"/>
        <v>2.4534279545698636</v>
      </c>
      <c r="I19" s="103">
        <f>'[1]сентябрь 20'!AE18</f>
        <v>0</v>
      </c>
      <c r="J19" s="328">
        <f>'[1]июнь 20'!AA18</f>
        <v>0</v>
      </c>
      <c r="K19" s="106"/>
      <c r="L19" s="328"/>
      <c r="M19" s="103">
        <f t="shared" si="5"/>
        <v>0</v>
      </c>
      <c r="N19" s="103">
        <f>'[1]июль 20'!AM18</f>
        <v>0</v>
      </c>
      <c r="O19" s="103">
        <f>'[1]июнь 20'!W18</f>
        <v>0</v>
      </c>
      <c r="P19" s="103">
        <v>271.77999999999997</v>
      </c>
      <c r="Q19" s="108">
        <f t="shared" si="6"/>
        <v>1.4202663919346548</v>
      </c>
      <c r="R19" s="109">
        <f t="shared" si="7"/>
        <v>267.91999999999996</v>
      </c>
      <c r="S19" s="106">
        <v>31.6</v>
      </c>
      <c r="T19" s="109">
        <f t="shared" si="8"/>
        <v>267.91999999999996</v>
      </c>
      <c r="U19" s="110">
        <f t="shared" si="9"/>
        <v>1.4387283857802597</v>
      </c>
      <c r="V19" s="136">
        <v>186.22</v>
      </c>
      <c r="W19" s="130">
        <v>135.49</v>
      </c>
      <c r="X19" s="131">
        <v>0.92</v>
      </c>
      <c r="Y19" s="112">
        <v>619</v>
      </c>
      <c r="Z19" s="133">
        <v>1234</v>
      </c>
      <c r="AA19" s="144" t="s">
        <v>321</v>
      </c>
      <c r="AB19" s="131">
        <v>75.989999999999995</v>
      </c>
      <c r="AC19" s="133">
        <v>143</v>
      </c>
      <c r="AD19" s="134">
        <v>4</v>
      </c>
      <c r="AE19" s="131">
        <v>3.35</v>
      </c>
      <c r="AF19" s="115">
        <f t="shared" si="10"/>
        <v>17.98947481473526</v>
      </c>
      <c r="AG19" s="131">
        <v>124</v>
      </c>
      <c r="AH19" s="115">
        <f t="shared" si="11"/>
        <v>665.87906776930515</v>
      </c>
      <c r="AI19" s="139">
        <v>15.13</v>
      </c>
      <c r="AJ19" s="131"/>
      <c r="AK19" s="136">
        <v>8.66</v>
      </c>
      <c r="AL19" s="136">
        <v>50.24</v>
      </c>
      <c r="AM19" s="110">
        <f t="shared" si="12"/>
        <v>0.20696189495365602</v>
      </c>
      <c r="AN19" s="137" t="s">
        <v>323</v>
      </c>
      <c r="AO19" s="150">
        <v>8.93</v>
      </c>
      <c r="AP19" s="138">
        <v>7.63</v>
      </c>
      <c r="AQ19" s="134"/>
      <c r="AR19" s="131">
        <v>8.43</v>
      </c>
      <c r="AS19" s="315">
        <v>242.75</v>
      </c>
      <c r="AT19" s="131">
        <v>2.37</v>
      </c>
      <c r="AU19" s="116"/>
      <c r="AV19" s="131"/>
      <c r="AW19" s="109">
        <f t="shared" si="34"/>
        <v>0</v>
      </c>
      <c r="AX19" s="109">
        <f t="shared" si="13"/>
        <v>186.22</v>
      </c>
      <c r="AY19" s="115">
        <f t="shared" si="25"/>
        <v>193.63655269628842</v>
      </c>
      <c r="AZ19" s="140">
        <f t="shared" si="14"/>
        <v>8.0975492957746464</v>
      </c>
      <c r="BA19" s="141">
        <f t="shared" si="15"/>
        <v>7.4488000000000003</v>
      </c>
      <c r="BB19" s="128">
        <f t="shared" si="16"/>
        <v>0.83956287042036426</v>
      </c>
      <c r="BC19" s="141">
        <f t="shared" si="17"/>
        <v>15.546349295774647</v>
      </c>
      <c r="BD19" s="142">
        <v>0.872</v>
      </c>
      <c r="BE19" s="16">
        <f t="shared" si="26"/>
        <v>2343.79</v>
      </c>
      <c r="BF19" s="16">
        <f t="shared" si="18"/>
        <v>183.33333333333334</v>
      </c>
      <c r="BG19" s="16">
        <f t="shared" si="27"/>
        <v>2383.333333333333</v>
      </c>
      <c r="BH19" s="17">
        <f t="shared" si="19"/>
        <v>1</v>
      </c>
      <c r="BI19" s="16">
        <f t="shared" si="28"/>
        <v>2383.333333333333</v>
      </c>
      <c r="BJ19" s="463">
        <f t="shared" si="29"/>
        <v>307.80700000000002</v>
      </c>
      <c r="BK19" s="197"/>
      <c r="BL19" s="197"/>
      <c r="BM19" s="197"/>
      <c r="BN19" s="230">
        <v>118.613</v>
      </c>
      <c r="BO19" s="230">
        <v>33.183999999999997</v>
      </c>
      <c r="BP19" s="258"/>
      <c r="BQ19" s="199"/>
      <c r="BR19" s="200">
        <v>0.53</v>
      </c>
      <c r="BS19" s="200"/>
      <c r="BT19" s="200"/>
      <c r="BU19" s="200"/>
      <c r="BV19" s="208">
        <v>0.68</v>
      </c>
      <c r="BW19" s="208">
        <v>0.87</v>
      </c>
      <c r="BX19" s="201"/>
      <c r="BY19" s="202">
        <v>36.880000000000003</v>
      </c>
      <c r="BZ19" s="200"/>
      <c r="CA19" s="200"/>
      <c r="CB19" s="200"/>
      <c r="CC19" s="208">
        <v>38.54</v>
      </c>
      <c r="CD19" s="208">
        <v>31.11</v>
      </c>
      <c r="CE19" s="209"/>
      <c r="CF19" s="199"/>
      <c r="CG19" s="197"/>
      <c r="CH19" s="230"/>
      <c r="CI19" s="266">
        <f t="shared" si="30"/>
        <v>267.91999999999996</v>
      </c>
      <c r="CJ19" s="453"/>
      <c r="CK19" s="202"/>
      <c r="CL19" s="208"/>
      <c r="CM19" s="208"/>
      <c r="CN19" s="201"/>
      <c r="CO19" s="284"/>
      <c r="CP19" s="286">
        <f t="shared" si="20"/>
        <v>306.17562290000001</v>
      </c>
      <c r="CQ19" s="24">
        <f t="shared" si="20"/>
        <v>0</v>
      </c>
      <c r="CR19" s="25">
        <f t="shared" si="20"/>
        <v>0</v>
      </c>
      <c r="CS19" s="24">
        <f t="shared" si="20"/>
        <v>0</v>
      </c>
      <c r="CT19" s="27">
        <f t="shared" si="20"/>
        <v>117.8064316</v>
      </c>
      <c r="CU19" s="24">
        <f t="shared" si="20"/>
        <v>32.895299199999997</v>
      </c>
      <c r="CV19" s="280">
        <f t="shared" si="20"/>
        <v>0</v>
      </c>
      <c r="CW19" s="237">
        <f t="shared" si="21"/>
        <v>0</v>
      </c>
      <c r="CX19" s="24">
        <f t="shared" si="21"/>
        <v>0</v>
      </c>
      <c r="CY19" s="277">
        <f t="shared" si="21"/>
        <v>267.91999999999996</v>
      </c>
      <c r="CZ19" s="280">
        <f t="shared" si="21"/>
        <v>0</v>
      </c>
      <c r="DB19" s="293">
        <f t="shared" si="22"/>
        <v>0</v>
      </c>
      <c r="DC19" s="294"/>
      <c r="DD19" s="294"/>
      <c r="DE19" s="295">
        <f t="shared" si="23"/>
        <v>0</v>
      </c>
      <c r="DF19" s="296">
        <f t="shared" si="31"/>
        <v>0</v>
      </c>
      <c r="DH19" s="254">
        <v>228.80699999999999</v>
      </c>
      <c r="DJ19" s="247">
        <f t="shared" si="32"/>
        <v>307.80700000000002</v>
      </c>
      <c r="DK19" s="197">
        <v>248.45</v>
      </c>
      <c r="DL19" s="247">
        <f t="shared" si="33"/>
        <v>267.91999999999996</v>
      </c>
    </row>
    <row r="20" spans="1:116" ht="16.5" customHeight="1">
      <c r="A20" s="127">
        <v>14</v>
      </c>
      <c r="B20" s="103">
        <f t="shared" si="24"/>
        <v>471.96400000000006</v>
      </c>
      <c r="C20" s="104">
        <f t="shared" si="0"/>
        <v>0.29548344789009329</v>
      </c>
      <c r="D20" s="143">
        <f t="shared" si="1"/>
        <v>470.56942450000008</v>
      </c>
      <c r="E20" s="104">
        <f t="shared" si="2"/>
        <v>37.370721474519236</v>
      </c>
      <c r="F20" s="128">
        <f t="shared" si="3"/>
        <v>2.3657404077220856</v>
      </c>
      <c r="G20" s="106"/>
      <c r="H20" s="107">
        <f t="shared" si="4"/>
        <v>2.3657404077220856</v>
      </c>
      <c r="I20" s="103">
        <f>'[1]сентябрь 20'!AE19</f>
        <v>0</v>
      </c>
      <c r="J20" s="328">
        <f>'[1]июнь 20'!AA19</f>
        <v>0</v>
      </c>
      <c r="K20" s="106"/>
      <c r="L20" s="328"/>
      <c r="M20" s="103">
        <f t="shared" si="5"/>
        <v>0</v>
      </c>
      <c r="N20" s="103">
        <f>'[1]июль 20'!AM19</f>
        <v>0</v>
      </c>
      <c r="O20" s="103">
        <f>'[1]июнь 20'!W19</f>
        <v>0</v>
      </c>
      <c r="P20" s="103">
        <v>279.20999999999998</v>
      </c>
      <c r="Q20" s="108">
        <f t="shared" si="6"/>
        <v>1.3967981089502479</v>
      </c>
      <c r="R20" s="109">
        <f t="shared" si="7"/>
        <v>275.31</v>
      </c>
      <c r="S20" s="106">
        <v>23.57</v>
      </c>
      <c r="T20" s="109">
        <f t="shared" si="8"/>
        <v>275.31</v>
      </c>
      <c r="U20" s="110">
        <f t="shared" si="9"/>
        <v>1.3840933085314966</v>
      </c>
      <c r="V20" s="136">
        <v>198.91</v>
      </c>
      <c r="W20" s="130">
        <v>51.98</v>
      </c>
      <c r="X20" s="131">
        <v>1.0900000000000001</v>
      </c>
      <c r="Y20" s="112">
        <v>612</v>
      </c>
      <c r="Z20" s="133">
        <v>1230</v>
      </c>
      <c r="AA20" s="151" t="s">
        <v>304</v>
      </c>
      <c r="AB20" s="131">
        <v>75.989999999999995</v>
      </c>
      <c r="AC20" s="133">
        <v>148</v>
      </c>
      <c r="AD20" s="134">
        <v>4</v>
      </c>
      <c r="AE20" s="131">
        <v>2.25</v>
      </c>
      <c r="AF20" s="115">
        <f t="shared" si="10"/>
        <v>11.311648484239102</v>
      </c>
      <c r="AG20" s="131">
        <v>118</v>
      </c>
      <c r="AH20" s="115">
        <f t="shared" si="11"/>
        <v>593.23312050676191</v>
      </c>
      <c r="AI20" s="139">
        <v>15.38</v>
      </c>
      <c r="AJ20" s="131"/>
      <c r="AK20" s="136">
        <v>7.76</v>
      </c>
      <c r="AL20" s="136">
        <v>47.35</v>
      </c>
      <c r="AM20" s="110">
        <f t="shared" si="12"/>
        <v>0.18830781467488567</v>
      </c>
      <c r="AN20" s="137" t="s">
        <v>324</v>
      </c>
      <c r="AO20" s="150">
        <v>9.67</v>
      </c>
      <c r="AP20" s="138">
        <v>7.56</v>
      </c>
      <c r="AQ20" s="131"/>
      <c r="AR20" s="131">
        <v>6.71</v>
      </c>
      <c r="AS20" s="315">
        <v>251.45</v>
      </c>
      <c r="AT20" s="131">
        <v>2.57</v>
      </c>
      <c r="AU20" s="148"/>
      <c r="AV20" s="131"/>
      <c r="AW20" s="109">
        <f t="shared" si="34"/>
        <v>0</v>
      </c>
      <c r="AX20" s="109">
        <f t="shared" si="13"/>
        <v>198.91</v>
      </c>
      <c r="AY20" s="115">
        <f t="shared" si="25"/>
        <v>202.02866163235552</v>
      </c>
      <c r="AZ20" s="140">
        <f t="shared" si="14"/>
        <v>6.1335070422535205</v>
      </c>
      <c r="BA20" s="141">
        <f t="shared" si="15"/>
        <v>7.9564000000000004</v>
      </c>
      <c r="BB20" s="128">
        <f t="shared" si="16"/>
        <v>0.85952373587466102</v>
      </c>
      <c r="BC20" s="141">
        <f t="shared" si="17"/>
        <v>14.089907042253522</v>
      </c>
      <c r="BD20" s="142">
        <v>0.871</v>
      </c>
      <c r="BE20" s="16">
        <f t="shared" si="26"/>
        <v>2542.6999999999998</v>
      </c>
      <c r="BF20" s="16">
        <f t="shared" si="18"/>
        <v>183.33333333333334</v>
      </c>
      <c r="BG20" s="16">
        <f t="shared" si="27"/>
        <v>2566.6666666666665</v>
      </c>
      <c r="BH20" s="17">
        <f t="shared" si="19"/>
        <v>1</v>
      </c>
      <c r="BI20" s="16">
        <f t="shared" si="28"/>
        <v>2566.6666666666665</v>
      </c>
      <c r="BJ20" s="463">
        <f t="shared" si="29"/>
        <v>315.50200000000001</v>
      </c>
      <c r="BK20" s="197"/>
      <c r="BL20" s="197"/>
      <c r="BM20" s="197"/>
      <c r="BN20" s="230">
        <v>122.855</v>
      </c>
      <c r="BO20" s="230">
        <v>33.606999999999999</v>
      </c>
      <c r="BP20" s="259"/>
      <c r="BQ20" s="199"/>
      <c r="BR20" s="200">
        <v>0.27</v>
      </c>
      <c r="BS20" s="200"/>
      <c r="BT20" s="200"/>
      <c r="BU20" s="200"/>
      <c r="BV20" s="208">
        <v>0.16</v>
      </c>
      <c r="BW20" s="208">
        <v>1.03</v>
      </c>
      <c r="BX20" s="201"/>
      <c r="BY20" s="202">
        <v>37.4</v>
      </c>
      <c r="BZ20" s="200"/>
      <c r="CA20" s="200"/>
      <c r="CB20" s="200"/>
      <c r="CC20" s="208">
        <v>39.32</v>
      </c>
      <c r="CD20" s="208">
        <v>29.97</v>
      </c>
      <c r="CE20" s="209"/>
      <c r="CF20" s="199"/>
      <c r="CG20" s="197"/>
      <c r="CH20" s="230"/>
      <c r="CI20" s="266">
        <f t="shared" si="30"/>
        <v>275.31</v>
      </c>
      <c r="CJ20" s="453"/>
      <c r="CK20" s="202"/>
      <c r="CL20" s="208"/>
      <c r="CM20" s="208"/>
      <c r="CN20" s="201"/>
      <c r="CO20" s="284"/>
      <c r="CP20" s="286">
        <f t="shared" si="20"/>
        <v>314.65014460000003</v>
      </c>
      <c r="CQ20" s="24">
        <f t="shared" si="20"/>
        <v>0</v>
      </c>
      <c r="CR20" s="25">
        <f t="shared" si="20"/>
        <v>0</v>
      </c>
      <c r="CS20" s="24">
        <f t="shared" si="20"/>
        <v>0</v>
      </c>
      <c r="CT20" s="27">
        <f t="shared" si="20"/>
        <v>122.65843200000002</v>
      </c>
      <c r="CU20" s="30">
        <f t="shared" si="20"/>
        <v>33.260847900000002</v>
      </c>
      <c r="CV20" s="280">
        <f t="shared" si="20"/>
        <v>0</v>
      </c>
      <c r="CW20" s="237">
        <f t="shared" si="21"/>
        <v>0</v>
      </c>
      <c r="CX20" s="29">
        <f t="shared" si="21"/>
        <v>0</v>
      </c>
      <c r="CY20" s="277">
        <f t="shared" si="21"/>
        <v>275.31</v>
      </c>
      <c r="CZ20" s="280">
        <f t="shared" si="21"/>
        <v>0</v>
      </c>
      <c r="DB20" s="293">
        <f t="shared" si="22"/>
        <v>0</v>
      </c>
      <c r="DC20" s="294"/>
      <c r="DD20" s="294"/>
      <c r="DE20" s="295">
        <f t="shared" si="23"/>
        <v>0</v>
      </c>
      <c r="DF20" s="296">
        <f t="shared" si="31"/>
        <v>0</v>
      </c>
      <c r="DH20" s="254">
        <v>236.50200000000001</v>
      </c>
      <c r="DJ20" s="247">
        <f t="shared" si="32"/>
        <v>315.50200000000001</v>
      </c>
      <c r="DK20" s="197">
        <v>255.84</v>
      </c>
      <c r="DL20" s="247">
        <f t="shared" si="33"/>
        <v>275.31</v>
      </c>
    </row>
    <row r="21" spans="1:116" ht="16.5" customHeight="1">
      <c r="A21" s="127">
        <v>15</v>
      </c>
      <c r="B21" s="103">
        <f t="shared" si="24"/>
        <v>467.31200000000001</v>
      </c>
      <c r="C21" s="104">
        <f t="shared" si="0"/>
        <v>0.55191274780018496</v>
      </c>
      <c r="D21" s="143">
        <f t="shared" si="1"/>
        <v>464.7328455</v>
      </c>
      <c r="E21" s="104">
        <f t="shared" si="2"/>
        <v>36.909431108124771</v>
      </c>
      <c r="F21" s="128">
        <f t="shared" si="3"/>
        <v>2.2851592934061071</v>
      </c>
      <c r="G21" s="106"/>
      <c r="H21" s="107">
        <f t="shared" si="4"/>
        <v>2.2851592934061076</v>
      </c>
      <c r="I21" s="103">
        <f>'[1]сентябрь 20'!AE20</f>
        <v>0</v>
      </c>
      <c r="J21" s="328">
        <f>'[1]июнь 20'!AA20</f>
        <v>0</v>
      </c>
      <c r="K21" s="106"/>
      <c r="L21" s="328"/>
      <c r="M21" s="103">
        <f t="shared" si="5"/>
        <v>0</v>
      </c>
      <c r="N21" s="103">
        <f>'[1]июль 20'!AM20</f>
        <v>0</v>
      </c>
      <c r="O21" s="103">
        <f>'[1]июнь 20'!W20</f>
        <v>0</v>
      </c>
      <c r="P21" s="103">
        <v>274.42</v>
      </c>
      <c r="Q21" s="108">
        <f t="shared" si="6"/>
        <v>1.3956708694701447</v>
      </c>
      <c r="R21" s="109">
        <f t="shared" si="7"/>
        <v>270.59000000000009</v>
      </c>
      <c r="S21" s="106">
        <v>17.68</v>
      </c>
      <c r="T21" s="109">
        <f t="shared" si="8"/>
        <v>270.59000000000003</v>
      </c>
      <c r="U21" s="110">
        <f t="shared" si="9"/>
        <v>1.33053056006294</v>
      </c>
      <c r="V21" s="136">
        <v>203.37</v>
      </c>
      <c r="W21" s="130">
        <v>203.37</v>
      </c>
      <c r="X21" s="131">
        <v>0.64</v>
      </c>
      <c r="Y21" s="112">
        <v>600</v>
      </c>
      <c r="Z21" s="133">
        <v>1244</v>
      </c>
      <c r="AA21" s="151" t="s">
        <v>286</v>
      </c>
      <c r="AB21" s="131">
        <v>76.72</v>
      </c>
      <c r="AC21" s="133">
        <v>146</v>
      </c>
      <c r="AD21" s="134">
        <v>4</v>
      </c>
      <c r="AE21" s="131"/>
      <c r="AF21" s="115">
        <f t="shared" si="10"/>
        <v>0</v>
      </c>
      <c r="AG21" s="131">
        <v>132.5</v>
      </c>
      <c r="AH21" s="115">
        <f t="shared" si="11"/>
        <v>651.52185671436303</v>
      </c>
      <c r="AI21" s="139">
        <v>13.79</v>
      </c>
      <c r="AJ21" s="131"/>
      <c r="AK21" s="136">
        <v>9.27</v>
      </c>
      <c r="AL21" s="136">
        <v>47.25</v>
      </c>
      <c r="AM21" s="110">
        <f t="shared" si="12"/>
        <v>0.18321054672353626</v>
      </c>
      <c r="AN21" s="137" t="s">
        <v>323</v>
      </c>
      <c r="AO21" s="150">
        <v>9.08</v>
      </c>
      <c r="AP21" s="138">
        <v>8.01</v>
      </c>
      <c r="AQ21" s="131"/>
      <c r="AR21" s="131">
        <v>7.48</v>
      </c>
      <c r="AS21" s="315">
        <v>257.89999999999998</v>
      </c>
      <c r="AT21" s="131">
        <v>1.99</v>
      </c>
      <c r="AU21" s="116"/>
      <c r="AV21" s="131"/>
      <c r="AW21" s="109">
        <f t="shared" si="34"/>
        <v>0</v>
      </c>
      <c r="AX21" s="109">
        <f t="shared" si="13"/>
        <v>203.36999999999998</v>
      </c>
      <c r="AY21" s="115">
        <f t="shared" si="25"/>
        <v>195.18496841361551</v>
      </c>
      <c r="AZ21" s="140">
        <f t="shared" si="14"/>
        <v>7.677535211267605</v>
      </c>
      <c r="BA21" s="141">
        <f t="shared" si="15"/>
        <v>8.1347999999999985</v>
      </c>
      <c r="BB21" s="128">
        <f t="shared" si="16"/>
        <v>0.90960903107954283</v>
      </c>
      <c r="BC21" s="141">
        <f t="shared" si="17"/>
        <v>15.812335211267603</v>
      </c>
      <c r="BD21" s="142">
        <v>0.874</v>
      </c>
      <c r="BE21" s="16">
        <f t="shared" si="26"/>
        <v>2746.0699999999997</v>
      </c>
      <c r="BF21" s="16">
        <f t="shared" si="18"/>
        <v>183.33333333333334</v>
      </c>
      <c r="BG21" s="16">
        <f t="shared" si="27"/>
        <v>2750</v>
      </c>
      <c r="BH21" s="17">
        <f t="shared" si="19"/>
        <v>1</v>
      </c>
      <c r="BI21" s="16">
        <f t="shared" si="28"/>
        <v>2750</v>
      </c>
      <c r="BJ21" s="461">
        <f t="shared" si="29"/>
        <v>312.62299999999999</v>
      </c>
      <c r="BK21" s="197"/>
      <c r="BL21" s="197"/>
      <c r="BM21" s="197"/>
      <c r="BN21" s="230">
        <v>121.182</v>
      </c>
      <c r="BO21" s="230">
        <v>33.506999999999998</v>
      </c>
      <c r="BP21" s="259"/>
      <c r="BQ21" s="199"/>
      <c r="BR21" s="200">
        <v>0.55000000000000004</v>
      </c>
      <c r="BS21" s="200"/>
      <c r="BT21" s="200"/>
      <c r="BU21" s="200"/>
      <c r="BV21" s="208">
        <v>0.35</v>
      </c>
      <c r="BW21" s="208">
        <v>1.3</v>
      </c>
      <c r="BX21" s="201"/>
      <c r="BY21" s="202">
        <v>37.020000000000003</v>
      </c>
      <c r="BZ21" s="200"/>
      <c r="CA21" s="200"/>
      <c r="CB21" s="200"/>
      <c r="CC21" s="208">
        <v>38.46</v>
      </c>
      <c r="CD21" s="208">
        <v>30.27</v>
      </c>
      <c r="CE21" s="209"/>
      <c r="CF21" s="199"/>
      <c r="CG21" s="197"/>
      <c r="CH21" s="230"/>
      <c r="CI21" s="266">
        <f t="shared" si="30"/>
        <v>270.59000000000003</v>
      </c>
      <c r="CJ21" s="453"/>
      <c r="CK21" s="202"/>
      <c r="CL21" s="208"/>
      <c r="CM21" s="208"/>
      <c r="CN21" s="201"/>
      <c r="CO21" s="284"/>
      <c r="CP21" s="286">
        <f t="shared" si="20"/>
        <v>310.90357349999999</v>
      </c>
      <c r="CQ21" s="27">
        <f t="shared" si="20"/>
        <v>0</v>
      </c>
      <c r="CR21" s="28">
        <f t="shared" si="20"/>
        <v>0</v>
      </c>
      <c r="CS21" s="27">
        <f t="shared" si="20"/>
        <v>0</v>
      </c>
      <c r="CT21" s="27">
        <f t="shared" si="20"/>
        <v>120.75786300000001</v>
      </c>
      <c r="CU21" s="24">
        <f t="shared" si="20"/>
        <v>33.071408999999996</v>
      </c>
      <c r="CV21" s="281">
        <f t="shared" si="20"/>
        <v>0</v>
      </c>
      <c r="CW21" s="237">
        <f t="shared" si="21"/>
        <v>0</v>
      </c>
      <c r="CX21" s="24">
        <f t="shared" si="21"/>
        <v>0</v>
      </c>
      <c r="CY21" s="277">
        <f t="shared" si="21"/>
        <v>270.59000000000003</v>
      </c>
      <c r="CZ21" s="280">
        <f t="shared" si="21"/>
        <v>0</v>
      </c>
      <c r="DB21" s="293">
        <f t="shared" si="22"/>
        <v>0</v>
      </c>
      <c r="DC21" s="294"/>
      <c r="DD21" s="294"/>
      <c r="DE21" s="295">
        <f t="shared" si="23"/>
        <v>0</v>
      </c>
      <c r="DF21" s="296">
        <f t="shared" si="31"/>
        <v>0</v>
      </c>
      <c r="DH21" s="254">
        <v>233.62299999999999</v>
      </c>
      <c r="DJ21" s="247">
        <f t="shared" si="32"/>
        <v>312.62299999999999</v>
      </c>
      <c r="DK21" s="197">
        <v>251.12</v>
      </c>
      <c r="DL21" s="247">
        <f t="shared" si="33"/>
        <v>270.59000000000003</v>
      </c>
    </row>
    <row r="22" spans="1:116" ht="16.5" customHeight="1">
      <c r="A22" s="127">
        <v>16</v>
      </c>
      <c r="B22" s="103">
        <f t="shared" si="24"/>
        <v>467.86400000000003</v>
      </c>
      <c r="C22" s="104">
        <f t="shared" si="0"/>
        <v>0.4536312902894859</v>
      </c>
      <c r="D22" s="143">
        <f t="shared" si="1"/>
        <v>465.74162250000006</v>
      </c>
      <c r="E22" s="104">
        <f t="shared" si="2"/>
        <v>37.651082152078374</v>
      </c>
      <c r="F22" s="128">
        <f t="shared" si="3"/>
        <v>2.5737269147877986</v>
      </c>
      <c r="G22" s="106"/>
      <c r="H22" s="107">
        <f t="shared" si="4"/>
        <v>2.5737269147877986</v>
      </c>
      <c r="I22" s="103">
        <f>'[1]сентябрь 20'!AE21</f>
        <v>0</v>
      </c>
      <c r="J22" s="328">
        <f>'[1]июнь 20'!AA21</f>
        <v>0</v>
      </c>
      <c r="K22" s="106"/>
      <c r="L22" s="328"/>
      <c r="M22" s="103">
        <f t="shared" si="5"/>
        <v>0</v>
      </c>
      <c r="N22" s="103">
        <f>'[1]июль 20'!AM21</f>
        <v>0</v>
      </c>
      <c r="O22" s="103">
        <f>'[1]июнь 20'!W21</f>
        <v>0</v>
      </c>
      <c r="P22" s="103">
        <v>274.45</v>
      </c>
      <c r="Q22" s="108">
        <f t="shared" si="6"/>
        <v>1.4064492621606695</v>
      </c>
      <c r="R22" s="109">
        <f t="shared" si="7"/>
        <v>270.59000000000009</v>
      </c>
      <c r="S22" s="106">
        <v>39.39</v>
      </c>
      <c r="T22" s="109">
        <f t="shared" si="8"/>
        <v>270.59000000000003</v>
      </c>
      <c r="U22" s="110">
        <f t="shared" si="9"/>
        <v>1.4953028293545538</v>
      </c>
      <c r="V22" s="136">
        <v>180.96</v>
      </c>
      <c r="W22" s="129">
        <v>180.96</v>
      </c>
      <c r="X22" s="131">
        <v>0.74</v>
      </c>
      <c r="Y22" s="112">
        <v>584</v>
      </c>
      <c r="Z22" s="152">
        <v>1224</v>
      </c>
      <c r="AA22" s="144" t="s">
        <v>325</v>
      </c>
      <c r="AB22" s="131">
        <v>76.41</v>
      </c>
      <c r="AC22" s="133">
        <v>146</v>
      </c>
      <c r="AD22" s="134">
        <v>4</v>
      </c>
      <c r="AE22" s="131"/>
      <c r="AF22" s="115">
        <f t="shared" si="10"/>
        <v>0</v>
      </c>
      <c r="AG22" s="131">
        <v>122.5</v>
      </c>
      <c r="AH22" s="115">
        <f t="shared" si="11"/>
        <v>676.94518125552599</v>
      </c>
      <c r="AI22" s="139">
        <v>16.88</v>
      </c>
      <c r="AJ22" s="131"/>
      <c r="AK22" s="136">
        <v>12.63</v>
      </c>
      <c r="AL22" s="136">
        <v>49.57</v>
      </c>
      <c r="AM22" s="110">
        <f t="shared" si="12"/>
        <v>0.20701607851325957</v>
      </c>
      <c r="AN22" s="137" t="s">
        <v>326</v>
      </c>
      <c r="AO22" s="150">
        <v>9</v>
      </c>
      <c r="AP22" s="138">
        <v>7.64</v>
      </c>
      <c r="AQ22" s="134"/>
      <c r="AR22" s="131">
        <v>9.11</v>
      </c>
      <c r="AS22" s="315">
        <v>239.45</v>
      </c>
      <c r="AT22" s="131">
        <v>3.71</v>
      </c>
      <c r="AU22" s="116"/>
      <c r="AV22" s="131"/>
      <c r="AW22" s="109">
        <f t="shared" si="34"/>
        <v>0</v>
      </c>
      <c r="AX22" s="109">
        <f t="shared" si="13"/>
        <v>180.96</v>
      </c>
      <c r="AY22" s="115">
        <f t="shared" si="25"/>
        <v>200.34871387135553</v>
      </c>
      <c r="AZ22" s="140">
        <f t="shared" si="14"/>
        <v>8.6448767605633794</v>
      </c>
      <c r="BA22" s="141">
        <f t="shared" si="15"/>
        <v>7.2384000000000004</v>
      </c>
      <c r="BB22" s="128">
        <f t="shared" si="16"/>
        <v>0.78851556841756498</v>
      </c>
      <c r="BC22" s="141">
        <f t="shared" si="17"/>
        <v>15.88327676056338</v>
      </c>
      <c r="BD22" s="142">
        <v>0.86799999999999999</v>
      </c>
      <c r="BE22" s="16">
        <f t="shared" si="26"/>
        <v>2927.0299999999997</v>
      </c>
      <c r="BF22" s="16">
        <f t="shared" si="18"/>
        <v>183.33333333333334</v>
      </c>
      <c r="BG22" s="16">
        <f t="shared" si="27"/>
        <v>2933.3333333333335</v>
      </c>
      <c r="BH22" s="17">
        <f t="shared" si="19"/>
        <v>1</v>
      </c>
      <c r="BI22" s="16">
        <f t="shared" si="28"/>
        <v>2933.3333333333335</v>
      </c>
      <c r="BJ22" s="462">
        <f t="shared" si="29"/>
        <v>312.94900000000001</v>
      </c>
      <c r="BK22" s="197"/>
      <c r="BL22" s="197"/>
      <c r="BM22" s="197"/>
      <c r="BN22" s="230">
        <v>121.288</v>
      </c>
      <c r="BO22" s="230">
        <v>33.627000000000002</v>
      </c>
      <c r="BP22" s="258"/>
      <c r="BQ22" s="199"/>
      <c r="BR22" s="200">
        <v>0.44</v>
      </c>
      <c r="BS22" s="200"/>
      <c r="BT22" s="200"/>
      <c r="BU22" s="200"/>
      <c r="BV22" s="208">
        <v>0.39</v>
      </c>
      <c r="BW22" s="208">
        <v>0.81</v>
      </c>
      <c r="BX22" s="201"/>
      <c r="BY22" s="202">
        <v>37.94</v>
      </c>
      <c r="BZ22" s="200"/>
      <c r="CA22" s="200"/>
      <c r="CB22" s="200"/>
      <c r="CC22" s="208">
        <v>38.549999999999997</v>
      </c>
      <c r="CD22" s="208">
        <v>31.72</v>
      </c>
      <c r="CE22" s="201"/>
      <c r="CF22" s="199"/>
      <c r="CG22" s="197"/>
      <c r="CH22" s="230"/>
      <c r="CI22" s="266">
        <f t="shared" si="30"/>
        <v>270.59000000000003</v>
      </c>
      <c r="CJ22" s="453"/>
      <c r="CK22" s="202"/>
      <c r="CL22" s="200"/>
      <c r="CM22" s="208"/>
      <c r="CN22" s="201"/>
      <c r="CO22" s="284"/>
      <c r="CP22" s="286">
        <f t="shared" si="20"/>
        <v>311.57202440000003</v>
      </c>
      <c r="CQ22" s="29">
        <f t="shared" si="20"/>
        <v>0</v>
      </c>
      <c r="CR22" s="30">
        <f t="shared" si="20"/>
        <v>0</v>
      </c>
      <c r="CS22" s="29">
        <f t="shared" si="20"/>
        <v>0</v>
      </c>
      <c r="CT22" s="27">
        <f t="shared" si="20"/>
        <v>120.8149768</v>
      </c>
      <c r="CU22" s="24">
        <f t="shared" si="20"/>
        <v>33.354621300000005</v>
      </c>
      <c r="CV22" s="282">
        <f t="shared" si="20"/>
        <v>0</v>
      </c>
      <c r="CW22" s="237">
        <f t="shared" si="21"/>
        <v>0</v>
      </c>
      <c r="CX22" s="24">
        <f t="shared" si="21"/>
        <v>0</v>
      </c>
      <c r="CY22" s="277">
        <f t="shared" si="21"/>
        <v>270.59000000000003</v>
      </c>
      <c r="CZ22" s="280">
        <f t="shared" si="21"/>
        <v>0</v>
      </c>
      <c r="DB22" s="293">
        <f t="shared" si="22"/>
        <v>0</v>
      </c>
      <c r="DC22" s="294"/>
      <c r="DD22" s="294"/>
      <c r="DE22" s="295">
        <f t="shared" si="23"/>
        <v>0</v>
      </c>
      <c r="DF22" s="296">
        <f t="shared" si="31"/>
        <v>0</v>
      </c>
      <c r="DH22" s="254">
        <v>233.94900000000001</v>
      </c>
      <c r="DJ22" s="247">
        <f t="shared" si="32"/>
        <v>312.94900000000001</v>
      </c>
      <c r="DK22" s="197">
        <v>251.12</v>
      </c>
      <c r="DL22" s="247">
        <f t="shared" si="33"/>
        <v>270.59000000000003</v>
      </c>
    </row>
    <row r="23" spans="1:116" ht="16.5" customHeight="1">
      <c r="A23" s="127">
        <v>17</v>
      </c>
      <c r="B23" s="103">
        <f t="shared" si="24"/>
        <v>467.72399999999999</v>
      </c>
      <c r="C23" s="104">
        <f t="shared" si="0"/>
        <v>0.64613425866536689</v>
      </c>
      <c r="D23" s="143">
        <f t="shared" si="1"/>
        <v>464.70187499999997</v>
      </c>
      <c r="E23" s="104">
        <f t="shared" si="2"/>
        <v>37.214663262949941</v>
      </c>
      <c r="F23" s="128">
        <f t="shared" si="3"/>
        <v>2.4531588185609459</v>
      </c>
      <c r="G23" s="106"/>
      <c r="H23" s="107">
        <f t="shared" si="4"/>
        <v>2.4531588185609459</v>
      </c>
      <c r="I23" s="103">
        <f>'[1]сентябрь 20'!AE22</f>
        <v>0</v>
      </c>
      <c r="J23" s="328">
        <f>'[1]июнь 20'!AA22</f>
        <v>0</v>
      </c>
      <c r="K23" s="106">
        <v>35.97</v>
      </c>
      <c r="L23" s="328"/>
      <c r="M23" s="103">
        <f t="shared" si="5"/>
        <v>0</v>
      </c>
      <c r="N23" s="103">
        <f>'[1]июль 20'!AM22</f>
        <v>0</v>
      </c>
      <c r="O23" s="103">
        <f>'[1]июнь 20'!W22</f>
        <v>0</v>
      </c>
      <c r="P23" s="103">
        <v>274.62</v>
      </c>
      <c r="Q23" s="108">
        <f t="shared" si="6"/>
        <v>1.4674823392323844</v>
      </c>
      <c r="R23" s="109">
        <f t="shared" si="7"/>
        <v>270.58999999999997</v>
      </c>
      <c r="S23" s="106">
        <v>15.23</v>
      </c>
      <c r="T23" s="109">
        <f t="shared" si="8"/>
        <v>270.59000000000003</v>
      </c>
      <c r="U23" s="110">
        <f t="shared" si="9"/>
        <v>1.4284432244100722</v>
      </c>
      <c r="V23" s="136">
        <v>97.91</v>
      </c>
      <c r="W23" s="129">
        <v>189.43</v>
      </c>
      <c r="X23" s="131">
        <v>0.72</v>
      </c>
      <c r="Y23" s="112">
        <v>604</v>
      </c>
      <c r="Z23" s="133">
        <v>1237</v>
      </c>
      <c r="AA23" s="144" t="s">
        <v>279</v>
      </c>
      <c r="AB23" s="131">
        <v>75.180000000000007</v>
      </c>
      <c r="AC23" s="133">
        <v>146</v>
      </c>
      <c r="AD23" s="134">
        <v>4</v>
      </c>
      <c r="AE23" s="131">
        <v>5.7</v>
      </c>
      <c r="AF23" s="115">
        <f t="shared" si="10"/>
        <v>30.090270812437311</v>
      </c>
      <c r="AG23" s="131">
        <v>129.30000000000001</v>
      </c>
      <c r="AH23" s="115">
        <f t="shared" si="11"/>
        <v>682.57403790318324</v>
      </c>
      <c r="AI23" s="139">
        <v>15.77</v>
      </c>
      <c r="AJ23" s="131"/>
      <c r="AK23" s="136">
        <v>12.53</v>
      </c>
      <c r="AL23" s="136">
        <v>47.34</v>
      </c>
      <c r="AM23" s="110">
        <f t="shared" si="12"/>
        <v>0.19232175502742233</v>
      </c>
      <c r="AN23" s="137" t="s">
        <v>175</v>
      </c>
      <c r="AO23" s="150">
        <v>9.23</v>
      </c>
      <c r="AP23" s="138">
        <v>7.62</v>
      </c>
      <c r="AQ23" s="134"/>
      <c r="AR23" s="131">
        <v>8.23</v>
      </c>
      <c r="AS23" s="315">
        <v>246.15</v>
      </c>
      <c r="AT23" s="131">
        <v>3.15</v>
      </c>
      <c r="AU23" s="116"/>
      <c r="AV23" s="131"/>
      <c r="AW23" s="109">
        <f t="shared" si="34"/>
        <v>0</v>
      </c>
      <c r="AX23" s="109">
        <f t="shared" si="13"/>
        <v>189.43</v>
      </c>
      <c r="AY23" s="115">
        <f t="shared" si="25"/>
        <v>200.81698422082439</v>
      </c>
      <c r="AZ23" s="140">
        <f t="shared" si="14"/>
        <v>8.2433302816901417</v>
      </c>
      <c r="BA23" s="141">
        <f t="shared" si="15"/>
        <v>7.5772000000000004</v>
      </c>
      <c r="BB23" s="128">
        <f t="shared" si="16"/>
        <v>0.82349802553628448</v>
      </c>
      <c r="BC23" s="141">
        <f t="shared" si="17"/>
        <v>15.820530281690143</v>
      </c>
      <c r="BD23" s="142">
        <v>0.86499999999999999</v>
      </c>
      <c r="BE23" s="16">
        <f t="shared" si="26"/>
        <v>3116.4599999999996</v>
      </c>
      <c r="BF23" s="16">
        <f t="shared" si="18"/>
        <v>183.33333333333334</v>
      </c>
      <c r="BG23" s="16">
        <f t="shared" si="27"/>
        <v>3116.666666666667</v>
      </c>
      <c r="BH23" s="17">
        <f t="shared" si="19"/>
        <v>1</v>
      </c>
      <c r="BI23" s="16">
        <f t="shared" si="28"/>
        <v>3116.666666666667</v>
      </c>
      <c r="BJ23" s="462">
        <f t="shared" si="29"/>
        <v>312.53399999999999</v>
      </c>
      <c r="BK23" s="197"/>
      <c r="BL23" s="197"/>
      <c r="BM23" s="197"/>
      <c r="BN23" s="230">
        <v>121.182</v>
      </c>
      <c r="BO23" s="230">
        <v>34.008000000000003</v>
      </c>
      <c r="BP23" s="258"/>
      <c r="BQ23" s="199"/>
      <c r="BR23" s="200">
        <v>0.68</v>
      </c>
      <c r="BS23" s="200"/>
      <c r="BT23" s="200"/>
      <c r="BU23" s="200"/>
      <c r="BV23" s="208">
        <v>0.51</v>
      </c>
      <c r="BW23" s="208">
        <v>0.82</v>
      </c>
      <c r="BX23" s="201"/>
      <c r="BY23" s="202">
        <v>36.979999999999997</v>
      </c>
      <c r="BZ23" s="200"/>
      <c r="CA23" s="200"/>
      <c r="CB23" s="200"/>
      <c r="CC23" s="208">
        <v>38.36</v>
      </c>
      <c r="CD23" s="208">
        <v>35.29</v>
      </c>
      <c r="CE23" s="209"/>
      <c r="CF23" s="199"/>
      <c r="CG23" s="197"/>
      <c r="CH23" s="230"/>
      <c r="CI23" s="266">
        <f t="shared" si="30"/>
        <v>270.59000000000003</v>
      </c>
      <c r="CJ23" s="453"/>
      <c r="CK23" s="202"/>
      <c r="CL23" s="208"/>
      <c r="CM23" s="208"/>
      <c r="CN23" s="201"/>
      <c r="CO23" s="284"/>
      <c r="CP23" s="286">
        <f t="shared" si="20"/>
        <v>310.40876879999996</v>
      </c>
      <c r="CQ23" s="24">
        <f t="shared" si="20"/>
        <v>0</v>
      </c>
      <c r="CR23" s="25">
        <f t="shared" si="20"/>
        <v>0</v>
      </c>
      <c r="CS23" s="24">
        <f t="shared" si="20"/>
        <v>0</v>
      </c>
      <c r="CT23" s="27">
        <f t="shared" si="20"/>
        <v>120.56397179999999</v>
      </c>
      <c r="CU23" s="24">
        <f t="shared" si="20"/>
        <v>33.729134400000007</v>
      </c>
      <c r="CV23" s="280">
        <f t="shared" si="20"/>
        <v>0</v>
      </c>
      <c r="CW23" s="237">
        <f t="shared" si="21"/>
        <v>0</v>
      </c>
      <c r="CX23" s="29">
        <f t="shared" si="21"/>
        <v>0</v>
      </c>
      <c r="CY23" s="277">
        <f t="shared" si="21"/>
        <v>270.59000000000003</v>
      </c>
      <c r="CZ23" s="280">
        <f t="shared" si="21"/>
        <v>0</v>
      </c>
      <c r="DB23" s="293">
        <f t="shared" si="22"/>
        <v>0</v>
      </c>
      <c r="DC23" s="294"/>
      <c r="DD23" s="294"/>
      <c r="DE23" s="295">
        <f t="shared" si="23"/>
        <v>0</v>
      </c>
      <c r="DF23" s="296">
        <f t="shared" si="31"/>
        <v>0</v>
      </c>
      <c r="DH23" s="254">
        <v>233.53399999999999</v>
      </c>
      <c r="DJ23" s="247">
        <f t="shared" si="32"/>
        <v>312.53399999999999</v>
      </c>
      <c r="DK23" s="197">
        <v>251.12</v>
      </c>
      <c r="DL23" s="247">
        <f t="shared" si="33"/>
        <v>270.59000000000003</v>
      </c>
    </row>
    <row r="24" spans="1:116" ht="16.5" customHeight="1">
      <c r="A24" s="127">
        <v>18</v>
      </c>
      <c r="B24" s="103">
        <f t="shared" si="24"/>
        <v>456.25900000000001</v>
      </c>
      <c r="C24" s="104">
        <f t="shared" si="0"/>
        <v>0.60772920643757167</v>
      </c>
      <c r="D24" s="143">
        <f t="shared" si="1"/>
        <v>453.48618080000006</v>
      </c>
      <c r="E24" s="104">
        <f t="shared" si="2"/>
        <v>36.657376468190215</v>
      </c>
      <c r="F24" s="128">
        <f t="shared" si="3"/>
        <v>2.3913002573296778</v>
      </c>
      <c r="G24" s="106"/>
      <c r="H24" s="107">
        <f t="shared" si="4"/>
        <v>2.3913002573296773</v>
      </c>
      <c r="I24" s="103">
        <f>'[1]сентябрь 20'!AE23</f>
        <v>0</v>
      </c>
      <c r="J24" s="328">
        <f>'[1]июнь 20'!AA23</f>
        <v>0</v>
      </c>
      <c r="K24" s="106"/>
      <c r="L24" s="328"/>
      <c r="M24" s="103">
        <f t="shared" si="5"/>
        <v>0</v>
      </c>
      <c r="N24" s="103">
        <f>'[1]июль 20'!AM23</f>
        <v>0</v>
      </c>
      <c r="O24" s="103">
        <f>'[1]июнь 20'!W23</f>
        <v>0</v>
      </c>
      <c r="P24" s="103">
        <v>267.7</v>
      </c>
      <c r="Q24" s="108">
        <f t="shared" si="6"/>
        <v>1.4904744116548185</v>
      </c>
      <c r="R24" s="109">
        <f t="shared" si="7"/>
        <v>263.71000000000004</v>
      </c>
      <c r="S24" s="106">
        <v>35.14</v>
      </c>
      <c r="T24" s="109">
        <f t="shared" si="8"/>
        <v>263.71000000000004</v>
      </c>
      <c r="U24" s="110">
        <f t="shared" si="9"/>
        <v>1.3905821556633624</v>
      </c>
      <c r="V24" s="136">
        <v>189.64</v>
      </c>
      <c r="W24" s="129">
        <v>189.64</v>
      </c>
      <c r="X24" s="131">
        <v>0.75</v>
      </c>
      <c r="Y24" s="133">
        <v>631</v>
      </c>
      <c r="Z24" s="133">
        <v>1235</v>
      </c>
      <c r="AA24" s="144" t="s">
        <v>297</v>
      </c>
      <c r="AB24" s="131">
        <v>76.209999999999994</v>
      </c>
      <c r="AC24" s="133">
        <v>142</v>
      </c>
      <c r="AD24" s="134">
        <v>4</v>
      </c>
      <c r="AE24" s="131">
        <v>1.85</v>
      </c>
      <c r="AF24" s="115">
        <f t="shared" si="10"/>
        <v>9.7553258806159047</v>
      </c>
      <c r="AG24" s="131">
        <v>130.05000000000001</v>
      </c>
      <c r="AH24" s="115">
        <f t="shared" si="11"/>
        <v>685.77304366167493</v>
      </c>
      <c r="AI24" s="139">
        <v>15.1</v>
      </c>
      <c r="AJ24" s="131"/>
      <c r="AK24" s="136">
        <v>10.41</v>
      </c>
      <c r="AL24" s="136">
        <v>47.95</v>
      </c>
      <c r="AM24" s="110">
        <f t="shared" si="12"/>
        <v>0.19444444444444445</v>
      </c>
      <c r="AN24" s="137" t="s">
        <v>180</v>
      </c>
      <c r="AO24" s="150">
        <v>9.19</v>
      </c>
      <c r="AP24" s="138">
        <v>7.93</v>
      </c>
      <c r="AQ24" s="134"/>
      <c r="AR24" s="131">
        <v>8.06</v>
      </c>
      <c r="AS24" s="315">
        <v>246.6</v>
      </c>
      <c r="AT24" s="131">
        <v>1.4</v>
      </c>
      <c r="AU24" s="116"/>
      <c r="AV24" s="131"/>
      <c r="AW24" s="109">
        <f t="shared" si="34"/>
        <v>0</v>
      </c>
      <c r="AX24" s="109">
        <f t="shared" si="13"/>
        <v>189.64</v>
      </c>
      <c r="AY24" s="115">
        <f t="shared" si="25"/>
        <v>190.42664635629893</v>
      </c>
      <c r="AZ24" s="140">
        <f t="shared" si="14"/>
        <v>8.1198823943661989</v>
      </c>
      <c r="BA24" s="141"/>
      <c r="BB24" s="128">
        <f t="shared" si="16"/>
        <v>0.86939366505586602</v>
      </c>
      <c r="BC24" s="141">
        <f t="shared" si="17"/>
        <v>8.1198823943661989</v>
      </c>
      <c r="BD24" s="142">
        <v>0.86499999999999999</v>
      </c>
      <c r="BE24" s="16">
        <f t="shared" si="26"/>
        <v>3306.0999999999995</v>
      </c>
      <c r="BF24" s="16">
        <f t="shared" si="18"/>
        <v>183.33333333333334</v>
      </c>
      <c r="BG24" s="16">
        <f t="shared" si="27"/>
        <v>3300.0000000000005</v>
      </c>
      <c r="BH24" s="17">
        <f t="shared" si="19"/>
        <v>1</v>
      </c>
      <c r="BI24" s="16">
        <f t="shared" si="28"/>
        <v>3300.0000000000005</v>
      </c>
      <c r="BJ24" s="462">
        <f t="shared" si="29"/>
        <v>306.20799999999997</v>
      </c>
      <c r="BK24" s="197"/>
      <c r="BL24" s="197"/>
      <c r="BM24" s="197"/>
      <c r="BN24" s="230">
        <v>117.89100000000001</v>
      </c>
      <c r="BO24" s="230">
        <v>32.159999999999997</v>
      </c>
      <c r="BP24" s="258"/>
      <c r="BQ24" s="199"/>
      <c r="BR24" s="200">
        <v>0.65</v>
      </c>
      <c r="BS24" s="200"/>
      <c r="BT24" s="200"/>
      <c r="BU24" s="200"/>
      <c r="BV24" s="208">
        <v>0.32</v>
      </c>
      <c r="BW24" s="208">
        <v>1.26</v>
      </c>
      <c r="BX24" s="201"/>
      <c r="BY24" s="202">
        <v>37.19</v>
      </c>
      <c r="BZ24" s="200"/>
      <c r="CA24" s="200"/>
      <c r="CB24" s="200"/>
      <c r="CC24" s="208">
        <v>36.909999999999997</v>
      </c>
      <c r="CD24" s="208">
        <v>30.66</v>
      </c>
      <c r="CE24" s="209"/>
      <c r="CF24" s="199"/>
      <c r="CG24" s="197"/>
      <c r="CH24" s="230"/>
      <c r="CI24" s="266">
        <f t="shared" si="30"/>
        <v>263.71000000000004</v>
      </c>
      <c r="CJ24" s="453"/>
      <c r="CK24" s="202"/>
      <c r="CL24" s="208"/>
      <c r="CM24" s="208"/>
      <c r="CN24" s="201"/>
      <c r="CO24" s="284"/>
      <c r="CP24" s="286">
        <f t="shared" si="20"/>
        <v>304.21764799999994</v>
      </c>
      <c r="CQ24" s="29">
        <f t="shared" si="20"/>
        <v>0</v>
      </c>
      <c r="CR24" s="30">
        <f t="shared" si="20"/>
        <v>0</v>
      </c>
      <c r="CS24" s="29">
        <f t="shared" si="20"/>
        <v>0</v>
      </c>
      <c r="CT24" s="27">
        <f t="shared" si="20"/>
        <v>117.5137488</v>
      </c>
      <c r="CU24" s="27">
        <f t="shared" si="20"/>
        <v>31.754783999999994</v>
      </c>
      <c r="CV24" s="282">
        <f t="shared" si="20"/>
        <v>0</v>
      </c>
      <c r="CW24" s="25">
        <f t="shared" si="21"/>
        <v>0</v>
      </c>
      <c r="CX24" s="26">
        <f t="shared" si="21"/>
        <v>0</v>
      </c>
      <c r="CY24" s="277">
        <f t="shared" si="21"/>
        <v>263.71000000000004</v>
      </c>
      <c r="CZ24" s="280">
        <f t="shared" si="21"/>
        <v>0</v>
      </c>
      <c r="DB24" s="293">
        <f t="shared" si="22"/>
        <v>0</v>
      </c>
      <c r="DC24" s="294"/>
      <c r="DD24" s="294"/>
      <c r="DE24" s="295">
        <f t="shared" si="23"/>
        <v>0</v>
      </c>
      <c r="DF24" s="296">
        <f t="shared" si="31"/>
        <v>0</v>
      </c>
      <c r="DH24" s="254">
        <v>227.208</v>
      </c>
      <c r="DJ24" s="247">
        <f t="shared" si="32"/>
        <v>306.20799999999997</v>
      </c>
      <c r="DK24" s="197">
        <v>244.24</v>
      </c>
      <c r="DL24" s="247">
        <f t="shared" si="33"/>
        <v>263.71000000000004</v>
      </c>
    </row>
    <row r="25" spans="1:116" ht="16.5" customHeight="1">
      <c r="A25" s="127">
        <v>19</v>
      </c>
      <c r="B25" s="103">
        <f t="shared" si="24"/>
        <v>454.61899999999997</v>
      </c>
      <c r="C25" s="104">
        <f t="shared" si="0"/>
        <v>0.61911118980948876</v>
      </c>
      <c r="D25" s="143">
        <f t="shared" si="1"/>
        <v>451.80440290000001</v>
      </c>
      <c r="E25" s="104">
        <f t="shared" si="2"/>
        <v>36.695760186001912</v>
      </c>
      <c r="F25" s="128">
        <f t="shared" si="3"/>
        <v>2.4239734046890931</v>
      </c>
      <c r="G25" s="106"/>
      <c r="H25" s="107">
        <f t="shared" si="4"/>
        <v>2.4239734046890931</v>
      </c>
      <c r="I25" s="103">
        <f>'[1]сентябрь 20'!AE24</f>
        <v>0</v>
      </c>
      <c r="J25" s="328">
        <f>'[1]июнь 20'!AA24</f>
        <v>0</v>
      </c>
      <c r="K25" s="106"/>
      <c r="L25" s="328"/>
      <c r="M25" s="103">
        <f t="shared" si="5"/>
        <v>0</v>
      </c>
      <c r="N25" s="103">
        <f>'[1]июль 20'!AM24</f>
        <v>2.8069999999999999</v>
      </c>
      <c r="O25" s="103">
        <f>'[1]июнь 20'!W24</f>
        <v>0</v>
      </c>
      <c r="P25" s="103">
        <v>265.92</v>
      </c>
      <c r="Q25" s="108">
        <f t="shared" si="6"/>
        <v>1.4778880866425981</v>
      </c>
      <c r="R25" s="109">
        <f t="shared" si="7"/>
        <v>261.99</v>
      </c>
      <c r="S25" s="106">
        <v>18.48</v>
      </c>
      <c r="T25" s="109">
        <f t="shared" si="8"/>
        <v>261.99</v>
      </c>
      <c r="U25" s="110">
        <f t="shared" si="9"/>
        <v>1.405601158860454</v>
      </c>
      <c r="V25" s="136">
        <v>186.39</v>
      </c>
      <c r="W25" s="129">
        <v>186.39</v>
      </c>
      <c r="X25" s="131">
        <v>0.56999999999999995</v>
      </c>
      <c r="Y25" s="133">
        <v>651</v>
      </c>
      <c r="Z25" s="133">
        <v>1236</v>
      </c>
      <c r="AA25" s="144" t="s">
        <v>321</v>
      </c>
      <c r="AB25" s="131">
        <v>75.72</v>
      </c>
      <c r="AC25" s="133">
        <v>141</v>
      </c>
      <c r="AD25" s="134">
        <v>4</v>
      </c>
      <c r="AE25" s="131">
        <v>1.75</v>
      </c>
      <c r="AF25" s="115">
        <f t="shared" si="10"/>
        <v>9.3889157143623585</v>
      </c>
      <c r="AG25" s="131">
        <v>115.2</v>
      </c>
      <c r="AH25" s="115">
        <f t="shared" si="11"/>
        <v>618.05890873973931</v>
      </c>
      <c r="AI25" s="139">
        <v>12.99</v>
      </c>
      <c r="AJ25" s="131"/>
      <c r="AK25" s="136">
        <v>2.9</v>
      </c>
      <c r="AL25" s="136">
        <v>48.69</v>
      </c>
      <c r="AM25" s="110">
        <f t="shared" si="12"/>
        <v>0.20767754318618042</v>
      </c>
      <c r="AN25" s="137" t="s">
        <v>225</v>
      </c>
      <c r="AO25" s="150">
        <v>9.5399999999999991</v>
      </c>
      <c r="AP25" s="138">
        <v>7.35</v>
      </c>
      <c r="AQ25" s="153"/>
      <c r="AR25" s="131">
        <v>7.1</v>
      </c>
      <c r="AS25" s="315">
        <v>234.45</v>
      </c>
      <c r="AT25" s="131">
        <v>3.53</v>
      </c>
      <c r="AU25" s="148"/>
      <c r="AV25" s="131"/>
      <c r="AW25" s="109">
        <f t="shared" si="34"/>
        <v>0</v>
      </c>
      <c r="AX25" s="109">
        <f t="shared" si="13"/>
        <v>186.39</v>
      </c>
      <c r="AY25" s="115">
        <f t="shared" si="25"/>
        <v>191.14810030749891</v>
      </c>
      <c r="AZ25" s="140">
        <f t="shared" si="14"/>
        <v>6.3359999999999994</v>
      </c>
      <c r="BA25" s="141">
        <f t="shared" ref="BA25:BA37" si="35">AX25*$BA$6</f>
        <v>7.4555999999999996</v>
      </c>
      <c r="BB25" s="128">
        <f t="shared" si="16"/>
        <v>0.85126909311803611</v>
      </c>
      <c r="BC25" s="141">
        <f t="shared" si="17"/>
        <v>13.791599999999999</v>
      </c>
      <c r="BD25" s="142">
        <v>0.86399999999999999</v>
      </c>
      <c r="BE25" s="16">
        <f t="shared" si="26"/>
        <v>3492.4899999999993</v>
      </c>
      <c r="BF25" s="16">
        <f t="shared" si="18"/>
        <v>183.33333333333334</v>
      </c>
      <c r="BG25" s="16">
        <f t="shared" si="27"/>
        <v>3483.3333333333339</v>
      </c>
      <c r="BH25" s="17">
        <f t="shared" si="19"/>
        <v>1</v>
      </c>
      <c r="BI25" s="16">
        <f t="shared" si="28"/>
        <v>3483.3333333333339</v>
      </c>
      <c r="BJ25" s="462">
        <f t="shared" si="29"/>
        <v>304.7</v>
      </c>
      <c r="BK25" s="197"/>
      <c r="BL25" s="197"/>
      <c r="BM25" s="197"/>
      <c r="BN25" s="230">
        <v>117.316</v>
      </c>
      <c r="BO25" s="230">
        <v>32.603000000000002</v>
      </c>
      <c r="BP25" s="258"/>
      <c r="BQ25" s="199"/>
      <c r="BR25" s="200">
        <v>0.71</v>
      </c>
      <c r="BS25" s="200"/>
      <c r="BT25" s="200"/>
      <c r="BU25" s="200"/>
      <c r="BV25" s="208">
        <v>0.33</v>
      </c>
      <c r="BW25" s="208">
        <v>0.81</v>
      </c>
      <c r="BX25" s="201"/>
      <c r="BY25" s="202">
        <v>37.17</v>
      </c>
      <c r="BZ25" s="200"/>
      <c r="CA25" s="200"/>
      <c r="CB25" s="200"/>
      <c r="CC25" s="208">
        <v>36.479999999999997</v>
      </c>
      <c r="CD25" s="208">
        <v>33.04</v>
      </c>
      <c r="CE25" s="201"/>
      <c r="CF25" s="199"/>
      <c r="CG25" s="197"/>
      <c r="CH25" s="230"/>
      <c r="CI25" s="266">
        <f t="shared" si="30"/>
        <v>261.99</v>
      </c>
      <c r="CJ25" s="453"/>
      <c r="CK25" s="202"/>
      <c r="CL25" s="208"/>
      <c r="CM25" s="208"/>
      <c r="CN25" s="201"/>
      <c r="CO25" s="284"/>
      <c r="CP25" s="286">
        <f t="shared" si="20"/>
        <v>302.53663</v>
      </c>
      <c r="CQ25" s="24">
        <f t="shared" si="20"/>
        <v>0</v>
      </c>
      <c r="CR25" s="25">
        <f t="shared" si="20"/>
        <v>0</v>
      </c>
      <c r="CS25" s="24">
        <f t="shared" si="20"/>
        <v>0</v>
      </c>
      <c r="CT25" s="27">
        <f t="shared" si="20"/>
        <v>116.92885720000001</v>
      </c>
      <c r="CU25" s="30">
        <f t="shared" si="20"/>
        <v>32.338915700000001</v>
      </c>
      <c r="CV25" s="280">
        <f t="shared" si="20"/>
        <v>0</v>
      </c>
      <c r="CW25" s="25">
        <f t="shared" si="21"/>
        <v>0</v>
      </c>
      <c r="CX25" s="26">
        <f t="shared" si="21"/>
        <v>0</v>
      </c>
      <c r="CY25" s="277">
        <f t="shared" si="21"/>
        <v>261.99</v>
      </c>
      <c r="CZ25" s="280">
        <f t="shared" si="21"/>
        <v>0</v>
      </c>
      <c r="DB25" s="293">
        <f t="shared" si="22"/>
        <v>0</v>
      </c>
      <c r="DC25" s="294"/>
      <c r="DD25" s="294"/>
      <c r="DE25" s="295">
        <f t="shared" si="23"/>
        <v>0</v>
      </c>
      <c r="DF25" s="296">
        <f t="shared" si="31"/>
        <v>0</v>
      </c>
      <c r="DH25" s="254">
        <v>225.7</v>
      </c>
      <c r="DJ25" s="247">
        <f t="shared" si="32"/>
        <v>304.7</v>
      </c>
      <c r="DK25" s="197">
        <v>242.52</v>
      </c>
      <c r="DL25" s="247">
        <f t="shared" si="33"/>
        <v>261.99</v>
      </c>
    </row>
    <row r="26" spans="1:116" ht="16.5" customHeight="1">
      <c r="A26" s="127">
        <v>20</v>
      </c>
      <c r="B26" s="103">
        <f t="shared" si="24"/>
        <v>477.86099999999999</v>
      </c>
      <c r="C26" s="104">
        <f t="shared" si="0"/>
        <v>0.54416667189831347</v>
      </c>
      <c r="D26" s="143">
        <f t="shared" si="1"/>
        <v>475.26063970000001</v>
      </c>
      <c r="E26" s="104">
        <f t="shared" si="2"/>
        <v>37.180227702197918</v>
      </c>
      <c r="F26" s="128">
        <f t="shared" si="3"/>
        <v>2.5236864894859816</v>
      </c>
      <c r="G26" s="106"/>
      <c r="H26" s="107">
        <f t="shared" si="4"/>
        <v>2.5236864894859816</v>
      </c>
      <c r="I26" s="103">
        <f>'[1]сентябрь 20'!AE25</f>
        <v>0</v>
      </c>
      <c r="J26" s="328">
        <f>'[1]июнь 20'!AA25</f>
        <v>0</v>
      </c>
      <c r="K26" s="106"/>
      <c r="L26" s="328"/>
      <c r="M26" s="103">
        <f t="shared" si="5"/>
        <v>0</v>
      </c>
      <c r="N26" s="103">
        <f>'[1]июль 20'!AM25</f>
        <v>7.1479999999999997</v>
      </c>
      <c r="O26" s="103">
        <f>'[1]июнь 20'!W25</f>
        <v>0</v>
      </c>
      <c r="P26" s="103">
        <v>281.57</v>
      </c>
      <c r="Q26" s="108">
        <f t="shared" si="6"/>
        <v>1.4561210356216825</v>
      </c>
      <c r="R26" s="109">
        <f t="shared" si="7"/>
        <v>277.47000000000003</v>
      </c>
      <c r="S26" s="106">
        <v>15.75</v>
      </c>
      <c r="T26" s="109">
        <f t="shared" si="8"/>
        <v>277.47000000000003</v>
      </c>
      <c r="U26" s="110">
        <f t="shared" si="9"/>
        <v>1.4733963466440103</v>
      </c>
      <c r="V26" s="136">
        <v>188.32</v>
      </c>
      <c r="W26" s="154">
        <v>188.32</v>
      </c>
      <c r="X26" s="149">
        <v>0.56000000000000005</v>
      </c>
      <c r="Y26" s="147">
        <v>610</v>
      </c>
      <c r="Z26" s="147">
        <v>1226</v>
      </c>
      <c r="AA26" s="144" t="s">
        <v>322</v>
      </c>
      <c r="AB26" s="149">
        <v>75.92</v>
      </c>
      <c r="AC26" s="147">
        <v>150</v>
      </c>
      <c r="AD26" s="155">
        <v>4</v>
      </c>
      <c r="AE26" s="149">
        <v>2.85</v>
      </c>
      <c r="AF26" s="115">
        <f t="shared" si="10"/>
        <v>15.133814783347495</v>
      </c>
      <c r="AG26" s="149">
        <v>116.15</v>
      </c>
      <c r="AH26" s="115">
        <f t="shared" si="11"/>
        <v>616.76932880203913</v>
      </c>
      <c r="AI26" s="156">
        <v>16.62</v>
      </c>
      <c r="AJ26" s="149"/>
      <c r="AK26" s="157">
        <v>8.83</v>
      </c>
      <c r="AL26" s="157">
        <v>48.12</v>
      </c>
      <c r="AM26" s="110">
        <f t="shared" si="12"/>
        <v>0.1986377708978328</v>
      </c>
      <c r="AN26" s="158" t="s">
        <v>168</v>
      </c>
      <c r="AO26" s="404">
        <v>9.31</v>
      </c>
      <c r="AP26" s="159">
        <v>7.57</v>
      </c>
      <c r="AQ26" s="155"/>
      <c r="AR26" s="149">
        <v>7.44</v>
      </c>
      <c r="AS26" s="315">
        <v>242.25</v>
      </c>
      <c r="AT26" s="131">
        <v>3.02</v>
      </c>
      <c r="AU26" s="148"/>
      <c r="AV26" s="149"/>
      <c r="AW26" s="160">
        <f t="shared" si="34"/>
        <v>0</v>
      </c>
      <c r="AX26" s="109">
        <f t="shared" si="13"/>
        <v>188.32</v>
      </c>
      <c r="AY26" s="115">
        <f t="shared" si="25"/>
        <v>203.18981630785152</v>
      </c>
      <c r="AZ26" s="140">
        <f t="shared" si="14"/>
        <v>6.6941661971830984</v>
      </c>
      <c r="BA26" s="140">
        <f t="shared" si="35"/>
        <v>7.5327999999999999</v>
      </c>
      <c r="BB26" s="161">
        <f t="shared" si="16"/>
        <v>0.80911220349209623</v>
      </c>
      <c r="BC26" s="140">
        <f t="shared" si="17"/>
        <v>14.226966197183099</v>
      </c>
      <c r="BD26" s="162">
        <v>0.86099999999999999</v>
      </c>
      <c r="BE26" s="16">
        <f t="shared" si="26"/>
        <v>3680.8099999999995</v>
      </c>
      <c r="BF26" s="16">
        <f t="shared" si="18"/>
        <v>183.33333333333334</v>
      </c>
      <c r="BG26" s="16">
        <f t="shared" si="27"/>
        <v>3666.6666666666674</v>
      </c>
      <c r="BH26" s="17">
        <f t="shared" si="19"/>
        <v>1</v>
      </c>
      <c r="BI26" s="16">
        <f t="shared" si="28"/>
        <v>3666.6666666666674</v>
      </c>
      <c r="BJ26" s="462">
        <f t="shared" si="29"/>
        <v>318.98199999999997</v>
      </c>
      <c r="BK26" s="197"/>
      <c r="BL26" s="197"/>
      <c r="BM26" s="197"/>
      <c r="BN26" s="230">
        <v>124.44199999999999</v>
      </c>
      <c r="BO26" s="230">
        <v>34.436999999999998</v>
      </c>
      <c r="BP26" s="258"/>
      <c r="BQ26" s="199"/>
      <c r="BR26" s="200">
        <v>0.6</v>
      </c>
      <c r="BS26" s="200"/>
      <c r="BT26" s="200"/>
      <c r="BU26" s="200"/>
      <c r="BV26" s="208">
        <v>0.25</v>
      </c>
      <c r="BW26" s="208">
        <v>1.0900000000000001</v>
      </c>
      <c r="BX26" s="201"/>
      <c r="BY26" s="202">
        <v>37.409999999999997</v>
      </c>
      <c r="BZ26" s="200"/>
      <c r="CA26" s="200"/>
      <c r="CB26" s="200"/>
      <c r="CC26" s="208">
        <v>37.380000000000003</v>
      </c>
      <c r="CD26" s="208">
        <v>34.33</v>
      </c>
      <c r="CE26" s="209"/>
      <c r="CF26" s="199"/>
      <c r="CG26" s="197"/>
      <c r="CH26" s="230"/>
      <c r="CI26" s="266">
        <f t="shared" si="30"/>
        <v>277.47000000000003</v>
      </c>
      <c r="CJ26" s="453"/>
      <c r="CK26" s="202"/>
      <c r="CL26" s="208"/>
      <c r="CM26" s="208"/>
      <c r="CN26" s="201"/>
      <c r="CO26" s="284"/>
      <c r="CP26" s="286">
        <f t="shared" si="20"/>
        <v>317.068108</v>
      </c>
      <c r="CQ26" s="24">
        <f t="shared" si="20"/>
        <v>0</v>
      </c>
      <c r="CR26" s="25">
        <f t="shared" si="20"/>
        <v>0</v>
      </c>
      <c r="CS26" s="24">
        <f t="shared" si="20"/>
        <v>0</v>
      </c>
      <c r="CT26" s="27">
        <f t="shared" si="20"/>
        <v>124.130895</v>
      </c>
      <c r="CU26" s="24">
        <f t="shared" si="20"/>
        <v>34.061636699999994</v>
      </c>
      <c r="CV26" s="280">
        <f t="shared" si="20"/>
        <v>0</v>
      </c>
      <c r="CW26" s="30">
        <f t="shared" si="21"/>
        <v>0</v>
      </c>
      <c r="CX26" s="26">
        <f t="shared" si="21"/>
        <v>0</v>
      </c>
      <c r="CY26" s="277">
        <f t="shared" si="21"/>
        <v>277.47000000000003</v>
      </c>
      <c r="CZ26" s="280">
        <f t="shared" si="21"/>
        <v>0</v>
      </c>
      <c r="DB26" s="293">
        <f t="shared" si="22"/>
        <v>0</v>
      </c>
      <c r="DC26" s="294"/>
      <c r="DD26" s="294"/>
      <c r="DE26" s="295">
        <f t="shared" si="23"/>
        <v>0</v>
      </c>
      <c r="DF26" s="296">
        <f t="shared" si="31"/>
        <v>0</v>
      </c>
      <c r="DH26" s="254">
        <v>239.982</v>
      </c>
      <c r="DJ26" s="247">
        <f t="shared" si="32"/>
        <v>318.98199999999997</v>
      </c>
      <c r="DK26" s="197">
        <v>258</v>
      </c>
      <c r="DL26" s="247">
        <f t="shared" si="33"/>
        <v>277.47000000000003</v>
      </c>
    </row>
    <row r="27" spans="1:116" ht="16.5" customHeight="1">
      <c r="A27" s="127">
        <v>21</v>
      </c>
      <c r="B27" s="103">
        <f t="shared" si="24"/>
        <v>463.95399999999995</v>
      </c>
      <c r="C27" s="104">
        <f t="shared" si="0"/>
        <v>0.74712428387297025</v>
      </c>
      <c r="D27" s="143">
        <f t="shared" si="1"/>
        <v>460.48768699999994</v>
      </c>
      <c r="E27" s="104">
        <f t="shared" si="2"/>
        <v>36.661551102048918</v>
      </c>
      <c r="F27" s="128">
        <f t="shared" si="3"/>
        <v>2.3978738127473442</v>
      </c>
      <c r="G27" s="106"/>
      <c r="H27" s="107">
        <f t="shared" si="4"/>
        <v>2.3978738127473442</v>
      </c>
      <c r="I27" s="103">
        <f>'[1]сентябрь 20'!AE26</f>
        <v>0</v>
      </c>
      <c r="J27" s="328">
        <f>'[1]июнь 20'!AA26</f>
        <v>0</v>
      </c>
      <c r="K27" s="106"/>
      <c r="L27" s="328"/>
      <c r="M27" s="103">
        <f t="shared" si="5"/>
        <v>0</v>
      </c>
      <c r="N27" s="103">
        <f>'[1]июль 20'!AM26</f>
        <v>7.0339999999999998</v>
      </c>
      <c r="O27" s="103">
        <f>'[1]июнь 20'!W26</f>
        <v>0</v>
      </c>
      <c r="P27" s="103">
        <v>270.76</v>
      </c>
      <c r="Q27" s="108">
        <f t="shared" si="6"/>
        <v>1.5290293987294978</v>
      </c>
      <c r="R27" s="109">
        <f t="shared" si="7"/>
        <v>266.62</v>
      </c>
      <c r="S27" s="106">
        <v>14.82</v>
      </c>
      <c r="T27" s="109">
        <f t="shared" si="8"/>
        <v>266.62</v>
      </c>
      <c r="U27" s="110">
        <f t="shared" si="9"/>
        <v>1.3883565923765884</v>
      </c>
      <c r="V27" s="129">
        <v>192.04</v>
      </c>
      <c r="W27" s="129">
        <v>192.04</v>
      </c>
      <c r="X27" s="131">
        <v>0.43</v>
      </c>
      <c r="Y27" s="133">
        <v>655</v>
      </c>
      <c r="Z27" s="133">
        <v>1243</v>
      </c>
      <c r="AA27" s="144" t="s">
        <v>302</v>
      </c>
      <c r="AB27" s="131">
        <v>76.349999999999994</v>
      </c>
      <c r="AC27" s="133">
        <v>143</v>
      </c>
      <c r="AD27" s="134">
        <v>4</v>
      </c>
      <c r="AE27" s="131">
        <v>2.6</v>
      </c>
      <c r="AF27" s="115">
        <f t="shared" si="10"/>
        <v>13.538846073734641</v>
      </c>
      <c r="AG27" s="131">
        <v>122</v>
      </c>
      <c r="AH27" s="115">
        <f t="shared" si="11"/>
        <v>635.28431576754838</v>
      </c>
      <c r="AI27" s="139">
        <v>15.55</v>
      </c>
      <c r="AJ27" s="131"/>
      <c r="AK27" s="136">
        <v>7</v>
      </c>
      <c r="AL27" s="136">
        <v>48.65</v>
      </c>
      <c r="AM27" s="110">
        <f t="shared" si="12"/>
        <v>0.19865251122907307</v>
      </c>
      <c r="AN27" s="137" t="s">
        <v>323</v>
      </c>
      <c r="AO27" s="150">
        <v>9.0500000000000007</v>
      </c>
      <c r="AP27" s="138">
        <v>7.76</v>
      </c>
      <c r="AQ27" s="134"/>
      <c r="AR27" s="131">
        <v>7.77</v>
      </c>
      <c r="AS27" s="139">
        <v>244.9</v>
      </c>
      <c r="AT27" s="131">
        <v>2.79</v>
      </c>
      <c r="AU27" s="148"/>
      <c r="AV27" s="131"/>
      <c r="AW27" s="109">
        <f t="shared" si="34"/>
        <v>0</v>
      </c>
      <c r="AX27" s="109">
        <f t="shared" si="13"/>
        <v>192.04</v>
      </c>
      <c r="AY27" s="115">
        <f t="shared" si="25"/>
        <v>193.03411099509268</v>
      </c>
      <c r="AZ27" s="140">
        <f t="shared" si="14"/>
        <v>7.3431971830985914</v>
      </c>
      <c r="BA27" s="141">
        <f t="shared" si="35"/>
        <v>7.6815999999999995</v>
      </c>
      <c r="BB27" s="128">
        <f t="shared" si="16"/>
        <v>0.86850411637486213</v>
      </c>
      <c r="BC27" s="141">
        <f t="shared" si="17"/>
        <v>15.024797183098592</v>
      </c>
      <c r="BD27" s="142">
        <v>0.86199999999999999</v>
      </c>
      <c r="BE27" s="16">
        <f t="shared" si="26"/>
        <v>3872.8499999999995</v>
      </c>
      <c r="BF27" s="16">
        <f t="shared" si="18"/>
        <v>183.33333333333334</v>
      </c>
      <c r="BG27" s="16">
        <f t="shared" si="27"/>
        <v>3850.0000000000009</v>
      </c>
      <c r="BH27" s="17">
        <f t="shared" si="19"/>
        <v>1</v>
      </c>
      <c r="BI27" s="16">
        <f t="shared" si="28"/>
        <v>3850.0000000000009</v>
      </c>
      <c r="BJ27" s="464">
        <f t="shared" si="29"/>
        <v>313.16399999999999</v>
      </c>
      <c r="BK27" s="197"/>
      <c r="BL27" s="197"/>
      <c r="BM27" s="197"/>
      <c r="BN27" s="230">
        <v>119.782</v>
      </c>
      <c r="BO27" s="230">
        <v>31.007999999999999</v>
      </c>
      <c r="BP27" s="258"/>
      <c r="BQ27" s="199"/>
      <c r="BR27" s="200">
        <v>0.89</v>
      </c>
      <c r="BS27" s="200"/>
      <c r="BT27" s="200"/>
      <c r="BU27" s="200"/>
      <c r="BV27" s="208">
        <v>0.28999999999999998</v>
      </c>
      <c r="BW27" s="208">
        <v>1.07</v>
      </c>
      <c r="BX27" s="201"/>
      <c r="BY27" s="202">
        <v>37.32</v>
      </c>
      <c r="BZ27" s="200"/>
      <c r="CA27" s="200"/>
      <c r="CB27" s="200"/>
      <c r="CC27" s="208">
        <v>36.24</v>
      </c>
      <c r="CD27" s="208">
        <v>31.64</v>
      </c>
      <c r="CE27" s="209"/>
      <c r="CF27" s="199"/>
      <c r="CG27" s="197"/>
      <c r="CH27" s="230"/>
      <c r="CI27" s="266">
        <f t="shared" si="30"/>
        <v>266.62</v>
      </c>
      <c r="CJ27" s="453"/>
      <c r="CK27" s="202"/>
      <c r="CL27" s="208"/>
      <c r="CM27" s="208"/>
      <c r="CN27" s="201"/>
      <c r="CO27" s="284"/>
      <c r="CP27" s="286">
        <f t="shared" si="20"/>
        <v>310.37684039999999</v>
      </c>
      <c r="CQ27" s="24">
        <f t="shared" si="20"/>
        <v>0</v>
      </c>
      <c r="CR27" s="25">
        <f t="shared" si="20"/>
        <v>0</v>
      </c>
      <c r="CS27" s="24">
        <f t="shared" si="20"/>
        <v>0</v>
      </c>
      <c r="CT27" s="27">
        <f t="shared" si="20"/>
        <v>119.4346322</v>
      </c>
      <c r="CU27" s="29">
        <f t="shared" si="20"/>
        <v>30.676214400000003</v>
      </c>
      <c r="CV27" s="280">
        <f t="shared" si="20"/>
        <v>0</v>
      </c>
      <c r="CW27" s="237">
        <f t="shared" si="21"/>
        <v>0</v>
      </c>
      <c r="CX27" s="26">
        <f t="shared" si="21"/>
        <v>0</v>
      </c>
      <c r="CY27" s="277">
        <f t="shared" si="21"/>
        <v>266.62</v>
      </c>
      <c r="CZ27" s="280">
        <f t="shared" si="21"/>
        <v>0</v>
      </c>
      <c r="DB27" s="293">
        <f t="shared" si="22"/>
        <v>0</v>
      </c>
      <c r="DC27" s="294"/>
      <c r="DD27" s="294"/>
      <c r="DE27" s="295">
        <f t="shared" si="23"/>
        <v>0</v>
      </c>
      <c r="DF27" s="296">
        <f t="shared" si="31"/>
        <v>0</v>
      </c>
      <c r="DH27" s="254">
        <v>234.16399999999999</v>
      </c>
      <c r="DJ27" s="247">
        <f t="shared" si="32"/>
        <v>313.16399999999999</v>
      </c>
      <c r="DK27" s="197">
        <v>247.15</v>
      </c>
      <c r="DL27" s="247">
        <f t="shared" si="33"/>
        <v>266.62</v>
      </c>
    </row>
    <row r="28" spans="1:116" ht="16.5" customHeight="1">
      <c r="A28" s="127">
        <v>22</v>
      </c>
      <c r="B28" s="103">
        <f t="shared" si="24"/>
        <v>451.54200000000003</v>
      </c>
      <c r="C28" s="104">
        <f t="shared" si="0"/>
        <v>0.37235774302279739</v>
      </c>
      <c r="D28" s="143">
        <f t="shared" si="1"/>
        <v>449.8606484</v>
      </c>
      <c r="E28" s="104">
        <f t="shared" si="2"/>
        <v>37.069754928666654</v>
      </c>
      <c r="F28" s="128">
        <f t="shared" si="3"/>
        <v>2.4851433454866867</v>
      </c>
      <c r="G28" s="106"/>
      <c r="H28" s="107">
        <f t="shared" si="4"/>
        <v>2.4851433454866867</v>
      </c>
      <c r="I28" s="103">
        <f>'[1]сентябрь 20'!AE27</f>
        <v>0</v>
      </c>
      <c r="J28" s="328">
        <f>'[1]июнь 20'!AA27</f>
        <v>0</v>
      </c>
      <c r="K28" s="106">
        <v>30.3</v>
      </c>
      <c r="L28" s="328"/>
      <c r="M28" s="103">
        <f t="shared" si="5"/>
        <v>0</v>
      </c>
      <c r="N28" s="103">
        <f>'[1]июль 20'!AM27</f>
        <v>6.6520000000000001</v>
      </c>
      <c r="O28" s="103">
        <f>'[1]июнь 20'!W27</f>
        <v>0</v>
      </c>
      <c r="P28" s="103">
        <v>262.12</v>
      </c>
      <c r="Q28" s="108">
        <f t="shared" si="6"/>
        <v>1.4611628261864906</v>
      </c>
      <c r="R28" s="109">
        <f t="shared" si="7"/>
        <v>258.28999999999996</v>
      </c>
      <c r="S28" s="106">
        <v>4.3899999999999997</v>
      </c>
      <c r="T28" s="109">
        <f t="shared" si="8"/>
        <v>258.28999999999996</v>
      </c>
      <c r="U28" s="110">
        <f t="shared" si="9"/>
        <v>1.4268589106176113</v>
      </c>
      <c r="V28" s="129">
        <v>181.02</v>
      </c>
      <c r="W28" s="136">
        <v>134.76</v>
      </c>
      <c r="X28" s="131">
        <v>0.81</v>
      </c>
      <c r="Y28" s="133">
        <v>642</v>
      </c>
      <c r="Z28" s="133">
        <v>1229</v>
      </c>
      <c r="AA28" s="144" t="s">
        <v>327</v>
      </c>
      <c r="AB28" s="131">
        <v>76.25</v>
      </c>
      <c r="AC28" s="133">
        <v>138</v>
      </c>
      <c r="AD28" s="134">
        <v>4</v>
      </c>
      <c r="AE28" s="131">
        <v>3.05</v>
      </c>
      <c r="AF28" s="115">
        <f t="shared" si="10"/>
        <v>16.848966964976249</v>
      </c>
      <c r="AG28" s="131">
        <v>120.45</v>
      </c>
      <c r="AH28" s="115">
        <f t="shared" si="11"/>
        <v>665.39608882996356</v>
      </c>
      <c r="AI28" s="139">
        <v>14.26</v>
      </c>
      <c r="AJ28" s="131"/>
      <c r="AK28" s="136">
        <v>6.56</v>
      </c>
      <c r="AL28" s="136">
        <v>48.99</v>
      </c>
      <c r="AM28" s="110">
        <f t="shared" si="12"/>
        <v>0.20900170648464164</v>
      </c>
      <c r="AN28" s="137" t="s">
        <v>328</v>
      </c>
      <c r="AO28" s="150">
        <v>8.69</v>
      </c>
      <c r="AP28" s="138">
        <v>8.3800000000000008</v>
      </c>
      <c r="AQ28" s="134"/>
      <c r="AR28" s="131">
        <v>8.02</v>
      </c>
      <c r="AS28" s="139">
        <v>234.4</v>
      </c>
      <c r="AT28" s="131">
        <v>2.17</v>
      </c>
      <c r="AU28" s="148"/>
      <c r="AV28" s="131"/>
      <c r="AW28" s="109">
        <f t="shared" si="34"/>
        <v>0</v>
      </c>
      <c r="AX28" s="109">
        <f t="shared" si="13"/>
        <v>181.01999999999998</v>
      </c>
      <c r="AY28" s="115">
        <f t="shared" si="25"/>
        <v>190.92909562928151</v>
      </c>
      <c r="AZ28" s="140">
        <f t="shared" si="14"/>
        <v>7.4831683098591553</v>
      </c>
      <c r="BA28" s="141">
        <f t="shared" si="35"/>
        <v>7.2407999999999992</v>
      </c>
      <c r="BB28" s="128">
        <f t="shared" si="16"/>
        <v>0.82769186895872937</v>
      </c>
      <c r="BC28" s="141">
        <f t="shared" si="17"/>
        <v>14.723968309859155</v>
      </c>
      <c r="BD28" s="142">
        <v>0.86</v>
      </c>
      <c r="BE28" s="16">
        <f t="shared" si="26"/>
        <v>4053.8699999999994</v>
      </c>
      <c r="BF28" s="16">
        <f t="shared" si="18"/>
        <v>183.33333333333334</v>
      </c>
      <c r="BG28" s="16">
        <f t="shared" si="27"/>
        <v>4033.3333333333344</v>
      </c>
      <c r="BH28" s="17">
        <f t="shared" si="19"/>
        <v>1</v>
      </c>
      <c r="BI28" s="16">
        <f t="shared" si="28"/>
        <v>4033.3333333333344</v>
      </c>
      <c r="BJ28" s="254"/>
      <c r="BK28" s="197"/>
      <c r="BL28" s="197"/>
      <c r="BM28" s="197">
        <f>DJ28</f>
        <v>306.59699999999998</v>
      </c>
      <c r="BN28" s="230">
        <v>115.97</v>
      </c>
      <c r="BO28" s="230">
        <v>28.975000000000001</v>
      </c>
      <c r="BP28" s="258"/>
      <c r="BQ28" s="199"/>
      <c r="BR28" s="200"/>
      <c r="BS28" s="200"/>
      <c r="BT28" s="200"/>
      <c r="BU28" s="200">
        <v>0.33</v>
      </c>
      <c r="BV28" s="208">
        <v>0.37</v>
      </c>
      <c r="BW28" s="208">
        <v>0.83</v>
      </c>
      <c r="BX28" s="201"/>
      <c r="BY28" s="202"/>
      <c r="BZ28" s="200"/>
      <c r="CA28" s="200"/>
      <c r="CB28" s="200">
        <v>37.04</v>
      </c>
      <c r="CC28" s="208">
        <v>38.57</v>
      </c>
      <c r="CD28" s="208">
        <v>31.38</v>
      </c>
      <c r="CE28" s="209"/>
      <c r="CF28" s="199"/>
      <c r="CG28" s="197"/>
      <c r="CH28" s="230"/>
      <c r="CI28" s="266">
        <f t="shared" si="30"/>
        <v>258.28999999999996</v>
      </c>
      <c r="CJ28" s="453"/>
      <c r="CK28" s="202"/>
      <c r="CL28" s="208"/>
      <c r="CM28" s="208"/>
      <c r="CN28" s="201"/>
      <c r="CO28" s="284"/>
      <c r="CP28" s="286">
        <f t="shared" si="20"/>
        <v>0</v>
      </c>
      <c r="CQ28" s="29">
        <f t="shared" si="20"/>
        <v>0</v>
      </c>
      <c r="CR28" s="30">
        <f t="shared" si="20"/>
        <v>0</v>
      </c>
      <c r="CS28" s="29">
        <f t="shared" si="20"/>
        <v>305.5852299</v>
      </c>
      <c r="CT28" s="27">
        <f t="shared" si="20"/>
        <v>115.54091099999999</v>
      </c>
      <c r="CU28" s="24">
        <f t="shared" si="20"/>
        <v>28.734507500000003</v>
      </c>
      <c r="CV28" s="282">
        <f t="shared" si="20"/>
        <v>0</v>
      </c>
      <c r="CW28" s="25">
        <f t="shared" si="21"/>
        <v>0</v>
      </c>
      <c r="CX28" s="24">
        <f t="shared" si="21"/>
        <v>0</v>
      </c>
      <c r="CY28" s="277">
        <f t="shared" si="21"/>
        <v>258.28999999999996</v>
      </c>
      <c r="CZ28" s="280">
        <f t="shared" si="21"/>
        <v>0</v>
      </c>
      <c r="DB28" s="293">
        <f>I28</f>
        <v>0</v>
      </c>
      <c r="DC28" s="297"/>
      <c r="DD28" s="294"/>
      <c r="DE28" s="295">
        <f t="shared" si="23"/>
        <v>0</v>
      </c>
      <c r="DF28" s="296">
        <f t="shared" si="31"/>
        <v>0</v>
      </c>
      <c r="DI28" s="197">
        <v>227.59700000000001</v>
      </c>
      <c r="DJ28" s="247">
        <f>DI28+79</f>
        <v>306.59699999999998</v>
      </c>
      <c r="DK28" s="197">
        <v>238.82</v>
      </c>
      <c r="DL28" s="247">
        <f t="shared" si="33"/>
        <v>258.28999999999996</v>
      </c>
    </row>
    <row r="29" spans="1:116" ht="16.5" customHeight="1">
      <c r="A29" s="127">
        <v>23</v>
      </c>
      <c r="B29" s="103">
        <f t="shared" si="24"/>
        <v>445.72800000000007</v>
      </c>
      <c r="C29" s="104">
        <f t="shared" si="0"/>
        <v>0.60288889188024974</v>
      </c>
      <c r="D29" s="143">
        <f t="shared" si="1"/>
        <v>443.04075540000002</v>
      </c>
      <c r="E29" s="104">
        <f t="shared" si="2"/>
        <v>37.803386684255862</v>
      </c>
      <c r="F29" s="128">
        <f t="shared" si="3"/>
        <v>2.7095636682771698</v>
      </c>
      <c r="G29" s="106"/>
      <c r="H29" s="107">
        <f t="shared" si="4"/>
        <v>2.7095636682771702</v>
      </c>
      <c r="I29" s="103">
        <f>'[1]сентябрь 20'!AE28</f>
        <v>0</v>
      </c>
      <c r="J29" s="328">
        <f>'[1]июнь 20'!AA28</f>
        <v>0</v>
      </c>
      <c r="K29" s="106"/>
      <c r="L29" s="328"/>
      <c r="M29" s="103">
        <f t="shared" si="5"/>
        <v>0</v>
      </c>
      <c r="N29" s="103">
        <f>'[1]июль 20'!AM28</f>
        <v>7.056</v>
      </c>
      <c r="O29" s="103">
        <f>'[1]июнь 20'!W28</f>
        <v>0</v>
      </c>
      <c r="P29" s="103">
        <v>260.82</v>
      </c>
      <c r="Q29" s="108">
        <f t="shared" si="6"/>
        <v>1.6524806379878854</v>
      </c>
      <c r="R29" s="109">
        <f t="shared" si="7"/>
        <v>256.51000000000005</v>
      </c>
      <c r="S29" s="106">
        <v>44.54</v>
      </c>
      <c r="T29" s="109">
        <f t="shared" si="8"/>
        <v>256.51</v>
      </c>
      <c r="U29" s="110">
        <f t="shared" si="9"/>
        <v>1.5687725521374842</v>
      </c>
      <c r="V29" s="129">
        <v>163.51</v>
      </c>
      <c r="W29" s="136">
        <v>163.51</v>
      </c>
      <c r="X29" s="131">
        <v>0.43</v>
      </c>
      <c r="Y29" s="133">
        <v>604</v>
      </c>
      <c r="Z29" s="133">
        <v>1238</v>
      </c>
      <c r="AA29" s="144" t="s">
        <v>330</v>
      </c>
      <c r="AB29" s="131">
        <v>76.010000000000005</v>
      </c>
      <c r="AC29" s="133">
        <v>136</v>
      </c>
      <c r="AD29" s="134">
        <v>4</v>
      </c>
      <c r="AE29" s="131">
        <v>2.0499999999999998</v>
      </c>
      <c r="AF29" s="115">
        <f t="shared" si="10"/>
        <v>12.537459482600452</v>
      </c>
      <c r="AG29" s="131">
        <v>109.75</v>
      </c>
      <c r="AH29" s="115">
        <f t="shared" si="11"/>
        <v>671.21276986117061</v>
      </c>
      <c r="AI29" s="139">
        <v>15.83</v>
      </c>
      <c r="AJ29" s="131"/>
      <c r="AK29" s="136">
        <v>8.0500000000000007</v>
      </c>
      <c r="AL29" s="136">
        <v>48.24</v>
      </c>
      <c r="AM29" s="110">
        <f t="shared" si="12"/>
        <v>0.22128440366972477</v>
      </c>
      <c r="AN29" s="137" t="s">
        <v>329</v>
      </c>
      <c r="AO29" s="150">
        <v>8.58</v>
      </c>
      <c r="AP29" s="138">
        <v>8.35</v>
      </c>
      <c r="AQ29" s="134"/>
      <c r="AR29" s="131">
        <v>8.2799999999999994</v>
      </c>
      <c r="AS29" s="139">
        <v>218</v>
      </c>
      <c r="AT29" s="131">
        <v>1.8</v>
      </c>
      <c r="AU29" s="148"/>
      <c r="AV29" s="131"/>
      <c r="AW29" s="109">
        <f t="shared" si="34"/>
        <v>0</v>
      </c>
      <c r="AX29" s="109">
        <f t="shared" si="13"/>
        <v>163.51</v>
      </c>
      <c r="AY29" s="115">
        <f t="shared" si="25"/>
        <v>192.36138649027231</v>
      </c>
      <c r="AZ29" s="140">
        <f t="shared" si="14"/>
        <v>7.0394577464788721</v>
      </c>
      <c r="BA29" s="141">
        <f t="shared" si="35"/>
        <v>6.5404</v>
      </c>
      <c r="BB29" s="128">
        <f t="shared" si="16"/>
        <v>0.74206280483021236</v>
      </c>
      <c r="BC29" s="141">
        <f t="shared" si="17"/>
        <v>13.579857746478872</v>
      </c>
      <c r="BD29" s="142">
        <v>0.85499999999999998</v>
      </c>
      <c r="BE29" s="16">
        <f t="shared" si="26"/>
        <v>4217.3799999999992</v>
      </c>
      <c r="BF29" s="16">
        <f t="shared" si="18"/>
        <v>183.33333333333334</v>
      </c>
      <c r="BG29" s="16">
        <f t="shared" si="27"/>
        <v>4216.6666666666679</v>
      </c>
      <c r="BH29" s="17">
        <f t="shared" si="19"/>
        <v>1</v>
      </c>
      <c r="BI29" s="16">
        <f t="shared" si="28"/>
        <v>4216.6666666666679</v>
      </c>
      <c r="BJ29" s="254"/>
      <c r="BK29" s="197"/>
      <c r="BL29" s="197"/>
      <c r="BM29" s="197">
        <f t="shared" ref="BM29:BM36" si="36">DJ29</f>
        <v>303.35400000000004</v>
      </c>
      <c r="BN29" s="230">
        <v>114.264</v>
      </c>
      <c r="BO29" s="230">
        <v>28.11</v>
      </c>
      <c r="BP29" s="258"/>
      <c r="BQ29" s="199"/>
      <c r="BR29" s="200"/>
      <c r="BS29" s="200"/>
      <c r="BT29" s="200"/>
      <c r="BU29" s="200">
        <v>0.7</v>
      </c>
      <c r="BV29" s="208">
        <v>0.24</v>
      </c>
      <c r="BW29" s="208">
        <v>1.03</v>
      </c>
      <c r="BX29" s="201"/>
      <c r="BY29" s="202"/>
      <c r="BZ29" s="200"/>
      <c r="CA29" s="200"/>
      <c r="CB29" s="200">
        <v>37.51</v>
      </c>
      <c r="CC29" s="208">
        <v>39.700000000000003</v>
      </c>
      <c r="CD29" s="208">
        <v>33.26</v>
      </c>
      <c r="CE29" s="201"/>
      <c r="CF29" s="199"/>
      <c r="CG29" s="197"/>
      <c r="CH29" s="230"/>
      <c r="CI29" s="266">
        <f t="shared" si="30"/>
        <v>256.51</v>
      </c>
      <c r="CJ29" s="453"/>
      <c r="CK29" s="202"/>
      <c r="CL29" s="208"/>
      <c r="CM29" s="208"/>
      <c r="CN29" s="201"/>
      <c r="CO29" s="284"/>
      <c r="CP29" s="286">
        <f t="shared" si="20"/>
        <v>0</v>
      </c>
      <c r="CQ29" s="24">
        <f t="shared" si="20"/>
        <v>0</v>
      </c>
      <c r="CR29" s="25">
        <f t="shared" si="20"/>
        <v>0</v>
      </c>
      <c r="CS29" s="24">
        <f t="shared" si="20"/>
        <v>301.23052200000006</v>
      </c>
      <c r="CT29" s="27">
        <f t="shared" si="20"/>
        <v>113.98976640000001</v>
      </c>
      <c r="CU29" s="29">
        <f t="shared" si="20"/>
        <v>27.820467000000001</v>
      </c>
      <c r="CV29" s="280">
        <f t="shared" si="20"/>
        <v>0</v>
      </c>
      <c r="CW29" s="30">
        <f t="shared" si="21"/>
        <v>0</v>
      </c>
      <c r="CX29" s="29">
        <f t="shared" si="21"/>
        <v>0</v>
      </c>
      <c r="CY29" s="277">
        <f t="shared" si="21"/>
        <v>256.51</v>
      </c>
      <c r="CZ29" s="280">
        <f t="shared" si="21"/>
        <v>0</v>
      </c>
      <c r="DB29" s="293">
        <f t="shared" si="22"/>
        <v>0</v>
      </c>
      <c r="DC29" s="294"/>
      <c r="DD29" s="294"/>
      <c r="DE29" s="295">
        <f t="shared" si="23"/>
        <v>0</v>
      </c>
      <c r="DF29" s="296">
        <f t="shared" si="31"/>
        <v>0</v>
      </c>
      <c r="DI29" s="197">
        <v>224.35400000000001</v>
      </c>
      <c r="DJ29" s="247">
        <f t="shared" ref="DJ29:DJ35" si="37">DI29+79</f>
        <v>303.35400000000004</v>
      </c>
      <c r="DK29" s="230">
        <v>237.04</v>
      </c>
      <c r="DL29" s="247">
        <f t="shared" si="33"/>
        <v>256.51</v>
      </c>
    </row>
    <row r="30" spans="1:116" ht="16.5" customHeight="1">
      <c r="A30" s="127">
        <v>24</v>
      </c>
      <c r="B30" s="103">
        <f t="shared" si="24"/>
        <v>459.49499999999995</v>
      </c>
      <c r="C30" s="104">
        <f t="shared" si="0"/>
        <v>1.4120107944591345</v>
      </c>
      <c r="D30" s="143">
        <f t="shared" si="1"/>
        <v>453.00688099999991</v>
      </c>
      <c r="E30" s="104">
        <f t="shared" si="2"/>
        <v>37.497972992089146</v>
      </c>
      <c r="F30" s="128">
        <f t="shared" si="3"/>
        <v>2.4332968845678677</v>
      </c>
      <c r="G30" s="106"/>
      <c r="H30" s="107">
        <f t="shared" si="4"/>
        <v>2.4332968845678682</v>
      </c>
      <c r="I30" s="103">
        <f>'[1]сентябрь 20'!AE29</f>
        <v>0</v>
      </c>
      <c r="J30" s="328">
        <f>'[1]июнь 20'!AA29</f>
        <v>0</v>
      </c>
      <c r="K30" s="106"/>
      <c r="L30" s="328"/>
      <c r="M30" s="103">
        <f t="shared" si="5"/>
        <v>0</v>
      </c>
      <c r="N30" s="103">
        <f>'[1]июль 20'!AM29</f>
        <v>6.6029999999999998</v>
      </c>
      <c r="O30" s="103">
        <f>'[1]июнь 20'!W29</f>
        <v>0</v>
      </c>
      <c r="P30" s="103">
        <v>269.99</v>
      </c>
      <c r="Q30" s="108">
        <f t="shared" si="6"/>
        <v>1.5741323752731629</v>
      </c>
      <c r="R30" s="109">
        <f t="shared" si="7"/>
        <v>265.74</v>
      </c>
      <c r="S30" s="163"/>
      <c r="T30" s="109">
        <f t="shared" si="8"/>
        <v>265.74</v>
      </c>
      <c r="U30" s="110">
        <f t="shared" si="9"/>
        <v>1.4274050598914971</v>
      </c>
      <c r="V30" s="154">
        <v>93.59</v>
      </c>
      <c r="W30" s="157">
        <v>186.17</v>
      </c>
      <c r="X30" s="149">
        <v>0.42</v>
      </c>
      <c r="Y30" s="147">
        <v>600</v>
      </c>
      <c r="Z30" s="147">
        <v>1230</v>
      </c>
      <c r="AA30" s="144" t="s">
        <v>330</v>
      </c>
      <c r="AB30" s="149">
        <v>75.06</v>
      </c>
      <c r="AC30" s="147">
        <v>141</v>
      </c>
      <c r="AD30" s="155">
        <v>4</v>
      </c>
      <c r="AE30" s="149"/>
      <c r="AF30" s="115">
        <f t="shared" si="10"/>
        <v>0</v>
      </c>
      <c r="AG30" s="131">
        <v>128.80000000000001</v>
      </c>
      <c r="AH30" s="115">
        <f t="shared" si="11"/>
        <v>691.8407906751894</v>
      </c>
      <c r="AI30" s="139">
        <v>13.74</v>
      </c>
      <c r="AJ30" s="131"/>
      <c r="AK30" s="157">
        <v>7.43</v>
      </c>
      <c r="AL30" s="157">
        <v>42.6</v>
      </c>
      <c r="AM30" s="110">
        <f t="shared" si="12"/>
        <v>0.18216805644644005</v>
      </c>
      <c r="AN30" s="158" t="s">
        <v>331</v>
      </c>
      <c r="AO30" s="404">
        <v>8.41</v>
      </c>
      <c r="AP30" s="159">
        <v>8.2200000000000006</v>
      </c>
      <c r="AQ30" s="155"/>
      <c r="AR30" s="149">
        <v>9.23</v>
      </c>
      <c r="AS30" s="156">
        <v>233.85</v>
      </c>
      <c r="AT30" s="131">
        <v>2.35</v>
      </c>
      <c r="AU30" s="164"/>
      <c r="AV30" s="149"/>
      <c r="AW30" s="109">
        <f t="shared" si="34"/>
        <v>0</v>
      </c>
      <c r="AX30" s="109">
        <f t="shared" si="13"/>
        <v>186.17</v>
      </c>
      <c r="AY30" s="115">
        <f t="shared" si="25"/>
        <v>197.56876013548538</v>
      </c>
      <c r="AZ30" s="140">
        <f t="shared" si="14"/>
        <v>9.2092000000000009</v>
      </c>
      <c r="BA30" s="141">
        <f t="shared" si="35"/>
        <v>7.4467999999999996</v>
      </c>
      <c r="BB30" s="128">
        <f t="shared" si="16"/>
        <v>0.82263213014317327</v>
      </c>
      <c r="BC30" s="141">
        <f t="shared" si="17"/>
        <v>16.655999999999999</v>
      </c>
      <c r="BD30" s="162">
        <v>0.85399999999999998</v>
      </c>
      <c r="BE30" s="16">
        <f t="shared" si="26"/>
        <v>4403.5499999999993</v>
      </c>
      <c r="BF30" s="16">
        <f t="shared" si="18"/>
        <v>183.33333333333334</v>
      </c>
      <c r="BG30" s="16">
        <f t="shared" si="27"/>
        <v>4400.0000000000009</v>
      </c>
      <c r="BH30" s="17">
        <f t="shared" si="19"/>
        <v>1</v>
      </c>
      <c r="BI30" s="16">
        <f t="shared" si="28"/>
        <v>4400.0000000000009</v>
      </c>
      <c r="BJ30" s="255"/>
      <c r="BK30" s="210"/>
      <c r="BL30" s="210"/>
      <c r="BM30" s="197">
        <f t="shared" si="36"/>
        <v>311.65999999999997</v>
      </c>
      <c r="BN30" s="233">
        <v>118.38500000000001</v>
      </c>
      <c r="BO30" s="233">
        <v>29.45</v>
      </c>
      <c r="BP30" s="260"/>
      <c r="BQ30" s="212"/>
      <c r="BR30" s="213"/>
      <c r="BS30" s="213"/>
      <c r="BT30" s="213"/>
      <c r="BU30" s="213">
        <v>1.6</v>
      </c>
      <c r="BV30" s="235">
        <v>0.94</v>
      </c>
      <c r="BW30" s="235">
        <v>1.32</v>
      </c>
      <c r="BX30" s="214"/>
      <c r="BY30" s="215"/>
      <c r="BZ30" s="213"/>
      <c r="CA30" s="216"/>
      <c r="CB30" s="213">
        <v>37.869999999999997</v>
      </c>
      <c r="CC30" s="235">
        <v>37.64</v>
      </c>
      <c r="CD30" s="235">
        <v>32.99</v>
      </c>
      <c r="CE30" s="214"/>
      <c r="CF30" s="212"/>
      <c r="CG30" s="210"/>
      <c r="CH30" s="233">
        <v>68.88</v>
      </c>
      <c r="CI30" s="266">
        <f t="shared" si="30"/>
        <v>196.85999999999999</v>
      </c>
      <c r="CJ30" s="453"/>
      <c r="CK30" s="202"/>
      <c r="CL30" s="208"/>
      <c r="CM30" s="208"/>
      <c r="CN30" s="201"/>
      <c r="CO30" s="284"/>
      <c r="CP30" s="286">
        <f t="shared" si="20"/>
        <v>0</v>
      </c>
      <c r="CQ30" s="24">
        <f t="shared" si="20"/>
        <v>0</v>
      </c>
      <c r="CR30" s="25">
        <f t="shared" si="20"/>
        <v>0</v>
      </c>
      <c r="CS30" s="24">
        <f t="shared" si="20"/>
        <v>306.67343999999997</v>
      </c>
      <c r="CT30" s="27">
        <f t="shared" si="20"/>
        <v>117.272181</v>
      </c>
      <c r="CU30" s="24">
        <f t="shared" si="20"/>
        <v>29.061260000000004</v>
      </c>
      <c r="CV30" s="280">
        <f t="shared" si="20"/>
        <v>0</v>
      </c>
      <c r="CW30" s="25">
        <f t="shared" si="21"/>
        <v>0</v>
      </c>
      <c r="CX30" s="26">
        <f t="shared" si="21"/>
        <v>68.88</v>
      </c>
      <c r="CY30" s="277">
        <f t="shared" si="21"/>
        <v>196.85999999999999</v>
      </c>
      <c r="CZ30" s="280">
        <f t="shared" si="21"/>
        <v>0</v>
      </c>
      <c r="DB30" s="293">
        <f t="shared" si="22"/>
        <v>0</v>
      </c>
      <c r="DC30" s="294"/>
      <c r="DD30" s="294"/>
      <c r="DE30" s="295">
        <f t="shared" si="23"/>
        <v>0</v>
      </c>
      <c r="DF30" s="296">
        <f t="shared" si="31"/>
        <v>0</v>
      </c>
      <c r="DI30" s="210">
        <v>232.66</v>
      </c>
      <c r="DJ30" s="247">
        <f t="shared" si="37"/>
        <v>311.65999999999997</v>
      </c>
      <c r="DK30" s="233">
        <v>177.39</v>
      </c>
      <c r="DL30" s="247">
        <f t="shared" si="33"/>
        <v>196.85999999999999</v>
      </c>
    </row>
    <row r="31" spans="1:116" ht="16.5" customHeight="1">
      <c r="A31" s="127">
        <v>25</v>
      </c>
      <c r="B31" s="103">
        <f t="shared" si="24"/>
        <v>461.80799999999999</v>
      </c>
      <c r="C31" s="104">
        <f t="shared" si="0"/>
        <v>1.3840440182933169</v>
      </c>
      <c r="D31" s="143">
        <f t="shared" si="1"/>
        <v>455.41637399999996</v>
      </c>
      <c r="E31" s="104">
        <f t="shared" si="2"/>
        <v>37.898831029345537</v>
      </c>
      <c r="F31" s="128">
        <f t="shared" si="3"/>
        <v>2.6361216369529985</v>
      </c>
      <c r="G31" s="106"/>
      <c r="H31" s="107">
        <f t="shared" si="4"/>
        <v>2.6361216369529985</v>
      </c>
      <c r="I31" s="103">
        <f>'[1]сентябрь 20'!AE30</f>
        <v>0</v>
      </c>
      <c r="J31" s="328">
        <f>'[1]июнь 20'!AA30</f>
        <v>0</v>
      </c>
      <c r="K31" s="106"/>
      <c r="L31" s="328"/>
      <c r="M31" s="103">
        <f t="shared" si="5"/>
        <v>0</v>
      </c>
      <c r="N31" s="103">
        <f>'[1]июль 20'!AM30</f>
        <v>7.069</v>
      </c>
      <c r="O31" s="103">
        <f>'[1]июнь 20'!W30</f>
        <v>0</v>
      </c>
      <c r="P31" s="103">
        <v>271.48</v>
      </c>
      <c r="Q31" s="108">
        <f t="shared" si="6"/>
        <v>1.2929129217621904</v>
      </c>
      <c r="R31" s="109">
        <f t="shared" si="7"/>
        <v>267.97000000000003</v>
      </c>
      <c r="S31" s="106">
        <v>37.81</v>
      </c>
      <c r="T31" s="109">
        <f t="shared" si="8"/>
        <v>267.97000000000003</v>
      </c>
      <c r="U31" s="110">
        <f t="shared" si="9"/>
        <v>1.5511113683723086</v>
      </c>
      <c r="V31" s="136">
        <v>172.76</v>
      </c>
      <c r="W31" s="136">
        <v>172.76</v>
      </c>
      <c r="X31" s="131">
        <v>0.48</v>
      </c>
      <c r="Y31" s="133">
        <v>638</v>
      </c>
      <c r="Z31" s="133">
        <v>1233</v>
      </c>
      <c r="AA31" s="144" t="s">
        <v>332</v>
      </c>
      <c r="AB31" s="131">
        <v>76.3</v>
      </c>
      <c r="AC31" s="133">
        <v>143</v>
      </c>
      <c r="AD31" s="134">
        <v>4</v>
      </c>
      <c r="AE31" s="131">
        <v>7.05</v>
      </c>
      <c r="AF31" s="115">
        <f t="shared" si="10"/>
        <v>40.808057420699235</v>
      </c>
      <c r="AG31" s="131">
        <v>105.95</v>
      </c>
      <c r="AH31" s="115">
        <f t="shared" si="11"/>
        <v>613.27853669830995</v>
      </c>
      <c r="AI31" s="139">
        <v>14.69</v>
      </c>
      <c r="AJ31" s="131"/>
      <c r="AK31" s="136">
        <v>8.14</v>
      </c>
      <c r="AL31" s="136">
        <v>43.04</v>
      </c>
      <c r="AM31" s="110">
        <f t="shared" si="12"/>
        <v>0.19383021841927492</v>
      </c>
      <c r="AN31" s="137" t="s">
        <v>179</v>
      </c>
      <c r="AO31" s="150">
        <v>8.19</v>
      </c>
      <c r="AP31" s="138">
        <v>7.75</v>
      </c>
      <c r="AQ31" s="134"/>
      <c r="AR31" s="131">
        <v>9.1999999999999993</v>
      </c>
      <c r="AS31" s="139">
        <v>222.05</v>
      </c>
      <c r="AT31" s="131">
        <v>1.89</v>
      </c>
      <c r="AU31" s="148"/>
      <c r="AV31" s="131"/>
      <c r="AW31" s="109">
        <f t="shared" si="34"/>
        <v>0</v>
      </c>
      <c r="AX31" s="109">
        <f t="shared" si="13"/>
        <v>172.76</v>
      </c>
      <c r="AY31" s="115">
        <f t="shared" si="25"/>
        <v>197.48047423372063</v>
      </c>
      <c r="AZ31" s="140">
        <f t="shared" si="14"/>
        <v>7.550802816901407</v>
      </c>
      <c r="BA31" s="141">
        <f t="shared" si="35"/>
        <v>6.9104000000000001</v>
      </c>
      <c r="BB31" s="128">
        <f t="shared" si="16"/>
        <v>0.76371844145717038</v>
      </c>
      <c r="BC31" s="141">
        <f t="shared" si="17"/>
        <v>14.461202816901407</v>
      </c>
      <c r="BD31" s="142">
        <v>0.85</v>
      </c>
      <c r="BE31" s="16">
        <f t="shared" si="26"/>
        <v>4576.3099999999995</v>
      </c>
      <c r="BF31" s="16">
        <f t="shared" si="18"/>
        <v>183.33333333333334</v>
      </c>
      <c r="BG31" s="16">
        <f t="shared" si="27"/>
        <v>4583.3333333333339</v>
      </c>
      <c r="BH31" s="17">
        <f t="shared" si="19"/>
        <v>1</v>
      </c>
      <c r="BI31" s="16">
        <f t="shared" si="28"/>
        <v>4583.3333333333339</v>
      </c>
      <c r="BJ31" s="254"/>
      <c r="BK31" s="197"/>
      <c r="BL31" s="197"/>
      <c r="BM31" s="197">
        <f t="shared" si="36"/>
        <v>319.02800000000002</v>
      </c>
      <c r="BN31" s="230">
        <v>110.708</v>
      </c>
      <c r="BO31" s="230">
        <v>32.072000000000003</v>
      </c>
      <c r="BP31" s="259"/>
      <c r="BQ31" s="199"/>
      <c r="BR31" s="200"/>
      <c r="BS31" s="200"/>
      <c r="BT31" s="200"/>
      <c r="BU31" s="200">
        <v>1.37</v>
      </c>
      <c r="BV31" s="208">
        <v>1.22</v>
      </c>
      <c r="BW31" s="208">
        <v>2.09</v>
      </c>
      <c r="BX31" s="201"/>
      <c r="BY31" s="202"/>
      <c r="BZ31" s="200"/>
      <c r="CA31" s="200"/>
      <c r="CB31" s="200">
        <v>37.770000000000003</v>
      </c>
      <c r="CC31" s="208">
        <v>39.950000000000003</v>
      </c>
      <c r="CD31" s="208">
        <v>32.1</v>
      </c>
      <c r="CE31" s="209"/>
      <c r="CF31" s="199"/>
      <c r="CG31" s="197"/>
      <c r="CH31" s="230">
        <v>177</v>
      </c>
      <c r="CI31" s="266">
        <f t="shared" si="30"/>
        <v>90.97</v>
      </c>
      <c r="CJ31" s="453"/>
      <c r="CK31" s="202"/>
      <c r="CL31" s="208"/>
      <c r="CM31" s="208"/>
      <c r="CN31" s="201"/>
      <c r="CO31" s="284"/>
      <c r="CP31" s="286">
        <f t="shared" si="20"/>
        <v>0</v>
      </c>
      <c r="CQ31" s="24">
        <f t="shared" si="20"/>
        <v>0</v>
      </c>
      <c r="CR31" s="25">
        <f t="shared" si="20"/>
        <v>0</v>
      </c>
      <c r="CS31" s="24">
        <f t="shared" si="20"/>
        <v>314.65731640000001</v>
      </c>
      <c r="CT31" s="27">
        <f t="shared" si="20"/>
        <v>109.3573624</v>
      </c>
      <c r="CU31" s="24">
        <f t="shared" si="20"/>
        <v>31.401695200000002</v>
      </c>
      <c r="CV31" s="280">
        <f t="shared" si="20"/>
        <v>0</v>
      </c>
      <c r="CW31" s="28">
        <f t="shared" si="21"/>
        <v>0</v>
      </c>
      <c r="CX31" s="24">
        <f t="shared" si="21"/>
        <v>177</v>
      </c>
      <c r="CY31" s="277">
        <f t="shared" si="21"/>
        <v>90.97</v>
      </c>
      <c r="CZ31" s="280">
        <f t="shared" si="21"/>
        <v>0</v>
      </c>
      <c r="DB31" s="293">
        <f t="shared" si="22"/>
        <v>0</v>
      </c>
      <c r="DC31" s="294"/>
      <c r="DD31" s="294"/>
      <c r="DE31" s="295">
        <f t="shared" si="23"/>
        <v>0</v>
      </c>
      <c r="DF31" s="296">
        <f t="shared" si="31"/>
        <v>0</v>
      </c>
      <c r="DI31" s="197">
        <v>240.02799999999999</v>
      </c>
      <c r="DJ31" s="247">
        <f t="shared" si="37"/>
        <v>319.02800000000002</v>
      </c>
      <c r="DK31" s="230">
        <v>71.5</v>
      </c>
      <c r="DL31" s="247">
        <f t="shared" si="33"/>
        <v>90.97</v>
      </c>
    </row>
    <row r="32" spans="1:116" ht="16.5" customHeight="1">
      <c r="A32" s="127">
        <v>26</v>
      </c>
      <c r="B32" s="103">
        <f t="shared" si="24"/>
        <v>457.34499999999997</v>
      </c>
      <c r="C32" s="104">
        <f t="shared" si="0"/>
        <v>0.58301907750166726</v>
      </c>
      <c r="D32" s="143">
        <f t="shared" si="1"/>
        <v>454.67859140000002</v>
      </c>
      <c r="E32" s="104">
        <f t="shared" si="2"/>
        <v>37.771479211536153</v>
      </c>
      <c r="F32" s="128">
        <f t="shared" si="3"/>
        <v>2.5705483457711442</v>
      </c>
      <c r="G32" s="106"/>
      <c r="H32" s="107">
        <f t="shared" si="4"/>
        <v>2.5705483457711442</v>
      </c>
      <c r="I32" s="103">
        <f>'[1]сентябрь 20'!AE31</f>
        <v>0</v>
      </c>
      <c r="J32" s="328">
        <f>'[1]июнь 20'!AA31</f>
        <v>0</v>
      </c>
      <c r="K32" s="106"/>
      <c r="L32" s="328"/>
      <c r="M32" s="103">
        <f t="shared" si="5"/>
        <v>0</v>
      </c>
      <c r="N32" s="103">
        <f>'[1]июль 20'!AM31</f>
        <v>7.0679999999999996</v>
      </c>
      <c r="O32" s="103">
        <f>'[1]июнь 20'!W31</f>
        <v>0</v>
      </c>
      <c r="P32" s="103">
        <v>272.66000000000003</v>
      </c>
      <c r="Q32" s="108">
        <f t="shared" si="6"/>
        <v>1.760434240445985</v>
      </c>
      <c r="R32" s="109">
        <f t="shared" si="7"/>
        <v>267.86</v>
      </c>
      <c r="S32" s="106">
        <v>1.78</v>
      </c>
      <c r="T32" s="109">
        <f t="shared" si="8"/>
        <v>267.86</v>
      </c>
      <c r="U32" s="110">
        <f t="shared" si="9"/>
        <v>1.5143600180913614</v>
      </c>
      <c r="V32" s="136">
        <v>176.88</v>
      </c>
      <c r="W32" s="136">
        <v>176.88</v>
      </c>
      <c r="X32" s="131">
        <v>0.34</v>
      </c>
      <c r="Y32" s="133">
        <v>635</v>
      </c>
      <c r="Z32" s="133">
        <v>1225</v>
      </c>
      <c r="AA32" s="144" t="s">
        <v>333</v>
      </c>
      <c r="AB32" s="131">
        <v>75.84</v>
      </c>
      <c r="AC32" s="133">
        <v>143</v>
      </c>
      <c r="AD32" s="134">
        <v>4</v>
      </c>
      <c r="AE32" s="131">
        <v>3.6</v>
      </c>
      <c r="AF32" s="115">
        <f t="shared" si="10"/>
        <v>20.3527815468114</v>
      </c>
      <c r="AG32" s="131">
        <v>133.15</v>
      </c>
      <c r="AH32" s="115">
        <f t="shared" si="11"/>
        <v>752.77023971053825</v>
      </c>
      <c r="AI32" s="139">
        <v>12.4</v>
      </c>
      <c r="AJ32" s="131"/>
      <c r="AK32" s="136">
        <v>8.0500000000000007</v>
      </c>
      <c r="AL32" s="136">
        <v>49.88</v>
      </c>
      <c r="AM32" s="110">
        <f t="shared" si="12"/>
        <v>0.21481481481481485</v>
      </c>
      <c r="AN32" s="137" t="s">
        <v>334</v>
      </c>
      <c r="AO32" s="150">
        <v>7.83</v>
      </c>
      <c r="AP32" s="138">
        <v>7.61</v>
      </c>
      <c r="AQ32" s="134"/>
      <c r="AR32" s="458">
        <v>11.63</v>
      </c>
      <c r="AS32" s="139">
        <v>232.2</v>
      </c>
      <c r="AT32" s="131">
        <v>2.61</v>
      </c>
      <c r="AU32" s="148"/>
      <c r="AV32" s="131"/>
      <c r="AW32" s="109">
        <f t="shared" si="34"/>
        <v>0</v>
      </c>
      <c r="AX32" s="109">
        <f t="shared" si="13"/>
        <v>176.88</v>
      </c>
      <c r="AY32" s="115">
        <f t="shared" si="25"/>
        <v>197.68987113258433</v>
      </c>
      <c r="AZ32" s="140">
        <f t="shared" si="14"/>
        <v>11.995689788732395</v>
      </c>
      <c r="BA32" s="141">
        <f t="shared" si="35"/>
        <v>7.0751999999999997</v>
      </c>
      <c r="BB32" s="128">
        <f t="shared" si="16"/>
        <v>0.78110344811969612</v>
      </c>
      <c r="BC32" s="141">
        <f t="shared" si="17"/>
        <v>19.070889788732394</v>
      </c>
      <c r="BD32" s="142">
        <v>0.84699999999999998</v>
      </c>
      <c r="BE32" s="16">
        <f t="shared" si="26"/>
        <v>4753.1899999999996</v>
      </c>
      <c r="BF32" s="16">
        <f t="shared" si="18"/>
        <v>183.33333333333334</v>
      </c>
      <c r="BG32" s="16">
        <f t="shared" si="27"/>
        <v>4766.666666666667</v>
      </c>
      <c r="BH32" s="17">
        <f t="shared" si="19"/>
        <v>1</v>
      </c>
      <c r="BI32" s="16">
        <f t="shared" si="28"/>
        <v>4766.666666666667</v>
      </c>
      <c r="BJ32" s="254"/>
      <c r="BK32" s="197"/>
      <c r="BL32" s="197"/>
      <c r="BM32" s="197">
        <f t="shared" si="36"/>
        <v>328.625</v>
      </c>
      <c r="BN32" s="230">
        <v>92.801000000000002</v>
      </c>
      <c r="BO32" s="230">
        <v>35.918999999999997</v>
      </c>
      <c r="BP32" s="258"/>
      <c r="BQ32" s="199"/>
      <c r="BR32" s="200"/>
      <c r="BS32" s="200"/>
      <c r="BT32" s="200"/>
      <c r="BU32" s="200">
        <v>0.56999999999999995</v>
      </c>
      <c r="BV32" s="208">
        <v>0.34</v>
      </c>
      <c r="BW32" s="208">
        <v>1.33</v>
      </c>
      <c r="BX32" s="201"/>
      <c r="BY32" s="202"/>
      <c r="BZ32" s="200"/>
      <c r="CA32" s="200"/>
      <c r="CB32" s="200">
        <v>37.99</v>
      </c>
      <c r="CC32" s="208">
        <v>38.5</v>
      </c>
      <c r="CD32" s="208">
        <v>33.89</v>
      </c>
      <c r="CE32" s="209"/>
      <c r="CF32" s="199"/>
      <c r="CG32" s="197"/>
      <c r="CH32" s="230">
        <v>176.89</v>
      </c>
      <c r="CI32" s="266">
        <f t="shared" si="30"/>
        <v>90.97</v>
      </c>
      <c r="CJ32" s="453"/>
      <c r="CK32" s="202"/>
      <c r="CL32" s="208"/>
      <c r="CM32" s="208"/>
      <c r="CN32" s="201"/>
      <c r="CO32" s="284"/>
      <c r="CP32" s="286">
        <f t="shared" si="20"/>
        <v>0</v>
      </c>
      <c r="CQ32" s="24">
        <f t="shared" si="20"/>
        <v>0</v>
      </c>
      <c r="CR32" s="25">
        <f t="shared" si="20"/>
        <v>0</v>
      </c>
      <c r="CS32" s="24">
        <f t="shared" si="20"/>
        <v>326.75183750000002</v>
      </c>
      <c r="CT32" s="27">
        <f t="shared" si="20"/>
        <v>92.485476599999998</v>
      </c>
      <c r="CU32" s="24">
        <f t="shared" si="20"/>
        <v>35.441277299999996</v>
      </c>
      <c r="CV32" s="280">
        <f t="shared" si="20"/>
        <v>0</v>
      </c>
      <c r="CW32" s="25">
        <f t="shared" si="21"/>
        <v>0</v>
      </c>
      <c r="CX32" s="24">
        <f t="shared" si="21"/>
        <v>176.89</v>
      </c>
      <c r="CY32" s="277">
        <f t="shared" si="21"/>
        <v>90.97</v>
      </c>
      <c r="CZ32" s="280">
        <f t="shared" si="21"/>
        <v>0</v>
      </c>
      <c r="DB32" s="293">
        <f t="shared" si="22"/>
        <v>0</v>
      </c>
      <c r="DC32" s="294"/>
      <c r="DD32" s="294"/>
      <c r="DE32" s="295">
        <f t="shared" si="23"/>
        <v>0</v>
      </c>
      <c r="DF32" s="296">
        <f t="shared" si="31"/>
        <v>0</v>
      </c>
      <c r="DI32" s="197">
        <v>249.625</v>
      </c>
      <c r="DJ32" s="247">
        <f t="shared" si="37"/>
        <v>328.625</v>
      </c>
      <c r="DK32" s="230">
        <v>71.5</v>
      </c>
      <c r="DL32" s="247">
        <f t="shared" si="33"/>
        <v>90.97</v>
      </c>
    </row>
    <row r="33" spans="1:116" ht="16.5" customHeight="1">
      <c r="A33" s="127">
        <v>27</v>
      </c>
      <c r="B33" s="103">
        <f t="shared" si="24"/>
        <v>455.06999999999994</v>
      </c>
      <c r="C33" s="104">
        <f t="shared" si="0"/>
        <v>0.73397936581185319</v>
      </c>
      <c r="D33" s="143">
        <f t="shared" si="1"/>
        <v>451.7298801</v>
      </c>
      <c r="E33" s="104">
        <f t="shared" si="2"/>
        <v>37.606732129122996</v>
      </c>
      <c r="F33" s="128">
        <f t="shared" si="3"/>
        <v>2.5412346990324028</v>
      </c>
      <c r="G33" s="106"/>
      <c r="H33" s="107">
        <f t="shared" si="4"/>
        <v>2.5412346990324028</v>
      </c>
      <c r="I33" s="103">
        <f>'[1]сентябрь 20'!AE32</f>
        <v>0</v>
      </c>
      <c r="J33" s="328">
        <f>'[1]июнь 20'!AA32</f>
        <v>0</v>
      </c>
      <c r="K33" s="106"/>
      <c r="L33" s="328"/>
      <c r="M33" s="103">
        <f t="shared" si="5"/>
        <v>0</v>
      </c>
      <c r="N33" s="103">
        <f>'[1]июль 20'!AM32</f>
        <v>6.9580000000000002</v>
      </c>
      <c r="O33" s="103">
        <f>'[1]июнь 20'!W32</f>
        <v>0</v>
      </c>
      <c r="P33" s="103">
        <v>273.66000000000003</v>
      </c>
      <c r="Q33" s="108">
        <f t="shared" si="6"/>
        <v>1.7393846378718325</v>
      </c>
      <c r="R33" s="109">
        <f t="shared" si="7"/>
        <v>268.89999999999998</v>
      </c>
      <c r="S33" s="131">
        <v>32.92</v>
      </c>
      <c r="T33" s="109">
        <f t="shared" si="8"/>
        <v>268.89999999999998</v>
      </c>
      <c r="U33" s="110">
        <f t="shared" si="9"/>
        <v>1.5127137713771375</v>
      </c>
      <c r="V33" s="136">
        <v>177.76</v>
      </c>
      <c r="W33" s="136">
        <v>177.76</v>
      </c>
      <c r="X33" s="131">
        <v>0.3</v>
      </c>
      <c r="Y33" s="133">
        <v>696</v>
      </c>
      <c r="Z33" s="133">
        <v>1236</v>
      </c>
      <c r="AA33" s="144" t="s">
        <v>295</v>
      </c>
      <c r="AB33" s="131">
        <v>75.78</v>
      </c>
      <c r="AC33" s="133">
        <v>142</v>
      </c>
      <c r="AD33" s="134">
        <v>4</v>
      </c>
      <c r="AE33" s="131">
        <v>1.75</v>
      </c>
      <c r="AF33" s="115">
        <f t="shared" si="10"/>
        <v>9.8447344734473425</v>
      </c>
      <c r="AG33" s="131">
        <v>115.85</v>
      </c>
      <c r="AH33" s="115">
        <f t="shared" si="11"/>
        <v>651.72142214221412</v>
      </c>
      <c r="AI33" s="139">
        <v>15.57</v>
      </c>
      <c r="AJ33" s="131"/>
      <c r="AK33" s="136">
        <v>7.35</v>
      </c>
      <c r="AL33" s="136">
        <v>41.1</v>
      </c>
      <c r="AM33" s="110">
        <f t="shared" si="12"/>
        <v>0.18397493285586392</v>
      </c>
      <c r="AN33" s="137" t="s">
        <v>335</v>
      </c>
      <c r="AO33" s="150">
        <v>8.0299999999999994</v>
      </c>
      <c r="AP33" s="138">
        <v>7.48</v>
      </c>
      <c r="AQ33" s="134"/>
      <c r="AR33" s="458">
        <v>10</v>
      </c>
      <c r="AS33" s="139">
        <v>223.4</v>
      </c>
      <c r="AT33" s="131">
        <v>2.81</v>
      </c>
      <c r="AU33" s="116"/>
      <c r="AV33" s="131"/>
      <c r="AW33" s="109">
        <f t="shared" si="34"/>
        <v>0</v>
      </c>
      <c r="AX33" s="109">
        <f t="shared" si="13"/>
        <v>177.76000000000002</v>
      </c>
      <c r="AY33" s="115">
        <f t="shared" si="25"/>
        <v>195.70596268138124</v>
      </c>
      <c r="AZ33" s="140">
        <f t="shared" si="14"/>
        <v>8.9742957746478869</v>
      </c>
      <c r="BA33" s="141">
        <f t="shared" si="35"/>
        <v>7.1104000000000012</v>
      </c>
      <c r="BB33" s="128">
        <f t="shared" si="16"/>
        <v>0.79294712268244893</v>
      </c>
      <c r="BC33" s="141">
        <f t="shared" si="17"/>
        <v>16.084695774647887</v>
      </c>
      <c r="BD33" s="142">
        <v>0.84499999999999997</v>
      </c>
      <c r="BE33" s="16">
        <f t="shared" si="26"/>
        <v>4930.95</v>
      </c>
      <c r="BF33" s="16">
        <f t="shared" si="18"/>
        <v>183.33333333333334</v>
      </c>
      <c r="BG33" s="16">
        <f t="shared" si="27"/>
        <v>4950</v>
      </c>
      <c r="BH33" s="17">
        <f t="shared" si="19"/>
        <v>1</v>
      </c>
      <c r="BI33" s="16">
        <f t="shared" si="28"/>
        <v>4950</v>
      </c>
      <c r="BJ33" s="254"/>
      <c r="BK33" s="197"/>
      <c r="BL33" s="197"/>
      <c r="BM33" s="197">
        <f t="shared" si="36"/>
        <v>327.56799999999998</v>
      </c>
      <c r="BN33" s="230">
        <v>92.275000000000006</v>
      </c>
      <c r="BO33" s="230">
        <v>35.226999999999997</v>
      </c>
      <c r="BP33" s="258"/>
      <c r="BQ33" s="199"/>
      <c r="BR33" s="200"/>
      <c r="BS33" s="200"/>
      <c r="BT33" s="200"/>
      <c r="BU33" s="200">
        <v>0.74</v>
      </c>
      <c r="BV33" s="208">
        <v>0.34</v>
      </c>
      <c r="BW33" s="208">
        <v>1.71</v>
      </c>
      <c r="BX33" s="201"/>
      <c r="BY33" s="202"/>
      <c r="BZ33" s="200"/>
      <c r="CA33" s="200"/>
      <c r="CB33" s="200">
        <v>37.71</v>
      </c>
      <c r="CC33" s="208">
        <v>39.56</v>
      </c>
      <c r="CD33" s="208">
        <v>31.53</v>
      </c>
      <c r="CE33" s="209"/>
      <c r="CF33" s="199"/>
      <c r="CG33" s="197"/>
      <c r="CH33" s="230">
        <v>178.43</v>
      </c>
      <c r="CI33" s="266">
        <f t="shared" si="30"/>
        <v>90.47</v>
      </c>
      <c r="CJ33" s="453"/>
      <c r="CK33" s="202"/>
      <c r="CL33" s="208"/>
      <c r="CM33" s="208"/>
      <c r="CN33" s="209"/>
      <c r="CO33" s="284"/>
      <c r="CP33" s="286">
        <f t="shared" si="20"/>
        <v>0</v>
      </c>
      <c r="CQ33" s="24">
        <f t="shared" si="20"/>
        <v>0</v>
      </c>
      <c r="CR33" s="25">
        <f t="shared" si="20"/>
        <v>0</v>
      </c>
      <c r="CS33" s="24">
        <f t="shared" si="20"/>
        <v>325.14399679999997</v>
      </c>
      <c r="CT33" s="27">
        <f t="shared" si="20"/>
        <v>91.961264999999997</v>
      </c>
      <c r="CU33" s="24">
        <f t="shared" si="20"/>
        <v>34.624618300000002</v>
      </c>
      <c r="CV33" s="280">
        <f t="shared" si="20"/>
        <v>0</v>
      </c>
      <c r="CW33" s="25">
        <f t="shared" si="21"/>
        <v>0</v>
      </c>
      <c r="CX33" s="24">
        <f t="shared" si="21"/>
        <v>178.43</v>
      </c>
      <c r="CY33" s="277">
        <f t="shared" si="21"/>
        <v>90.47</v>
      </c>
      <c r="CZ33" s="280">
        <f t="shared" si="21"/>
        <v>0</v>
      </c>
      <c r="DB33" s="293">
        <f t="shared" si="22"/>
        <v>0</v>
      </c>
      <c r="DC33" s="294"/>
      <c r="DD33" s="294"/>
      <c r="DE33" s="295">
        <f t="shared" si="23"/>
        <v>0</v>
      </c>
      <c r="DF33" s="296">
        <f t="shared" si="31"/>
        <v>0</v>
      </c>
      <c r="DI33" s="197">
        <v>248.56800000000001</v>
      </c>
      <c r="DJ33" s="247">
        <f t="shared" si="37"/>
        <v>327.56799999999998</v>
      </c>
      <c r="DK33" s="230">
        <v>71</v>
      </c>
      <c r="DL33" s="247">
        <f t="shared" si="33"/>
        <v>90.47</v>
      </c>
    </row>
    <row r="34" spans="1:116" ht="16.5" customHeight="1">
      <c r="A34" s="127">
        <v>28</v>
      </c>
      <c r="B34" s="103">
        <f t="shared" si="24"/>
        <v>447.21199999999999</v>
      </c>
      <c r="C34" s="104">
        <f t="shared" si="0"/>
        <v>0.86055966745078405</v>
      </c>
      <c r="D34" s="143">
        <f t="shared" si="1"/>
        <v>443.36347389999997</v>
      </c>
      <c r="E34" s="104">
        <f t="shared" si="2"/>
        <v>37.851834901567941</v>
      </c>
      <c r="F34" s="128">
        <f t="shared" si="3"/>
        <v>2.4598506097425652</v>
      </c>
      <c r="G34" s="106"/>
      <c r="H34" s="107">
        <f t="shared" si="4"/>
        <v>2.4598506097425656</v>
      </c>
      <c r="I34" s="103">
        <f>'[1]сентябрь 20'!AE33</f>
        <v>0</v>
      </c>
      <c r="J34" s="328">
        <f>'[1]июнь 20'!AA33</f>
        <v>0</v>
      </c>
      <c r="K34" s="106"/>
      <c r="L34" s="328"/>
      <c r="M34" s="103">
        <f t="shared" si="5"/>
        <v>0</v>
      </c>
      <c r="N34" s="103">
        <f>'[1]июль 20'!AM33</f>
        <v>7.2119999999999997</v>
      </c>
      <c r="O34" s="103">
        <f>'[1]июнь 20'!W33</f>
        <v>0</v>
      </c>
      <c r="P34" s="103">
        <v>271.42</v>
      </c>
      <c r="Q34" s="108">
        <f t="shared" si="6"/>
        <v>1.8900596860953689</v>
      </c>
      <c r="R34" s="109">
        <f t="shared" si="7"/>
        <v>266.28999999999996</v>
      </c>
      <c r="S34" s="149">
        <v>15.45</v>
      </c>
      <c r="T34" s="109">
        <f t="shared" si="8"/>
        <v>266.28999999999996</v>
      </c>
      <c r="U34" s="110">
        <f t="shared" si="9"/>
        <v>1.4774189968930311</v>
      </c>
      <c r="V34" s="157">
        <v>180.24</v>
      </c>
      <c r="W34" s="157">
        <v>180.24</v>
      </c>
      <c r="X34" s="149">
        <v>0.4</v>
      </c>
      <c r="Y34" s="147">
        <v>675</v>
      </c>
      <c r="Z34" s="147">
        <v>1224</v>
      </c>
      <c r="AA34" s="144" t="s">
        <v>285</v>
      </c>
      <c r="AB34" s="149">
        <v>75.84</v>
      </c>
      <c r="AC34" s="147">
        <v>139</v>
      </c>
      <c r="AD34" s="155">
        <v>4</v>
      </c>
      <c r="AE34" s="149">
        <v>2.6</v>
      </c>
      <c r="AF34" s="115">
        <f t="shared" si="10"/>
        <v>14.425210830004438</v>
      </c>
      <c r="AG34" s="149">
        <v>114.1</v>
      </c>
      <c r="AH34" s="115">
        <f t="shared" si="11"/>
        <v>633.04482911673324</v>
      </c>
      <c r="AI34" s="156">
        <v>16.079999999999998</v>
      </c>
      <c r="AJ34" s="149"/>
      <c r="AK34" s="157">
        <v>8.81</v>
      </c>
      <c r="AL34" s="157">
        <v>36.25</v>
      </c>
      <c r="AM34" s="110">
        <f t="shared" si="12"/>
        <v>0.16208361278783814</v>
      </c>
      <c r="AN34" s="158" t="s">
        <v>336</v>
      </c>
      <c r="AO34" s="404">
        <v>7.96</v>
      </c>
      <c r="AP34" s="159">
        <v>7.94</v>
      </c>
      <c r="AQ34" s="155"/>
      <c r="AR34" s="149">
        <v>9.5500000000000007</v>
      </c>
      <c r="AS34" s="156">
        <v>223.65</v>
      </c>
      <c r="AT34" s="131">
        <v>1.65</v>
      </c>
      <c r="AU34" s="148"/>
      <c r="AV34" s="149"/>
      <c r="AW34" s="109">
        <f t="shared" si="34"/>
        <v>0</v>
      </c>
      <c r="AX34" s="109">
        <f t="shared" si="13"/>
        <v>180.24</v>
      </c>
      <c r="AY34" s="115">
        <f t="shared" si="25"/>
        <v>193.1802696002963</v>
      </c>
      <c r="AZ34" s="140">
        <f t="shared" si="14"/>
        <v>8.4409894366197182</v>
      </c>
      <c r="BA34" s="141">
        <f t="shared" si="35"/>
        <v>7.2096000000000009</v>
      </c>
      <c r="BB34" s="128">
        <f t="shared" si="16"/>
        <v>0.81452169171089417</v>
      </c>
      <c r="BC34" s="141">
        <f t="shared" si="17"/>
        <v>15.650589436619718</v>
      </c>
      <c r="BD34" s="165">
        <v>0.84399999999999997</v>
      </c>
      <c r="BE34" s="16">
        <f t="shared" si="26"/>
        <v>5111.1899999999996</v>
      </c>
      <c r="BF34" s="16">
        <f t="shared" si="18"/>
        <v>183.33333333333334</v>
      </c>
      <c r="BG34" s="16">
        <f t="shared" si="27"/>
        <v>5133.333333333333</v>
      </c>
      <c r="BH34" s="17">
        <f t="shared" si="19"/>
        <v>1</v>
      </c>
      <c r="BI34" s="16">
        <f t="shared" si="28"/>
        <v>5133.333333333333</v>
      </c>
      <c r="BJ34" s="255"/>
      <c r="BK34" s="210"/>
      <c r="BL34" s="210"/>
      <c r="BM34" s="197">
        <f t="shared" si="36"/>
        <v>322.25700000000001</v>
      </c>
      <c r="BN34" s="233">
        <v>90.433000000000007</v>
      </c>
      <c r="BO34" s="233">
        <v>34.521999999999998</v>
      </c>
      <c r="BP34" s="260"/>
      <c r="BQ34" s="212"/>
      <c r="BR34" s="213"/>
      <c r="BS34" s="213"/>
      <c r="BT34" s="213"/>
      <c r="BU34" s="213">
        <v>0.67</v>
      </c>
      <c r="BV34" s="235">
        <v>0.7</v>
      </c>
      <c r="BW34" s="235">
        <v>3.06</v>
      </c>
      <c r="BX34" s="214"/>
      <c r="BY34" s="215"/>
      <c r="BZ34" s="213"/>
      <c r="CA34" s="213"/>
      <c r="CB34" s="213">
        <v>37.869999999999997</v>
      </c>
      <c r="CC34" s="235">
        <v>38.619999999999997</v>
      </c>
      <c r="CD34" s="235">
        <v>35.67</v>
      </c>
      <c r="CE34" s="211"/>
      <c r="CF34" s="212"/>
      <c r="CG34" s="210"/>
      <c r="CH34" s="233">
        <v>177.32</v>
      </c>
      <c r="CI34" s="266">
        <f t="shared" si="30"/>
        <v>88.97</v>
      </c>
      <c r="CJ34" s="453"/>
      <c r="CK34" s="202"/>
      <c r="CL34" s="208"/>
      <c r="CM34" s="208"/>
      <c r="CN34" s="209"/>
      <c r="CO34" s="284"/>
      <c r="CP34" s="286">
        <f t="shared" si="20"/>
        <v>0</v>
      </c>
      <c r="CQ34" s="24">
        <f t="shared" si="20"/>
        <v>0</v>
      </c>
      <c r="CR34" s="25">
        <f t="shared" si="20"/>
        <v>0</v>
      </c>
      <c r="CS34" s="24">
        <f t="shared" si="20"/>
        <v>320.0978781</v>
      </c>
      <c r="CT34" s="27">
        <f t="shared" si="20"/>
        <v>89.799969000000004</v>
      </c>
      <c r="CU34" s="24">
        <f t="shared" si="20"/>
        <v>33.465626799999995</v>
      </c>
      <c r="CV34" s="280">
        <f t="shared" si="20"/>
        <v>0</v>
      </c>
      <c r="CW34" s="30">
        <f t="shared" si="21"/>
        <v>0</v>
      </c>
      <c r="CX34" s="29">
        <f t="shared" si="21"/>
        <v>177.32</v>
      </c>
      <c r="CY34" s="277">
        <f t="shared" si="21"/>
        <v>88.97</v>
      </c>
      <c r="CZ34" s="280">
        <f t="shared" si="21"/>
        <v>0</v>
      </c>
      <c r="DB34" s="293">
        <f t="shared" si="22"/>
        <v>0</v>
      </c>
      <c r="DC34" s="294"/>
      <c r="DD34" s="294"/>
      <c r="DE34" s="295">
        <f t="shared" si="23"/>
        <v>0</v>
      </c>
      <c r="DF34" s="296">
        <f t="shared" si="31"/>
        <v>0</v>
      </c>
      <c r="DI34" s="210">
        <v>243.25700000000001</v>
      </c>
      <c r="DJ34" s="247">
        <f t="shared" si="37"/>
        <v>322.25700000000001</v>
      </c>
      <c r="DK34" s="233">
        <v>69.5</v>
      </c>
      <c r="DL34" s="247">
        <f t="shared" si="33"/>
        <v>88.97</v>
      </c>
    </row>
    <row r="35" spans="1:116" ht="16.5" customHeight="1">
      <c r="A35" s="127">
        <v>29</v>
      </c>
      <c r="B35" s="103">
        <f t="shared" si="24"/>
        <v>421.291</v>
      </c>
      <c r="C35" s="104">
        <f t="shared" si="0"/>
        <v>1.0079686250121649</v>
      </c>
      <c r="D35" s="143">
        <f t="shared" si="1"/>
        <v>417.04451889999996</v>
      </c>
      <c r="E35" s="104">
        <f t="shared" si="2"/>
        <v>37.285440918510005</v>
      </c>
      <c r="F35" s="128">
        <f t="shared" si="3"/>
        <v>2.4458654559849862</v>
      </c>
      <c r="G35" s="106"/>
      <c r="H35" s="107">
        <f t="shared" si="4"/>
        <v>2.4458654559849866</v>
      </c>
      <c r="I35" s="103">
        <f>'[1]сентябрь 20'!AE34</f>
        <v>0</v>
      </c>
      <c r="J35" s="328">
        <f>'[1]июнь 20'!AA34</f>
        <v>0</v>
      </c>
      <c r="K35" s="106"/>
      <c r="L35" s="328"/>
      <c r="M35" s="103">
        <f t="shared" si="5"/>
        <v>0</v>
      </c>
      <c r="N35" s="103">
        <f>'[1]июль 20'!AM34</f>
        <v>6.298</v>
      </c>
      <c r="O35" s="328">
        <f>'[1]июнь 20'!W34</f>
        <v>10.055</v>
      </c>
      <c r="P35" s="103">
        <v>257.87</v>
      </c>
      <c r="Q35" s="108">
        <f t="shared" si="6"/>
        <v>2.1057121805560963</v>
      </c>
      <c r="R35" s="109">
        <f t="shared" si="7"/>
        <v>252.44</v>
      </c>
      <c r="S35" s="131">
        <v>14.35</v>
      </c>
      <c r="T35" s="109">
        <f t="shared" si="8"/>
        <v>252.44</v>
      </c>
      <c r="U35" s="110">
        <f t="shared" si="9"/>
        <v>1.4804996774382735</v>
      </c>
      <c r="V35" s="136">
        <v>131.16999999999999</v>
      </c>
      <c r="W35" s="136">
        <v>170.51</v>
      </c>
      <c r="X35" s="131">
        <v>0.57999999999999996</v>
      </c>
      <c r="Y35" s="133">
        <v>670</v>
      </c>
      <c r="Z35" s="133">
        <v>1233</v>
      </c>
      <c r="AA35" s="144" t="s">
        <v>330</v>
      </c>
      <c r="AB35" s="131">
        <v>75.97</v>
      </c>
      <c r="AC35" s="133">
        <v>129</v>
      </c>
      <c r="AD35" s="134">
        <v>4</v>
      </c>
      <c r="AE35" s="166">
        <v>3.2</v>
      </c>
      <c r="AF35" s="115">
        <f t="shared" si="10"/>
        <v>18.767227728578973</v>
      </c>
      <c r="AG35" s="166">
        <v>114.75</v>
      </c>
      <c r="AH35" s="115">
        <f t="shared" si="11"/>
        <v>672.98105682951143</v>
      </c>
      <c r="AI35" s="139">
        <v>15.37</v>
      </c>
      <c r="AJ35" s="131"/>
      <c r="AK35" s="167">
        <v>10.08</v>
      </c>
      <c r="AL35" s="167">
        <v>42.72</v>
      </c>
      <c r="AM35" s="110">
        <f t="shared" si="12"/>
        <v>0.19325944356480432</v>
      </c>
      <c r="AN35" s="168" t="s">
        <v>161</v>
      </c>
      <c r="AO35" s="405">
        <v>7.98</v>
      </c>
      <c r="AP35" s="169">
        <v>7.65</v>
      </c>
      <c r="AQ35" s="170"/>
      <c r="AR35" s="166">
        <v>9.94</v>
      </c>
      <c r="AS35" s="171">
        <v>221.05</v>
      </c>
      <c r="AT35" s="131">
        <v>2.2599999999999998</v>
      </c>
      <c r="AU35" s="116"/>
      <c r="AV35" s="131"/>
      <c r="AW35" s="109">
        <f t="shared" si="34"/>
        <v>0</v>
      </c>
      <c r="AX35" s="109">
        <f t="shared" si="13"/>
        <v>170.51</v>
      </c>
      <c r="AY35" s="115">
        <f t="shared" si="25"/>
        <v>178.68735416697922</v>
      </c>
      <c r="AZ35" s="140">
        <f t="shared" si="14"/>
        <v>8.8357499999999991</v>
      </c>
      <c r="BA35" s="141">
        <f t="shared" si="35"/>
        <v>6.8203999999999994</v>
      </c>
      <c r="BB35" s="128">
        <f t="shared" si="16"/>
        <v>0.83304848680504939</v>
      </c>
      <c r="BC35" s="141">
        <f t="shared" si="17"/>
        <v>15.656149999999998</v>
      </c>
      <c r="BD35" s="165">
        <v>0.84299999999999997</v>
      </c>
      <c r="BE35" s="16">
        <f t="shared" si="26"/>
        <v>5281.7</v>
      </c>
      <c r="BF35" s="16">
        <f t="shared" si="18"/>
        <v>183.33333333333334</v>
      </c>
      <c r="BG35" s="16">
        <f t="shared" si="27"/>
        <v>5316.6666666666661</v>
      </c>
      <c r="BH35" s="17">
        <f t="shared" si="19"/>
        <v>1</v>
      </c>
      <c r="BI35" s="16">
        <f t="shared" si="28"/>
        <v>5316.6666666666661</v>
      </c>
      <c r="BJ35" s="254"/>
      <c r="BK35" s="197"/>
      <c r="BL35" s="197"/>
      <c r="BM35" s="197">
        <f t="shared" si="36"/>
        <v>304.815</v>
      </c>
      <c r="BN35" s="230">
        <v>83.867000000000004</v>
      </c>
      <c r="BO35" s="230">
        <v>32.609000000000002</v>
      </c>
      <c r="BP35" s="259"/>
      <c r="BQ35" s="199"/>
      <c r="BR35" s="200"/>
      <c r="BS35" s="200"/>
      <c r="BT35" s="200"/>
      <c r="BU35" s="200">
        <v>0.84</v>
      </c>
      <c r="BV35" s="208">
        <v>0.98</v>
      </c>
      <c r="BW35" s="208">
        <v>2.65</v>
      </c>
      <c r="BX35" s="201"/>
      <c r="BY35" s="202"/>
      <c r="BZ35" s="200"/>
      <c r="CA35" s="200"/>
      <c r="CB35" s="200">
        <v>37.67</v>
      </c>
      <c r="CC35" s="208">
        <v>38.25</v>
      </c>
      <c r="CD35" s="208">
        <v>31.21</v>
      </c>
      <c r="CE35" s="209"/>
      <c r="CF35" s="199"/>
      <c r="CG35" s="197"/>
      <c r="CH35" s="230">
        <v>168.47</v>
      </c>
      <c r="CI35" s="266">
        <f t="shared" si="30"/>
        <v>83.97</v>
      </c>
      <c r="CJ35" s="453"/>
      <c r="CK35" s="202"/>
      <c r="CL35" s="208"/>
      <c r="CM35" s="208"/>
      <c r="CN35" s="209"/>
      <c r="CP35" s="286">
        <f t="shared" si="20"/>
        <v>0</v>
      </c>
      <c r="CQ35" s="24">
        <f t="shared" si="20"/>
        <v>0</v>
      </c>
      <c r="CR35" s="24">
        <f t="shared" si="20"/>
        <v>0</v>
      </c>
      <c r="CS35" s="24">
        <f t="shared" si="20"/>
        <v>302.25455399999998</v>
      </c>
      <c r="CT35" s="27">
        <f t="shared" si="20"/>
        <v>83.045103400000002</v>
      </c>
      <c r="CU35" s="27">
        <f t="shared" si="20"/>
        <v>31.744861499999999</v>
      </c>
      <c r="CV35" s="280">
        <f t="shared" si="20"/>
        <v>0</v>
      </c>
      <c r="CW35" s="237">
        <f t="shared" si="21"/>
        <v>0</v>
      </c>
      <c r="CX35" s="26">
        <f t="shared" si="21"/>
        <v>168.47</v>
      </c>
      <c r="CY35" s="277">
        <f t="shared" si="21"/>
        <v>83.97</v>
      </c>
      <c r="CZ35" s="280">
        <f t="shared" si="21"/>
        <v>0</v>
      </c>
      <c r="DB35" s="293">
        <f t="shared" si="22"/>
        <v>0</v>
      </c>
      <c r="DC35" s="294"/>
      <c r="DD35" s="294"/>
      <c r="DE35" s="295">
        <f t="shared" si="23"/>
        <v>0</v>
      </c>
      <c r="DF35" s="296">
        <f t="shared" si="31"/>
        <v>0</v>
      </c>
      <c r="DI35" s="197">
        <v>225.815</v>
      </c>
      <c r="DJ35" s="247">
        <f t="shared" si="37"/>
        <v>304.815</v>
      </c>
      <c r="DK35" s="230">
        <v>64.5</v>
      </c>
      <c r="DL35" s="247">
        <f t="shared" si="33"/>
        <v>83.97</v>
      </c>
    </row>
    <row r="36" spans="1:116" ht="16.5" customHeight="1">
      <c r="A36" s="127">
        <v>30</v>
      </c>
      <c r="B36" s="103">
        <f t="shared" si="24"/>
        <v>318.416</v>
      </c>
      <c r="C36" s="104">
        <f t="shared" si="0"/>
        <v>1.5885067647354405</v>
      </c>
      <c r="D36" s="143">
        <f t="shared" si="1"/>
        <v>313.3579403</v>
      </c>
      <c r="E36" s="104">
        <f t="shared" si="2"/>
        <v>37.507408610120095</v>
      </c>
      <c r="F36" s="128">
        <f t="shared" si="3"/>
        <v>3.0821081961247168</v>
      </c>
      <c r="G36" s="106"/>
      <c r="H36" s="107">
        <f t="shared" si="4"/>
        <v>3.0821081961247168</v>
      </c>
      <c r="I36" s="103">
        <f>'[1]сентябрь 20'!AE35</f>
        <v>0</v>
      </c>
      <c r="J36" s="328">
        <f>'[1]июнь 20'!AA35</f>
        <v>0</v>
      </c>
      <c r="K36" s="106">
        <v>23.16</v>
      </c>
      <c r="L36" s="328"/>
      <c r="M36" s="103">
        <f t="shared" si="5"/>
        <v>0</v>
      </c>
      <c r="N36" s="103">
        <f>'[1]июль 20'!AM35</f>
        <v>7.1239999999999997</v>
      </c>
      <c r="O36" s="103">
        <f>'[1]июнь 20'!W35</f>
        <v>9.2780000000000005</v>
      </c>
      <c r="P36" s="103">
        <v>193.29</v>
      </c>
      <c r="Q36" s="108">
        <f t="shared" si="6"/>
        <v>1.7641885250142209</v>
      </c>
      <c r="R36" s="109">
        <f t="shared" si="7"/>
        <v>189.88</v>
      </c>
      <c r="S36" s="131">
        <v>1.98</v>
      </c>
      <c r="T36" s="109">
        <f t="shared" si="8"/>
        <v>189.88</v>
      </c>
      <c r="U36" s="110">
        <f t="shared" si="9"/>
        <v>1.8676108980033439</v>
      </c>
      <c r="V36" s="136">
        <v>64.91</v>
      </c>
      <c r="W36" s="136">
        <v>101.67</v>
      </c>
      <c r="X36" s="131">
        <v>0.33</v>
      </c>
      <c r="Y36" s="133">
        <v>666</v>
      </c>
      <c r="Z36" s="133">
        <v>1178</v>
      </c>
      <c r="AA36" s="144" t="s">
        <v>339</v>
      </c>
      <c r="AB36" s="131">
        <v>75.23</v>
      </c>
      <c r="AC36" s="133">
        <v>93</v>
      </c>
      <c r="AD36" s="134">
        <v>3</v>
      </c>
      <c r="AE36" s="131"/>
      <c r="AF36" s="115">
        <f t="shared" si="10"/>
        <v>0</v>
      </c>
      <c r="AG36" s="131">
        <v>84.45</v>
      </c>
      <c r="AH36" s="115">
        <f t="shared" si="11"/>
        <v>830.62850398347587</v>
      </c>
      <c r="AI36" s="139">
        <v>14.03</v>
      </c>
      <c r="AJ36" s="131"/>
      <c r="AK36" s="136">
        <v>6.1</v>
      </c>
      <c r="AL36" s="136">
        <v>36.03</v>
      </c>
      <c r="AM36" s="110">
        <f t="shared" si="12"/>
        <v>0.25055632823365787</v>
      </c>
      <c r="AN36" s="137" t="s">
        <v>215</v>
      </c>
      <c r="AO36" s="150">
        <v>8.0299999999999994</v>
      </c>
      <c r="AP36" s="138">
        <v>7.06</v>
      </c>
      <c r="AQ36" s="134"/>
      <c r="AR36" s="131">
        <v>9.01</v>
      </c>
      <c r="AS36" s="139">
        <v>143.80000000000001</v>
      </c>
      <c r="AT36" s="131"/>
      <c r="AU36" s="116"/>
      <c r="AV36" s="131"/>
      <c r="AW36" s="109">
        <f t="shared" si="34"/>
        <v>0</v>
      </c>
      <c r="AX36" s="109">
        <f t="shared" si="13"/>
        <v>101.67000000000002</v>
      </c>
      <c r="AY36" s="115">
        <f t="shared" si="25"/>
        <v>136.38950260447146</v>
      </c>
      <c r="AZ36" s="140">
        <f t="shared" si="14"/>
        <v>5.8942531690140845</v>
      </c>
      <c r="BA36" s="141">
        <f t="shared" si="35"/>
        <v>4.0668000000000006</v>
      </c>
      <c r="BB36" s="128">
        <f t="shared" si="16"/>
        <v>0.65076789859258677</v>
      </c>
      <c r="BC36" s="141">
        <f t="shared" si="17"/>
        <v>9.961053169014086</v>
      </c>
      <c r="BD36" s="165">
        <v>0.83899999999999997</v>
      </c>
      <c r="BE36" s="16">
        <f t="shared" si="26"/>
        <v>5383.37</v>
      </c>
      <c r="BF36" s="16">
        <f t="shared" si="18"/>
        <v>183.33333333333334</v>
      </c>
      <c r="BG36" s="16">
        <f t="shared" si="27"/>
        <v>5499.9999999999991</v>
      </c>
      <c r="BH36" s="17">
        <f t="shared" si="19"/>
        <v>1</v>
      </c>
      <c r="BI36" s="16">
        <f t="shared" si="28"/>
        <v>5499.9999999999991</v>
      </c>
      <c r="BJ36" s="254"/>
      <c r="BK36" s="197"/>
      <c r="BL36" s="197"/>
      <c r="BM36" s="197">
        <f t="shared" si="36"/>
        <v>236.24900000000002</v>
      </c>
      <c r="BN36" s="230">
        <v>60.600999999999999</v>
      </c>
      <c r="BO36" s="230">
        <v>21.565999999999999</v>
      </c>
      <c r="BP36" s="258"/>
      <c r="BQ36" s="199"/>
      <c r="BR36" s="200"/>
      <c r="BS36" s="200"/>
      <c r="BT36" s="200"/>
      <c r="BU36" s="200">
        <v>1.39</v>
      </c>
      <c r="BV36" s="208">
        <v>1.28</v>
      </c>
      <c r="BW36" s="208">
        <v>4.63</v>
      </c>
      <c r="BX36" s="201"/>
      <c r="BY36" s="202"/>
      <c r="BZ36" s="200"/>
      <c r="CA36" s="200"/>
      <c r="CB36" s="200">
        <v>37.75</v>
      </c>
      <c r="CC36" s="208">
        <v>37.97</v>
      </c>
      <c r="CD36" s="208">
        <v>33.549999999999997</v>
      </c>
      <c r="CE36" s="209"/>
      <c r="CF36" s="199"/>
      <c r="CG36" s="197"/>
      <c r="CH36" s="230">
        <v>106.17</v>
      </c>
      <c r="CI36" s="266">
        <f t="shared" si="30"/>
        <v>83.710000000000008</v>
      </c>
      <c r="CJ36" s="453"/>
      <c r="CK36" s="202"/>
      <c r="CL36" s="208"/>
      <c r="CM36" s="208"/>
      <c r="CN36" s="209"/>
      <c r="CP36" s="286">
        <f t="shared" si="20"/>
        <v>0</v>
      </c>
      <c r="CQ36" s="27">
        <f t="shared" si="20"/>
        <v>0</v>
      </c>
      <c r="CR36" s="28">
        <f t="shared" si="20"/>
        <v>0</v>
      </c>
      <c r="CS36" s="27">
        <f t="shared" si="20"/>
        <v>232.96513890000003</v>
      </c>
      <c r="CT36" s="27">
        <f t="shared" si="20"/>
        <v>59.825307199999997</v>
      </c>
      <c r="CU36" s="29">
        <f t="shared" si="20"/>
        <v>20.567494199999999</v>
      </c>
      <c r="CV36" s="281">
        <f t="shared" si="20"/>
        <v>0</v>
      </c>
      <c r="CW36" s="25">
        <f t="shared" si="21"/>
        <v>0</v>
      </c>
      <c r="CX36" s="24">
        <f t="shared" si="21"/>
        <v>106.17</v>
      </c>
      <c r="CY36" s="277">
        <f t="shared" si="21"/>
        <v>83.710000000000008</v>
      </c>
      <c r="CZ36" s="280">
        <f t="shared" si="21"/>
        <v>0</v>
      </c>
      <c r="DB36" s="293">
        <f t="shared" si="22"/>
        <v>0</v>
      </c>
      <c r="DC36" s="294"/>
      <c r="DD36" s="294"/>
      <c r="DE36" s="295">
        <f t="shared" si="23"/>
        <v>0</v>
      </c>
      <c r="DF36" s="296">
        <f t="shared" si="31"/>
        <v>0</v>
      </c>
      <c r="DI36" s="197">
        <v>166.703</v>
      </c>
      <c r="DJ36" s="247">
        <f>DI36+69.546</f>
        <v>236.24900000000002</v>
      </c>
      <c r="DK36" s="230">
        <v>64.180000000000007</v>
      </c>
      <c r="DL36" s="247">
        <f>DK36+19.53</f>
        <v>83.710000000000008</v>
      </c>
    </row>
    <row r="37" spans="1:116" ht="16.5" customHeight="1" thickBot="1">
      <c r="A37" s="172">
        <v>31</v>
      </c>
      <c r="B37" s="103">
        <f>'[1]июнь 20'!K36</f>
        <v>0</v>
      </c>
      <c r="C37" s="104">
        <f t="shared" si="0"/>
        <v>0</v>
      </c>
      <c r="D37" s="173">
        <f t="shared" si="1"/>
        <v>0</v>
      </c>
      <c r="E37" s="104">
        <f t="shared" si="2"/>
        <v>0</v>
      </c>
      <c r="F37" s="174">
        <f t="shared" si="3"/>
        <v>0</v>
      </c>
      <c r="G37" s="106"/>
      <c r="H37" s="107">
        <f t="shared" si="4"/>
        <v>0</v>
      </c>
      <c r="I37" s="103">
        <f>'[1]сентябрь 20'!AE36</f>
        <v>0</v>
      </c>
      <c r="J37" s="328">
        <f>'[1]июнь 20'!AA36</f>
        <v>0</v>
      </c>
      <c r="K37" s="106"/>
      <c r="L37" s="328">
        <f>'[1]июнь 20'!AI36</f>
        <v>0</v>
      </c>
      <c r="M37" s="103">
        <f t="shared" si="5"/>
        <v>0</v>
      </c>
      <c r="N37" s="103">
        <f>'[1]июль 20'!AM36</f>
        <v>6.7409999999999997</v>
      </c>
      <c r="O37" s="103">
        <f>'[1]июнь 20'!W36</f>
        <v>0</v>
      </c>
      <c r="P37" s="103">
        <f>'[1]июнь 20'!S36</f>
        <v>0</v>
      </c>
      <c r="Q37" s="108">
        <f t="shared" si="6"/>
        <v>0</v>
      </c>
      <c r="R37" s="175">
        <f t="shared" si="7"/>
        <v>0</v>
      </c>
      <c r="S37" s="176"/>
      <c r="T37" s="109">
        <f t="shared" si="8"/>
        <v>0</v>
      </c>
      <c r="U37" s="227">
        <f t="shared" si="9"/>
        <v>0</v>
      </c>
      <c r="V37" s="177"/>
      <c r="W37" s="177"/>
      <c r="X37" s="176"/>
      <c r="Y37" s="178"/>
      <c r="Z37" s="178"/>
      <c r="AA37" s="179"/>
      <c r="AB37" s="176"/>
      <c r="AC37" s="178"/>
      <c r="AD37" s="180"/>
      <c r="AE37" s="176"/>
      <c r="AF37" s="115">
        <f t="shared" si="10"/>
        <v>0</v>
      </c>
      <c r="AG37" s="176"/>
      <c r="AH37" s="181">
        <f t="shared" si="11"/>
        <v>0</v>
      </c>
      <c r="AI37" s="182"/>
      <c r="AJ37" s="176"/>
      <c r="AK37" s="177"/>
      <c r="AL37" s="177"/>
      <c r="AM37" s="227">
        <f t="shared" si="12"/>
        <v>0</v>
      </c>
      <c r="AN37" s="183"/>
      <c r="AO37" s="406"/>
      <c r="AP37" s="184"/>
      <c r="AQ37" s="180"/>
      <c r="AR37" s="176"/>
      <c r="AS37" s="176"/>
      <c r="AT37" s="131"/>
      <c r="AU37" s="176"/>
      <c r="AV37" s="176"/>
      <c r="AW37" s="185">
        <f t="shared" si="34"/>
        <v>0</v>
      </c>
      <c r="AX37" s="109">
        <f t="shared" si="13"/>
        <v>0</v>
      </c>
      <c r="AY37" s="115">
        <f t="shared" si="25"/>
        <v>0</v>
      </c>
      <c r="AZ37" s="186">
        <f t="shared" si="14"/>
        <v>0</v>
      </c>
      <c r="BA37" s="181">
        <f t="shared" si="35"/>
        <v>0</v>
      </c>
      <c r="BB37" s="174">
        <f t="shared" si="16"/>
        <v>0</v>
      </c>
      <c r="BC37" s="181">
        <f t="shared" si="17"/>
        <v>0</v>
      </c>
      <c r="BD37" s="187"/>
      <c r="BE37" s="16">
        <f t="shared" si="26"/>
        <v>5383.37</v>
      </c>
      <c r="BF37" s="16">
        <f t="shared" si="18"/>
        <v>0</v>
      </c>
      <c r="BG37" s="16">
        <f t="shared" si="27"/>
        <v>5499.9999999999991</v>
      </c>
      <c r="BH37" s="17">
        <f t="shared" si="19"/>
        <v>0</v>
      </c>
      <c r="BI37" s="16">
        <f t="shared" si="28"/>
        <v>5499.9999999999991</v>
      </c>
      <c r="BJ37" s="256"/>
      <c r="BK37" s="257"/>
      <c r="BL37" s="257"/>
      <c r="BM37" s="257"/>
      <c r="BN37" s="261"/>
      <c r="BO37" s="261"/>
      <c r="BP37" s="262"/>
      <c r="BQ37" s="219"/>
      <c r="BR37" s="220"/>
      <c r="BS37" s="220"/>
      <c r="BT37" s="220"/>
      <c r="BU37" s="220"/>
      <c r="BV37" s="224"/>
      <c r="BW37" s="224"/>
      <c r="BX37" s="221"/>
      <c r="BY37" s="222"/>
      <c r="BZ37" s="220"/>
      <c r="CA37" s="220"/>
      <c r="CB37" s="220"/>
      <c r="CC37" s="224"/>
      <c r="CD37" s="224"/>
      <c r="CE37" s="221"/>
      <c r="CF37" s="219"/>
      <c r="CG37" s="217"/>
      <c r="CH37" s="217"/>
      <c r="CI37" s="465"/>
      <c r="CJ37" s="223"/>
      <c r="CK37" s="222"/>
      <c r="CL37" s="224"/>
      <c r="CM37" s="224"/>
      <c r="CN37" s="218"/>
      <c r="CP37" s="287">
        <f t="shared" si="20"/>
        <v>0</v>
      </c>
      <c r="CQ37" s="32">
        <f t="shared" si="20"/>
        <v>0</v>
      </c>
      <c r="CR37" s="30">
        <f t="shared" si="20"/>
        <v>0</v>
      </c>
      <c r="CS37" s="246">
        <f t="shared" si="20"/>
        <v>0</v>
      </c>
      <c r="CT37" s="27">
        <f t="shared" si="20"/>
        <v>0</v>
      </c>
      <c r="CU37" s="26">
        <f t="shared" si="20"/>
        <v>0</v>
      </c>
      <c r="CV37" s="282">
        <f t="shared" si="20"/>
        <v>0</v>
      </c>
      <c r="CW37" s="30">
        <f t="shared" si="21"/>
        <v>0</v>
      </c>
      <c r="CX37" s="32">
        <f t="shared" si="21"/>
        <v>0</v>
      </c>
      <c r="CY37" s="246">
        <f t="shared" si="21"/>
        <v>0</v>
      </c>
      <c r="CZ37" s="280">
        <f t="shared" si="21"/>
        <v>0</v>
      </c>
      <c r="DB37" s="293">
        <f t="shared" si="22"/>
        <v>0</v>
      </c>
      <c r="DC37" s="298"/>
      <c r="DD37" s="298"/>
      <c r="DE37" s="295">
        <f t="shared" si="23"/>
        <v>0</v>
      </c>
      <c r="DF37" s="296">
        <f t="shared" si="31"/>
        <v>0</v>
      </c>
      <c r="DK37" s="233"/>
      <c r="DL37" s="247"/>
    </row>
    <row r="38" spans="1:116" ht="16.5" customHeight="1" thickBot="1">
      <c r="A38" s="55" t="s">
        <v>58</v>
      </c>
      <c r="B38" s="188">
        <f>SUM(B7:B37)</f>
        <v>13107.566000299999</v>
      </c>
      <c r="C38" s="326"/>
      <c r="D38" s="327">
        <f>SUM(D7:D37)</f>
        <v>13027.754273899998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0</v>
      </c>
      <c r="K38" s="188">
        <f>SUM(K7:K37)</f>
        <v>179.79999999999998</v>
      </c>
      <c r="L38" s="331">
        <f>SUM(L7:L37)</f>
        <v>0</v>
      </c>
      <c r="M38" s="342"/>
      <c r="N38" s="342">
        <f>SUM(N7:N37)</f>
        <v>85.77</v>
      </c>
      <c r="O38" s="331">
        <f>SUM(O7:O37)</f>
        <v>19.332999999999998</v>
      </c>
      <c r="P38" s="188">
        <f>SUM(P7:P37)</f>
        <v>7925.0999999999985</v>
      </c>
      <c r="Q38" s="342"/>
      <c r="R38" s="341">
        <f>SUM(R7:R37)</f>
        <v>7805.8900002999999</v>
      </c>
      <c r="S38" s="343">
        <f>SUM(S7:S37)</f>
        <v>611.66000000000008</v>
      </c>
      <c r="T38" s="341">
        <f>SUM(T7:T37)</f>
        <v>7805.8900002999999</v>
      </c>
      <c r="U38" s="344"/>
      <c r="V38" s="194">
        <f>SUM(V7:V37)</f>
        <v>4386.5700000000006</v>
      </c>
      <c r="W38" s="194">
        <f>SUM(W7:W37)</f>
        <v>4908.9100000000008</v>
      </c>
      <c r="X38" s="345"/>
      <c r="Y38" s="346"/>
      <c r="Z38" s="347"/>
      <c r="AA38" s="348"/>
      <c r="AB38" s="345"/>
      <c r="AC38" s="345"/>
      <c r="AD38" s="459">
        <f>SUM(AD7:AD37)</f>
        <v>117</v>
      </c>
      <c r="AE38" s="194">
        <f>SUM(AE7:AE37)</f>
        <v>71.349999999999994</v>
      </c>
      <c r="AF38" s="349"/>
      <c r="AG38" s="194">
        <f>SUM(AG7:AG37)</f>
        <v>3459.7499999999995</v>
      </c>
      <c r="AH38" s="343"/>
      <c r="AI38" s="338">
        <f>SUM(AI7:AI37)</f>
        <v>464.0499999999999</v>
      </c>
      <c r="AJ38" s="343">
        <f>SUM(AJ7:AJ37)</f>
        <v>0</v>
      </c>
      <c r="AK38" s="337">
        <f>SUM(AK7:AK37)</f>
        <v>247.59000000000006</v>
      </c>
      <c r="AL38" s="395">
        <f>SUM(AL7:AL37)</f>
        <v>1323.5900000000001</v>
      </c>
      <c r="AM38" s="350"/>
      <c r="AN38" s="351"/>
      <c r="AO38" s="343"/>
      <c r="AP38" s="351"/>
      <c r="AQ38" s="351"/>
      <c r="AR38" s="352"/>
      <c r="AS38" s="337">
        <f>SUM(AS7:AS37)</f>
        <v>6877.95</v>
      </c>
      <c r="AT38" s="341">
        <f>SUM(AT7:AT37)</f>
        <v>76.600000000000009</v>
      </c>
      <c r="AU38" s="343">
        <f>SUM(AU7:AU36)</f>
        <v>0</v>
      </c>
      <c r="AV38" s="343">
        <f>SUM(AV7:AV37)</f>
        <v>0</v>
      </c>
      <c r="AW38" s="340"/>
      <c r="AX38" s="252">
        <f>SUM(AX7:AX37)</f>
        <v>5383.37</v>
      </c>
      <c r="AY38" s="252">
        <f>SUM(AY7:AY37)</f>
        <v>5602.410116391321</v>
      </c>
      <c r="AZ38" s="351">
        <f>SUM(AZ7:AZ36)</f>
        <v>223.71272852112679</v>
      </c>
      <c r="BA38" s="351">
        <f>SUM(BA7:BA36)</f>
        <v>207.74920000000003</v>
      </c>
      <c r="BB38" s="340"/>
      <c r="BC38" s="351">
        <f>SUM(BC7:BC37)</f>
        <v>431.46192852112677</v>
      </c>
      <c r="BD38" s="353"/>
      <c r="BE38" s="16"/>
      <c r="BF38" s="16">
        <f t="shared" si="18"/>
        <v>0</v>
      </c>
      <c r="BG38" s="16"/>
      <c r="BH38" s="17">
        <f>SUM(BH7:BH37)</f>
        <v>30</v>
      </c>
      <c r="BI38" s="33"/>
      <c r="BJ38" s="228">
        <f t="shared" ref="BJ38:BP38" si="38">SUM(BJ7:BJ37)</f>
        <v>6213.1409999999978</v>
      </c>
      <c r="BK38" s="38">
        <f t="shared" si="38"/>
        <v>9.9999999999999995E-8</v>
      </c>
      <c r="BL38" s="38">
        <f t="shared" si="38"/>
        <v>9.9999999999999995E-8</v>
      </c>
      <c r="BM38" s="38">
        <f t="shared" si="38"/>
        <v>2760.1530001000001</v>
      </c>
      <c r="BN38" s="38">
        <f t="shared" si="38"/>
        <v>3234.0950000000007</v>
      </c>
      <c r="BO38" s="38">
        <f>SUM(BO7:BO37)</f>
        <v>900.17700000000013</v>
      </c>
      <c r="BP38" s="38">
        <f t="shared" si="38"/>
        <v>9.9999999999999995E-8</v>
      </c>
      <c r="BQ38" s="236">
        <f>SUM(BQ7:BQ36)</f>
        <v>9.9999999999999995E-8</v>
      </c>
      <c r="BR38" s="241"/>
      <c r="BS38" s="35"/>
      <c r="BT38" s="35"/>
      <c r="BU38" s="35"/>
      <c r="BV38" s="236"/>
      <c r="BW38" s="236"/>
      <c r="BX38" s="36"/>
      <c r="BY38" s="34"/>
      <c r="BZ38" s="35"/>
      <c r="CA38" s="35"/>
      <c r="CB38" s="35"/>
      <c r="CC38" s="236"/>
      <c r="CD38" s="236"/>
      <c r="CE38" s="36"/>
      <c r="CF38" s="37"/>
      <c r="CG38" s="38">
        <f>SUM(CG7:CG37)</f>
        <v>9.9999999999999995E-8</v>
      </c>
      <c r="CH38" s="457">
        <f>SUM(CH7:CH37)</f>
        <v>1053.1600000999999</v>
      </c>
      <c r="CI38" s="457">
        <f>SUM(CI7:CI37)</f>
        <v>6752.7300000000023</v>
      </c>
      <c r="CJ38" s="40">
        <f>SUM(CJ7:CJ37)</f>
        <v>9.9999999999999995E-8</v>
      </c>
      <c r="CK38" s="34"/>
      <c r="CL38" s="35"/>
      <c r="CM38" s="236"/>
      <c r="CN38" s="36"/>
      <c r="CP38" s="189">
        <f t="shared" ref="CP38:CZ38" si="39">SUM(CP7:CP37)</f>
        <v>6182.9112490000007</v>
      </c>
      <c r="CQ38" s="190">
        <f t="shared" si="39"/>
        <v>9.99999999E-8</v>
      </c>
      <c r="CR38" s="191">
        <f t="shared" si="39"/>
        <v>9.99999999E-8</v>
      </c>
      <c r="CS38" s="192">
        <f t="shared" si="39"/>
        <v>2735.3599137000001</v>
      </c>
      <c r="CT38" s="192">
        <f t="shared" si="39"/>
        <v>3220.5527875999996</v>
      </c>
      <c r="CU38" s="192">
        <f t="shared" si="39"/>
        <v>888.93032340000013</v>
      </c>
      <c r="CV38" s="278">
        <f t="shared" si="39"/>
        <v>9.99999999E-8</v>
      </c>
      <c r="CW38" s="278">
        <f t="shared" si="39"/>
        <v>9.99999999E-8</v>
      </c>
      <c r="CX38" s="192">
        <f t="shared" si="39"/>
        <v>1053.1600000999999</v>
      </c>
      <c r="CY38" s="192">
        <f t="shared" si="39"/>
        <v>6752.7299997252721</v>
      </c>
      <c r="CZ38" s="192">
        <f t="shared" si="39"/>
        <v>9.99999999E-8</v>
      </c>
      <c r="DB38" s="299">
        <f>SUM(DB7:DB37)</f>
        <v>0</v>
      </c>
      <c r="DC38" s="300" t="e">
        <f>(SUMPRODUCT(DB7:DB37,DC7:DC37))/DB38</f>
        <v>#DIV/0!</v>
      </c>
      <c r="DD38" s="300" t="e">
        <f>(SUMPRODUCT(DB7:DB37,DD7:DD37))/DB38</f>
        <v>#DIV/0!</v>
      </c>
      <c r="DE38" s="299">
        <f>SUM(DE7:DE37)</f>
        <v>0</v>
      </c>
      <c r="DF38" s="301">
        <f>SUM(DF7:DF37)</f>
        <v>0</v>
      </c>
      <c r="DK38" s="230"/>
      <c r="DL38" s="247"/>
    </row>
    <row r="39" spans="1:116" ht="16.5" customHeight="1" thickBot="1">
      <c r="A39" s="56" t="s">
        <v>59</v>
      </c>
      <c r="B39" s="84">
        <f>B38/AS2</f>
        <v>436.91886667666665</v>
      </c>
      <c r="C39" s="84">
        <f>(BJ38*BR39+BK38*BS39+BM38*BU39+BP38*BX39+BL38*BT39+BO38*BW39+BN38*BV39)/B38</f>
        <v>0.60889814629331873</v>
      </c>
      <c r="D39" s="82"/>
      <c r="E39" s="354">
        <f>(BJ38*BY39+BK38*BZ39+BM38*CB39+BP38*CE39+BL38*CA39+BO38*CD39+BN38*CC39)/B38</f>
        <v>37.279539814548038</v>
      </c>
      <c r="F39" s="355">
        <f>IF(AX38=0,0,D38/AX38)</f>
        <v>2.4199997908187618</v>
      </c>
      <c r="G39" s="354">
        <f>G38/AS2</f>
        <v>0</v>
      </c>
      <c r="H39" s="355">
        <f>IF(AX38=0,0,(CV38+CS38+CU38+CP38+CT38)/AX38)</f>
        <v>2.4199997908001865</v>
      </c>
      <c r="I39" s="354">
        <f>I38/AS2</f>
        <v>0</v>
      </c>
      <c r="J39" s="354">
        <f>J38/AS2</f>
        <v>0</v>
      </c>
      <c r="K39" s="354">
        <f>K38/AS2</f>
        <v>5.9933333333333332</v>
      </c>
      <c r="L39" s="354">
        <f>L38/AS2</f>
        <v>0</v>
      </c>
      <c r="M39" s="355">
        <f>IF($AX$38=0,0,(CR38+CQ38)/$AX$38)</f>
        <v>3.7151449705296123E-11</v>
      </c>
      <c r="N39" s="354">
        <f>N38/AS2</f>
        <v>2.859</v>
      </c>
      <c r="O39" s="354">
        <f>O38/AS2</f>
        <v>0.6444333333333333</v>
      </c>
      <c r="P39" s="356">
        <f>P38/AS2</f>
        <v>264.16999999999996</v>
      </c>
      <c r="Q39" s="354">
        <f>(SUMPRODUCT(P7:P37,Q7:Q37))/P38</f>
        <v>1.5042081450076328</v>
      </c>
      <c r="R39" s="357"/>
      <c r="S39" s="354">
        <f>S38/AS2</f>
        <v>20.388666666666669</v>
      </c>
      <c r="T39" s="354">
        <f>T38/AS2:AS2</f>
        <v>260.19633334333332</v>
      </c>
      <c r="U39" s="358">
        <f>IF($AX$38=0,0,R38/$AX$38)</f>
        <v>1.4500006502060976</v>
      </c>
      <c r="V39" s="354">
        <f>V38/AS2</f>
        <v>146.21900000000002</v>
      </c>
      <c r="W39" s="354">
        <f>W38/AS2</f>
        <v>163.63033333333337</v>
      </c>
      <c r="X39" s="354">
        <f>(SUMPRODUCT(X7:X37,AX7:AX37))/AX38</f>
        <v>0.62728404326657838</v>
      </c>
      <c r="Y39" s="359">
        <f>AVERAGE(Y7:Y37)</f>
        <v>622.36666666666667</v>
      </c>
      <c r="Z39" s="359">
        <f>AVERAGE(Z7:Z37)</f>
        <v>1223.3666666666666</v>
      </c>
      <c r="AA39" s="359"/>
      <c r="AB39" s="354">
        <f>(SUMPRODUCT(AB7:AB37,AX7:AX37))/AX38</f>
        <v>75.666016955921648</v>
      </c>
      <c r="AC39" s="360">
        <f>AVERAGE(AC7:AC37)</f>
        <v>137.06666666666666</v>
      </c>
      <c r="AD39" s="360">
        <f>AVERAGE(AD7:AD37)</f>
        <v>3.9</v>
      </c>
      <c r="AE39" s="354">
        <f>AE38/AS2</f>
        <v>2.378333333333333</v>
      </c>
      <c r="AF39" s="361">
        <f>IF(AX38=0,0,AE38/AX38*1000)</f>
        <v>13.253779695618171</v>
      </c>
      <c r="AG39" s="361">
        <f>AG38/AS2</f>
        <v>115.32499999999999</v>
      </c>
      <c r="AH39" s="361">
        <f>IF(AX38=0,0,AG38/AX38*1000)</f>
        <v>642.67364123216487</v>
      </c>
      <c r="AI39" s="354">
        <f>AI38/AS2</f>
        <v>15.46833333333333</v>
      </c>
      <c r="AJ39" s="359"/>
      <c r="AK39" s="354">
        <f>AK38/AS2</f>
        <v>8.2530000000000019</v>
      </c>
      <c r="AL39" s="354">
        <f>AL38/AS2</f>
        <v>44.119666666666674</v>
      </c>
      <c r="AM39" s="346">
        <f>IF(AL39=0,0,AL39/AS39)</f>
        <v>0.19243960773195506</v>
      </c>
      <c r="AN39" s="361">
        <f>SUM(AN8:AN38)</f>
        <v>0</v>
      </c>
      <c r="AO39" s="354">
        <f>AVERAGE(AO7:AO37)</f>
        <v>8.9386666666666663</v>
      </c>
      <c r="AP39" s="354">
        <f>AVERAGE(AP7:AP37)</f>
        <v>7.6676666666666655</v>
      </c>
      <c r="AQ39" s="362"/>
      <c r="AR39" s="354">
        <f>AVERAGE(AR7:AR37)</f>
        <v>8.3260000000000005</v>
      </c>
      <c r="AS39" s="363">
        <f>AS38/AS2</f>
        <v>229.26499999999999</v>
      </c>
      <c r="AT39" s="363">
        <f>AT38/AS2</f>
        <v>2.5533333333333337</v>
      </c>
      <c r="AU39" s="362" t="e">
        <f>AU38/AV2</f>
        <v>#DIV/0!</v>
      </c>
      <c r="AV39" s="354">
        <f>AV38/AS2</f>
        <v>0</v>
      </c>
      <c r="AW39" s="354">
        <f>IF(AX39=0,0,AV39/AX39*100)</f>
        <v>0</v>
      </c>
      <c r="AX39" s="361">
        <f>AX38/AS2</f>
        <v>179.44566666666665</v>
      </c>
      <c r="AY39" s="354">
        <f>AY38/AS2</f>
        <v>186.74700387971069</v>
      </c>
      <c r="AZ39" s="362" t="e">
        <f>AZ38/$AV$2</f>
        <v>#DIV/0!</v>
      </c>
      <c r="BA39" s="362" t="e">
        <f>BA38/$AV$2</f>
        <v>#DIV/0!</v>
      </c>
      <c r="BB39" s="355">
        <f>(AX38*AB39)/(D38*E39)</f>
        <v>0.83871614332017974</v>
      </c>
      <c r="BC39" s="354">
        <f>BC38/AS2</f>
        <v>14.382064284037559</v>
      </c>
      <c r="BD39" s="364">
        <f>BD38/AS2</f>
        <v>0</v>
      </c>
      <c r="BE39" s="16"/>
      <c r="BF39" s="16"/>
      <c r="BG39" s="16"/>
      <c r="BH39" s="16"/>
      <c r="BI39" s="18"/>
      <c r="BJ39" s="41"/>
      <c r="BK39" s="42"/>
      <c r="BL39" s="42"/>
      <c r="BM39" s="42"/>
      <c r="BN39" s="42"/>
      <c r="BO39" s="42"/>
      <c r="BP39" s="43"/>
      <c r="BQ39" s="20"/>
      <c r="BR39" s="242">
        <f>(SUMPRODUCT(BJ7:BJ37,BR7:BR37))/BJ38</f>
        <v>0.48654538823438914</v>
      </c>
      <c r="BS39" s="42">
        <f t="shared" ref="BS39:BX39" si="40">(SUMPRODUCT(BK7:BK37,BS7:BS37))/BK38</f>
        <v>9.9999999999999982E-8</v>
      </c>
      <c r="BT39" s="42">
        <f t="shared" si="40"/>
        <v>9.9999999999999982E-8</v>
      </c>
      <c r="BU39" s="42">
        <f t="shared" si="40"/>
        <v>0.89825043753377987</v>
      </c>
      <c r="BV39" s="42">
        <f t="shared" si="40"/>
        <v>0.41873267173660622</v>
      </c>
      <c r="BW39" s="46">
        <f>(SUMPRODUCT(BO7:BO37,BW7:BW37))/BO38</f>
        <v>1.2493850209458806</v>
      </c>
      <c r="BX39" s="240">
        <f t="shared" si="40"/>
        <v>9.9999999999999982E-8</v>
      </c>
      <c r="BY39" s="41">
        <f t="shared" ref="BY39:CE39" si="41">(SUMPRODUCT(BJ7:BJ37,BY7:BY37))/BJ38</f>
        <v>37.207698606872121</v>
      </c>
      <c r="BZ39" s="42">
        <f t="shared" si="41"/>
        <v>9.9999999999999982E-8</v>
      </c>
      <c r="CA39" s="42">
        <f t="shared" si="41"/>
        <v>9.9999999999999982E-8</v>
      </c>
      <c r="CB39" s="42">
        <f t="shared" si="41"/>
        <v>37.689620682705282</v>
      </c>
      <c r="CC39" s="42">
        <f t="shared" si="41"/>
        <v>38.46760331715673</v>
      </c>
      <c r="CD39" s="46">
        <f t="shared" si="41"/>
        <v>32.249599467660246</v>
      </c>
      <c r="CE39" s="240">
        <f t="shared" si="41"/>
        <v>9.9999999999999982E-8</v>
      </c>
      <c r="CF39" s="41">
        <f>(SUMPRODUCT(BQ7:BQ36,CF7:CF36))/BQ38</f>
        <v>9.9999999999999982E-8</v>
      </c>
      <c r="CG39" s="43"/>
      <c r="CH39" s="43"/>
      <c r="CI39" s="20"/>
      <c r="CJ39" s="44"/>
      <c r="CK39" s="45">
        <f>(SUMPRODUCT(CG7:CG37,CK7:CK37))/CG38</f>
        <v>9.9999999999999982E-8</v>
      </c>
      <c r="CL39" s="46">
        <f>(SUMPRODUCT(CH7:CH37,CL7:CL37))/CH38</f>
        <v>9.4952333919352003E-18</v>
      </c>
      <c r="CM39" s="46">
        <f>(SUMPRODUCT(CI7:CI37,CM7:CM37))/CI38</f>
        <v>4.0684286207208029E-9</v>
      </c>
      <c r="CN39" s="44">
        <f>(SUMPRODUCT(CJ7:CJ37,CN7:CN37))/CJ38</f>
        <v>9.9999999999999982E-8</v>
      </c>
      <c r="CP39" s="667">
        <f>CP38+CQ38</f>
        <v>6182.9112491000005</v>
      </c>
      <c r="CQ39" s="667"/>
      <c r="CR39" s="668">
        <f>CR38+CS38+CV38+CU38+CT38</f>
        <v>6844.8430248999994</v>
      </c>
      <c r="CS39" s="668"/>
      <c r="CT39" s="668"/>
      <c r="CU39" s="668"/>
      <c r="CV39" s="668"/>
      <c r="CW39" s="669">
        <f>CW38+CX38+CZ38+CY38</f>
        <v>7805.8900000252725</v>
      </c>
      <c r="CX39" s="668"/>
      <c r="CY39" s="668"/>
      <c r="CZ39" s="668"/>
      <c r="DB39" s="302"/>
      <c r="DC39" s="303"/>
      <c r="DD39" s="303"/>
      <c r="DE39" s="304"/>
      <c r="DF39" s="305"/>
      <c r="DK39" s="230"/>
    </row>
    <row r="40" spans="1:116" ht="16.5" customHeight="1" thickBot="1">
      <c r="A40" s="57" t="s">
        <v>60</v>
      </c>
      <c r="B40" s="85"/>
      <c r="C40" s="86"/>
      <c r="D40" s="87"/>
      <c r="E40" s="365">
        <v>38.4</v>
      </c>
      <c r="F40" s="366">
        <v>2.2200000000000002</v>
      </c>
      <c r="G40" s="366"/>
      <c r="H40" s="366">
        <v>1.887</v>
      </c>
      <c r="I40" s="366"/>
      <c r="J40" s="408"/>
      <c r="K40" s="366"/>
      <c r="L40" s="366"/>
      <c r="M40" s="366">
        <v>0.33300000000000002</v>
      </c>
      <c r="N40" s="365"/>
      <c r="O40" s="366">
        <v>21.99</v>
      </c>
      <c r="P40" s="367"/>
      <c r="Q40" s="368"/>
      <c r="R40" s="367"/>
      <c r="S40" s="450">
        <v>21.779</v>
      </c>
      <c r="T40" s="367"/>
      <c r="U40" s="369">
        <v>1.32</v>
      </c>
      <c r="V40" s="370">
        <v>5500</v>
      </c>
      <c r="W40" s="370">
        <v>5500</v>
      </c>
      <c r="X40" s="371"/>
      <c r="Y40" s="371"/>
      <c r="Z40" s="372">
        <v>1250</v>
      </c>
      <c r="AA40" s="373"/>
      <c r="AB40" s="374">
        <v>76</v>
      </c>
      <c r="AC40" s="367"/>
      <c r="AD40" s="367"/>
      <c r="AE40" s="367"/>
      <c r="AF40" s="367"/>
      <c r="AG40" s="367"/>
      <c r="AH40" s="375">
        <v>750</v>
      </c>
      <c r="AI40" s="367"/>
      <c r="AJ40" s="376"/>
      <c r="AK40" s="367"/>
      <c r="AL40" s="367"/>
      <c r="AM40" s="367"/>
      <c r="AN40" s="367"/>
      <c r="AO40" s="367"/>
      <c r="AP40" s="367"/>
      <c r="AQ40" s="367"/>
      <c r="AR40" s="377"/>
      <c r="AS40" s="378">
        <v>5500</v>
      </c>
      <c r="AT40" s="379">
        <v>38.5</v>
      </c>
      <c r="AU40" s="380"/>
      <c r="AV40" s="381"/>
      <c r="AW40" s="382"/>
      <c r="AX40" s="365">
        <v>183.33</v>
      </c>
      <c r="AY40" s="382"/>
      <c r="AZ40" s="382"/>
      <c r="BA40" s="382"/>
      <c r="BB40" s="366">
        <v>0.9</v>
      </c>
      <c r="BC40" s="382"/>
      <c r="BD40" s="383"/>
      <c r="BE40" s="16"/>
      <c r="BF40" s="16"/>
      <c r="BG40" s="16"/>
      <c r="BH40" s="16"/>
      <c r="BI40" s="18"/>
      <c r="BJ40" s="23"/>
      <c r="BK40" s="43"/>
      <c r="BL40" s="43"/>
      <c r="BM40" s="43"/>
      <c r="BN40" s="43"/>
      <c r="BO40" s="43"/>
      <c r="BP40" s="43"/>
      <c r="BQ40" s="20"/>
      <c r="BR40" s="243"/>
      <c r="BS40" s="43"/>
      <c r="BT40" s="43"/>
      <c r="BU40" s="43"/>
      <c r="BV40" s="20"/>
      <c r="BW40" s="20"/>
      <c r="BX40" s="31"/>
      <c r="BY40" s="23"/>
      <c r="BZ40" s="43"/>
      <c r="CA40" s="43"/>
      <c r="CB40" s="43"/>
      <c r="CC40" s="20"/>
      <c r="CD40" s="20"/>
      <c r="CE40" s="31"/>
      <c r="CF40" s="23"/>
      <c r="CG40" s="43"/>
      <c r="CH40" s="43"/>
      <c r="CI40" s="20"/>
      <c r="CJ40" s="31"/>
      <c r="CK40" s="19"/>
      <c r="CL40" s="20"/>
      <c r="CM40" s="20"/>
      <c r="CN40" s="31"/>
      <c r="CP40" s="676">
        <f>CP39+CR39</f>
        <v>13027.754273999999</v>
      </c>
      <c r="CQ40" s="676"/>
      <c r="CR40" s="676"/>
      <c r="CS40" s="676"/>
      <c r="CT40" s="676"/>
      <c r="CU40" s="676"/>
      <c r="CV40" s="676"/>
      <c r="CW40" s="193"/>
      <c r="CX40" s="193"/>
      <c r="CY40" s="193"/>
      <c r="CZ40" s="193"/>
      <c r="DB40" s="306"/>
      <c r="DC40" s="307"/>
      <c r="DD40" s="307"/>
      <c r="DE40" s="308"/>
      <c r="DF40" s="309"/>
    </row>
    <row r="41" spans="1:116" ht="16.5" customHeight="1" thickBot="1">
      <c r="A41" s="58" t="s">
        <v>61</v>
      </c>
      <c r="B41" s="88"/>
      <c r="C41" s="88"/>
      <c r="D41" s="88"/>
      <c r="E41" s="384"/>
      <c r="F41" s="385">
        <f>F39-F40</f>
        <v>0.19999979081876162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8"/>
      <c r="Q41" s="386">
        <f>Q39-Q40</f>
        <v>1.5042081450076328</v>
      </c>
      <c r="R41" s="386"/>
      <c r="S41" s="388"/>
      <c r="T41" s="388"/>
      <c r="U41" s="385">
        <f>U39-U40</f>
        <v>0.13000065020609752</v>
      </c>
      <c r="V41" s="385"/>
      <c r="W41" s="385"/>
      <c r="X41" s="385"/>
      <c r="Y41" s="385"/>
      <c r="Z41" s="389">
        <f>Z39-Z40</f>
        <v>-26.633333333333439</v>
      </c>
      <c r="AA41" s="390">
        <f>AA39-AA40</f>
        <v>0</v>
      </c>
      <c r="AB41" s="384"/>
      <c r="AC41" s="384"/>
      <c r="AD41" s="384"/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91"/>
      <c r="AS41" s="392">
        <f>AS38+AU38-AS40</f>
        <v>1377.9499999999998</v>
      </c>
      <c r="AT41" s="392"/>
      <c r="AU41" s="392"/>
      <c r="AV41" s="393"/>
      <c r="AW41" s="384"/>
      <c r="AX41" s="386"/>
      <c r="AY41" s="384"/>
      <c r="AZ41" s="384"/>
      <c r="BA41" s="384"/>
      <c r="BB41" s="384"/>
      <c r="BC41" s="384"/>
      <c r="BD41" s="394"/>
      <c r="BE41" s="47"/>
      <c r="BF41" s="47"/>
      <c r="BG41" s="47"/>
      <c r="BH41" s="47"/>
      <c r="BI41" s="48"/>
      <c r="BJ41" s="23"/>
      <c r="BK41" s="43"/>
      <c r="BL41" s="43"/>
      <c r="BM41" s="43"/>
      <c r="BN41" s="43"/>
      <c r="BO41" s="43"/>
      <c r="BP41" s="43"/>
      <c r="BQ41" s="20"/>
      <c r="BR41" s="243"/>
      <c r="BS41" s="43"/>
      <c r="BT41" s="43"/>
      <c r="BU41" s="43"/>
      <c r="BV41" s="20"/>
      <c r="BW41" s="20"/>
      <c r="BX41" s="31"/>
      <c r="BY41" s="23"/>
      <c r="BZ41" s="43"/>
      <c r="CA41" s="43"/>
      <c r="CB41" s="43"/>
      <c r="CC41" s="20"/>
      <c r="CD41" s="20"/>
      <c r="CE41" s="31"/>
      <c r="CF41" s="23"/>
      <c r="CG41" s="43"/>
      <c r="CH41" s="43"/>
      <c r="CI41" s="20"/>
      <c r="CJ41" s="31"/>
      <c r="CK41" s="19"/>
      <c r="CL41" s="20"/>
      <c r="CM41" s="20"/>
      <c r="CN41" s="31"/>
      <c r="CO41" s="13"/>
      <c r="CP41" s="13"/>
      <c r="CQ41" s="13"/>
      <c r="CR41" s="13"/>
      <c r="DD41" s="311"/>
    </row>
    <row r="42" spans="1:116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77"/>
      <c r="AE42" s="64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59"/>
      <c r="AS42" s="678"/>
      <c r="AT42" s="678"/>
      <c r="AU42" s="678"/>
      <c r="AV42" s="59"/>
      <c r="AW42" s="59"/>
      <c r="AX42" s="60"/>
      <c r="AY42" s="60"/>
      <c r="AZ42" s="60"/>
      <c r="BA42" s="60"/>
      <c r="BB42" s="60"/>
      <c r="BC42" s="60"/>
      <c r="BD42" s="60"/>
    </row>
    <row r="43" spans="1:116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7"/>
      <c r="AE43" s="64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59" t="s">
        <v>64</v>
      </c>
      <c r="AS43" s="239">
        <f>AS40/BD43</f>
        <v>183.33333333333334</v>
      </c>
      <c r="AT43" s="89"/>
      <c r="AU43" s="59"/>
      <c r="AV43" s="59" t="s">
        <v>65</v>
      </c>
      <c r="AW43" s="59"/>
      <c r="AX43" s="60"/>
      <c r="AY43" s="60"/>
      <c r="AZ43" s="60"/>
      <c r="BA43" s="60"/>
      <c r="BB43" s="60"/>
      <c r="BC43" s="90" t="s">
        <v>66</v>
      </c>
      <c r="BD43" s="60">
        <v>30</v>
      </c>
    </row>
    <row r="44" spans="1:116" ht="12" customHeigh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59"/>
      <c r="BD44" s="59"/>
      <c r="BF44" s="13"/>
      <c r="BM44" s="247"/>
      <c r="BN44" s="247"/>
    </row>
    <row r="45" spans="1:116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AS38/AD38</f>
        <v>58.785897435897432</v>
      </c>
      <c r="K45" s="679"/>
      <c r="L45" s="679"/>
      <c r="M45" s="60"/>
      <c r="N45" s="60"/>
      <c r="O45" s="60"/>
      <c r="P45" s="92"/>
      <c r="Q45" s="60"/>
      <c r="R45" s="60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4"/>
      <c r="AE45" s="64"/>
      <c r="AF45" s="60"/>
      <c r="AG45" s="60"/>
      <c r="AH45" s="60"/>
      <c r="AI45" s="60"/>
      <c r="AJ45" s="60"/>
      <c r="AK45" s="60"/>
      <c r="AL45" s="93" t="s">
        <v>68</v>
      </c>
      <c r="AM45" s="93"/>
      <c r="AN45" s="93"/>
      <c r="AO45" s="93"/>
      <c r="AP45" s="93"/>
      <c r="AQ45" s="93"/>
      <c r="AR45" s="94" t="s">
        <v>69</v>
      </c>
      <c r="AS45" s="95">
        <v>29</v>
      </c>
      <c r="AT45" s="96"/>
      <c r="AU45" s="60"/>
      <c r="AV45" s="60"/>
      <c r="AW45" s="60"/>
      <c r="AX45" s="60"/>
      <c r="AY45" s="60"/>
      <c r="AZ45" s="60"/>
      <c r="BA45" s="60"/>
      <c r="BB45" s="60"/>
      <c r="BC45" s="59"/>
      <c r="BD45" s="59"/>
    </row>
    <row r="46" spans="1:116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4"/>
      <c r="AE46" s="64"/>
      <c r="AF46" s="60"/>
      <c r="AG46" s="60"/>
      <c r="AH46" s="60"/>
      <c r="AI46" s="60"/>
      <c r="AJ46" s="60"/>
      <c r="AK46" s="60"/>
      <c r="AL46" s="60"/>
      <c r="AM46" s="60"/>
      <c r="AN46" s="93"/>
      <c r="AO46" s="93"/>
      <c r="AP46" s="93"/>
      <c r="AQ46" s="93"/>
      <c r="AR46" s="94" t="s">
        <v>70</v>
      </c>
      <c r="AS46" s="97">
        <f>AS40/AS45</f>
        <v>189.65517241379311</v>
      </c>
      <c r="AT46" s="97"/>
      <c r="AU46" s="60"/>
      <c r="AV46" s="60"/>
      <c r="AW46" s="98"/>
      <c r="AX46" s="60"/>
      <c r="AY46" s="680" t="s">
        <v>71</v>
      </c>
      <c r="AZ46" s="680"/>
      <c r="BA46" s="680"/>
      <c r="BB46" s="680"/>
      <c r="BC46" s="680"/>
      <c r="BD46" s="680"/>
      <c r="BR46" s="247"/>
    </row>
    <row r="47" spans="1:116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8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98"/>
      <c r="AX47" s="60"/>
      <c r="AY47" s="680"/>
      <c r="AZ47" s="680"/>
      <c r="BA47" s="680"/>
      <c r="BB47" s="680"/>
      <c r="BC47" s="680"/>
      <c r="BD47" s="680"/>
      <c r="BE47" s="13"/>
      <c r="BF47" s="13"/>
      <c r="BG47" s="13"/>
    </row>
    <row r="48" spans="1:116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81">
        <f>BE37-BI37</f>
        <v>-116.6299999999992</v>
      </c>
      <c r="AZ48" s="681"/>
      <c r="BA48" s="681"/>
      <c r="BB48" s="681"/>
      <c r="BC48" s="682" t="s">
        <v>72</v>
      </c>
      <c r="BD48" s="99"/>
      <c r="BE48" s="13"/>
    </row>
    <row r="49" spans="1:56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9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81"/>
      <c r="AZ49" s="681"/>
      <c r="BA49" s="681"/>
      <c r="BB49" s="681"/>
      <c r="BC49" s="682"/>
      <c r="BD49" s="99"/>
    </row>
    <row r="50" spans="1:56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100"/>
      <c r="AZ50" s="59"/>
      <c r="BA50" s="59"/>
      <c r="BB50" s="59"/>
      <c r="BC50" s="59"/>
      <c r="BD50" s="99"/>
    </row>
    <row r="51" spans="1:56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72">
        <f>AY48/AS40*100</f>
        <v>-2.1205454545454399</v>
      </c>
      <c r="AZ51" s="672"/>
      <c r="BA51" s="672"/>
      <c r="BB51" s="672"/>
      <c r="BC51" s="673" t="s">
        <v>73</v>
      </c>
      <c r="BD51" s="99"/>
    </row>
    <row r="52" spans="1:56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72"/>
      <c r="AZ52" s="672"/>
      <c r="BA52" s="672"/>
      <c r="BB52" s="672"/>
      <c r="BC52" s="673"/>
      <c r="BD52" s="101"/>
    </row>
    <row r="53" spans="1:56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</row>
    <row r="54" spans="1:56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</row>
    <row r="55" spans="1:56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</row>
    <row r="56" spans="1: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</row>
    <row r="57" spans="1:56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</row>
    <row r="58" spans="1:56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</row>
    <row r="59" spans="1:56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325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</row>
    <row r="60" spans="1:56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</row>
    <row r="61" spans="1:56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</row>
    <row r="62" spans="1:56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</row>
    <row r="63" spans="1:56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</row>
    <row r="64" spans="1:56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</row>
    <row r="65" spans="1:56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</row>
    <row r="66" spans="1:5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</row>
    <row r="67" spans="1:56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</row>
    <row r="68" spans="1:56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</row>
    <row r="69" spans="1:56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</row>
    <row r="70" spans="1:56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</row>
    <row r="71" spans="1:56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</row>
    <row r="72" spans="1:56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338</v>
      </c>
      <c r="O72" s="675"/>
      <c r="P72" s="675"/>
      <c r="Q72" s="675"/>
      <c r="R72" s="675"/>
      <c r="S72" s="675"/>
      <c r="T72" s="675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</row>
    <row r="73" spans="1:56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</row>
    <row r="74" spans="1:56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</row>
    <row r="75" spans="1:56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</row>
    <row r="76" spans="1:5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</row>
    <row r="77" spans="1:56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</row>
    <row r="78" spans="1:56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</row>
    <row r="79" spans="1:56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</row>
    <row r="80" spans="1:56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</row>
    <row r="81" spans="1:56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</row>
    <row r="82" spans="1:56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</row>
    <row r="83" spans="1:56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</row>
    <row r="84" spans="1:56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</row>
    <row r="85" spans="1:56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</row>
    <row r="86" spans="1:5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</row>
    <row r="87" spans="1:56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</row>
    <row r="88" spans="1:56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</row>
  </sheetData>
  <sheetProtection selectLockedCells="1" selectUnlockedCells="1"/>
  <mergeCells count="80">
    <mergeCell ref="AY51:BB52"/>
    <mergeCell ref="BC51:BC52"/>
    <mergeCell ref="B72:H72"/>
    <mergeCell ref="N72:T72"/>
    <mergeCell ref="CP40:CV40"/>
    <mergeCell ref="AD42:AD43"/>
    <mergeCell ref="AS42:AU42"/>
    <mergeCell ref="J45:L45"/>
    <mergeCell ref="AY46:BD47"/>
    <mergeCell ref="AY48:BB49"/>
    <mergeCell ref="BC48:BC49"/>
    <mergeCell ref="DB5:DF5"/>
    <mergeCell ref="CP39:CQ39"/>
    <mergeCell ref="CR39:CV39"/>
    <mergeCell ref="CW39:CZ39"/>
    <mergeCell ref="CG3:CJ5"/>
    <mergeCell ref="CK3:CN5"/>
    <mergeCell ref="V3:V6"/>
    <mergeCell ref="S4:S6"/>
    <mergeCell ref="T4:T6"/>
    <mergeCell ref="U4:U6"/>
    <mergeCell ref="AE5:AE6"/>
    <mergeCell ref="AK3:AK6"/>
    <mergeCell ref="F4:F6"/>
    <mergeCell ref="H4:H6"/>
    <mergeCell ref="I4:I6"/>
    <mergeCell ref="J4:J6"/>
    <mergeCell ref="K4:K6"/>
    <mergeCell ref="AG5:AG6"/>
    <mergeCell ref="M4:M6"/>
    <mergeCell ref="N4:N6"/>
    <mergeCell ref="O4:O6"/>
    <mergeCell ref="P4:P6"/>
    <mergeCell ref="Q4:Q6"/>
    <mergeCell ref="R4:R6"/>
    <mergeCell ref="AC3:AC6"/>
    <mergeCell ref="AD3:AD6"/>
    <mergeCell ref="AE3:AF4"/>
    <mergeCell ref="BD3:BD6"/>
    <mergeCell ref="BJ3:BP5"/>
    <mergeCell ref="BR3:BX5"/>
    <mergeCell ref="BY3:CE5"/>
    <mergeCell ref="AR3:AR6"/>
    <mergeCell ref="AS3:AX4"/>
    <mergeCell ref="AY3:AY6"/>
    <mergeCell ref="AZ3:BA4"/>
    <mergeCell ref="BB3:BB6"/>
    <mergeCell ref="BC3:BC6"/>
    <mergeCell ref="AS5:AS6"/>
    <mergeCell ref="AT5:AT6"/>
    <mergeCell ref="AU5:AU6"/>
    <mergeCell ref="AV5:AV6"/>
    <mergeCell ref="AW5:AW6"/>
    <mergeCell ref="AX5:AX6"/>
    <mergeCell ref="AL3:AL6"/>
    <mergeCell ref="AM3:AM6"/>
    <mergeCell ref="AN3:AN6"/>
    <mergeCell ref="AO3:AO6"/>
    <mergeCell ref="AP3:AP6"/>
    <mergeCell ref="AI3:AI6"/>
    <mergeCell ref="AJ3:AJ6"/>
    <mergeCell ref="AH5:AH6"/>
    <mergeCell ref="W3:W6"/>
    <mergeCell ref="X3:X6"/>
    <mergeCell ref="Y3:Y6"/>
    <mergeCell ref="Z3:Z6"/>
    <mergeCell ref="AA3:AA6"/>
    <mergeCell ref="AB3:AB6"/>
    <mergeCell ref="AG3:AH4"/>
    <mergeCell ref="AF5:AF6"/>
    <mergeCell ref="A3:A6"/>
    <mergeCell ref="B3:F3"/>
    <mergeCell ref="G3:G6"/>
    <mergeCell ref="H3:O3"/>
    <mergeCell ref="P3:U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Y35" sqref="Y35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hidden="1" customWidth="1"/>
    <col min="11" max="11" width="7.140625" customWidth="1"/>
    <col min="12" max="12" width="8" customWidth="1"/>
    <col min="13" max="13" width="7.28515625" customWidth="1"/>
    <col min="14" max="14" width="7" customWidth="1"/>
    <col min="15" max="15" width="6.7109375" customWidth="1"/>
    <col min="16" max="16" width="7.140625" hidden="1" customWidth="1"/>
    <col min="17" max="17" width="7.140625" customWidth="1"/>
    <col min="18" max="18" width="9" customWidth="1"/>
    <col min="19" max="19" width="5.140625" customWidth="1"/>
    <col min="20" max="20" width="8.85546875" hidden="1" customWidth="1"/>
    <col min="21" max="21" width="7.7109375" customWidth="1"/>
    <col min="22" max="22" width="7.85546875" hidden="1" customWidth="1"/>
    <col min="23" max="24" width="6.85546875" customWidth="1"/>
    <col min="25" max="26" width="8.42578125" customWidth="1"/>
    <col min="27" max="27" width="6.5703125" customWidth="1"/>
    <col min="28" max="28" width="4.85546875" customWidth="1"/>
    <col min="29" max="29" width="6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323" t="s">
        <v>337</v>
      </c>
      <c r="BB2" s="323"/>
      <c r="BC2" s="323"/>
      <c r="BD2" s="323"/>
      <c r="BE2" s="323" t="s">
        <v>107</v>
      </c>
      <c r="BF2" s="324"/>
      <c r="BG2" s="49"/>
      <c r="BO2" s="2"/>
    </row>
    <row r="3" spans="1:117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35" t="s">
        <v>4</v>
      </c>
      <c r="I3" s="636"/>
      <c r="J3" s="636"/>
      <c r="K3" s="636"/>
      <c r="L3" s="636"/>
      <c r="M3" s="636"/>
      <c r="N3" s="636"/>
      <c r="O3" s="695"/>
      <c r="P3" s="692" t="s">
        <v>5</v>
      </c>
      <c r="Q3" s="693"/>
      <c r="R3" s="693"/>
      <c r="S3" s="693"/>
      <c r="T3" s="693"/>
      <c r="U3" s="693"/>
      <c r="V3" s="693"/>
      <c r="W3" s="693"/>
      <c r="X3" s="694"/>
      <c r="Y3" s="663" t="s">
        <v>6</v>
      </c>
      <c r="Z3" s="645" t="s">
        <v>7</v>
      </c>
      <c r="AA3" s="633" t="s">
        <v>8</v>
      </c>
      <c r="AB3" s="633" t="s">
        <v>9</v>
      </c>
      <c r="AC3" s="633" t="s">
        <v>10</v>
      </c>
      <c r="AD3" s="633" t="s">
        <v>11</v>
      </c>
      <c r="AE3" s="633" t="s">
        <v>12</v>
      </c>
      <c r="AF3" s="633" t="s">
        <v>13</v>
      </c>
      <c r="AG3" s="633" t="s">
        <v>14</v>
      </c>
      <c r="AH3" s="647" t="s">
        <v>15</v>
      </c>
      <c r="AI3" s="647"/>
      <c r="AJ3" s="646" t="s">
        <v>16</v>
      </c>
      <c r="AK3" s="646"/>
      <c r="AL3" s="633" t="s">
        <v>17</v>
      </c>
      <c r="AM3" s="643"/>
      <c r="AN3" s="633" t="s">
        <v>18</v>
      </c>
      <c r="AO3" s="633" t="s">
        <v>19</v>
      </c>
      <c r="AP3" s="647" t="s">
        <v>86</v>
      </c>
      <c r="AQ3" s="633" t="s">
        <v>20</v>
      </c>
      <c r="AR3" s="633" t="s">
        <v>105</v>
      </c>
      <c r="AS3" s="633" t="s">
        <v>21</v>
      </c>
      <c r="AT3" s="70"/>
      <c r="AU3" s="633" t="s">
        <v>22</v>
      </c>
      <c r="AV3" s="646" t="s">
        <v>23</v>
      </c>
      <c r="AW3" s="646"/>
      <c r="AX3" s="646"/>
      <c r="AY3" s="646"/>
      <c r="AZ3" s="646"/>
      <c r="BA3" s="646"/>
      <c r="BB3" s="633" t="s">
        <v>24</v>
      </c>
      <c r="BC3" s="657" t="s">
        <v>25</v>
      </c>
      <c r="BD3" s="657"/>
      <c r="BE3" s="633" t="s">
        <v>26</v>
      </c>
      <c r="BF3" s="633" t="s">
        <v>25</v>
      </c>
      <c r="BG3" s="649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62" t="s">
        <v>100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41" t="s">
        <v>396</v>
      </c>
      <c r="Y4" s="645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649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62"/>
      <c r="O5" s="641"/>
      <c r="P5" s="648"/>
      <c r="Q5" s="644"/>
      <c r="R5" s="641"/>
      <c r="S5" s="641"/>
      <c r="T5" s="644"/>
      <c r="U5" s="644"/>
      <c r="V5" s="644"/>
      <c r="W5" s="644"/>
      <c r="X5" s="644"/>
      <c r="Y5" s="645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649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62"/>
      <c r="O6" s="641"/>
      <c r="P6" s="641"/>
      <c r="Q6" s="644"/>
      <c r="R6" s="641"/>
      <c r="S6" s="641"/>
      <c r="T6" s="644"/>
      <c r="U6" s="644"/>
      <c r="V6" s="644"/>
      <c r="W6" s="644"/>
      <c r="X6" s="644"/>
      <c r="Y6" s="645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479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649"/>
      <c r="BH6" s="14" t="s">
        <v>54</v>
      </c>
      <c r="BI6" s="14" t="s">
        <v>55</v>
      </c>
      <c r="BJ6" s="14" t="s">
        <v>56</v>
      </c>
      <c r="BK6" s="3"/>
      <c r="BL6" s="4"/>
      <c r="BM6" s="226" t="s">
        <v>94</v>
      </c>
      <c r="BN6" s="52" t="s">
        <v>81</v>
      </c>
      <c r="BO6" s="232" t="s">
        <v>101</v>
      </c>
      <c r="BP6" s="396" t="s">
        <v>99</v>
      </c>
      <c r="BQ6" s="232" t="s">
        <v>296</v>
      </c>
      <c r="BR6" s="310" t="s">
        <v>147</v>
      </c>
      <c r="BS6" s="397" t="s">
        <v>96</v>
      </c>
      <c r="BT6" s="15"/>
      <c r="BU6" s="399" t="s">
        <v>94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332" t="s">
        <v>94</v>
      </c>
      <c r="CC6" s="333" t="s">
        <v>85</v>
      </c>
      <c r="CD6" s="400" t="s">
        <v>101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288" t="s">
        <v>102</v>
      </c>
      <c r="CR6" s="691"/>
      <c r="CS6"/>
      <c r="CT6" s="251" t="s">
        <v>95</v>
      </c>
      <c r="CU6" s="275" t="s">
        <v>85</v>
      </c>
      <c r="CV6" s="51" t="s">
        <v>101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102">
        <v>1</v>
      </c>
      <c r="B7" s="103">
        <f>'[1]июль 20'!K6</f>
        <v>411.02</v>
      </c>
      <c r="C7" s="104">
        <f t="shared" ref="C7:C37" si="0">IF(B7=0,0,(BM7*BU7+BN7*BV7+BP7*BX7+BS7*CA7+BO7*BW7+BR7*BZ7+BQ7*BY7)/B7)</f>
        <v>0.98110124597026915</v>
      </c>
      <c r="D7" s="447">
        <f t="shared" ref="D7:D37" si="1">B7*((100-C7)/100)</f>
        <v>406.98747765881302</v>
      </c>
      <c r="E7" s="104">
        <f t="shared" ref="E7:E37" si="2">IF(B7=0,0,(BM7*CB7+BN7*CC7+BP7*CE7+BS7*CH7+BO7*CD7+BR7*CG7+BQ7*CF7)/B7)</f>
        <v>38.060954917035666</v>
      </c>
      <c r="F7" s="103">
        <f t="shared" ref="F7:F37" si="3">IF(BA7=0,0,D7/BA7)</f>
        <v>2.3729664606076208</v>
      </c>
      <c r="G7" s="106"/>
      <c r="H7" s="107">
        <f t="shared" ref="H7:H37" si="4">IF(BA7=0,0,(CZ7+CW7+CY7+CT7+CX7)/BA7)</f>
        <v>2.132823030144015</v>
      </c>
      <c r="I7" s="103">
        <f>'[1]сентябрь 20'!AE6</f>
        <v>0</v>
      </c>
      <c r="J7" s="328">
        <f>'[1]июль 20'!AA6</f>
        <v>0</v>
      </c>
      <c r="K7" s="106"/>
      <c r="L7" s="328">
        <f>'[1]июль 20'!AI6</f>
        <v>41.186999999999998</v>
      </c>
      <c r="M7" s="103">
        <f t="shared" ref="M7:M37" si="5">IF(BA7=0,0,(CV7+CU7)/BA7)</f>
        <v>0.24014343221277476</v>
      </c>
      <c r="N7" s="103">
        <f>'[1]июль 20'!W6</f>
        <v>5.43</v>
      </c>
      <c r="O7" s="103">
        <f>'[1]июль 20'!AM6</f>
        <v>0</v>
      </c>
      <c r="P7" s="447">
        <f t="shared" ref="P7:P24" si="6">O7*((100-CT7)/100)</f>
        <v>0</v>
      </c>
      <c r="Q7" s="103">
        <f t="shared" ref="Q7:Q24" si="7">IF(O7=0,0,P7/BB7)</f>
        <v>0</v>
      </c>
      <c r="R7" s="103">
        <f>'[1]июль 20'!S6</f>
        <v>257.30900000000003</v>
      </c>
      <c r="S7" s="108">
        <f t="shared" ref="S7:S37" si="8">IF(R7=0,0,(1-(V7/R7))*100)</f>
        <v>1.4997531372785478</v>
      </c>
      <c r="T7" s="109">
        <f t="shared" ref="T7:T37" si="9">R7*((100-S7)/100)</f>
        <v>253.45000019999998</v>
      </c>
      <c r="U7" s="106">
        <v>16.510000000000002</v>
      </c>
      <c r="V7" s="109">
        <f t="shared" ref="V7:V37" si="10">CJ7+CK7+CM7+CL7</f>
        <v>253.45000019999998</v>
      </c>
      <c r="W7" s="110">
        <f t="shared" ref="W7:W37" si="11">IF(BA7=0,0,T7/BA7)</f>
        <v>1.4777564002099002</v>
      </c>
      <c r="X7" s="110"/>
      <c r="Y7" s="136">
        <v>171.51</v>
      </c>
      <c r="Z7" s="111">
        <v>171.51</v>
      </c>
      <c r="AA7" s="106">
        <v>0.41</v>
      </c>
      <c r="AB7" s="112">
        <v>641</v>
      </c>
      <c r="AC7" s="238">
        <v>1220</v>
      </c>
      <c r="AD7" s="113" t="s">
        <v>340</v>
      </c>
      <c r="AE7" s="106">
        <v>76.180000000000007</v>
      </c>
      <c r="AF7" s="112">
        <v>137</v>
      </c>
      <c r="AG7" s="114">
        <v>4</v>
      </c>
      <c r="AH7" s="106">
        <v>1.5</v>
      </c>
      <c r="AI7" s="115">
        <f t="shared" ref="AI7:AI37" si="12">IF(BA7=0,0,AH7/BA7*1000)</f>
        <v>8.7458457232814428</v>
      </c>
      <c r="AJ7" s="106">
        <v>109.35</v>
      </c>
      <c r="AK7" s="115">
        <f t="shared" ref="AK7:AK37" si="13">IF(BA7=0,0,AJ7/BA7*1000)</f>
        <v>637.57215322721709</v>
      </c>
      <c r="AL7" s="106">
        <v>15.58</v>
      </c>
      <c r="AM7" s="116"/>
      <c r="AN7" s="117">
        <v>10.91</v>
      </c>
      <c r="AO7" s="466">
        <v>44.39</v>
      </c>
      <c r="AP7" s="110">
        <f t="shared" ref="AP7:AP37" si="14">IF(AO7=0,0,AO7/AV7)</f>
        <v>0.20076888285843511</v>
      </c>
      <c r="AQ7" s="119" t="s">
        <v>341</v>
      </c>
      <c r="AR7" s="403">
        <v>8.35</v>
      </c>
      <c r="AS7" s="120">
        <v>8.1</v>
      </c>
      <c r="AT7" s="106"/>
      <c r="AU7" s="106">
        <v>7.39</v>
      </c>
      <c r="AV7" s="314">
        <v>221.1</v>
      </c>
      <c r="AW7" s="121">
        <v>5.71</v>
      </c>
      <c r="AX7" s="122"/>
      <c r="AY7" s="123"/>
      <c r="AZ7" s="124"/>
      <c r="BA7" s="109">
        <f t="shared" ref="BA7:BA37" si="15">AV7-AO7-AN7+AY7+AW7</f>
        <v>171.51</v>
      </c>
      <c r="BB7" s="115">
        <f t="shared" ref="BB7:BB37" si="16">IF(AE7=0,0,((D7*0.97)*(E7/100)*0.9)/(AE7/100))</f>
        <v>177.51456904726876</v>
      </c>
      <c r="BC7" s="125">
        <f t="shared" ref="BC7:BC37" si="17">(AJ7*AU7)/100*(55/71)</f>
        <v>6.2599024647887314</v>
      </c>
      <c r="BD7" s="115">
        <f t="shared" ref="BD7:BD23" si="18">BA7*$BD$6</f>
        <v>6.8603999999999994</v>
      </c>
      <c r="BE7" s="103">
        <f t="shared" ref="BE7:BE37" si="19">IF((D7*E7)=0,0,(BA7*AE7)/(D7*E7))</f>
        <v>0.84347009264422812</v>
      </c>
      <c r="BF7" s="115">
        <f t="shared" ref="BF7:BF37" si="20">BC7+BD7</f>
        <v>13.120302464788731</v>
      </c>
      <c r="BG7" s="126">
        <v>0.84299999999999997</v>
      </c>
      <c r="BH7" s="16">
        <f>BA7</f>
        <v>171.51</v>
      </c>
      <c r="BI7" s="16">
        <f t="shared" ref="BI7:BI38" si="21">IF(A7&lt;=$BG$43,$AV$43,0)</f>
        <v>182.25806451612902</v>
      </c>
      <c r="BJ7" s="16">
        <f>BI7</f>
        <v>182.25806451612902</v>
      </c>
      <c r="BK7" s="17">
        <f t="shared" ref="BK7:BK37" si="22">IF(BA7&lt;&gt;0,1,0)</f>
        <v>1</v>
      </c>
      <c r="BL7" s="16">
        <f>BI7*BK7</f>
        <v>182.25806451612902</v>
      </c>
      <c r="BM7" s="336">
        <v>9.9999999999999995E-8</v>
      </c>
      <c r="BN7" s="336">
        <v>41.186999999999998</v>
      </c>
      <c r="BO7" s="336">
        <v>9.9999999999999995E-8</v>
      </c>
      <c r="BP7" s="336">
        <v>253.529</v>
      </c>
      <c r="BQ7" s="336">
        <v>89.150999999999996</v>
      </c>
      <c r="BR7" s="336">
        <v>27.152999999999999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0.81</v>
      </c>
      <c r="BY7" s="336">
        <v>1.37</v>
      </c>
      <c r="BZ7" s="336">
        <v>2.79</v>
      </c>
      <c r="CA7" s="336">
        <v>9.9999999999999995E-8</v>
      </c>
      <c r="CB7" s="336">
        <v>9.9999999999999995E-8</v>
      </c>
      <c r="CC7" s="336">
        <v>43.54</v>
      </c>
      <c r="CD7" s="336">
        <v>9.9999999999999995E-8</v>
      </c>
      <c r="CE7" s="336">
        <v>37.04</v>
      </c>
      <c r="CF7" s="336">
        <v>39.74</v>
      </c>
      <c r="CG7" s="336">
        <v>33.770000000000003</v>
      </c>
      <c r="CH7" s="336">
        <v>9.9999999999999995E-8</v>
      </c>
      <c r="CI7" s="336">
        <v>9.9999999999999995E-8</v>
      </c>
      <c r="CJ7" s="336">
        <v>9.9999999999999995E-8</v>
      </c>
      <c r="CK7" s="336">
        <v>82.2</v>
      </c>
      <c r="CL7" s="336">
        <v>171.25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503">
        <v>9.9999999999999995E-8</v>
      </c>
      <c r="CS7" s="284"/>
      <c r="CT7" s="285">
        <f t="shared" ref="CT7:CZ37" si="23">BM7*((100-BU7)/100)</f>
        <v>9.99999999E-8</v>
      </c>
      <c r="CU7" s="22">
        <f t="shared" si="23"/>
        <v>41.186999958812997</v>
      </c>
      <c r="CV7" s="22">
        <f t="shared" si="23"/>
        <v>9.99999999E-8</v>
      </c>
      <c r="CW7" s="27">
        <f t="shared" si="23"/>
        <v>251.47541509999999</v>
      </c>
      <c r="CX7" s="27">
        <f t="shared" si="23"/>
        <v>87.929631299999997</v>
      </c>
      <c r="CY7" s="276">
        <f t="shared" si="23"/>
        <v>26.395431299999998</v>
      </c>
      <c r="CZ7" s="279">
        <f t="shared" si="23"/>
        <v>9.99999999E-8</v>
      </c>
      <c r="DA7" s="276">
        <f t="shared" ref="DA7:DD37" si="24">CJ7*((100-CN7)/100)</f>
        <v>9.99999999E-8</v>
      </c>
      <c r="DB7" s="21">
        <f t="shared" si="24"/>
        <v>82.1999999178</v>
      </c>
      <c r="DC7" s="21">
        <f t="shared" si="24"/>
        <v>171.24999982874999</v>
      </c>
      <c r="DD7" s="279">
        <f t="shared" si="24"/>
        <v>9.99999999E-8</v>
      </c>
      <c r="DE7" s="508">
        <f>O7</f>
        <v>0</v>
      </c>
      <c r="DF7" s="247"/>
      <c r="DG7" s="293">
        <f t="shared" ref="DG7:DG37" si="25">I7</f>
        <v>0</v>
      </c>
      <c r="DH7" s="294"/>
      <c r="DI7" s="294"/>
      <c r="DJ7" s="295">
        <f t="shared" ref="DJ7:DJ37" si="26">DG7*((100-DH7)/100)</f>
        <v>0</v>
      </c>
      <c r="DK7" s="296">
        <f t="shared" ref="DK7:DK37" si="27">IF(I7=0,0,(DJ7*DI7%)/(AE7/100))</f>
        <v>0</v>
      </c>
      <c r="DM7" s="402"/>
    </row>
    <row r="8" spans="1:117" ht="16.5" customHeight="1" thickBot="1">
      <c r="A8" s="127">
        <v>2</v>
      </c>
      <c r="B8" s="103">
        <f>'[1]июль 20'!K7</f>
        <v>357.113</v>
      </c>
      <c r="C8" s="104">
        <f t="shared" si="0"/>
        <v>0.53237140624956247</v>
      </c>
      <c r="D8" s="447">
        <f t="shared" si="1"/>
        <v>355.21183250000001</v>
      </c>
      <c r="E8" s="104">
        <f t="shared" si="2"/>
        <v>37.997560856087567</v>
      </c>
      <c r="F8" s="128">
        <f t="shared" si="3"/>
        <v>2.1044601724035781</v>
      </c>
      <c r="G8" s="106"/>
      <c r="H8" s="107">
        <f t="shared" si="4"/>
        <v>1.9047327003969425</v>
      </c>
      <c r="I8" s="103">
        <f>'[1]сентябрь 20'!AE7</f>
        <v>0</v>
      </c>
      <c r="J8" s="328">
        <f>'[1]июль 20'!AA7</f>
        <v>0</v>
      </c>
      <c r="K8" s="106"/>
      <c r="L8" s="328">
        <f>'[1]июль 20'!AI7</f>
        <v>33.712000000000003</v>
      </c>
      <c r="M8" s="103">
        <f t="shared" si="5"/>
        <v>0.19972747200663546</v>
      </c>
      <c r="N8" s="103">
        <f>'[1]июль 20'!W7</f>
        <v>4.806</v>
      </c>
      <c r="O8" s="103">
        <f>'[1]июль 20'!AM7</f>
        <v>0</v>
      </c>
      <c r="P8" s="447">
        <f t="shared" si="6"/>
        <v>0</v>
      </c>
      <c r="Q8" s="103">
        <f t="shared" si="7"/>
        <v>0</v>
      </c>
      <c r="R8" s="103">
        <f>'[1]июль 20'!S7</f>
        <v>223.42400000000001</v>
      </c>
      <c r="S8" s="108">
        <f t="shared" si="8"/>
        <v>1.4653752506445183</v>
      </c>
      <c r="T8" s="109">
        <f t="shared" si="9"/>
        <v>220.15</v>
      </c>
      <c r="U8" s="106">
        <v>40.69</v>
      </c>
      <c r="V8" s="109">
        <f t="shared" si="10"/>
        <v>220.15</v>
      </c>
      <c r="W8" s="110">
        <f t="shared" si="11"/>
        <v>1.3042834291130989</v>
      </c>
      <c r="X8" s="110"/>
      <c r="Y8" s="136"/>
      <c r="Z8" s="130">
        <v>129.12</v>
      </c>
      <c r="AA8" s="131">
        <v>0.7</v>
      </c>
      <c r="AB8" s="112">
        <v>663</v>
      </c>
      <c r="AC8" s="112">
        <v>1216</v>
      </c>
      <c r="AD8" s="132" t="s">
        <v>342</v>
      </c>
      <c r="AE8" s="131">
        <v>74.180000000000007</v>
      </c>
      <c r="AF8" s="133">
        <v>119</v>
      </c>
      <c r="AG8" s="134">
        <v>4</v>
      </c>
      <c r="AH8" s="131"/>
      <c r="AI8" s="115">
        <f t="shared" si="12"/>
        <v>0</v>
      </c>
      <c r="AJ8" s="131">
        <v>85.5</v>
      </c>
      <c r="AK8" s="115">
        <f t="shared" si="13"/>
        <v>506.54659636234368</v>
      </c>
      <c r="AL8" s="131">
        <v>15.91</v>
      </c>
      <c r="AM8" s="116"/>
      <c r="AN8" s="135">
        <v>8.27</v>
      </c>
      <c r="AO8" s="466">
        <v>29.39</v>
      </c>
      <c r="AP8" s="110">
        <f t="shared" si="14"/>
        <v>0.14421000981354268</v>
      </c>
      <c r="AQ8" s="137" t="s">
        <v>343</v>
      </c>
      <c r="AR8" s="150">
        <v>9.2899999999999991</v>
      </c>
      <c r="AS8" s="138">
        <v>8.32</v>
      </c>
      <c r="AT8" s="131"/>
      <c r="AU8" s="131">
        <v>5.93</v>
      </c>
      <c r="AV8" s="315">
        <v>203.8</v>
      </c>
      <c r="AW8" s="131">
        <v>2.65</v>
      </c>
      <c r="AX8" s="116"/>
      <c r="AY8" s="131"/>
      <c r="AZ8" s="109"/>
      <c r="BA8" s="109">
        <f t="shared" si="15"/>
        <v>168.79000000000002</v>
      </c>
      <c r="BB8" s="115">
        <f t="shared" si="16"/>
        <v>158.84390607979304</v>
      </c>
      <c r="BC8" s="140">
        <f t="shared" si="17"/>
        <v>3.9275809859154927</v>
      </c>
      <c r="BD8" s="141">
        <f t="shared" si="18"/>
        <v>6.7516000000000007</v>
      </c>
      <c r="BE8" s="128">
        <f t="shared" si="19"/>
        <v>0.92766334974146836</v>
      </c>
      <c r="BF8" s="141">
        <f t="shared" si="20"/>
        <v>10.679180985915494</v>
      </c>
      <c r="BG8" s="142">
        <v>0.88300000000000001</v>
      </c>
      <c r="BH8" s="16">
        <f t="shared" ref="BH8:BH37" si="28">BH7+BA8</f>
        <v>340.3</v>
      </c>
      <c r="BI8" s="16">
        <f t="shared" si="21"/>
        <v>182.25806451612902</v>
      </c>
      <c r="BJ8" s="16">
        <f t="shared" ref="BJ8:BJ37" si="29">BI8+BJ7</f>
        <v>364.51612903225805</v>
      </c>
      <c r="BK8" s="17">
        <f t="shared" si="22"/>
        <v>1</v>
      </c>
      <c r="BL8" s="16">
        <f t="shared" ref="BL8:BL37" si="30">BL7+BI8*BK8</f>
        <v>364.51612903225805</v>
      </c>
      <c r="BM8" s="249"/>
      <c r="BN8" s="195">
        <v>33.712000000000003</v>
      </c>
      <c r="BO8" s="197"/>
      <c r="BP8" s="197">
        <v>222.17699999999999</v>
      </c>
      <c r="BQ8" s="230">
        <v>77.263999999999996</v>
      </c>
      <c r="BR8" s="230">
        <v>23.96</v>
      </c>
      <c r="BS8" s="250"/>
      <c r="BT8" s="199"/>
      <c r="BU8" s="200"/>
      <c r="BV8" s="200"/>
      <c r="BW8" s="200"/>
      <c r="BX8" s="200">
        <v>0.51</v>
      </c>
      <c r="BY8" s="208">
        <v>0.47</v>
      </c>
      <c r="BZ8" s="208">
        <v>1.69</v>
      </c>
      <c r="CA8" s="198"/>
      <c r="CB8" s="202"/>
      <c r="CC8" s="200">
        <v>43.68</v>
      </c>
      <c r="CD8" s="200"/>
      <c r="CE8" s="200">
        <v>37.51</v>
      </c>
      <c r="CF8" s="197">
        <v>37.979999999999997</v>
      </c>
      <c r="CG8" s="197">
        <v>34.58</v>
      </c>
      <c r="CH8" s="197"/>
      <c r="CI8" s="203"/>
      <c r="CJ8" s="204"/>
      <c r="CK8" s="197">
        <v>71.400000000000006</v>
      </c>
      <c r="CL8" s="197">
        <v>148.75</v>
      </c>
      <c r="CM8" s="198"/>
      <c r="CN8" s="205"/>
      <c r="CO8" s="206"/>
      <c r="CP8" s="269"/>
      <c r="CQ8" s="207"/>
      <c r="CR8" s="207"/>
      <c r="CS8" s="284"/>
      <c r="CT8" s="286">
        <f t="shared" si="23"/>
        <v>0</v>
      </c>
      <c r="CU8" s="24">
        <f t="shared" si="23"/>
        <v>33.712000000000003</v>
      </c>
      <c r="CV8" s="25">
        <f t="shared" si="23"/>
        <v>0</v>
      </c>
      <c r="CW8" s="24">
        <f t="shared" si="23"/>
        <v>221.04389729999997</v>
      </c>
      <c r="CX8" s="27">
        <f t="shared" si="23"/>
        <v>76.900859199999999</v>
      </c>
      <c r="CY8" s="237">
        <f t="shared" si="23"/>
        <v>23.555076</v>
      </c>
      <c r="CZ8" s="280">
        <f t="shared" si="23"/>
        <v>0</v>
      </c>
      <c r="DA8" s="237">
        <f t="shared" si="24"/>
        <v>0</v>
      </c>
      <c r="DB8" s="26">
        <f t="shared" si="24"/>
        <v>71.400000000000006</v>
      </c>
      <c r="DC8" s="277">
        <f t="shared" si="24"/>
        <v>148.75</v>
      </c>
      <c r="DD8" s="280">
        <f t="shared" si="24"/>
        <v>0</v>
      </c>
      <c r="DE8" s="508">
        <f t="shared" ref="DE8:DE37" si="31">O8</f>
        <v>0</v>
      </c>
      <c r="DF8" s="247"/>
      <c r="DG8" s="293">
        <f t="shared" si="25"/>
        <v>0</v>
      </c>
      <c r="DH8" s="294"/>
      <c r="DI8" s="294"/>
      <c r="DJ8" s="295">
        <f t="shared" si="26"/>
        <v>0</v>
      </c>
      <c r="DK8" s="296">
        <f t="shared" si="27"/>
        <v>0</v>
      </c>
      <c r="DM8" s="402"/>
    </row>
    <row r="9" spans="1:117" ht="16.5" customHeight="1" thickBot="1">
      <c r="A9" s="127">
        <v>3</v>
      </c>
      <c r="B9" s="103">
        <f>'[1]июль 20'!K8</f>
        <v>161.95400000000001</v>
      </c>
      <c r="C9" s="104">
        <f t="shared" si="0"/>
        <v>0.45468861528582183</v>
      </c>
      <c r="D9" s="448">
        <f t="shared" si="1"/>
        <v>161.21761360000002</v>
      </c>
      <c r="E9" s="104">
        <f t="shared" si="2"/>
        <v>37.729332403028017</v>
      </c>
      <c r="F9" s="128">
        <f t="shared" si="3"/>
        <v>2.0829149043927648</v>
      </c>
      <c r="G9" s="106"/>
      <c r="H9" s="107">
        <f t="shared" si="4"/>
        <v>1.9085867390180877</v>
      </c>
      <c r="I9" s="103">
        <f>'[1]сентябрь 20'!AE8</f>
        <v>0</v>
      </c>
      <c r="J9" s="328">
        <f>'[1]июль 20'!AA8</f>
        <v>0</v>
      </c>
      <c r="K9" s="106"/>
      <c r="L9" s="328">
        <f>'[1]июль 20'!AI8</f>
        <v>13.493</v>
      </c>
      <c r="M9" s="103">
        <f t="shared" si="5"/>
        <v>0.17432816537467699</v>
      </c>
      <c r="N9" s="103">
        <f>'[1]июль 20'!W8</f>
        <v>2.17</v>
      </c>
      <c r="O9" s="103">
        <f>'[1]июль 20'!AM8</f>
        <v>0</v>
      </c>
      <c r="P9" s="447">
        <f t="shared" si="6"/>
        <v>0</v>
      </c>
      <c r="Q9" s="103">
        <f t="shared" si="7"/>
        <v>0</v>
      </c>
      <c r="R9" s="103">
        <f>'[1]июль 20'!S8</f>
        <v>107.497</v>
      </c>
      <c r="S9" s="108">
        <f t="shared" si="8"/>
        <v>1.4856228545912842</v>
      </c>
      <c r="T9" s="109">
        <f t="shared" si="9"/>
        <v>105.9</v>
      </c>
      <c r="U9" s="106">
        <v>2.0299999999999998</v>
      </c>
      <c r="V9" s="109">
        <f t="shared" si="10"/>
        <v>105.9</v>
      </c>
      <c r="W9" s="110">
        <f t="shared" si="11"/>
        <v>1.3682170542635659</v>
      </c>
      <c r="X9" s="110"/>
      <c r="Y9" s="136">
        <v>77.400000000000006</v>
      </c>
      <c r="Z9" s="130">
        <v>36.67</v>
      </c>
      <c r="AA9" s="131">
        <v>1.1599999999999999</v>
      </c>
      <c r="AB9" s="112">
        <v>637</v>
      </c>
      <c r="AC9" s="112">
        <v>1158</v>
      </c>
      <c r="AD9" s="144" t="s">
        <v>345</v>
      </c>
      <c r="AE9" s="131">
        <v>76.67</v>
      </c>
      <c r="AF9" s="133">
        <v>56</v>
      </c>
      <c r="AG9" s="134">
        <v>2</v>
      </c>
      <c r="AH9" s="131"/>
      <c r="AI9" s="115">
        <f t="shared" si="12"/>
        <v>0</v>
      </c>
      <c r="AJ9" s="131">
        <v>44.65</v>
      </c>
      <c r="AK9" s="115">
        <f t="shared" si="13"/>
        <v>576.87338501291981</v>
      </c>
      <c r="AL9" s="131">
        <v>10.65</v>
      </c>
      <c r="AM9" s="116"/>
      <c r="AN9" s="135">
        <v>6.28</v>
      </c>
      <c r="AO9" s="466">
        <v>13</v>
      </c>
      <c r="AP9" s="110">
        <f t="shared" si="14"/>
        <v>0.13619696176008381</v>
      </c>
      <c r="AQ9" s="137" t="s">
        <v>344</v>
      </c>
      <c r="AR9" s="150">
        <v>8.5</v>
      </c>
      <c r="AS9" s="131">
        <v>8.65</v>
      </c>
      <c r="AT9" s="131"/>
      <c r="AU9" s="131">
        <v>6.65</v>
      </c>
      <c r="AV9" s="315">
        <v>95.45</v>
      </c>
      <c r="AW9" s="131">
        <v>1.23</v>
      </c>
      <c r="AX9" s="116"/>
      <c r="AY9" s="131"/>
      <c r="AZ9" s="109"/>
      <c r="BA9" s="109">
        <f t="shared" si="15"/>
        <v>77.400000000000006</v>
      </c>
      <c r="BB9" s="115">
        <f t="shared" si="16"/>
        <v>69.259665452976265</v>
      </c>
      <c r="BC9" s="140">
        <f t="shared" si="17"/>
        <v>2.3001038732394368</v>
      </c>
      <c r="BD9" s="141">
        <f t="shared" si="18"/>
        <v>3.0960000000000001</v>
      </c>
      <c r="BE9" s="128">
        <f t="shared" si="19"/>
        <v>0.97560679160191266</v>
      </c>
      <c r="BF9" s="141">
        <f t="shared" si="20"/>
        <v>5.3961038732394364</v>
      </c>
      <c r="BG9" s="142">
        <v>0.89900000000000002</v>
      </c>
      <c r="BH9" s="16">
        <f t="shared" si="28"/>
        <v>417.70000000000005</v>
      </c>
      <c r="BI9" s="16">
        <f t="shared" si="21"/>
        <v>182.25806451612902</v>
      </c>
      <c r="BJ9" s="16">
        <f t="shared" si="29"/>
        <v>546.77419354838707</v>
      </c>
      <c r="BK9" s="17">
        <f t="shared" si="22"/>
        <v>1</v>
      </c>
      <c r="BL9" s="16">
        <f t="shared" si="30"/>
        <v>546.77419354838707</v>
      </c>
      <c r="BM9" s="249"/>
      <c r="BN9" s="195">
        <v>13.493</v>
      </c>
      <c r="BO9" s="197"/>
      <c r="BP9" s="197">
        <v>102.554</v>
      </c>
      <c r="BQ9" s="230">
        <v>35.103000000000002</v>
      </c>
      <c r="BR9" s="230">
        <v>10.804</v>
      </c>
      <c r="BS9" s="250"/>
      <c r="BT9" s="199"/>
      <c r="BU9" s="200"/>
      <c r="BV9" s="200"/>
      <c r="BW9" s="200"/>
      <c r="BX9" s="200">
        <v>0.51</v>
      </c>
      <c r="BY9" s="208">
        <v>0.18</v>
      </c>
      <c r="BZ9" s="208">
        <v>1.39</v>
      </c>
      <c r="CA9" s="201"/>
      <c r="CB9" s="202"/>
      <c r="CC9" s="200">
        <v>43.6</v>
      </c>
      <c r="CD9" s="200"/>
      <c r="CE9" s="200">
        <v>37.47</v>
      </c>
      <c r="CF9" s="200">
        <v>38.28</v>
      </c>
      <c r="CG9" s="200">
        <v>31.07</v>
      </c>
      <c r="CH9" s="200"/>
      <c r="CI9" s="203"/>
      <c r="CJ9" s="204"/>
      <c r="CK9" s="197">
        <v>32.4</v>
      </c>
      <c r="CL9" s="197">
        <v>73.5</v>
      </c>
      <c r="CM9" s="198"/>
      <c r="CN9" s="202"/>
      <c r="CO9" s="208"/>
      <c r="CP9" s="208"/>
      <c r="CQ9" s="201"/>
      <c r="CR9" s="201"/>
      <c r="CS9" s="284"/>
      <c r="CT9" s="286">
        <f t="shared" si="23"/>
        <v>0</v>
      </c>
      <c r="CU9" s="27">
        <f t="shared" si="23"/>
        <v>13.493</v>
      </c>
      <c r="CV9" s="28">
        <f t="shared" si="23"/>
        <v>0</v>
      </c>
      <c r="CW9" s="27">
        <f t="shared" si="23"/>
        <v>102.03097459999999</v>
      </c>
      <c r="CX9" s="27">
        <f t="shared" si="23"/>
        <v>35.0398146</v>
      </c>
      <c r="CY9" s="237">
        <f t="shared" si="23"/>
        <v>10.6538244</v>
      </c>
      <c r="CZ9" s="281">
        <f t="shared" si="23"/>
        <v>0</v>
      </c>
      <c r="DA9" s="237">
        <f t="shared" si="24"/>
        <v>0</v>
      </c>
      <c r="DB9" s="26">
        <f t="shared" si="24"/>
        <v>32.4</v>
      </c>
      <c r="DC9" s="277">
        <f t="shared" si="24"/>
        <v>73.5</v>
      </c>
      <c r="DD9" s="280">
        <f t="shared" si="24"/>
        <v>0</v>
      </c>
      <c r="DE9" s="508">
        <f t="shared" si="31"/>
        <v>0</v>
      </c>
      <c r="DF9" s="247"/>
      <c r="DG9" s="293">
        <f t="shared" si="25"/>
        <v>0</v>
      </c>
      <c r="DH9" s="294"/>
      <c r="DI9" s="294"/>
      <c r="DJ9" s="295">
        <f t="shared" si="26"/>
        <v>0</v>
      </c>
      <c r="DK9" s="296">
        <f t="shared" si="27"/>
        <v>0</v>
      </c>
      <c r="DM9" s="402"/>
    </row>
    <row r="10" spans="1:117" ht="16.5" customHeight="1" thickBot="1">
      <c r="A10" s="127">
        <v>4</v>
      </c>
      <c r="B10" s="103">
        <f>'[1]июль 20'!K9</f>
        <v>365.59500000000003</v>
      </c>
      <c r="C10" s="104">
        <f t="shared" si="0"/>
        <v>0.29878633460523257</v>
      </c>
      <c r="D10" s="448">
        <f t="shared" si="1"/>
        <v>364.50265209999998</v>
      </c>
      <c r="E10" s="104">
        <f t="shared" si="2"/>
        <v>37.877330105718073</v>
      </c>
      <c r="F10" s="128">
        <f t="shared" si="3"/>
        <v>2.1173549352309031</v>
      </c>
      <c r="G10" s="106"/>
      <c r="H10" s="107">
        <f t="shared" si="4"/>
        <v>1.9402709968051119</v>
      </c>
      <c r="I10" s="103">
        <f>'[1]сентябрь 20'!AE9</f>
        <v>0</v>
      </c>
      <c r="J10" s="328">
        <f>'[1]июль 20'!AA9</f>
        <v>0</v>
      </c>
      <c r="K10" s="106"/>
      <c r="L10" s="328">
        <f>'[1]июль 20'!AI9</f>
        <v>30.484999999999999</v>
      </c>
      <c r="M10" s="103">
        <f t="shared" si="5"/>
        <v>0.17708393842579145</v>
      </c>
      <c r="N10" s="103">
        <f>'[1]июль 20'!W9</f>
        <v>4.8609999999999998</v>
      </c>
      <c r="O10" s="103">
        <f>'[1]июль 20'!AM9</f>
        <v>0</v>
      </c>
      <c r="P10" s="447">
        <f t="shared" si="6"/>
        <v>0</v>
      </c>
      <c r="Q10" s="103">
        <f t="shared" si="7"/>
        <v>0</v>
      </c>
      <c r="R10" s="103">
        <f>'[1]июль 20'!S9</f>
        <v>229.07</v>
      </c>
      <c r="S10" s="108">
        <f t="shared" si="8"/>
        <v>1.4711660191207954</v>
      </c>
      <c r="T10" s="109">
        <f t="shared" si="9"/>
        <v>225.69999999999996</v>
      </c>
      <c r="U10" s="106">
        <v>30.06</v>
      </c>
      <c r="V10" s="109">
        <f t="shared" si="10"/>
        <v>225.7</v>
      </c>
      <c r="W10" s="110">
        <f t="shared" si="11"/>
        <v>1.3110659308742374</v>
      </c>
      <c r="X10" s="110"/>
      <c r="Y10" s="136">
        <v>172.15</v>
      </c>
      <c r="Z10" s="130">
        <v>172.15</v>
      </c>
      <c r="AA10" s="131">
        <v>0.56999999999999995</v>
      </c>
      <c r="AB10" s="112">
        <v>606</v>
      </c>
      <c r="AC10" s="112">
        <v>1183</v>
      </c>
      <c r="AD10" s="144" t="s">
        <v>346</v>
      </c>
      <c r="AE10" s="131">
        <v>76.87</v>
      </c>
      <c r="AF10" s="133">
        <v>122</v>
      </c>
      <c r="AG10" s="134">
        <v>4</v>
      </c>
      <c r="AH10" s="131">
        <v>5</v>
      </c>
      <c r="AI10" s="115">
        <f t="shared" si="12"/>
        <v>29.044437990124891</v>
      </c>
      <c r="AJ10" s="131">
        <v>107.2</v>
      </c>
      <c r="AK10" s="115">
        <f t="shared" si="13"/>
        <v>622.71275050827762</v>
      </c>
      <c r="AL10" s="131">
        <v>17.95</v>
      </c>
      <c r="AM10" s="116"/>
      <c r="AN10" s="135">
        <v>5.21</v>
      </c>
      <c r="AO10" s="466">
        <v>35.47</v>
      </c>
      <c r="AP10" s="110">
        <f t="shared" si="14"/>
        <v>0.16910607866507746</v>
      </c>
      <c r="AQ10" s="137" t="s">
        <v>347</v>
      </c>
      <c r="AR10" s="150">
        <v>8.74</v>
      </c>
      <c r="AS10" s="138">
        <v>8.11</v>
      </c>
      <c r="AT10" s="131"/>
      <c r="AU10" s="131">
        <v>7.07</v>
      </c>
      <c r="AV10" s="315">
        <v>209.75</v>
      </c>
      <c r="AW10" s="131">
        <v>3.08</v>
      </c>
      <c r="AX10" s="116"/>
      <c r="AY10" s="131"/>
      <c r="AZ10" s="109"/>
      <c r="BA10" s="109">
        <f t="shared" si="15"/>
        <v>172.15</v>
      </c>
      <c r="BB10" s="115">
        <f t="shared" si="16"/>
        <v>156.79687906459256</v>
      </c>
      <c r="BC10" s="140">
        <f t="shared" si="17"/>
        <v>5.8710873239436614</v>
      </c>
      <c r="BD10" s="141">
        <f t="shared" si="18"/>
        <v>6.8860000000000001</v>
      </c>
      <c r="BE10" s="128">
        <f t="shared" si="19"/>
        <v>0.95848176887557324</v>
      </c>
      <c r="BF10" s="141">
        <f t="shared" si="20"/>
        <v>12.757087323943662</v>
      </c>
      <c r="BG10" s="142">
        <v>0.91600000000000004</v>
      </c>
      <c r="BH10" s="16">
        <f t="shared" si="28"/>
        <v>589.85</v>
      </c>
      <c r="BI10" s="16">
        <f t="shared" si="21"/>
        <v>182.25806451612902</v>
      </c>
      <c r="BJ10" s="16">
        <f t="shared" si="29"/>
        <v>729.0322580645161</v>
      </c>
      <c r="BK10" s="17">
        <f t="shared" si="22"/>
        <v>1</v>
      </c>
      <c r="BL10" s="16">
        <f t="shared" si="30"/>
        <v>729.0322580645161</v>
      </c>
      <c r="BM10" s="249"/>
      <c r="BN10" s="195">
        <v>30.484999999999999</v>
      </c>
      <c r="BO10" s="197"/>
      <c r="BP10" s="195">
        <v>231.80099999999999</v>
      </c>
      <c r="BQ10" s="195">
        <v>79.337000000000003</v>
      </c>
      <c r="BR10" s="230">
        <v>23.972000000000001</v>
      </c>
      <c r="BS10" s="250"/>
      <c r="BT10" s="199"/>
      <c r="BU10" s="200"/>
      <c r="BV10" s="200"/>
      <c r="BW10" s="200"/>
      <c r="BX10" s="200">
        <v>0.19</v>
      </c>
      <c r="BY10" s="208">
        <v>0.16</v>
      </c>
      <c r="BZ10" s="208">
        <v>2.19</v>
      </c>
      <c r="CA10" s="201"/>
      <c r="CB10" s="202"/>
      <c r="CC10" s="200">
        <v>43.72</v>
      </c>
      <c r="CD10" s="200"/>
      <c r="CE10" s="200">
        <v>37.39</v>
      </c>
      <c r="CF10" s="200">
        <v>38.270000000000003</v>
      </c>
      <c r="CG10" s="200">
        <v>33.86</v>
      </c>
      <c r="CH10" s="200"/>
      <c r="CI10" s="203"/>
      <c r="CJ10" s="204"/>
      <c r="CK10" s="197">
        <v>73.2</v>
      </c>
      <c r="CL10" s="197">
        <v>152.5</v>
      </c>
      <c r="CM10" s="198"/>
      <c r="CN10" s="202"/>
      <c r="CO10" s="208"/>
      <c r="CP10" s="208"/>
      <c r="CQ10" s="201"/>
      <c r="CR10" s="201"/>
      <c r="CS10" s="284"/>
      <c r="CT10" s="286">
        <f t="shared" si="23"/>
        <v>0</v>
      </c>
      <c r="CU10" s="29">
        <f t="shared" si="23"/>
        <v>30.484999999999999</v>
      </c>
      <c r="CV10" s="30">
        <f t="shared" si="23"/>
        <v>0</v>
      </c>
      <c r="CW10" s="29">
        <f t="shared" si="23"/>
        <v>231.3605781</v>
      </c>
      <c r="CX10" s="27">
        <f t="shared" si="23"/>
        <v>79.210060800000008</v>
      </c>
      <c r="CY10" s="24">
        <f t="shared" si="23"/>
        <v>23.447013200000001</v>
      </c>
      <c r="CZ10" s="282">
        <f t="shared" si="23"/>
        <v>0</v>
      </c>
      <c r="DA10" s="237">
        <f t="shared" si="24"/>
        <v>0</v>
      </c>
      <c r="DB10" s="26">
        <f t="shared" si="24"/>
        <v>73.2</v>
      </c>
      <c r="DC10" s="277">
        <f t="shared" si="24"/>
        <v>152.5</v>
      </c>
      <c r="DD10" s="280">
        <f t="shared" si="24"/>
        <v>0</v>
      </c>
      <c r="DE10" s="508">
        <f t="shared" si="31"/>
        <v>0</v>
      </c>
      <c r="DF10" s="247"/>
      <c r="DG10" s="293">
        <f t="shared" si="25"/>
        <v>0</v>
      </c>
      <c r="DH10" s="294"/>
      <c r="DI10" s="294"/>
      <c r="DJ10" s="295">
        <f t="shared" si="26"/>
        <v>0</v>
      </c>
      <c r="DK10" s="296">
        <f t="shared" si="27"/>
        <v>0</v>
      </c>
      <c r="DM10" s="402"/>
    </row>
    <row r="11" spans="1:117" ht="16.5" customHeight="1" thickBot="1">
      <c r="A11" s="127">
        <v>5</v>
      </c>
      <c r="B11" s="103">
        <f>'[1]июль 20'!K10</f>
        <v>389.98399999999998</v>
      </c>
      <c r="C11" s="104">
        <f t="shared" si="0"/>
        <v>0.59550612332813657</v>
      </c>
      <c r="D11" s="448">
        <f t="shared" si="1"/>
        <v>387.6616214</v>
      </c>
      <c r="E11" s="104">
        <f t="shared" si="2"/>
        <v>38.020059540904249</v>
      </c>
      <c r="F11" s="128">
        <f t="shared" si="3"/>
        <v>2.3145359209505045</v>
      </c>
      <c r="G11" s="106"/>
      <c r="H11" s="107">
        <f>IF(BA11=0,0,(CZ11+CW11+CY11+CT11+CX11)/BA11)</f>
        <v>2.1020933870678844</v>
      </c>
      <c r="I11" s="103">
        <f>'[1]сентябрь 20'!AE10</f>
        <v>0</v>
      </c>
      <c r="J11" s="328">
        <f>'[1]июль 20'!AA10</f>
        <v>0</v>
      </c>
      <c r="K11" s="106"/>
      <c r="L11" s="328">
        <f>'[1]июль 20'!AI10</f>
        <v>35.582000000000001</v>
      </c>
      <c r="M11" s="103">
        <f t="shared" si="5"/>
        <v>0.21244253388261986</v>
      </c>
      <c r="N11" s="103">
        <f>'[1]июль 20'!W10</f>
        <v>5.4660000000000002</v>
      </c>
      <c r="O11" s="103">
        <f>'[1]июль 20'!AM10</f>
        <v>0</v>
      </c>
      <c r="P11" s="447">
        <f t="shared" si="6"/>
        <v>0</v>
      </c>
      <c r="Q11" s="103">
        <f t="shared" si="7"/>
        <v>0</v>
      </c>
      <c r="R11" s="103">
        <f>'[1]июль 20'!S10</f>
        <v>247.369</v>
      </c>
      <c r="S11" s="108">
        <f t="shared" si="8"/>
        <v>1.5357623631093609</v>
      </c>
      <c r="T11" s="109">
        <f t="shared" si="9"/>
        <v>243.57</v>
      </c>
      <c r="U11" s="106"/>
      <c r="V11" s="109">
        <f t="shared" si="10"/>
        <v>243.57</v>
      </c>
      <c r="W11" s="110">
        <f t="shared" si="11"/>
        <v>1.4542360737954503</v>
      </c>
      <c r="X11" s="110"/>
      <c r="Y11" s="136">
        <v>167.49</v>
      </c>
      <c r="Z11" s="130">
        <v>167.49</v>
      </c>
      <c r="AA11" s="131">
        <v>0.25</v>
      </c>
      <c r="AB11" s="112">
        <v>606</v>
      </c>
      <c r="AC11" s="112">
        <v>1209</v>
      </c>
      <c r="AD11" s="144" t="s">
        <v>299</v>
      </c>
      <c r="AE11" s="131">
        <v>76.95</v>
      </c>
      <c r="AF11" s="133">
        <v>130</v>
      </c>
      <c r="AG11" s="134">
        <v>4</v>
      </c>
      <c r="AH11" s="131"/>
      <c r="AI11" s="115">
        <f t="shared" si="12"/>
        <v>0</v>
      </c>
      <c r="AJ11" s="131">
        <v>124</v>
      </c>
      <c r="AK11" s="115">
        <f t="shared" si="13"/>
        <v>740.3427070272852</v>
      </c>
      <c r="AL11" s="131">
        <v>15.47</v>
      </c>
      <c r="AM11" s="116"/>
      <c r="AN11" s="135">
        <v>6.29</v>
      </c>
      <c r="AO11" s="466">
        <v>40.799999999999997</v>
      </c>
      <c r="AP11" s="110">
        <f t="shared" si="14"/>
        <v>0.19123505976095617</v>
      </c>
      <c r="AQ11" s="137" t="s">
        <v>348</v>
      </c>
      <c r="AR11" s="150">
        <v>7.78</v>
      </c>
      <c r="AS11" s="138">
        <v>8.2899999999999991</v>
      </c>
      <c r="AT11" s="131"/>
      <c r="AU11" s="131">
        <v>9.4600000000000009</v>
      </c>
      <c r="AV11" s="315">
        <v>213.35</v>
      </c>
      <c r="AW11" s="131">
        <v>1.23</v>
      </c>
      <c r="AX11" s="145"/>
      <c r="AY11" s="131"/>
      <c r="AZ11" s="109"/>
      <c r="BA11" s="109">
        <f t="shared" si="15"/>
        <v>167.49</v>
      </c>
      <c r="BB11" s="115">
        <f t="shared" si="16"/>
        <v>167.21345484831505</v>
      </c>
      <c r="BC11" s="140">
        <f t="shared" si="17"/>
        <v>9.0869295774647885</v>
      </c>
      <c r="BD11" s="141">
        <f t="shared" si="18"/>
        <v>6.6996000000000002</v>
      </c>
      <c r="BE11" s="128">
        <f t="shared" si="19"/>
        <v>0.87444380676566957</v>
      </c>
      <c r="BF11" s="141">
        <f t="shared" si="20"/>
        <v>15.786529577464789</v>
      </c>
      <c r="BG11" s="142">
        <v>0.90600000000000003</v>
      </c>
      <c r="BH11" s="16">
        <f t="shared" si="28"/>
        <v>757.34</v>
      </c>
      <c r="BI11" s="16">
        <f t="shared" si="21"/>
        <v>182.25806451612902</v>
      </c>
      <c r="BJ11" s="16">
        <f t="shared" si="29"/>
        <v>911.29032258064512</v>
      </c>
      <c r="BK11" s="17">
        <f t="shared" si="22"/>
        <v>1</v>
      </c>
      <c r="BL11" s="16">
        <f t="shared" si="30"/>
        <v>911.29032258064512</v>
      </c>
      <c r="BM11" s="249"/>
      <c r="BN11" s="195">
        <v>35.582000000000001</v>
      </c>
      <c r="BO11" s="197"/>
      <c r="BP11" s="197">
        <v>243.99</v>
      </c>
      <c r="BQ11" s="230">
        <v>84.688000000000002</v>
      </c>
      <c r="BR11" s="230">
        <v>25.724</v>
      </c>
      <c r="BS11" s="250"/>
      <c r="BT11" s="199"/>
      <c r="BU11" s="200"/>
      <c r="BV11" s="200"/>
      <c r="BW11" s="200"/>
      <c r="BX11" s="200">
        <v>0.61</v>
      </c>
      <c r="BY11" s="208">
        <v>0.35</v>
      </c>
      <c r="BZ11" s="208">
        <v>2.09</v>
      </c>
      <c r="CA11" s="201"/>
      <c r="CB11" s="202"/>
      <c r="CC11" s="200">
        <v>43.61</v>
      </c>
      <c r="CD11" s="200"/>
      <c r="CE11" s="200">
        <v>37.520000000000003</v>
      </c>
      <c r="CF11" s="200">
        <v>38.64</v>
      </c>
      <c r="CG11" s="200">
        <v>32.99</v>
      </c>
      <c r="CH11" s="200"/>
      <c r="CI11" s="203"/>
      <c r="CJ11" s="204"/>
      <c r="CK11" s="197">
        <v>78</v>
      </c>
      <c r="CL11" s="230">
        <v>165.57</v>
      </c>
      <c r="CM11" s="198"/>
      <c r="CN11" s="202"/>
      <c r="CO11" s="208"/>
      <c r="CP11" s="208"/>
      <c r="CQ11" s="201"/>
      <c r="CR11" s="201"/>
      <c r="CS11" s="284"/>
      <c r="CT11" s="286">
        <f t="shared" si="23"/>
        <v>0</v>
      </c>
      <c r="CU11" s="24">
        <f t="shared" si="23"/>
        <v>35.582000000000001</v>
      </c>
      <c r="CV11" s="25">
        <f t="shared" si="23"/>
        <v>0</v>
      </c>
      <c r="CW11" s="24">
        <f t="shared" si="23"/>
        <v>242.50166100000001</v>
      </c>
      <c r="CX11" s="27">
        <f t="shared" si="23"/>
        <v>84.391592000000003</v>
      </c>
      <c r="CY11" s="24">
        <f t="shared" si="23"/>
        <v>25.186368399999999</v>
      </c>
      <c r="CZ11" s="280">
        <f t="shared" si="23"/>
        <v>0</v>
      </c>
      <c r="DA11" s="237">
        <f t="shared" si="24"/>
        <v>0</v>
      </c>
      <c r="DB11" s="26">
        <f t="shared" si="24"/>
        <v>78</v>
      </c>
      <c r="DC11" s="277">
        <f t="shared" si="24"/>
        <v>165.57</v>
      </c>
      <c r="DD11" s="280">
        <f t="shared" si="24"/>
        <v>0</v>
      </c>
      <c r="DE11" s="508">
        <f t="shared" si="31"/>
        <v>0</v>
      </c>
      <c r="DF11" s="247"/>
      <c r="DG11" s="293">
        <f t="shared" si="25"/>
        <v>0</v>
      </c>
      <c r="DH11" s="294"/>
      <c r="DI11" s="294"/>
      <c r="DJ11" s="295">
        <f t="shared" si="26"/>
        <v>0</v>
      </c>
      <c r="DK11" s="296">
        <f t="shared" si="27"/>
        <v>0</v>
      </c>
      <c r="DM11" s="402"/>
    </row>
    <row r="12" spans="1:117" ht="16.5" customHeight="1" thickBot="1">
      <c r="A12" s="127">
        <v>6</v>
      </c>
      <c r="B12" s="103">
        <f>'[1]июль 20'!K11</f>
        <v>413.98399999999998</v>
      </c>
      <c r="C12" s="104">
        <f t="shared" si="0"/>
        <v>0.35320169378526711</v>
      </c>
      <c r="D12" s="448">
        <f t="shared" si="1"/>
        <v>412.52180149999998</v>
      </c>
      <c r="E12" s="104">
        <f t="shared" si="2"/>
        <v>37.696531242753345</v>
      </c>
      <c r="F12" s="128">
        <f t="shared" si="3"/>
        <v>2.1963678069428174</v>
      </c>
      <c r="G12" s="106"/>
      <c r="H12" s="107">
        <f t="shared" si="4"/>
        <v>1.9391960467468854</v>
      </c>
      <c r="I12" s="103">
        <f>'[1]сентябрь 20'!AE11</f>
        <v>0</v>
      </c>
      <c r="J12" s="328">
        <f>'[1]июль 20'!AA11</f>
        <v>0</v>
      </c>
      <c r="K12" s="106"/>
      <c r="L12" s="328">
        <f>'[1]июль 20'!AI11</f>
        <v>48.302</v>
      </c>
      <c r="M12" s="103">
        <f t="shared" si="5"/>
        <v>0.2571717601959323</v>
      </c>
      <c r="N12" s="103">
        <f>'[1]июль 20'!W11</f>
        <v>6.9080000000000004</v>
      </c>
      <c r="O12" s="103">
        <f>'[1]июль 20'!AM11</f>
        <v>0</v>
      </c>
      <c r="P12" s="447">
        <f t="shared" si="6"/>
        <v>0</v>
      </c>
      <c r="Q12" s="103">
        <f t="shared" si="7"/>
        <v>0</v>
      </c>
      <c r="R12" s="103">
        <f>'[1]июль 20'!S11</f>
        <v>268.07100000000003</v>
      </c>
      <c r="S12" s="108">
        <f t="shared" si="8"/>
        <v>1.6342685333363249</v>
      </c>
      <c r="T12" s="109">
        <f t="shared" si="9"/>
        <v>263.69</v>
      </c>
      <c r="U12" s="106">
        <v>21.82</v>
      </c>
      <c r="V12" s="109">
        <f t="shared" si="10"/>
        <v>263.69</v>
      </c>
      <c r="W12" s="110">
        <f t="shared" si="11"/>
        <v>1.4039505909913748</v>
      </c>
      <c r="X12" s="110"/>
      <c r="Y12" s="136">
        <v>187.82</v>
      </c>
      <c r="Z12" s="130">
        <v>187.82</v>
      </c>
      <c r="AA12" s="131">
        <v>0.31</v>
      </c>
      <c r="AB12" s="112">
        <v>616</v>
      </c>
      <c r="AC12" s="133">
        <v>1221</v>
      </c>
      <c r="AD12" s="144" t="s">
        <v>349</v>
      </c>
      <c r="AE12" s="131">
        <v>76.06</v>
      </c>
      <c r="AF12" s="133">
        <v>138</v>
      </c>
      <c r="AG12" s="134">
        <v>4</v>
      </c>
      <c r="AH12" s="131">
        <v>3.95</v>
      </c>
      <c r="AI12" s="115">
        <f t="shared" si="12"/>
        <v>21.03077414545842</v>
      </c>
      <c r="AJ12" s="131">
        <v>117.6</v>
      </c>
      <c r="AK12" s="115">
        <f t="shared" si="13"/>
        <v>626.13140240655946</v>
      </c>
      <c r="AL12" s="131">
        <v>18.399999999999999</v>
      </c>
      <c r="AM12" s="116"/>
      <c r="AN12" s="135">
        <v>7.89</v>
      </c>
      <c r="AO12" s="466">
        <v>29.92</v>
      </c>
      <c r="AP12" s="110">
        <f t="shared" si="14"/>
        <v>0.13372067039106145</v>
      </c>
      <c r="AQ12" s="137" t="s">
        <v>166</v>
      </c>
      <c r="AR12" s="150">
        <v>8.4700000000000006</v>
      </c>
      <c r="AS12" s="138">
        <v>7.99</v>
      </c>
      <c r="AT12" s="131"/>
      <c r="AU12" s="131">
        <v>7.36</v>
      </c>
      <c r="AV12" s="315">
        <v>223.75</v>
      </c>
      <c r="AW12" s="131">
        <v>1.88</v>
      </c>
      <c r="AX12" s="116"/>
      <c r="AY12" s="131"/>
      <c r="AZ12" s="109"/>
      <c r="BA12" s="109">
        <f t="shared" si="15"/>
        <v>187.82</v>
      </c>
      <c r="BB12" s="115">
        <f t="shared" si="16"/>
        <v>178.48684688777689</v>
      </c>
      <c r="BC12" s="140">
        <f t="shared" si="17"/>
        <v>6.7048563380281685</v>
      </c>
      <c r="BD12" s="141">
        <f t="shared" si="18"/>
        <v>7.5127999999999995</v>
      </c>
      <c r="BE12" s="128">
        <f t="shared" si="19"/>
        <v>0.91864954117932096</v>
      </c>
      <c r="BF12" s="141">
        <f t="shared" si="20"/>
        <v>14.217656338028167</v>
      </c>
      <c r="BG12" s="142">
        <v>0.90900000000000003</v>
      </c>
      <c r="BH12" s="16">
        <f t="shared" si="28"/>
        <v>945.16000000000008</v>
      </c>
      <c r="BI12" s="16">
        <f t="shared" si="21"/>
        <v>182.25806451612902</v>
      </c>
      <c r="BJ12" s="16">
        <f t="shared" si="29"/>
        <v>1093.5483870967741</v>
      </c>
      <c r="BK12" s="17">
        <f t="shared" si="22"/>
        <v>1</v>
      </c>
      <c r="BL12" s="16">
        <f t="shared" si="30"/>
        <v>1093.5483870967741</v>
      </c>
      <c r="BM12" s="249"/>
      <c r="BN12" s="195">
        <v>48.302</v>
      </c>
      <c r="BO12" s="271"/>
      <c r="BP12" s="197">
        <v>248.411</v>
      </c>
      <c r="BQ12" s="230">
        <v>89.712999999999994</v>
      </c>
      <c r="BR12" s="230">
        <v>27.558</v>
      </c>
      <c r="BS12" s="250"/>
      <c r="BT12" s="199"/>
      <c r="BU12" s="200"/>
      <c r="BV12" s="200"/>
      <c r="BW12" s="200"/>
      <c r="BX12" s="200">
        <v>0.31</v>
      </c>
      <c r="BY12" s="208">
        <v>0.28000000000000003</v>
      </c>
      <c r="BZ12" s="208">
        <v>1.6</v>
      </c>
      <c r="CA12" s="201"/>
      <c r="CB12" s="202"/>
      <c r="CC12" s="200">
        <v>43.94</v>
      </c>
      <c r="CD12" s="200"/>
      <c r="CE12" s="200">
        <v>37.21</v>
      </c>
      <c r="CF12" s="200">
        <v>38.200000000000003</v>
      </c>
      <c r="CG12" s="200">
        <v>29.5</v>
      </c>
      <c r="CH12" s="200"/>
      <c r="CI12" s="203"/>
      <c r="CJ12" s="204"/>
      <c r="CK12" s="197">
        <v>82.8</v>
      </c>
      <c r="CL12" s="230">
        <v>180.89</v>
      </c>
      <c r="CM12" s="198"/>
      <c r="CN12" s="202"/>
      <c r="CO12" s="202"/>
      <c r="CP12" s="270"/>
      <c r="CQ12" s="201"/>
      <c r="CR12" s="201"/>
      <c r="CS12" s="284"/>
      <c r="CT12" s="286">
        <f t="shared" si="23"/>
        <v>0</v>
      </c>
      <c r="CU12" s="24">
        <f t="shared" si="23"/>
        <v>48.302</v>
      </c>
      <c r="CV12" s="25">
        <f t="shared" si="23"/>
        <v>0</v>
      </c>
      <c r="CW12" s="24">
        <f t="shared" si="23"/>
        <v>247.64092590000001</v>
      </c>
      <c r="CX12" s="27">
        <f t="shared" si="23"/>
        <v>89.461803599999996</v>
      </c>
      <c r="CY12" s="30">
        <f t="shared" si="23"/>
        <v>27.117072000000004</v>
      </c>
      <c r="CZ12" s="280">
        <f t="shared" si="23"/>
        <v>0</v>
      </c>
      <c r="DA12" s="237">
        <f t="shared" si="24"/>
        <v>0</v>
      </c>
      <c r="DB12" s="26">
        <f t="shared" si="24"/>
        <v>82.8</v>
      </c>
      <c r="DC12" s="277">
        <f t="shared" si="24"/>
        <v>180.89</v>
      </c>
      <c r="DD12" s="280">
        <f t="shared" si="24"/>
        <v>0</v>
      </c>
      <c r="DE12" s="508">
        <f t="shared" si="31"/>
        <v>0</v>
      </c>
      <c r="DF12" s="247"/>
      <c r="DG12" s="293">
        <f t="shared" si="25"/>
        <v>0</v>
      </c>
      <c r="DH12" s="294"/>
      <c r="DI12" s="294"/>
      <c r="DJ12" s="295">
        <f t="shared" si="26"/>
        <v>0</v>
      </c>
      <c r="DK12" s="296">
        <f t="shared" si="27"/>
        <v>0</v>
      </c>
    </row>
    <row r="13" spans="1:117" ht="16.5" customHeight="1" thickBot="1">
      <c r="A13" s="127">
        <v>7</v>
      </c>
      <c r="B13" s="103">
        <f>'[1]июль 20'!K12</f>
        <v>408.375</v>
      </c>
      <c r="C13" s="104">
        <f t="shared" si="0"/>
        <v>0.44154505050505055</v>
      </c>
      <c r="D13" s="448">
        <f t="shared" si="1"/>
        <v>406.57184039999999</v>
      </c>
      <c r="E13" s="104">
        <f t="shared" si="2"/>
        <v>37.651143973063974</v>
      </c>
      <c r="F13" s="128">
        <f t="shared" si="3"/>
        <v>2.1810623915026013</v>
      </c>
      <c r="G13" s="106"/>
      <c r="H13" s="107">
        <f t="shared" si="4"/>
        <v>1.9257059192103425</v>
      </c>
      <c r="I13" s="103">
        <f>'[1]сентябрь 20'!AE12</f>
        <v>0</v>
      </c>
      <c r="J13" s="328">
        <f>'[1]июль 20'!AA12</f>
        <v>0</v>
      </c>
      <c r="K13" s="106"/>
      <c r="L13" s="328">
        <f>'[1]июль 20'!AI12</f>
        <v>47.600999999999999</v>
      </c>
      <c r="M13" s="103">
        <f t="shared" si="5"/>
        <v>0.25535647229225894</v>
      </c>
      <c r="N13" s="103">
        <f>'[1]июль 20'!W12</f>
        <v>2.7989999999999999</v>
      </c>
      <c r="O13" s="103">
        <f>'[1]июль 20'!AM12</f>
        <v>0</v>
      </c>
      <c r="P13" s="447">
        <f t="shared" si="6"/>
        <v>0</v>
      </c>
      <c r="Q13" s="103">
        <f t="shared" si="7"/>
        <v>0</v>
      </c>
      <c r="R13" s="103">
        <f>'[1]июль 20'!S12</f>
        <v>265.11500000000001</v>
      </c>
      <c r="S13" s="108">
        <f t="shared" si="8"/>
        <v>1.5483846632593501</v>
      </c>
      <c r="T13" s="109">
        <f t="shared" si="9"/>
        <v>261.01</v>
      </c>
      <c r="U13" s="106">
        <v>28.8</v>
      </c>
      <c r="V13" s="109">
        <f t="shared" si="10"/>
        <v>261.01</v>
      </c>
      <c r="W13" s="110">
        <f t="shared" si="11"/>
        <v>1.4001931226865509</v>
      </c>
      <c r="X13" s="110"/>
      <c r="Y13" s="136">
        <v>140.6</v>
      </c>
      <c r="Z13" s="130">
        <v>186.41</v>
      </c>
      <c r="AA13" s="131">
        <v>0.46</v>
      </c>
      <c r="AB13" s="146">
        <v>665</v>
      </c>
      <c r="AC13" s="147">
        <v>1214</v>
      </c>
      <c r="AD13" s="144" t="s">
        <v>349</v>
      </c>
      <c r="AE13" s="131">
        <v>74.61</v>
      </c>
      <c r="AF13" s="133">
        <v>136</v>
      </c>
      <c r="AG13" s="134">
        <v>4</v>
      </c>
      <c r="AH13" s="131">
        <v>4.8</v>
      </c>
      <c r="AI13" s="115">
        <f t="shared" si="12"/>
        <v>25.749691540153421</v>
      </c>
      <c r="AJ13" s="131">
        <v>122.6</v>
      </c>
      <c r="AK13" s="115">
        <f t="shared" si="13"/>
        <v>657.6900380880852</v>
      </c>
      <c r="AL13" s="131">
        <v>17.72</v>
      </c>
      <c r="AM13" s="116"/>
      <c r="AN13" s="135">
        <v>7.64</v>
      </c>
      <c r="AO13" s="466">
        <v>39.71</v>
      </c>
      <c r="AP13" s="110">
        <f t="shared" si="14"/>
        <v>0.17094274644855789</v>
      </c>
      <c r="AQ13" s="137" t="s">
        <v>164</v>
      </c>
      <c r="AR13" s="150">
        <v>8.42</v>
      </c>
      <c r="AS13" s="138">
        <v>7.7</v>
      </c>
      <c r="AT13" s="131"/>
      <c r="AU13" s="131">
        <v>9.7200000000000006</v>
      </c>
      <c r="AV13" s="315">
        <v>232.3</v>
      </c>
      <c r="AW13" s="131">
        <v>1.46</v>
      </c>
      <c r="AX13" s="148"/>
      <c r="AY13" s="149"/>
      <c r="AZ13" s="109"/>
      <c r="BA13" s="109">
        <f t="shared" si="15"/>
        <v>186.41000000000003</v>
      </c>
      <c r="BB13" s="115">
        <f t="shared" si="16"/>
        <v>179.11529615615405</v>
      </c>
      <c r="BC13" s="140">
        <f t="shared" si="17"/>
        <v>9.2312619718309854</v>
      </c>
      <c r="BD13" s="141">
        <f t="shared" si="18"/>
        <v>7.4564000000000012</v>
      </c>
      <c r="BE13" s="128">
        <f t="shared" si="19"/>
        <v>0.9085540626196752</v>
      </c>
      <c r="BF13" s="141">
        <f t="shared" si="20"/>
        <v>16.687661971830988</v>
      </c>
      <c r="BG13" s="142">
        <v>0.90900000000000003</v>
      </c>
      <c r="BH13" s="16">
        <f t="shared" si="28"/>
        <v>1131.5700000000002</v>
      </c>
      <c r="BI13" s="16">
        <f t="shared" si="21"/>
        <v>182.25806451612902</v>
      </c>
      <c r="BJ13" s="16">
        <f t="shared" si="29"/>
        <v>1275.8064516129032</v>
      </c>
      <c r="BK13" s="17">
        <f t="shared" si="22"/>
        <v>1</v>
      </c>
      <c r="BL13" s="16">
        <f t="shared" si="30"/>
        <v>1275.8064516129032</v>
      </c>
      <c r="BM13" s="249"/>
      <c r="BN13" s="195">
        <v>47.600999999999999</v>
      </c>
      <c r="BO13" s="266"/>
      <c r="BP13" s="196">
        <v>247.834</v>
      </c>
      <c r="BQ13" s="313">
        <v>88.305999999999997</v>
      </c>
      <c r="BR13" s="230">
        <v>24.634</v>
      </c>
      <c r="BS13" s="250"/>
      <c r="BT13" s="199"/>
      <c r="BU13" s="200"/>
      <c r="BV13" s="200"/>
      <c r="BW13" s="200"/>
      <c r="BX13" s="200">
        <v>0.43</v>
      </c>
      <c r="BY13" s="208">
        <v>0.28000000000000003</v>
      </c>
      <c r="BZ13" s="208">
        <v>1.99</v>
      </c>
      <c r="CA13" s="201"/>
      <c r="CB13" s="202"/>
      <c r="CC13" s="200">
        <v>43.92</v>
      </c>
      <c r="CD13" s="202"/>
      <c r="CE13" s="200">
        <v>37.42</v>
      </c>
      <c r="CF13" s="200">
        <v>37.44</v>
      </c>
      <c r="CG13" s="200">
        <v>28.62</v>
      </c>
      <c r="CH13" s="200"/>
      <c r="CI13" s="203"/>
      <c r="CJ13" s="204"/>
      <c r="CK13" s="197">
        <v>81.599999999999994</v>
      </c>
      <c r="CL13" s="264">
        <v>179.41</v>
      </c>
      <c r="CM13" s="265"/>
      <c r="CN13" s="202"/>
      <c r="CO13" s="202"/>
      <c r="CP13" s="270"/>
      <c r="CQ13" s="201"/>
      <c r="CR13" s="201"/>
      <c r="CS13" s="284"/>
      <c r="CT13" s="286">
        <f t="shared" si="23"/>
        <v>0</v>
      </c>
      <c r="CU13" s="24">
        <f t="shared" si="23"/>
        <v>47.600999999999999</v>
      </c>
      <c r="CV13" s="25">
        <f t="shared" si="23"/>
        <v>0</v>
      </c>
      <c r="CW13" s="24">
        <f t="shared" si="23"/>
        <v>246.76831379999999</v>
      </c>
      <c r="CX13" s="27">
        <f t="shared" si="23"/>
        <v>88.058743199999995</v>
      </c>
      <c r="CY13" s="24">
        <f t="shared" si="23"/>
        <v>24.143783400000004</v>
      </c>
      <c r="CZ13" s="280">
        <f t="shared" si="23"/>
        <v>0</v>
      </c>
      <c r="DA13" s="237">
        <f t="shared" si="24"/>
        <v>0</v>
      </c>
      <c r="DB13" s="26">
        <f t="shared" si="24"/>
        <v>81.599999999999994</v>
      </c>
      <c r="DC13" s="277">
        <f t="shared" si="24"/>
        <v>179.41</v>
      </c>
      <c r="DD13" s="280">
        <f t="shared" si="24"/>
        <v>0</v>
      </c>
      <c r="DE13" s="508">
        <f t="shared" si="31"/>
        <v>0</v>
      </c>
      <c r="DF13" s="247"/>
      <c r="DG13" s="293">
        <f t="shared" si="25"/>
        <v>0</v>
      </c>
      <c r="DH13" s="294"/>
      <c r="DI13" s="294"/>
      <c r="DJ13" s="295">
        <f t="shared" si="26"/>
        <v>0</v>
      </c>
      <c r="DK13" s="296">
        <f t="shared" si="27"/>
        <v>0</v>
      </c>
    </row>
    <row r="14" spans="1:117" ht="16.5" customHeight="1" thickBot="1">
      <c r="A14" s="127">
        <v>8</v>
      </c>
      <c r="B14" s="103">
        <f>'[1]июль 20'!K13</f>
        <v>414.17099999999999</v>
      </c>
      <c r="C14" s="104">
        <f t="shared" si="0"/>
        <v>0.33098536594788147</v>
      </c>
      <c r="D14" s="448">
        <f>B14*((100-C14)/100)</f>
        <v>412.80015459999998</v>
      </c>
      <c r="E14" s="104">
        <f t="shared" si="2"/>
        <v>38.265361988164308</v>
      </c>
      <c r="F14" s="128">
        <f t="shared" si="3"/>
        <v>2.0908684323557716</v>
      </c>
      <c r="G14" s="106"/>
      <c r="H14" s="107">
        <f>IF(BA14=0,0,(CZ14+CW14+CY14+CT14+CX14)/BA14)</f>
        <v>1.8873279369903255</v>
      </c>
      <c r="I14" s="103">
        <f>'[1]сентябрь 20'!AE13</f>
        <v>0</v>
      </c>
      <c r="J14" s="328">
        <f>'[1]июль 20'!AA13</f>
        <v>0</v>
      </c>
      <c r="K14" s="106"/>
      <c r="L14" s="328">
        <f>'[1]июль 20'!AI13</f>
        <v>40.185000000000002</v>
      </c>
      <c r="M14" s="103">
        <f>IF(BA14=0,0,(CV14+CU14)/BA14)</f>
        <v>0.20354049536544599</v>
      </c>
      <c r="N14" s="103">
        <f>'[1]июль 20'!W13</f>
        <v>0</v>
      </c>
      <c r="O14" s="103">
        <f>'[1]июль 20'!AM13</f>
        <v>0</v>
      </c>
      <c r="P14" s="447">
        <f t="shared" si="6"/>
        <v>0</v>
      </c>
      <c r="Q14" s="103">
        <f t="shared" si="7"/>
        <v>0</v>
      </c>
      <c r="R14" s="103">
        <f>'[1]июль 20'!S13</f>
        <v>267.56599999999997</v>
      </c>
      <c r="S14" s="108">
        <f>IF(R14=0,0,(1-(V14/R14))*100)</f>
        <v>1.4897258994042595</v>
      </c>
      <c r="T14" s="109">
        <f>R14*((100-S14)/100)</f>
        <v>263.58</v>
      </c>
      <c r="U14" s="106">
        <v>19.93</v>
      </c>
      <c r="V14" s="109">
        <f>CJ14+CK14+CM14+CL14</f>
        <v>263.58</v>
      </c>
      <c r="W14" s="110">
        <f t="shared" si="11"/>
        <v>1.3350554626956388</v>
      </c>
      <c r="X14" s="110"/>
      <c r="Y14" s="136">
        <v>101.07</v>
      </c>
      <c r="Z14" s="130">
        <v>197.43</v>
      </c>
      <c r="AA14" s="131">
        <v>0.64</v>
      </c>
      <c r="AB14" s="146">
        <v>663</v>
      </c>
      <c r="AC14" s="147">
        <v>1219</v>
      </c>
      <c r="AD14" s="144" t="s">
        <v>350</v>
      </c>
      <c r="AE14" s="131">
        <v>74.64</v>
      </c>
      <c r="AF14" s="133">
        <v>138</v>
      </c>
      <c r="AG14" s="134">
        <v>4</v>
      </c>
      <c r="AH14" s="131">
        <v>2.6</v>
      </c>
      <c r="AI14" s="115">
        <f t="shared" si="12"/>
        <v>13.169224535278326</v>
      </c>
      <c r="AJ14" s="131">
        <v>112.7</v>
      </c>
      <c r="AK14" s="115">
        <f>IF(BA14=0,0,AJ14/BA14*1000)</f>
        <v>570.8352327407182</v>
      </c>
      <c r="AL14" s="131">
        <v>18.62</v>
      </c>
      <c r="AM14" s="116"/>
      <c r="AN14" s="135">
        <v>8.06</v>
      </c>
      <c r="AO14" s="466">
        <v>34.72</v>
      </c>
      <c r="AP14" s="110">
        <f>IF(AO14=0,0,AO14/AV14)</f>
        <v>0.14588235294117646</v>
      </c>
      <c r="AQ14" s="137" t="s">
        <v>351</v>
      </c>
      <c r="AR14" s="150">
        <v>8.66</v>
      </c>
      <c r="AS14" s="138">
        <v>8.16</v>
      </c>
      <c r="AT14" s="131"/>
      <c r="AU14" s="131">
        <v>7.15</v>
      </c>
      <c r="AV14" s="315">
        <v>238</v>
      </c>
      <c r="AW14" s="131">
        <v>2.21</v>
      </c>
      <c r="AX14" s="148"/>
      <c r="AY14" s="149"/>
      <c r="AZ14" s="109"/>
      <c r="BA14" s="109">
        <f>AV14-AO14-AN14+AY14+AW14</f>
        <v>197.43</v>
      </c>
      <c r="BB14" s="115">
        <f t="shared" si="16"/>
        <v>184.75163493813923</v>
      </c>
      <c r="BC14" s="140">
        <f>(AJ14*AU14)/100*(55/71)</f>
        <v>6.242151408450705</v>
      </c>
      <c r="BD14" s="141">
        <f>BA14*$BD$6</f>
        <v>7.8972000000000007</v>
      </c>
      <c r="BE14" s="128">
        <f t="shared" si="19"/>
        <v>0.93290860488303917</v>
      </c>
      <c r="BF14" s="141">
        <f>BC14+BD14</f>
        <v>14.139351408450706</v>
      </c>
      <c r="BG14" s="142">
        <v>0.91200000000000003</v>
      </c>
      <c r="BH14" s="16">
        <f>BH13+BA14</f>
        <v>1329.0000000000002</v>
      </c>
      <c r="BI14" s="16">
        <f>IF(A14&lt;=$BG$43,$AV$43,0)</f>
        <v>182.25806451612902</v>
      </c>
      <c r="BJ14" s="16">
        <f>BI14+BJ13</f>
        <v>1458.0645161290322</v>
      </c>
      <c r="BK14" s="17">
        <f>IF(BA14&lt;&gt;0,1,0)</f>
        <v>1</v>
      </c>
      <c r="BL14" s="16">
        <f>BL13+BI14*BK14</f>
        <v>1458.0645161290322</v>
      </c>
      <c r="BM14" s="249"/>
      <c r="BN14" s="195">
        <v>40.185000000000002</v>
      </c>
      <c r="BO14" s="266"/>
      <c r="BP14" s="196">
        <v>270.488</v>
      </c>
      <c r="BQ14" s="313">
        <v>89.707999999999998</v>
      </c>
      <c r="BR14" s="230">
        <v>13.79</v>
      </c>
      <c r="BS14" s="250"/>
      <c r="BT14" s="199"/>
      <c r="BU14" s="200"/>
      <c r="BV14" s="200"/>
      <c r="BW14" s="200"/>
      <c r="BX14" s="200">
        <v>0.35</v>
      </c>
      <c r="BY14" s="208">
        <v>0.13</v>
      </c>
      <c r="BZ14" s="208">
        <v>2.23</v>
      </c>
      <c r="CA14" s="201"/>
      <c r="CB14" s="202"/>
      <c r="CC14" s="200">
        <v>43.82</v>
      </c>
      <c r="CD14" s="202"/>
      <c r="CE14" s="200">
        <v>37.79</v>
      </c>
      <c r="CF14" s="200">
        <v>37.840000000000003</v>
      </c>
      <c r="CG14" s="200">
        <v>34.17</v>
      </c>
      <c r="CH14" s="200"/>
      <c r="CI14" s="203"/>
      <c r="CJ14" s="204"/>
      <c r="CK14" s="197">
        <v>82.8</v>
      </c>
      <c r="CL14" s="264">
        <v>180.78</v>
      </c>
      <c r="CM14" s="265"/>
      <c r="CN14" s="202"/>
      <c r="CO14" s="202"/>
      <c r="CP14" s="270"/>
      <c r="CQ14" s="201"/>
      <c r="CR14" s="201"/>
      <c r="CS14" s="284"/>
      <c r="CT14" s="286">
        <f t="shared" si="23"/>
        <v>0</v>
      </c>
      <c r="CU14" s="27">
        <f t="shared" si="23"/>
        <v>40.185000000000002</v>
      </c>
      <c r="CV14" s="28">
        <f t="shared" si="23"/>
        <v>0</v>
      </c>
      <c r="CW14" s="27">
        <f t="shared" si="23"/>
        <v>269.541292</v>
      </c>
      <c r="CX14" s="27">
        <f t="shared" si="23"/>
        <v>89.591379599999996</v>
      </c>
      <c r="CY14" s="24">
        <f t="shared" si="23"/>
        <v>13.482483</v>
      </c>
      <c r="CZ14" s="282">
        <f t="shared" si="23"/>
        <v>0</v>
      </c>
      <c r="DA14" s="237">
        <f t="shared" si="24"/>
        <v>0</v>
      </c>
      <c r="DB14" s="26">
        <f t="shared" si="24"/>
        <v>82.8</v>
      </c>
      <c r="DC14" s="277">
        <f t="shared" si="24"/>
        <v>180.78</v>
      </c>
      <c r="DD14" s="280">
        <f t="shared" si="24"/>
        <v>0</v>
      </c>
      <c r="DE14" s="508">
        <f t="shared" si="31"/>
        <v>0</v>
      </c>
      <c r="DF14" s="247"/>
      <c r="DG14" s="293">
        <f t="shared" si="25"/>
        <v>0</v>
      </c>
      <c r="DH14" s="294"/>
      <c r="DI14" s="294"/>
      <c r="DJ14" s="295">
        <f t="shared" si="26"/>
        <v>0</v>
      </c>
      <c r="DK14" s="296">
        <f t="shared" si="27"/>
        <v>0</v>
      </c>
    </row>
    <row r="15" spans="1:117" ht="16.5" customHeight="1" thickBot="1">
      <c r="A15" s="253">
        <v>9</v>
      </c>
      <c r="B15" s="103">
        <f>'[1]июль 20'!K14</f>
        <v>410.762</v>
      </c>
      <c r="C15" s="104">
        <f t="shared" si="0"/>
        <v>0.34764135922991901</v>
      </c>
      <c r="D15" s="448">
        <f t="shared" si="1"/>
        <v>409.33402139999998</v>
      </c>
      <c r="E15" s="104">
        <f t="shared" si="2"/>
        <v>37.819578734157481</v>
      </c>
      <c r="F15" s="128">
        <f t="shared" si="3"/>
        <v>2.2200565213146759</v>
      </c>
      <c r="G15" s="106"/>
      <c r="H15" s="107">
        <f t="shared" si="4"/>
        <v>2.0344073185811906</v>
      </c>
      <c r="I15" s="103">
        <f>'[1]сентябрь 20'!AE14</f>
        <v>0</v>
      </c>
      <c r="J15" s="328">
        <f>'[1]июль 20'!AA14</f>
        <v>0</v>
      </c>
      <c r="K15" s="106"/>
      <c r="L15" s="328">
        <f>'[1]июль 20'!AI14</f>
        <v>34.229999999999997</v>
      </c>
      <c r="M15" s="103">
        <f t="shared" si="5"/>
        <v>0.18564920273348515</v>
      </c>
      <c r="N15" s="103">
        <f>'[1]июль 20'!W14</f>
        <v>0</v>
      </c>
      <c r="O15" s="103">
        <f>'[1]июль 20'!AM14</f>
        <v>0</v>
      </c>
      <c r="P15" s="447">
        <f t="shared" si="6"/>
        <v>0</v>
      </c>
      <c r="Q15" s="103">
        <f t="shared" si="7"/>
        <v>0</v>
      </c>
      <c r="R15" s="103">
        <f>'[1]июль 20'!S14</f>
        <v>265.52100000000002</v>
      </c>
      <c r="S15" s="108">
        <f t="shared" si="8"/>
        <v>1.4503560923618042</v>
      </c>
      <c r="T15" s="109">
        <f t="shared" si="9"/>
        <v>261.67</v>
      </c>
      <c r="U15" s="106">
        <v>19.61</v>
      </c>
      <c r="V15" s="109">
        <f t="shared" si="10"/>
        <v>261.67</v>
      </c>
      <c r="W15" s="110">
        <f t="shared" si="11"/>
        <v>1.4191886321726868</v>
      </c>
      <c r="X15" s="110"/>
      <c r="Y15" s="136">
        <v>184.38</v>
      </c>
      <c r="Z15" s="130">
        <v>184.38</v>
      </c>
      <c r="AA15" s="131">
        <v>0.65</v>
      </c>
      <c r="AB15" s="112">
        <v>628</v>
      </c>
      <c r="AC15" s="133">
        <v>1208</v>
      </c>
      <c r="AD15" s="144" t="s">
        <v>352</v>
      </c>
      <c r="AE15" s="131">
        <v>76.180000000000007</v>
      </c>
      <c r="AF15" s="133">
        <v>137</v>
      </c>
      <c r="AG15" s="134">
        <v>4</v>
      </c>
      <c r="AH15" s="131">
        <v>1.35</v>
      </c>
      <c r="AI15" s="115">
        <f t="shared" si="12"/>
        <v>7.3218353400585734</v>
      </c>
      <c r="AJ15" s="131">
        <v>101.6</v>
      </c>
      <c r="AK15" s="115">
        <f t="shared" si="13"/>
        <v>551.03590411107484</v>
      </c>
      <c r="AL15" s="131">
        <v>17.93</v>
      </c>
      <c r="AM15" s="116"/>
      <c r="AN15" s="135">
        <v>9.2200000000000006</v>
      </c>
      <c r="AO15" s="466">
        <v>41.03</v>
      </c>
      <c r="AP15" s="110">
        <f t="shared" si="14"/>
        <v>0.17662505380972879</v>
      </c>
      <c r="AQ15" s="137" t="s">
        <v>353</v>
      </c>
      <c r="AR15" s="150">
        <v>8.3000000000000007</v>
      </c>
      <c r="AS15" s="138">
        <v>8.64</v>
      </c>
      <c r="AT15" s="131"/>
      <c r="AU15" s="131">
        <v>6.28</v>
      </c>
      <c r="AV15" s="315">
        <v>232.3</v>
      </c>
      <c r="AW15" s="131">
        <v>2.33</v>
      </c>
      <c r="AX15" s="116"/>
      <c r="AY15" s="131"/>
      <c r="AZ15" s="109"/>
      <c r="BA15" s="109">
        <f t="shared" si="15"/>
        <v>184.38000000000002</v>
      </c>
      <c r="BB15" s="115">
        <f t="shared" si="16"/>
        <v>177.40579599686879</v>
      </c>
      <c r="BC15" s="140">
        <f t="shared" si="17"/>
        <v>4.9426253521126764</v>
      </c>
      <c r="BD15" s="141">
        <f t="shared" si="18"/>
        <v>7.3752000000000013</v>
      </c>
      <c r="BE15" s="128">
        <f t="shared" si="19"/>
        <v>0.90731951059164406</v>
      </c>
      <c r="BF15" s="141">
        <f t="shared" si="20"/>
        <v>12.317825352112678</v>
      </c>
      <c r="BG15" s="142">
        <v>0.91100000000000003</v>
      </c>
      <c r="BH15" s="16">
        <f t="shared" si="28"/>
        <v>1513.3800000000003</v>
      </c>
      <c r="BI15" s="16">
        <f t="shared" si="21"/>
        <v>182.25806451612902</v>
      </c>
      <c r="BJ15" s="16">
        <f t="shared" si="29"/>
        <v>1640.3225806451612</v>
      </c>
      <c r="BK15" s="17">
        <f t="shared" si="22"/>
        <v>1</v>
      </c>
      <c r="BL15" s="16">
        <f t="shared" si="30"/>
        <v>1640.3225806451612</v>
      </c>
      <c r="BM15" s="249"/>
      <c r="BN15" s="195">
        <v>34.229999999999997</v>
      </c>
      <c r="BO15" s="197"/>
      <c r="BP15" s="197">
        <v>274.01799999999997</v>
      </c>
      <c r="BQ15" s="230">
        <v>89.034999999999997</v>
      </c>
      <c r="BR15" s="195">
        <v>13.478999999999999</v>
      </c>
      <c r="BS15" s="329"/>
      <c r="BT15" s="199"/>
      <c r="BU15" s="200"/>
      <c r="BV15" s="200"/>
      <c r="BW15" s="200"/>
      <c r="BX15" s="200">
        <v>0.38</v>
      </c>
      <c r="BY15" s="208">
        <v>0.18</v>
      </c>
      <c r="BZ15" s="208">
        <v>1.68</v>
      </c>
      <c r="CA15" s="330"/>
      <c r="CB15" s="202"/>
      <c r="CC15" s="200">
        <v>43.57</v>
      </c>
      <c r="CD15" s="200"/>
      <c r="CE15" s="200">
        <v>37.51</v>
      </c>
      <c r="CF15" s="200">
        <v>37.65</v>
      </c>
      <c r="CG15" s="200">
        <v>30.63</v>
      </c>
      <c r="CH15" s="200"/>
      <c r="CI15" s="203"/>
      <c r="CJ15" s="204"/>
      <c r="CK15" s="230">
        <v>82.2</v>
      </c>
      <c r="CL15" s="266">
        <v>179.47</v>
      </c>
      <c r="CM15" s="265"/>
      <c r="CN15" s="202"/>
      <c r="CO15" s="208"/>
      <c r="CP15" s="208"/>
      <c r="CQ15" s="201"/>
      <c r="CR15" s="201"/>
      <c r="CS15" s="284"/>
      <c r="CT15" s="286">
        <f t="shared" si="23"/>
        <v>0</v>
      </c>
      <c r="CU15" s="29">
        <f t="shared" si="23"/>
        <v>34.229999999999997</v>
      </c>
      <c r="CV15" s="30">
        <f t="shared" si="23"/>
        <v>0</v>
      </c>
      <c r="CW15" s="29">
        <f t="shared" si="23"/>
        <v>272.97673159999999</v>
      </c>
      <c r="CX15" s="27">
        <f t="shared" si="23"/>
        <v>88.874736999999996</v>
      </c>
      <c r="CY15" s="24">
        <f t="shared" si="23"/>
        <v>13.252552799999998</v>
      </c>
      <c r="CZ15" s="283">
        <f t="shared" si="23"/>
        <v>0</v>
      </c>
      <c r="DA15" s="237">
        <f t="shared" si="24"/>
        <v>0</v>
      </c>
      <c r="DB15" s="24">
        <f t="shared" si="24"/>
        <v>82.2</v>
      </c>
      <c r="DC15" s="277">
        <f t="shared" si="24"/>
        <v>179.47</v>
      </c>
      <c r="DD15" s="280">
        <f t="shared" si="24"/>
        <v>0</v>
      </c>
      <c r="DE15" s="508">
        <f t="shared" si="31"/>
        <v>0</v>
      </c>
      <c r="DF15" s="247"/>
      <c r="DG15" s="293">
        <f t="shared" si="25"/>
        <v>0</v>
      </c>
      <c r="DH15" s="294"/>
      <c r="DI15" s="294"/>
      <c r="DJ15" s="295">
        <f t="shared" si="26"/>
        <v>0</v>
      </c>
      <c r="DK15" s="296">
        <f t="shared" si="27"/>
        <v>0</v>
      </c>
    </row>
    <row r="16" spans="1:117" ht="16.5" customHeight="1" thickBot="1">
      <c r="A16" s="127">
        <v>10</v>
      </c>
      <c r="B16" s="103">
        <f>'[1]июль 20'!K15</f>
        <v>410.77100000000002</v>
      </c>
      <c r="C16" s="104">
        <f t="shared" si="0"/>
        <v>0.46082152829678824</v>
      </c>
      <c r="D16" s="448">
        <f t="shared" si="1"/>
        <v>408.87807879999997</v>
      </c>
      <c r="E16" s="104">
        <f t="shared" si="2"/>
        <v>37.886371335853795</v>
      </c>
      <c r="F16" s="128">
        <f t="shared" si="3"/>
        <v>2.1689994101108692</v>
      </c>
      <c r="G16" s="106"/>
      <c r="H16" s="107">
        <f t="shared" si="4"/>
        <v>1.9873061312397218</v>
      </c>
      <c r="I16" s="103">
        <f>'[1]сентябрь 20'!AE15</f>
        <v>0</v>
      </c>
      <c r="J16" s="328">
        <f>'[1]июль 20'!AA15</f>
        <v>0</v>
      </c>
      <c r="K16" s="106"/>
      <c r="L16" s="328">
        <f>'[1]июль 20'!AI15</f>
        <v>34.250999999999998</v>
      </c>
      <c r="M16" s="103">
        <f t="shared" si="5"/>
        <v>0.18169327887114739</v>
      </c>
      <c r="N16" s="103">
        <f>'[1]июль 20'!W15</f>
        <v>0</v>
      </c>
      <c r="O16" s="103">
        <f>'[1]июль 20'!AM15</f>
        <v>0</v>
      </c>
      <c r="P16" s="447">
        <f t="shared" si="6"/>
        <v>0</v>
      </c>
      <c r="Q16" s="103">
        <f t="shared" si="7"/>
        <v>0</v>
      </c>
      <c r="R16" s="103">
        <f>'[1]июль 20'!S15</f>
        <v>266.767</v>
      </c>
      <c r="S16" s="108">
        <f t="shared" si="8"/>
        <v>1.4945626707950965</v>
      </c>
      <c r="T16" s="109">
        <f t="shared" si="9"/>
        <v>262.78000000000009</v>
      </c>
      <c r="U16" s="106">
        <v>20.34</v>
      </c>
      <c r="V16" s="109">
        <f t="shared" si="10"/>
        <v>262.78000000000003</v>
      </c>
      <c r="W16" s="110">
        <f t="shared" si="11"/>
        <v>1.3939844040103977</v>
      </c>
      <c r="X16" s="110"/>
      <c r="Y16" s="136">
        <v>188.51</v>
      </c>
      <c r="Z16" s="130">
        <v>188.51</v>
      </c>
      <c r="AA16" s="131">
        <v>0.5</v>
      </c>
      <c r="AB16" s="112">
        <v>643</v>
      </c>
      <c r="AC16" s="133">
        <v>1221</v>
      </c>
      <c r="AD16" s="144" t="s">
        <v>360</v>
      </c>
      <c r="AE16" s="131">
        <v>76.739999999999995</v>
      </c>
      <c r="AF16" s="133">
        <v>137</v>
      </c>
      <c r="AG16" s="134">
        <v>4</v>
      </c>
      <c r="AH16" s="131">
        <v>4.2</v>
      </c>
      <c r="AI16" s="115">
        <f t="shared" si="12"/>
        <v>22.279985146676569</v>
      </c>
      <c r="AJ16" s="131">
        <v>106.15</v>
      </c>
      <c r="AK16" s="115">
        <f t="shared" si="13"/>
        <v>563.10010079040899</v>
      </c>
      <c r="AL16" s="139">
        <v>17.68</v>
      </c>
      <c r="AM16" s="131"/>
      <c r="AN16" s="136">
        <v>8.26</v>
      </c>
      <c r="AO16" s="466">
        <v>41.2</v>
      </c>
      <c r="AP16" s="110">
        <f t="shared" si="14"/>
        <v>0.17498407305160332</v>
      </c>
      <c r="AQ16" s="137" t="s">
        <v>361</v>
      </c>
      <c r="AR16" s="150">
        <v>7.86</v>
      </c>
      <c r="AS16" s="138">
        <v>8.4700000000000006</v>
      </c>
      <c r="AT16" s="131"/>
      <c r="AU16" s="131">
        <v>7.29</v>
      </c>
      <c r="AV16" s="315">
        <v>235.45</v>
      </c>
      <c r="AW16" s="131">
        <v>2.52</v>
      </c>
      <c r="AX16" s="116"/>
      <c r="AY16" s="131"/>
      <c r="AZ16" s="109"/>
      <c r="BA16" s="109">
        <f t="shared" si="15"/>
        <v>188.51000000000002</v>
      </c>
      <c r="BB16" s="115">
        <f t="shared" si="16"/>
        <v>176.22571762437926</v>
      </c>
      <c r="BC16" s="140">
        <f t="shared" si="17"/>
        <v>5.9944848591549302</v>
      </c>
      <c r="BD16" s="141">
        <f t="shared" si="18"/>
        <v>7.5404000000000009</v>
      </c>
      <c r="BE16" s="128">
        <f t="shared" si="19"/>
        <v>0.93385478702248936</v>
      </c>
      <c r="BF16" s="141">
        <f t="shared" si="20"/>
        <v>13.534884859154932</v>
      </c>
      <c r="BG16" s="142">
        <v>0.91400000000000003</v>
      </c>
      <c r="BH16" s="16">
        <f t="shared" si="28"/>
        <v>1701.8900000000003</v>
      </c>
      <c r="BI16" s="16">
        <f t="shared" si="21"/>
        <v>182.25806451612902</v>
      </c>
      <c r="BJ16" s="16">
        <f t="shared" si="29"/>
        <v>1822.5806451612902</v>
      </c>
      <c r="BK16" s="17">
        <f t="shared" si="22"/>
        <v>1</v>
      </c>
      <c r="BL16" s="16">
        <f t="shared" si="30"/>
        <v>1822.5806451612902</v>
      </c>
      <c r="BM16" s="249"/>
      <c r="BN16" s="195">
        <v>34.250999999999998</v>
      </c>
      <c r="BO16" s="195"/>
      <c r="BP16" s="197">
        <v>273.995</v>
      </c>
      <c r="BQ16" s="230">
        <v>89.028000000000006</v>
      </c>
      <c r="BR16" s="230">
        <v>13.497</v>
      </c>
      <c r="BS16" s="250"/>
      <c r="BT16" s="199"/>
      <c r="BU16" s="200"/>
      <c r="BV16" s="200"/>
      <c r="BW16" s="200"/>
      <c r="BX16" s="200">
        <v>0.59</v>
      </c>
      <c r="BY16" s="208">
        <v>0.13</v>
      </c>
      <c r="BZ16" s="208">
        <v>1.19</v>
      </c>
      <c r="CA16" s="201"/>
      <c r="CB16" s="202"/>
      <c r="CC16" s="200">
        <v>43.69</v>
      </c>
      <c r="CD16" s="200"/>
      <c r="CE16" s="200">
        <v>37.32</v>
      </c>
      <c r="CF16" s="200">
        <v>38.33</v>
      </c>
      <c r="CG16" s="200">
        <v>31.73</v>
      </c>
      <c r="CH16" s="200"/>
      <c r="CI16" s="203"/>
      <c r="CJ16" s="204"/>
      <c r="CK16" s="230">
        <v>82.2</v>
      </c>
      <c r="CL16" s="266">
        <v>180.58</v>
      </c>
      <c r="CM16" s="265"/>
      <c r="CN16" s="202"/>
      <c r="CO16" s="208"/>
      <c r="CP16" s="208"/>
      <c r="CQ16" s="201"/>
      <c r="CR16" s="201"/>
      <c r="CS16" s="284"/>
      <c r="CT16" s="286">
        <f t="shared" si="23"/>
        <v>0</v>
      </c>
      <c r="CU16" s="24">
        <f t="shared" si="23"/>
        <v>34.250999999999998</v>
      </c>
      <c r="CV16" s="25">
        <f t="shared" si="23"/>
        <v>0</v>
      </c>
      <c r="CW16" s="24">
        <f t="shared" si="23"/>
        <v>272.37842949999998</v>
      </c>
      <c r="CX16" s="27">
        <f t="shared" si="23"/>
        <v>88.912263600000003</v>
      </c>
      <c r="CY16" s="24">
        <f t="shared" si="23"/>
        <v>13.336385699999999</v>
      </c>
      <c r="CZ16" s="280">
        <f t="shared" si="23"/>
        <v>0</v>
      </c>
      <c r="DA16" s="237">
        <f t="shared" si="24"/>
        <v>0</v>
      </c>
      <c r="DB16" s="29">
        <f t="shared" si="24"/>
        <v>82.2</v>
      </c>
      <c r="DC16" s="277">
        <f t="shared" si="24"/>
        <v>180.58</v>
      </c>
      <c r="DD16" s="280">
        <f t="shared" si="24"/>
        <v>0</v>
      </c>
      <c r="DE16" s="508">
        <f t="shared" si="31"/>
        <v>0</v>
      </c>
      <c r="DF16" s="247"/>
      <c r="DG16" s="293">
        <f t="shared" si="25"/>
        <v>0</v>
      </c>
      <c r="DH16" s="294"/>
      <c r="DI16" s="294"/>
      <c r="DJ16" s="295">
        <f t="shared" si="26"/>
        <v>0</v>
      </c>
      <c r="DK16" s="296">
        <f t="shared" si="27"/>
        <v>0</v>
      </c>
    </row>
    <row r="17" spans="1:115" ht="16.5" customHeight="1" thickBot="1">
      <c r="A17" s="127">
        <v>11</v>
      </c>
      <c r="B17" s="103">
        <f>'[1]июль 20'!K16</f>
        <v>408.041</v>
      </c>
      <c r="C17" s="104">
        <f t="shared" si="0"/>
        <v>0.34054423452545207</v>
      </c>
      <c r="D17" s="448">
        <f t="shared" si="1"/>
        <v>406.65143990000001</v>
      </c>
      <c r="E17" s="104">
        <f t="shared" si="2"/>
        <v>37.116239152438112</v>
      </c>
      <c r="F17" s="128">
        <f t="shared" si="3"/>
        <v>2.2460725760839546</v>
      </c>
      <c r="G17" s="106"/>
      <c r="H17" s="107">
        <f t="shared" si="4"/>
        <v>2.0582957188621926</v>
      </c>
      <c r="I17" s="103">
        <f>'[1]сентябрь 20'!AE16</f>
        <v>0</v>
      </c>
      <c r="J17" s="328">
        <f>'[1]июль 20'!AA16</f>
        <v>0</v>
      </c>
      <c r="K17" s="106"/>
      <c r="L17" s="328">
        <f>'[1]июль 20'!AI16</f>
        <v>33.997</v>
      </c>
      <c r="M17" s="103">
        <f t="shared" si="5"/>
        <v>0.18777685722176193</v>
      </c>
      <c r="N17" s="103">
        <f>'[1]июль 20'!W16</f>
        <v>0</v>
      </c>
      <c r="O17" s="507">
        <f>'[1]июль 20'!AM16</f>
        <v>0</v>
      </c>
      <c r="P17" s="447">
        <f t="shared" si="6"/>
        <v>0</v>
      </c>
      <c r="Q17" s="103">
        <f t="shared" si="7"/>
        <v>0</v>
      </c>
      <c r="R17" s="103">
        <f>'[1]июль 20'!S16</f>
        <v>264.95499999999998</v>
      </c>
      <c r="S17" s="108">
        <f t="shared" si="8"/>
        <v>1.4474155988752679</v>
      </c>
      <c r="T17" s="109">
        <f t="shared" si="9"/>
        <v>261.12</v>
      </c>
      <c r="U17" s="106">
        <v>15.61</v>
      </c>
      <c r="V17" s="109">
        <f t="shared" si="10"/>
        <v>261.12</v>
      </c>
      <c r="W17" s="110">
        <f t="shared" si="11"/>
        <v>1.4422535211267604</v>
      </c>
      <c r="X17" s="110"/>
      <c r="Y17" s="136">
        <v>181.05</v>
      </c>
      <c r="Z17" s="130">
        <v>181.05</v>
      </c>
      <c r="AA17" s="131">
        <v>0.55000000000000004</v>
      </c>
      <c r="AB17" s="112">
        <v>679</v>
      </c>
      <c r="AC17" s="133">
        <v>1216</v>
      </c>
      <c r="AD17" s="144" t="s">
        <v>349</v>
      </c>
      <c r="AE17" s="131">
        <v>76.63</v>
      </c>
      <c r="AF17" s="133">
        <v>136</v>
      </c>
      <c r="AG17" s="134">
        <v>4</v>
      </c>
      <c r="AH17" s="131">
        <v>4.0999999999999996</v>
      </c>
      <c r="AI17" s="115">
        <f t="shared" si="12"/>
        <v>22.645677989505657</v>
      </c>
      <c r="AJ17" s="131">
        <v>101.5</v>
      </c>
      <c r="AK17" s="115">
        <f t="shared" si="13"/>
        <v>560.61861364264007</v>
      </c>
      <c r="AL17" s="139">
        <v>18.079999999999998</v>
      </c>
      <c r="AM17" s="131"/>
      <c r="AN17" s="136">
        <v>8.76</v>
      </c>
      <c r="AO17" s="466">
        <v>40.98</v>
      </c>
      <c r="AP17" s="110">
        <f t="shared" si="14"/>
        <v>0.17895196506550218</v>
      </c>
      <c r="AQ17" s="137" t="s">
        <v>362</v>
      </c>
      <c r="AR17" s="150">
        <v>8.3000000000000007</v>
      </c>
      <c r="AS17" s="138">
        <v>8.83</v>
      </c>
      <c r="AT17" s="131"/>
      <c r="AU17" s="131">
        <v>6.65</v>
      </c>
      <c r="AV17" s="315">
        <v>229</v>
      </c>
      <c r="AW17" s="131">
        <v>1.79</v>
      </c>
      <c r="AX17" s="116"/>
      <c r="AY17" s="131"/>
      <c r="AZ17" s="109"/>
      <c r="BA17" s="109">
        <f t="shared" si="15"/>
        <v>181.05</v>
      </c>
      <c r="BB17" s="115">
        <f t="shared" si="16"/>
        <v>171.94980867734864</v>
      </c>
      <c r="BC17" s="140">
        <f t="shared" si="17"/>
        <v>5.2286795774647894</v>
      </c>
      <c r="BD17" s="141">
        <f t="shared" si="18"/>
        <v>7.2420000000000009</v>
      </c>
      <c r="BE17" s="128">
        <f t="shared" si="19"/>
        <v>0.91920224404891226</v>
      </c>
      <c r="BF17" s="141">
        <f t="shared" si="20"/>
        <v>12.470679577464789</v>
      </c>
      <c r="BG17" s="142">
        <v>0.91400000000000003</v>
      </c>
      <c r="BH17" s="16">
        <f t="shared" si="28"/>
        <v>1882.9400000000003</v>
      </c>
      <c r="BI17" s="16">
        <f t="shared" si="21"/>
        <v>182.25806451612902</v>
      </c>
      <c r="BJ17" s="16">
        <f t="shared" si="29"/>
        <v>2004.8387096774193</v>
      </c>
      <c r="BK17" s="17">
        <f t="shared" si="22"/>
        <v>1</v>
      </c>
      <c r="BL17" s="16">
        <f t="shared" si="30"/>
        <v>2004.8387096774193</v>
      </c>
      <c r="BM17" s="249"/>
      <c r="BN17" s="195">
        <v>33.997</v>
      </c>
      <c r="BO17" s="195"/>
      <c r="BP17" s="197">
        <v>271.99700000000001</v>
      </c>
      <c r="BQ17" s="230">
        <v>88.409000000000006</v>
      </c>
      <c r="BR17" s="230">
        <v>13.638</v>
      </c>
      <c r="BS17" s="250"/>
      <c r="BT17" s="199"/>
      <c r="BU17" s="200"/>
      <c r="BV17" s="200"/>
      <c r="BW17" s="200"/>
      <c r="BX17" s="200">
        <v>0.42</v>
      </c>
      <c r="BY17" s="208">
        <v>0.15</v>
      </c>
      <c r="BZ17" s="208">
        <v>0.84</v>
      </c>
      <c r="CA17" s="201"/>
      <c r="CB17" s="202"/>
      <c r="CC17" s="200">
        <v>43.68</v>
      </c>
      <c r="CD17" s="200"/>
      <c r="CE17" s="200">
        <v>36.68</v>
      </c>
      <c r="CF17" s="208">
        <v>37.119999999999997</v>
      </c>
      <c r="CG17" s="208">
        <v>29.43</v>
      </c>
      <c r="CH17" s="201"/>
      <c r="CI17" s="199"/>
      <c r="CJ17" s="197"/>
      <c r="CK17" s="244">
        <v>81.599999999999994</v>
      </c>
      <c r="CL17" s="266">
        <v>179.52</v>
      </c>
      <c r="CM17" s="265"/>
      <c r="CN17" s="231"/>
      <c r="CO17" s="208"/>
      <c r="CP17" s="208"/>
      <c r="CQ17" s="201"/>
      <c r="CR17" s="201"/>
      <c r="CS17" s="284"/>
      <c r="CT17" s="286">
        <f t="shared" si="23"/>
        <v>0</v>
      </c>
      <c r="CU17" s="24">
        <f t="shared" si="23"/>
        <v>33.997</v>
      </c>
      <c r="CV17" s="25">
        <f t="shared" si="23"/>
        <v>0</v>
      </c>
      <c r="CW17" s="24">
        <f t="shared" si="23"/>
        <v>270.8546126</v>
      </c>
      <c r="CX17" s="27">
        <f t="shared" si="23"/>
        <v>88.276386500000001</v>
      </c>
      <c r="CY17" s="27">
        <f t="shared" si="23"/>
        <v>13.523440799999999</v>
      </c>
      <c r="CZ17" s="280">
        <f t="shared" si="23"/>
        <v>0</v>
      </c>
      <c r="DA17" s="25">
        <f t="shared" si="24"/>
        <v>0</v>
      </c>
      <c r="DB17" s="26">
        <f t="shared" si="24"/>
        <v>81.599999999999994</v>
      </c>
      <c r="DC17" s="277">
        <f t="shared" si="24"/>
        <v>179.52</v>
      </c>
      <c r="DD17" s="280">
        <f t="shared" si="24"/>
        <v>0</v>
      </c>
      <c r="DE17" s="508">
        <f t="shared" si="31"/>
        <v>0</v>
      </c>
      <c r="DF17" s="247"/>
      <c r="DG17" s="293">
        <f t="shared" si="25"/>
        <v>0</v>
      </c>
      <c r="DH17" s="294"/>
      <c r="DI17" s="294"/>
      <c r="DJ17" s="295">
        <f t="shared" si="26"/>
        <v>0</v>
      </c>
      <c r="DK17" s="296">
        <f t="shared" si="27"/>
        <v>0</v>
      </c>
    </row>
    <row r="18" spans="1:115" ht="16.5" customHeight="1" thickBot="1">
      <c r="A18" s="127">
        <v>12</v>
      </c>
      <c r="B18" s="103">
        <f>'[1]июль 20'!K17</f>
        <v>401.95499999999998</v>
      </c>
      <c r="C18" s="104">
        <f t="shared" si="0"/>
        <v>0.22709636650868881</v>
      </c>
      <c r="D18" s="143">
        <f t="shared" si="1"/>
        <v>401.04217479999994</v>
      </c>
      <c r="E18" s="104">
        <f t="shared" si="2"/>
        <v>37.975841201129477</v>
      </c>
      <c r="F18" s="128">
        <f t="shared" si="3"/>
        <v>2.1589264362618432</v>
      </c>
      <c r="G18" s="106"/>
      <c r="H18" s="107">
        <f t="shared" si="4"/>
        <v>1.9786400452196382</v>
      </c>
      <c r="I18" s="103">
        <f>'[1]сентябрь 20'!AE17</f>
        <v>0</v>
      </c>
      <c r="J18" s="328">
        <f>'[1]июль 20'!AA17</f>
        <v>0</v>
      </c>
      <c r="K18" s="106"/>
      <c r="L18" s="328">
        <f>'[1]июль 20'!AI17</f>
        <v>33.49</v>
      </c>
      <c r="M18" s="103">
        <f t="shared" si="5"/>
        <v>0.18028639104220501</v>
      </c>
      <c r="N18" s="103">
        <f>'[1]июль 20'!W17</f>
        <v>0</v>
      </c>
      <c r="O18" s="103">
        <f>'[1]июль 20'!AM17</f>
        <v>0</v>
      </c>
      <c r="P18" s="447">
        <f t="shared" si="6"/>
        <v>0</v>
      </c>
      <c r="Q18" s="103">
        <f t="shared" si="7"/>
        <v>0</v>
      </c>
      <c r="R18" s="103">
        <f>'[1]июль 20'!S17</f>
        <v>261.26</v>
      </c>
      <c r="S18" s="108">
        <f t="shared" si="8"/>
        <v>1.5233866646252814</v>
      </c>
      <c r="T18" s="109">
        <f t="shared" si="9"/>
        <v>257.27999999999997</v>
      </c>
      <c r="U18" s="106">
        <v>16.920000000000002</v>
      </c>
      <c r="V18" s="109">
        <f t="shared" si="10"/>
        <v>257.27999999999997</v>
      </c>
      <c r="W18" s="110">
        <f t="shared" si="11"/>
        <v>1.3850129198966408</v>
      </c>
      <c r="X18" s="110"/>
      <c r="Y18" s="136">
        <v>185.76</v>
      </c>
      <c r="Z18" s="130">
        <v>185.76</v>
      </c>
      <c r="AA18" s="131">
        <v>0.45</v>
      </c>
      <c r="AB18" s="112">
        <v>679</v>
      </c>
      <c r="AC18" s="133">
        <v>1223</v>
      </c>
      <c r="AD18" s="144" t="s">
        <v>363</v>
      </c>
      <c r="AE18" s="131">
        <v>76.77</v>
      </c>
      <c r="AF18" s="133">
        <v>134</v>
      </c>
      <c r="AG18" s="134">
        <v>4</v>
      </c>
      <c r="AH18" s="131">
        <v>3.3</v>
      </c>
      <c r="AI18" s="115">
        <f t="shared" si="12"/>
        <v>17.764857881136951</v>
      </c>
      <c r="AJ18" s="131">
        <v>104.8</v>
      </c>
      <c r="AK18" s="115">
        <f t="shared" si="13"/>
        <v>564.16881998277347</v>
      </c>
      <c r="AL18" s="139">
        <v>16.84</v>
      </c>
      <c r="AM18" s="131"/>
      <c r="AN18" s="136">
        <v>7.03</v>
      </c>
      <c r="AO18" s="466">
        <v>42.55</v>
      </c>
      <c r="AP18" s="110">
        <f t="shared" si="14"/>
        <v>0.18277491408934707</v>
      </c>
      <c r="AQ18" s="137" t="s">
        <v>364</v>
      </c>
      <c r="AR18" s="150">
        <v>8.3699999999999992</v>
      </c>
      <c r="AS18" s="138">
        <v>8.86</v>
      </c>
      <c r="AT18" s="131"/>
      <c r="AU18" s="131">
        <v>6.96</v>
      </c>
      <c r="AV18" s="315">
        <v>232.8</v>
      </c>
      <c r="AW18" s="131">
        <v>2.54</v>
      </c>
      <c r="AX18" s="116"/>
      <c r="AY18" s="131"/>
      <c r="AZ18" s="109">
        <f t="shared" ref="AZ18:AZ37" si="32">IF(BA18=0,0,AY18/BA18*100)</f>
        <v>0</v>
      </c>
      <c r="BA18" s="109">
        <f t="shared" si="15"/>
        <v>185.76</v>
      </c>
      <c r="BB18" s="115">
        <f t="shared" si="16"/>
        <v>173.18893935293784</v>
      </c>
      <c r="BC18" s="140">
        <f t="shared" si="17"/>
        <v>5.6503436619718306</v>
      </c>
      <c r="BD18" s="141">
        <f t="shared" si="18"/>
        <v>7.4303999999999997</v>
      </c>
      <c r="BE18" s="128">
        <f t="shared" si="19"/>
        <v>0.93636741818437097</v>
      </c>
      <c r="BF18" s="141">
        <f t="shared" si="20"/>
        <v>13.08074366197183</v>
      </c>
      <c r="BG18" s="142">
        <v>0.91600000000000004</v>
      </c>
      <c r="BH18" s="16">
        <f t="shared" si="28"/>
        <v>2068.7000000000003</v>
      </c>
      <c r="BI18" s="16">
        <f t="shared" si="21"/>
        <v>182.25806451612902</v>
      </c>
      <c r="BJ18" s="16">
        <f t="shared" si="29"/>
        <v>2187.0967741935483</v>
      </c>
      <c r="BK18" s="17">
        <f t="shared" si="22"/>
        <v>1</v>
      </c>
      <c r="BL18" s="16">
        <f t="shared" si="30"/>
        <v>2187.0967741935483</v>
      </c>
      <c r="BM18" s="249"/>
      <c r="BN18" s="195">
        <v>33.49</v>
      </c>
      <c r="BO18" s="195"/>
      <c r="BP18" s="197">
        <v>268.00700000000001</v>
      </c>
      <c r="BQ18" s="230">
        <v>87.102000000000004</v>
      </c>
      <c r="BR18" s="230">
        <v>13.356</v>
      </c>
      <c r="BS18" s="250"/>
      <c r="BT18" s="199"/>
      <c r="BU18" s="200"/>
      <c r="BV18" s="200"/>
      <c r="BW18" s="200"/>
      <c r="BX18" s="200">
        <v>0.22</v>
      </c>
      <c r="BY18" s="208">
        <v>0.23</v>
      </c>
      <c r="BZ18" s="208">
        <v>0.92</v>
      </c>
      <c r="CA18" s="201"/>
      <c r="CB18" s="202"/>
      <c r="CC18" s="200">
        <v>43.89</v>
      </c>
      <c r="CD18" s="200"/>
      <c r="CE18" s="200">
        <v>37.43</v>
      </c>
      <c r="CF18" s="208">
        <v>38.31</v>
      </c>
      <c r="CG18" s="208">
        <v>31.92</v>
      </c>
      <c r="CH18" s="209"/>
      <c r="CI18" s="199"/>
      <c r="CJ18" s="197"/>
      <c r="CK18" s="268">
        <v>80.400000000000006</v>
      </c>
      <c r="CL18" s="289">
        <v>176.88</v>
      </c>
      <c r="CM18" s="267"/>
      <c r="CN18" s="202"/>
      <c r="CO18" s="208"/>
      <c r="CP18" s="208"/>
      <c r="CQ18" s="201"/>
      <c r="CR18" s="201"/>
      <c r="CS18" s="284"/>
      <c r="CT18" s="286">
        <f t="shared" si="23"/>
        <v>0</v>
      </c>
      <c r="CU18" s="24">
        <f t="shared" si="23"/>
        <v>33.49</v>
      </c>
      <c r="CV18" s="25">
        <f t="shared" si="23"/>
        <v>0</v>
      </c>
      <c r="CW18" s="24">
        <f t="shared" si="23"/>
        <v>267.41738459999999</v>
      </c>
      <c r="CX18" s="27">
        <f t="shared" si="23"/>
        <v>86.901665399999999</v>
      </c>
      <c r="CY18" s="30">
        <f t="shared" si="23"/>
        <v>13.233124800000001</v>
      </c>
      <c r="CZ18" s="280">
        <f t="shared" si="23"/>
        <v>0</v>
      </c>
      <c r="DA18" s="30">
        <f t="shared" si="24"/>
        <v>0</v>
      </c>
      <c r="DB18" s="24">
        <f t="shared" si="24"/>
        <v>80.400000000000006</v>
      </c>
      <c r="DC18" s="277">
        <f t="shared" si="24"/>
        <v>176.88</v>
      </c>
      <c r="DD18" s="280">
        <f t="shared" si="24"/>
        <v>0</v>
      </c>
      <c r="DE18" s="508">
        <f t="shared" si="31"/>
        <v>0</v>
      </c>
      <c r="DF18" s="247"/>
      <c r="DG18" s="293">
        <f t="shared" si="25"/>
        <v>0</v>
      </c>
      <c r="DH18" s="294"/>
      <c r="DI18" s="294"/>
      <c r="DJ18" s="295">
        <f t="shared" si="26"/>
        <v>0</v>
      </c>
      <c r="DK18" s="296">
        <f t="shared" si="27"/>
        <v>0</v>
      </c>
    </row>
    <row r="19" spans="1:115" ht="16.5" customHeight="1" thickBot="1">
      <c r="A19" s="127">
        <v>13</v>
      </c>
      <c r="B19" s="103">
        <f>'[1]июль 20'!K18</f>
        <v>410.9</v>
      </c>
      <c r="C19" s="104">
        <f t="shared" si="0"/>
        <v>0.38839705524458501</v>
      </c>
      <c r="D19" s="143">
        <f t="shared" si="1"/>
        <v>409.30407650000001</v>
      </c>
      <c r="E19" s="104">
        <f t="shared" si="2"/>
        <v>38.101876368946215</v>
      </c>
      <c r="F19" s="128">
        <f t="shared" si="3"/>
        <v>2.0621930496775494</v>
      </c>
      <c r="G19" s="106"/>
      <c r="H19" s="107">
        <f t="shared" si="4"/>
        <v>1.8895862379081017</v>
      </c>
      <c r="I19" s="103">
        <f>'[1]сентябрь 20'!AE18</f>
        <v>0</v>
      </c>
      <c r="J19" s="328">
        <f>'[1]июль 20'!AA18</f>
        <v>0</v>
      </c>
      <c r="K19" s="106">
        <v>29.84</v>
      </c>
      <c r="L19" s="328">
        <f>'[1]июль 20'!AI18</f>
        <v>34.259</v>
      </c>
      <c r="M19" s="103">
        <f t="shared" si="5"/>
        <v>0.17260681176944781</v>
      </c>
      <c r="N19" s="103">
        <f>'[1]июль 20'!W18</f>
        <v>0</v>
      </c>
      <c r="O19" s="103">
        <f>'[1]июль 20'!AM18</f>
        <v>0</v>
      </c>
      <c r="P19" s="447">
        <f t="shared" si="6"/>
        <v>0</v>
      </c>
      <c r="Q19" s="103">
        <f t="shared" si="7"/>
        <v>0</v>
      </c>
      <c r="R19" s="103">
        <f>'[1]июль 20'!S18</f>
        <v>265.92500000000001</v>
      </c>
      <c r="S19" s="108">
        <f t="shared" si="8"/>
        <v>1.3857290589451954</v>
      </c>
      <c r="T19" s="109">
        <f t="shared" si="9"/>
        <v>262.23999999999995</v>
      </c>
      <c r="U19" s="106">
        <v>27.86</v>
      </c>
      <c r="V19" s="109">
        <f t="shared" si="10"/>
        <v>262.24</v>
      </c>
      <c r="W19" s="110">
        <f t="shared" si="11"/>
        <v>1.3212414349052799</v>
      </c>
      <c r="X19" s="110"/>
      <c r="Y19" s="136">
        <v>198.48</v>
      </c>
      <c r="Z19" s="130">
        <v>153.22</v>
      </c>
      <c r="AA19" s="131">
        <v>0.87</v>
      </c>
      <c r="AB19" s="112">
        <v>684</v>
      </c>
      <c r="AC19" s="133">
        <v>1222</v>
      </c>
      <c r="AD19" s="144" t="s">
        <v>302</v>
      </c>
      <c r="AE19" s="131">
        <v>76.849999999999994</v>
      </c>
      <c r="AF19" s="133">
        <v>137</v>
      </c>
      <c r="AG19" s="134">
        <v>4</v>
      </c>
      <c r="AH19" s="131">
        <v>2.6</v>
      </c>
      <c r="AI19" s="115">
        <f t="shared" si="12"/>
        <v>13.099556630390973</v>
      </c>
      <c r="AJ19" s="131">
        <v>105.1</v>
      </c>
      <c r="AK19" s="115">
        <f t="shared" si="13"/>
        <v>529.52438532849658</v>
      </c>
      <c r="AL19" s="139">
        <v>17.399999999999999</v>
      </c>
      <c r="AM19" s="131"/>
      <c r="AN19" s="136">
        <v>10.56</v>
      </c>
      <c r="AO19" s="466">
        <v>41</v>
      </c>
      <c r="AP19" s="110">
        <f t="shared" si="14"/>
        <v>0.16522264759218214</v>
      </c>
      <c r="AQ19" s="137" t="s">
        <v>361</v>
      </c>
      <c r="AR19" s="150">
        <v>8.01</v>
      </c>
      <c r="AS19" s="138">
        <v>9.01</v>
      </c>
      <c r="AT19" s="134"/>
      <c r="AU19" s="131">
        <v>6.84</v>
      </c>
      <c r="AV19" s="315">
        <v>248.15</v>
      </c>
      <c r="AW19" s="131">
        <v>1.89</v>
      </c>
      <c r="AX19" s="116"/>
      <c r="AY19" s="131"/>
      <c r="AZ19" s="109">
        <f t="shared" si="32"/>
        <v>0</v>
      </c>
      <c r="BA19" s="109">
        <f t="shared" si="15"/>
        <v>198.48</v>
      </c>
      <c r="BB19" s="115">
        <f t="shared" si="16"/>
        <v>177.15883081919191</v>
      </c>
      <c r="BC19" s="140">
        <f t="shared" si="17"/>
        <v>5.5688197183098582</v>
      </c>
      <c r="BD19" s="141">
        <f t="shared" si="18"/>
        <v>7.9391999999999996</v>
      </c>
      <c r="BE19" s="128">
        <f t="shared" si="19"/>
        <v>0.97806606195568213</v>
      </c>
      <c r="BF19" s="141">
        <f t="shared" si="20"/>
        <v>13.508019718309857</v>
      </c>
      <c r="BG19" s="142">
        <v>0.92200000000000004</v>
      </c>
      <c r="BH19" s="16">
        <f t="shared" si="28"/>
        <v>2267.1800000000003</v>
      </c>
      <c r="BI19" s="16">
        <f t="shared" si="21"/>
        <v>182.25806451612902</v>
      </c>
      <c r="BJ19" s="16">
        <f t="shared" si="29"/>
        <v>2369.3548387096771</v>
      </c>
      <c r="BK19" s="17">
        <f t="shared" si="22"/>
        <v>1</v>
      </c>
      <c r="BL19" s="16">
        <f t="shared" si="30"/>
        <v>2369.3548387096771</v>
      </c>
      <c r="BM19" s="254"/>
      <c r="BN19" s="197">
        <v>34.259</v>
      </c>
      <c r="BO19" s="197"/>
      <c r="BP19" s="197">
        <v>274.05900000000003</v>
      </c>
      <c r="BQ19" s="230">
        <v>89.058000000000007</v>
      </c>
      <c r="BR19" s="230">
        <v>13.523999999999999</v>
      </c>
      <c r="BS19" s="258"/>
      <c r="BT19" s="199"/>
      <c r="BU19" s="200"/>
      <c r="BV19" s="200"/>
      <c r="BW19" s="200"/>
      <c r="BX19" s="200">
        <v>0.47</v>
      </c>
      <c r="BY19" s="208">
        <v>0.25</v>
      </c>
      <c r="BZ19" s="208">
        <v>0.63</v>
      </c>
      <c r="CA19" s="201"/>
      <c r="CB19" s="202"/>
      <c r="CC19" s="200">
        <v>43.47</v>
      </c>
      <c r="CD19" s="200"/>
      <c r="CE19" s="200">
        <v>37.65</v>
      </c>
      <c r="CF19" s="208">
        <v>38.72</v>
      </c>
      <c r="CG19" s="208">
        <v>29.59</v>
      </c>
      <c r="CH19" s="209"/>
      <c r="CI19" s="199"/>
      <c r="CJ19" s="197"/>
      <c r="CK19" s="197">
        <v>82.2</v>
      </c>
      <c r="CL19" s="197">
        <v>180.04</v>
      </c>
      <c r="CM19" s="198"/>
      <c r="CN19" s="202"/>
      <c r="CO19" s="208"/>
      <c r="CP19" s="208"/>
      <c r="CQ19" s="201"/>
      <c r="CR19" s="201"/>
      <c r="CS19" s="284"/>
      <c r="CT19" s="286">
        <f t="shared" si="23"/>
        <v>0</v>
      </c>
      <c r="CU19" s="24">
        <f t="shared" si="23"/>
        <v>34.259</v>
      </c>
      <c r="CV19" s="25">
        <f t="shared" si="23"/>
        <v>0</v>
      </c>
      <c r="CW19" s="24">
        <f t="shared" si="23"/>
        <v>272.77092270000003</v>
      </c>
      <c r="CX19" s="27">
        <f t="shared" si="23"/>
        <v>88.835355000000007</v>
      </c>
      <c r="CY19" s="24">
        <f t="shared" si="23"/>
        <v>13.438798799999999</v>
      </c>
      <c r="CZ19" s="280">
        <f t="shared" si="23"/>
        <v>0</v>
      </c>
      <c r="DA19" s="237">
        <f t="shared" si="24"/>
        <v>0</v>
      </c>
      <c r="DB19" s="24">
        <f t="shared" si="24"/>
        <v>82.2</v>
      </c>
      <c r="DC19" s="277">
        <f t="shared" si="24"/>
        <v>180.04</v>
      </c>
      <c r="DD19" s="280">
        <f t="shared" si="24"/>
        <v>0</v>
      </c>
      <c r="DE19" s="508">
        <f t="shared" si="31"/>
        <v>0</v>
      </c>
      <c r="DG19" s="293">
        <f t="shared" si="25"/>
        <v>0</v>
      </c>
      <c r="DH19" s="294"/>
      <c r="DI19" s="294"/>
      <c r="DJ19" s="295">
        <f t="shared" si="26"/>
        <v>0</v>
      </c>
      <c r="DK19" s="296">
        <f t="shared" si="27"/>
        <v>0</v>
      </c>
    </row>
    <row r="20" spans="1:115" ht="16.5" customHeight="1" thickBot="1">
      <c r="A20" s="127">
        <v>14</v>
      </c>
      <c r="B20" s="103">
        <f>'[1]июль 20'!K19</f>
        <v>393.19499999999999</v>
      </c>
      <c r="C20" s="104">
        <f t="shared" si="0"/>
        <v>0.31848563689772252</v>
      </c>
      <c r="D20" s="143">
        <f t="shared" si="1"/>
        <v>391.94273040000002</v>
      </c>
      <c r="E20" s="104">
        <f t="shared" si="2"/>
        <v>38.01462638131207</v>
      </c>
      <c r="F20" s="128">
        <f t="shared" si="3"/>
        <v>2.0315281729124552</v>
      </c>
      <c r="G20" s="106"/>
      <c r="H20" s="107">
        <f t="shared" si="4"/>
        <v>1.8616064396413206</v>
      </c>
      <c r="I20" s="103">
        <f>'[1]сентябрь 20'!AE19</f>
        <v>0</v>
      </c>
      <c r="J20" s="328">
        <f>'[1]июль 20'!AA19</f>
        <v>0</v>
      </c>
      <c r="K20" s="106"/>
      <c r="L20" s="328">
        <f>'[1]июль 20'!AI19</f>
        <v>32.783000000000001</v>
      </c>
      <c r="M20" s="103">
        <f t="shared" si="5"/>
        <v>0.16992173327113461</v>
      </c>
      <c r="N20" s="103">
        <f>'[1]июль 20'!W19</f>
        <v>0</v>
      </c>
      <c r="O20" s="103">
        <f>'[1]июль 20'!AM19</f>
        <v>0</v>
      </c>
      <c r="P20" s="447">
        <f t="shared" si="6"/>
        <v>0</v>
      </c>
      <c r="Q20" s="103">
        <f t="shared" si="7"/>
        <v>0</v>
      </c>
      <c r="R20" s="103">
        <f>'[1]июль 20'!S19</f>
        <v>253.70599999999999</v>
      </c>
      <c r="S20" s="108">
        <f t="shared" si="8"/>
        <v>1.4134470607711225</v>
      </c>
      <c r="T20" s="109">
        <f t="shared" si="9"/>
        <v>250.12</v>
      </c>
      <c r="U20" s="106">
        <v>4.58</v>
      </c>
      <c r="V20" s="109">
        <f t="shared" si="10"/>
        <v>250.12</v>
      </c>
      <c r="W20" s="110">
        <f t="shared" si="11"/>
        <v>1.2964287565438242</v>
      </c>
      <c r="X20" s="110"/>
      <c r="Y20" s="136">
        <v>192.93</v>
      </c>
      <c r="Z20" s="130">
        <v>192.93</v>
      </c>
      <c r="AA20" s="131">
        <v>0.67</v>
      </c>
      <c r="AB20" s="112">
        <v>672</v>
      </c>
      <c r="AC20" s="133">
        <v>1212</v>
      </c>
      <c r="AD20" s="151" t="s">
        <v>365</v>
      </c>
      <c r="AE20" s="131">
        <v>77.010000000000005</v>
      </c>
      <c r="AF20" s="133">
        <v>131</v>
      </c>
      <c r="AG20" s="134">
        <v>4</v>
      </c>
      <c r="AH20" s="131">
        <v>2.9</v>
      </c>
      <c r="AI20" s="115">
        <f t="shared" si="12"/>
        <v>15.031358523816927</v>
      </c>
      <c r="AJ20" s="131">
        <v>107.8</v>
      </c>
      <c r="AK20" s="115">
        <f t="shared" si="13"/>
        <v>558.75187891981545</v>
      </c>
      <c r="AL20" s="139">
        <v>17.18</v>
      </c>
      <c r="AM20" s="131"/>
      <c r="AN20" s="136">
        <v>9.76</v>
      </c>
      <c r="AO20" s="466">
        <v>39.78</v>
      </c>
      <c r="AP20" s="110">
        <f t="shared" si="14"/>
        <v>0.16606136505948654</v>
      </c>
      <c r="AQ20" s="137" t="s">
        <v>361</v>
      </c>
      <c r="AR20" s="150">
        <v>8.33</v>
      </c>
      <c r="AS20" s="138">
        <v>8.8800000000000008</v>
      </c>
      <c r="AT20" s="131"/>
      <c r="AU20" s="131">
        <v>5.86</v>
      </c>
      <c r="AV20" s="315">
        <v>239.55</v>
      </c>
      <c r="AW20" s="131">
        <v>2.92</v>
      </c>
      <c r="AX20" s="148"/>
      <c r="AY20" s="131"/>
      <c r="AZ20" s="109">
        <f t="shared" si="32"/>
        <v>0</v>
      </c>
      <c r="BA20" s="109">
        <f t="shared" si="15"/>
        <v>192.93</v>
      </c>
      <c r="BB20" s="115">
        <f t="shared" si="16"/>
        <v>168.90420450241339</v>
      </c>
      <c r="BC20" s="140">
        <f t="shared" si="17"/>
        <v>4.8935126760563374</v>
      </c>
      <c r="BD20" s="141">
        <f t="shared" si="18"/>
        <v>7.7172000000000001</v>
      </c>
      <c r="BE20" s="128">
        <f t="shared" si="19"/>
        <v>0.99717997249496215</v>
      </c>
      <c r="BF20" s="141">
        <f t="shared" si="20"/>
        <v>12.610712676056338</v>
      </c>
      <c r="BG20" s="142">
        <v>0.92700000000000005</v>
      </c>
      <c r="BH20" s="16">
        <f t="shared" si="28"/>
        <v>2460.11</v>
      </c>
      <c r="BI20" s="16">
        <f t="shared" si="21"/>
        <v>182.25806451612902</v>
      </c>
      <c r="BJ20" s="16">
        <f t="shared" si="29"/>
        <v>2551.6129032258059</v>
      </c>
      <c r="BK20" s="17">
        <f t="shared" si="22"/>
        <v>1</v>
      </c>
      <c r="BL20" s="16">
        <f t="shared" si="30"/>
        <v>2551.6129032258059</v>
      </c>
      <c r="BM20" s="254"/>
      <c r="BN20" s="197">
        <v>32.783000000000001</v>
      </c>
      <c r="BO20" s="197"/>
      <c r="BP20" s="197">
        <v>262.00799999999998</v>
      </c>
      <c r="BQ20" s="230">
        <v>85.152000000000001</v>
      </c>
      <c r="BR20" s="230">
        <v>13.252000000000001</v>
      </c>
      <c r="BS20" s="259"/>
      <c r="BT20" s="199"/>
      <c r="BU20" s="200"/>
      <c r="BV20" s="200"/>
      <c r="BW20" s="200"/>
      <c r="BX20" s="200">
        <v>0.38</v>
      </c>
      <c r="BY20" s="208">
        <v>0.18</v>
      </c>
      <c r="BZ20" s="208">
        <v>0.78</v>
      </c>
      <c r="CA20" s="201"/>
      <c r="CB20" s="202"/>
      <c r="CC20" s="200">
        <v>43.9</v>
      </c>
      <c r="CD20" s="200"/>
      <c r="CE20" s="200">
        <v>37.71</v>
      </c>
      <c r="CF20" s="208">
        <v>37.770000000000003</v>
      </c>
      <c r="CG20" s="208">
        <v>31.05</v>
      </c>
      <c r="CH20" s="209"/>
      <c r="CI20" s="199"/>
      <c r="CJ20" s="197"/>
      <c r="CK20" s="197">
        <v>78.599999999999994</v>
      </c>
      <c r="CL20" s="197">
        <v>171.52</v>
      </c>
      <c r="CM20" s="198"/>
      <c r="CN20" s="202"/>
      <c r="CO20" s="208"/>
      <c r="CP20" s="208"/>
      <c r="CQ20" s="201"/>
      <c r="CR20" s="201"/>
      <c r="CS20" s="284"/>
      <c r="CT20" s="286">
        <f t="shared" si="23"/>
        <v>0</v>
      </c>
      <c r="CU20" s="24">
        <f t="shared" si="23"/>
        <v>32.783000000000001</v>
      </c>
      <c r="CV20" s="25">
        <f t="shared" si="23"/>
        <v>0</v>
      </c>
      <c r="CW20" s="24">
        <f t="shared" si="23"/>
        <v>261.0123696</v>
      </c>
      <c r="CX20" s="27">
        <f t="shared" si="23"/>
        <v>84.998726399999995</v>
      </c>
      <c r="CY20" s="30">
        <f t="shared" si="23"/>
        <v>13.148634400000001</v>
      </c>
      <c r="CZ20" s="280">
        <f t="shared" si="23"/>
        <v>0</v>
      </c>
      <c r="DA20" s="237">
        <f t="shared" si="24"/>
        <v>0</v>
      </c>
      <c r="DB20" s="29">
        <f t="shared" si="24"/>
        <v>78.599999999999994</v>
      </c>
      <c r="DC20" s="277">
        <f t="shared" si="24"/>
        <v>171.52</v>
      </c>
      <c r="DD20" s="280">
        <f t="shared" si="24"/>
        <v>0</v>
      </c>
      <c r="DE20" s="508">
        <f t="shared" si="31"/>
        <v>0</v>
      </c>
      <c r="DG20" s="293">
        <f t="shared" si="25"/>
        <v>0</v>
      </c>
      <c r="DH20" s="294"/>
      <c r="DI20" s="294"/>
      <c r="DJ20" s="295">
        <f t="shared" si="26"/>
        <v>0</v>
      </c>
      <c r="DK20" s="296">
        <f t="shared" si="27"/>
        <v>0</v>
      </c>
    </row>
    <row r="21" spans="1:115" ht="16.5" customHeight="1" thickBot="1">
      <c r="A21" s="127">
        <v>15</v>
      </c>
      <c r="B21" s="103">
        <f>'[1]июль 20'!K20</f>
        <v>432.08100000000002</v>
      </c>
      <c r="C21" s="104">
        <f t="shared" si="0"/>
        <v>0.41579821838960751</v>
      </c>
      <c r="D21" s="143">
        <f t="shared" si="1"/>
        <v>430.2844149</v>
      </c>
      <c r="E21" s="104">
        <f t="shared" si="2"/>
        <v>37.26806640421588</v>
      </c>
      <c r="F21" s="128">
        <f t="shared" si="3"/>
        <v>2.357464469099277</v>
      </c>
      <c r="G21" s="106"/>
      <c r="H21" s="107">
        <f t="shared" si="4"/>
        <v>2.1599737831470525</v>
      </c>
      <c r="I21" s="103">
        <f>'[1]сентябрь 20'!AE20</f>
        <v>0</v>
      </c>
      <c r="J21" s="328">
        <f>'[1]июль 20'!AA20</f>
        <v>0</v>
      </c>
      <c r="K21" s="106"/>
      <c r="L21" s="328">
        <f>'[1]июль 20'!AI20</f>
        <v>36.045999999999999</v>
      </c>
      <c r="M21" s="103">
        <f t="shared" si="5"/>
        <v>0.19749068595222444</v>
      </c>
      <c r="N21" s="103">
        <f>'[1]июль 20'!W20</f>
        <v>0</v>
      </c>
      <c r="O21" s="103">
        <f>'[1]июль 20'!AM20</f>
        <v>0</v>
      </c>
      <c r="P21" s="447">
        <f t="shared" si="6"/>
        <v>0</v>
      </c>
      <c r="Q21" s="103">
        <f t="shared" si="7"/>
        <v>0</v>
      </c>
      <c r="R21" s="103">
        <f>'[1]июль 20'!S20</f>
        <v>277.18900000000002</v>
      </c>
      <c r="S21" s="108">
        <f t="shared" si="8"/>
        <v>1.3885832410376997</v>
      </c>
      <c r="T21" s="109">
        <f t="shared" si="9"/>
        <v>273.34000000000009</v>
      </c>
      <c r="U21" s="106">
        <v>4.3</v>
      </c>
      <c r="V21" s="109">
        <f t="shared" si="10"/>
        <v>273.34000000000003</v>
      </c>
      <c r="W21" s="110">
        <f t="shared" si="11"/>
        <v>1.4975893052816136</v>
      </c>
      <c r="X21" s="110"/>
      <c r="Y21" s="136">
        <v>182.52</v>
      </c>
      <c r="Z21" s="130">
        <v>136.08000000000001</v>
      </c>
      <c r="AA21" s="131">
        <v>0.84</v>
      </c>
      <c r="AB21" s="112">
        <v>634</v>
      </c>
      <c r="AC21" s="133">
        <v>1217</v>
      </c>
      <c r="AD21" s="151" t="s">
        <v>366</v>
      </c>
      <c r="AE21" s="131">
        <v>76.13</v>
      </c>
      <c r="AF21" s="133">
        <v>144</v>
      </c>
      <c r="AG21" s="134">
        <v>4</v>
      </c>
      <c r="AH21" s="131">
        <v>3.5</v>
      </c>
      <c r="AI21" s="115">
        <f t="shared" si="12"/>
        <v>19.175980714442254</v>
      </c>
      <c r="AJ21" s="131">
        <v>97.5</v>
      </c>
      <c r="AK21" s="115">
        <f t="shared" si="13"/>
        <v>534.18803418803429</v>
      </c>
      <c r="AL21" s="139">
        <v>20.77</v>
      </c>
      <c r="AM21" s="131"/>
      <c r="AN21" s="136">
        <v>9.52</v>
      </c>
      <c r="AO21" s="466">
        <v>46.02</v>
      </c>
      <c r="AP21" s="110">
        <f t="shared" si="14"/>
        <v>0.19537253237104649</v>
      </c>
      <c r="AQ21" s="137" t="s">
        <v>367</v>
      </c>
      <c r="AR21" s="150">
        <v>8.1</v>
      </c>
      <c r="AS21" s="138">
        <v>8.92</v>
      </c>
      <c r="AT21" s="131"/>
      <c r="AU21" s="131">
        <v>7.26</v>
      </c>
      <c r="AV21" s="315">
        <v>235.55</v>
      </c>
      <c r="AW21" s="131">
        <v>2.5099999999999998</v>
      </c>
      <c r="AX21" s="116"/>
      <c r="AY21" s="131"/>
      <c r="AZ21" s="109">
        <f t="shared" si="32"/>
        <v>0</v>
      </c>
      <c r="BA21" s="109">
        <f t="shared" si="15"/>
        <v>182.51999999999998</v>
      </c>
      <c r="BB21" s="115">
        <f t="shared" si="16"/>
        <v>183.8869419742407</v>
      </c>
      <c r="BC21" s="140">
        <f t="shared" si="17"/>
        <v>5.4833450704225353</v>
      </c>
      <c r="BD21" s="141">
        <f t="shared" si="18"/>
        <v>7.3007999999999997</v>
      </c>
      <c r="BE21" s="128">
        <f t="shared" si="19"/>
        <v>0.86651046718869607</v>
      </c>
      <c r="BF21" s="141">
        <f t="shared" si="20"/>
        <v>12.784145070422536</v>
      </c>
      <c r="BG21" s="142">
        <v>0.92300000000000004</v>
      </c>
      <c r="BH21" s="16">
        <f t="shared" si="28"/>
        <v>2642.63</v>
      </c>
      <c r="BI21" s="16">
        <f t="shared" si="21"/>
        <v>182.25806451612902</v>
      </c>
      <c r="BJ21" s="16">
        <f t="shared" si="29"/>
        <v>2733.8709677419347</v>
      </c>
      <c r="BK21" s="17">
        <f t="shared" si="22"/>
        <v>1</v>
      </c>
      <c r="BL21" s="16">
        <f t="shared" si="30"/>
        <v>2733.8709677419347</v>
      </c>
      <c r="BM21" s="254"/>
      <c r="BN21" s="197">
        <v>36.045999999999999</v>
      </c>
      <c r="BO21" s="197"/>
      <c r="BP21" s="197">
        <v>288.02699999999999</v>
      </c>
      <c r="BQ21" s="230">
        <v>93.603999999999999</v>
      </c>
      <c r="BR21" s="230">
        <v>14.404</v>
      </c>
      <c r="BS21" s="259"/>
      <c r="BT21" s="199"/>
      <c r="BU21" s="200"/>
      <c r="BV21" s="200"/>
      <c r="BW21" s="200"/>
      <c r="BX21" s="200">
        <v>0.53</v>
      </c>
      <c r="BY21" s="208">
        <v>0.15</v>
      </c>
      <c r="BZ21" s="208">
        <v>0.9</v>
      </c>
      <c r="CA21" s="201"/>
      <c r="CB21" s="202"/>
      <c r="CC21" s="200">
        <v>43.35</v>
      </c>
      <c r="CD21" s="200"/>
      <c r="CE21" s="200">
        <v>37.1</v>
      </c>
      <c r="CF21" s="208">
        <v>36.5</v>
      </c>
      <c r="CG21" s="208">
        <v>30.4</v>
      </c>
      <c r="CH21" s="209"/>
      <c r="CI21" s="199"/>
      <c r="CJ21" s="197"/>
      <c r="CK21" s="197">
        <v>86.4</v>
      </c>
      <c r="CL21" s="197">
        <v>186.94</v>
      </c>
      <c r="CM21" s="198"/>
      <c r="CN21" s="202"/>
      <c r="CO21" s="208"/>
      <c r="CP21" s="208"/>
      <c r="CQ21" s="201"/>
      <c r="CR21" s="201"/>
      <c r="CS21" s="284"/>
      <c r="CT21" s="286">
        <f t="shared" si="23"/>
        <v>0</v>
      </c>
      <c r="CU21" s="27">
        <f t="shared" si="23"/>
        <v>36.045999999999999</v>
      </c>
      <c r="CV21" s="28">
        <f t="shared" si="23"/>
        <v>0</v>
      </c>
      <c r="CW21" s="27">
        <f t="shared" si="23"/>
        <v>286.50045690000002</v>
      </c>
      <c r="CX21" s="27">
        <f t="shared" si="23"/>
        <v>93.463594000000001</v>
      </c>
      <c r="CY21" s="24">
        <f t="shared" si="23"/>
        <v>14.274364</v>
      </c>
      <c r="CZ21" s="281">
        <f t="shared" si="23"/>
        <v>0</v>
      </c>
      <c r="DA21" s="237">
        <f t="shared" si="24"/>
        <v>0</v>
      </c>
      <c r="DB21" s="24">
        <f t="shared" si="24"/>
        <v>86.4</v>
      </c>
      <c r="DC21" s="277">
        <f t="shared" si="24"/>
        <v>186.94</v>
      </c>
      <c r="DD21" s="280">
        <f t="shared" si="24"/>
        <v>0</v>
      </c>
      <c r="DE21" s="508">
        <f t="shared" si="31"/>
        <v>0</v>
      </c>
      <c r="DG21" s="293">
        <f t="shared" si="25"/>
        <v>0</v>
      </c>
      <c r="DH21" s="294"/>
      <c r="DI21" s="294"/>
      <c r="DJ21" s="295">
        <f t="shared" si="26"/>
        <v>0</v>
      </c>
      <c r="DK21" s="296">
        <f t="shared" si="27"/>
        <v>0</v>
      </c>
    </row>
    <row r="22" spans="1:115" ht="16.5" customHeight="1" thickBot="1">
      <c r="A22" s="127">
        <v>16</v>
      </c>
      <c r="B22" s="103">
        <f>'[1]июль 20'!K21</f>
        <v>396.23200000000003</v>
      </c>
      <c r="C22" s="104">
        <f t="shared" si="0"/>
        <v>0.21622382846413213</v>
      </c>
      <c r="D22" s="143">
        <f t="shared" si="1"/>
        <v>395.37525199999999</v>
      </c>
      <c r="E22" s="104">
        <f t="shared" si="2"/>
        <v>38.014657221022027</v>
      </c>
      <c r="F22" s="128">
        <f t="shared" si="3"/>
        <v>2.2733167663293465</v>
      </c>
      <c r="G22" s="106"/>
      <c r="H22" s="107">
        <f t="shared" si="4"/>
        <v>2.0835226080956764</v>
      </c>
      <c r="I22" s="103">
        <f>'[1]сентябрь 20'!AE21</f>
        <v>0</v>
      </c>
      <c r="J22" s="328">
        <f>'[1]июль 20'!AA21</f>
        <v>0</v>
      </c>
      <c r="K22" s="106"/>
      <c r="L22" s="328">
        <f>'[1]июль 20'!AI21</f>
        <v>33.009</v>
      </c>
      <c r="M22" s="103">
        <f t="shared" si="5"/>
        <v>0.18979415823367063</v>
      </c>
      <c r="N22" s="103">
        <f>'[1]июль 20'!W21</f>
        <v>0</v>
      </c>
      <c r="O22" s="103">
        <f>'[1]июль 20'!AM21</f>
        <v>0</v>
      </c>
      <c r="P22" s="447">
        <f t="shared" si="6"/>
        <v>0</v>
      </c>
      <c r="Q22" s="103">
        <f t="shared" si="7"/>
        <v>0</v>
      </c>
      <c r="R22" s="103">
        <f>'[1]июль 20'!S21</f>
        <v>251.667</v>
      </c>
      <c r="S22" s="108">
        <f t="shared" si="8"/>
        <v>1.3935080880687511</v>
      </c>
      <c r="T22" s="109">
        <f t="shared" si="9"/>
        <v>248.16000000000003</v>
      </c>
      <c r="U22" s="106">
        <v>3.15</v>
      </c>
      <c r="V22" s="109">
        <f t="shared" si="10"/>
        <v>248.16000000000003</v>
      </c>
      <c r="W22" s="110">
        <f t="shared" si="11"/>
        <v>1.4268629254829808</v>
      </c>
      <c r="X22" s="110"/>
      <c r="Y22" s="136">
        <v>173.92</v>
      </c>
      <c r="Z22" s="129">
        <v>173.92</v>
      </c>
      <c r="AA22" s="131">
        <v>0.78</v>
      </c>
      <c r="AB22" s="112">
        <v>670</v>
      </c>
      <c r="AC22" s="152">
        <v>1218</v>
      </c>
      <c r="AD22" s="144" t="s">
        <v>309</v>
      </c>
      <c r="AE22" s="131">
        <v>76.47</v>
      </c>
      <c r="AF22" s="133">
        <v>132</v>
      </c>
      <c r="AG22" s="134">
        <v>4</v>
      </c>
      <c r="AH22" s="131">
        <v>2.1</v>
      </c>
      <c r="AI22" s="115">
        <f t="shared" si="12"/>
        <v>12.074517019319227</v>
      </c>
      <c r="AJ22" s="131">
        <v>104.25</v>
      </c>
      <c r="AK22" s="115">
        <f t="shared" si="13"/>
        <v>599.41352345906159</v>
      </c>
      <c r="AL22" s="139">
        <v>17.72</v>
      </c>
      <c r="AM22" s="131"/>
      <c r="AN22" s="136">
        <v>9.42</v>
      </c>
      <c r="AO22" s="466">
        <v>44.07</v>
      </c>
      <c r="AP22" s="110">
        <f t="shared" si="14"/>
        <v>0.19595375722543351</v>
      </c>
      <c r="AQ22" s="137" t="s">
        <v>367</v>
      </c>
      <c r="AR22" s="150">
        <v>8.3000000000000007</v>
      </c>
      <c r="AS22" s="138">
        <v>8.86</v>
      </c>
      <c r="AT22" s="134"/>
      <c r="AU22" s="131">
        <v>5.39</v>
      </c>
      <c r="AV22" s="315">
        <v>224.9</v>
      </c>
      <c r="AW22" s="131">
        <v>2.5099999999999998</v>
      </c>
      <c r="AX22" s="116"/>
      <c r="AY22" s="131"/>
      <c r="AZ22" s="109">
        <f t="shared" si="32"/>
        <v>0</v>
      </c>
      <c r="BA22" s="109">
        <f t="shared" si="15"/>
        <v>173.92000000000002</v>
      </c>
      <c r="BB22" s="115">
        <f t="shared" si="16"/>
        <v>171.58673642332147</v>
      </c>
      <c r="BC22" s="140">
        <f t="shared" si="17"/>
        <v>4.3528045774647879</v>
      </c>
      <c r="BD22" s="141">
        <f t="shared" si="18"/>
        <v>6.9568000000000012</v>
      </c>
      <c r="BE22" s="128">
        <f t="shared" si="19"/>
        <v>0.88487119205656461</v>
      </c>
      <c r="BF22" s="141">
        <f t="shared" si="20"/>
        <v>11.309604577464789</v>
      </c>
      <c r="BG22" s="142">
        <v>0.92</v>
      </c>
      <c r="BH22" s="16">
        <f t="shared" si="28"/>
        <v>2816.55</v>
      </c>
      <c r="BI22" s="16">
        <f t="shared" si="21"/>
        <v>182.25806451612902</v>
      </c>
      <c r="BJ22" s="16">
        <f t="shared" si="29"/>
        <v>2916.1290322580635</v>
      </c>
      <c r="BK22" s="17">
        <f t="shared" si="22"/>
        <v>1</v>
      </c>
      <c r="BL22" s="16">
        <f t="shared" si="30"/>
        <v>2916.1290322580635</v>
      </c>
      <c r="BM22" s="254"/>
      <c r="BN22" s="197">
        <v>33.009</v>
      </c>
      <c r="BO22" s="197"/>
      <c r="BP22" s="197">
        <v>264.036</v>
      </c>
      <c r="BQ22" s="230">
        <v>85.778999999999996</v>
      </c>
      <c r="BR22" s="230">
        <v>13.407999999999999</v>
      </c>
      <c r="BS22" s="258"/>
      <c r="BT22" s="199"/>
      <c r="BU22" s="200"/>
      <c r="BV22" s="200"/>
      <c r="BW22" s="200"/>
      <c r="BX22" s="200">
        <v>0.16</v>
      </c>
      <c r="BY22" s="208">
        <v>0.4</v>
      </c>
      <c r="BZ22" s="208">
        <v>0.68</v>
      </c>
      <c r="CA22" s="201"/>
      <c r="CB22" s="202"/>
      <c r="CC22" s="200">
        <v>43.79</v>
      </c>
      <c r="CD22" s="200"/>
      <c r="CE22" s="200">
        <v>37.43</v>
      </c>
      <c r="CF22" s="208">
        <v>38.21</v>
      </c>
      <c r="CG22" s="208">
        <v>34.06</v>
      </c>
      <c r="CH22" s="201"/>
      <c r="CI22" s="199"/>
      <c r="CJ22" s="197"/>
      <c r="CK22" s="197">
        <v>79.2</v>
      </c>
      <c r="CL22" s="197">
        <v>168.96</v>
      </c>
      <c r="CM22" s="198"/>
      <c r="CN22" s="202"/>
      <c r="CO22" s="200"/>
      <c r="CP22" s="208"/>
      <c r="CQ22" s="201"/>
      <c r="CR22" s="201"/>
      <c r="CS22" s="284"/>
      <c r="CT22" s="286">
        <f t="shared" si="23"/>
        <v>0</v>
      </c>
      <c r="CU22" s="29">
        <f t="shared" si="23"/>
        <v>33.009</v>
      </c>
      <c r="CV22" s="30">
        <f t="shared" si="23"/>
        <v>0</v>
      </c>
      <c r="CW22" s="29">
        <f t="shared" si="23"/>
        <v>263.61354240000003</v>
      </c>
      <c r="CX22" s="27">
        <f t="shared" si="23"/>
        <v>85.435884000000001</v>
      </c>
      <c r="CY22" s="24">
        <f t="shared" si="23"/>
        <v>13.3168256</v>
      </c>
      <c r="CZ22" s="282">
        <f t="shared" si="23"/>
        <v>0</v>
      </c>
      <c r="DA22" s="237">
        <f t="shared" si="24"/>
        <v>0</v>
      </c>
      <c r="DB22" s="24">
        <f t="shared" si="24"/>
        <v>79.2</v>
      </c>
      <c r="DC22" s="277">
        <f t="shared" si="24"/>
        <v>168.96</v>
      </c>
      <c r="DD22" s="280">
        <f t="shared" si="24"/>
        <v>0</v>
      </c>
      <c r="DE22" s="508">
        <f t="shared" si="31"/>
        <v>0</v>
      </c>
      <c r="DG22" s="293">
        <f t="shared" si="25"/>
        <v>0</v>
      </c>
      <c r="DH22" s="294"/>
      <c r="DI22" s="294"/>
      <c r="DJ22" s="295">
        <f t="shared" si="26"/>
        <v>0</v>
      </c>
      <c r="DK22" s="296">
        <f t="shared" si="27"/>
        <v>0</v>
      </c>
    </row>
    <row r="23" spans="1:115" ht="16.5" customHeight="1" thickBot="1">
      <c r="A23" s="127">
        <v>17</v>
      </c>
      <c r="B23" s="103">
        <f>'[1]июль 20'!K22</f>
        <v>393.23200000000003</v>
      </c>
      <c r="C23" s="104">
        <f t="shared" si="0"/>
        <v>0.3251539040566383</v>
      </c>
      <c r="D23" s="143">
        <f t="shared" si="1"/>
        <v>391.95339080000008</v>
      </c>
      <c r="E23" s="104">
        <f t="shared" si="2"/>
        <v>37.718142546893439</v>
      </c>
      <c r="F23" s="128">
        <f t="shared" si="3"/>
        <v>2.2479547533838042</v>
      </c>
      <c r="G23" s="106"/>
      <c r="H23" s="107">
        <f t="shared" si="4"/>
        <v>2.0601249759119069</v>
      </c>
      <c r="I23" s="103">
        <f>'[1]сентябрь 20'!AE22</f>
        <v>0</v>
      </c>
      <c r="J23" s="328">
        <f>'[1]июль 20'!AA22</f>
        <v>0</v>
      </c>
      <c r="K23" s="106"/>
      <c r="L23" s="328">
        <f>'[1]июль 20'!AI22</f>
        <v>32.75</v>
      </c>
      <c r="M23" s="103">
        <f t="shared" si="5"/>
        <v>0.18782977747189725</v>
      </c>
      <c r="N23" s="103">
        <f>'[1]июль 20'!W22</f>
        <v>0</v>
      </c>
      <c r="O23" s="103">
        <f>'[1]июль 20'!AM22</f>
        <v>0</v>
      </c>
      <c r="P23" s="447">
        <f t="shared" si="6"/>
        <v>0</v>
      </c>
      <c r="Q23" s="103">
        <f t="shared" si="7"/>
        <v>0</v>
      </c>
      <c r="R23" s="103">
        <f>'[1]июль 20'!S22</f>
        <v>248.756</v>
      </c>
      <c r="S23" s="108">
        <f t="shared" si="8"/>
        <v>1.445593272122081</v>
      </c>
      <c r="T23" s="109">
        <f t="shared" si="9"/>
        <v>245.16</v>
      </c>
      <c r="U23" s="106">
        <v>34.520000000000003</v>
      </c>
      <c r="V23" s="109">
        <f t="shared" si="10"/>
        <v>245.16</v>
      </c>
      <c r="W23" s="110">
        <f t="shared" si="11"/>
        <v>1.4060564349621474</v>
      </c>
      <c r="X23" s="110"/>
      <c r="Y23" s="136">
        <v>174.36</v>
      </c>
      <c r="Z23" s="129">
        <v>131.22999999999999</v>
      </c>
      <c r="AA23" s="131">
        <v>0.99</v>
      </c>
      <c r="AB23" s="112">
        <v>685</v>
      </c>
      <c r="AC23" s="133">
        <v>1227</v>
      </c>
      <c r="AD23" s="144" t="s">
        <v>304</v>
      </c>
      <c r="AE23" s="131">
        <v>76.260000000000005</v>
      </c>
      <c r="AF23" s="133">
        <v>131</v>
      </c>
      <c r="AG23" s="134">
        <v>4</v>
      </c>
      <c r="AH23" s="131">
        <v>2.2999999999999998</v>
      </c>
      <c r="AI23" s="115">
        <f t="shared" si="12"/>
        <v>13.191098875888965</v>
      </c>
      <c r="AJ23" s="131">
        <v>110.75</v>
      </c>
      <c r="AK23" s="115">
        <f t="shared" si="13"/>
        <v>635.18008717595785</v>
      </c>
      <c r="AL23" s="139">
        <v>16.399999999999999</v>
      </c>
      <c r="AM23" s="131"/>
      <c r="AN23" s="136">
        <v>10.71</v>
      </c>
      <c r="AO23" s="466">
        <v>52.56</v>
      </c>
      <c r="AP23" s="110">
        <f t="shared" si="14"/>
        <v>0.22332695984703635</v>
      </c>
      <c r="AQ23" s="137" t="s">
        <v>368</v>
      </c>
      <c r="AR23" s="150">
        <v>7.58</v>
      </c>
      <c r="AS23" s="138">
        <v>9.26</v>
      </c>
      <c r="AT23" s="134"/>
      <c r="AU23" s="131">
        <v>7.02</v>
      </c>
      <c r="AV23" s="315">
        <v>235.35</v>
      </c>
      <c r="AW23" s="131">
        <v>2.2799999999999998</v>
      </c>
      <c r="AX23" s="116"/>
      <c r="AY23" s="131"/>
      <c r="AZ23" s="109">
        <f t="shared" si="32"/>
        <v>0</v>
      </c>
      <c r="BA23" s="109">
        <f t="shared" si="15"/>
        <v>174.35999999999999</v>
      </c>
      <c r="BB23" s="115">
        <f t="shared" si="16"/>
        <v>169.23966856752148</v>
      </c>
      <c r="BC23" s="140">
        <f t="shared" si="17"/>
        <v>6.0226161971830976</v>
      </c>
      <c r="BD23" s="141">
        <f t="shared" si="18"/>
        <v>6.9743999999999993</v>
      </c>
      <c r="BE23" s="128">
        <f t="shared" si="19"/>
        <v>0.89941253896553408</v>
      </c>
      <c r="BF23" s="141">
        <f t="shared" si="20"/>
        <v>12.997016197183097</v>
      </c>
      <c r="BG23" s="142">
        <v>0.91900000000000004</v>
      </c>
      <c r="BH23" s="16">
        <f t="shared" si="28"/>
        <v>2990.9100000000003</v>
      </c>
      <c r="BI23" s="16">
        <f t="shared" si="21"/>
        <v>182.25806451612902</v>
      </c>
      <c r="BJ23" s="16">
        <f t="shared" si="29"/>
        <v>3098.3870967741923</v>
      </c>
      <c r="BK23" s="17">
        <f t="shared" si="22"/>
        <v>1</v>
      </c>
      <c r="BL23" s="16">
        <f t="shared" si="30"/>
        <v>3098.3870967741923</v>
      </c>
      <c r="BM23" s="254"/>
      <c r="BN23" s="197">
        <v>32.75</v>
      </c>
      <c r="BO23" s="197"/>
      <c r="BP23" s="197">
        <v>262.00200000000001</v>
      </c>
      <c r="BQ23" s="230">
        <v>85.123000000000005</v>
      </c>
      <c r="BR23" s="230">
        <v>13.356999999999999</v>
      </c>
      <c r="BS23" s="258"/>
      <c r="BT23" s="199"/>
      <c r="BU23" s="200"/>
      <c r="BV23" s="200"/>
      <c r="BW23" s="200"/>
      <c r="BX23" s="200">
        <v>0.3</v>
      </c>
      <c r="BY23" s="208">
        <v>0.37</v>
      </c>
      <c r="BZ23" s="208">
        <v>1.33</v>
      </c>
      <c r="CA23" s="201"/>
      <c r="CB23" s="202"/>
      <c r="CC23" s="200">
        <v>43.18</v>
      </c>
      <c r="CD23" s="200"/>
      <c r="CE23" s="200">
        <v>37.49</v>
      </c>
      <c r="CF23" s="208">
        <v>37.369999999999997</v>
      </c>
      <c r="CG23" s="208">
        <v>31.02</v>
      </c>
      <c r="CH23" s="209"/>
      <c r="CI23" s="199"/>
      <c r="CJ23" s="197"/>
      <c r="CK23" s="197">
        <v>78.599999999999994</v>
      </c>
      <c r="CL23" s="197">
        <v>166.56</v>
      </c>
      <c r="CM23" s="198"/>
      <c r="CN23" s="202"/>
      <c r="CO23" s="208"/>
      <c r="CP23" s="208"/>
      <c r="CQ23" s="201"/>
      <c r="CR23" s="201"/>
      <c r="CS23" s="284"/>
      <c r="CT23" s="286">
        <f t="shared" si="23"/>
        <v>0</v>
      </c>
      <c r="CU23" s="24">
        <f t="shared" si="23"/>
        <v>32.75</v>
      </c>
      <c r="CV23" s="25">
        <f t="shared" si="23"/>
        <v>0</v>
      </c>
      <c r="CW23" s="24">
        <f t="shared" si="23"/>
        <v>261.21599400000002</v>
      </c>
      <c r="CX23" s="27">
        <f t="shared" si="23"/>
        <v>84.808044899999999</v>
      </c>
      <c r="CY23" s="24">
        <f t="shared" si="23"/>
        <v>13.1793519</v>
      </c>
      <c r="CZ23" s="280">
        <f t="shared" si="23"/>
        <v>0</v>
      </c>
      <c r="DA23" s="237">
        <f t="shared" si="24"/>
        <v>0</v>
      </c>
      <c r="DB23" s="29">
        <f t="shared" si="24"/>
        <v>78.599999999999994</v>
      </c>
      <c r="DC23" s="277">
        <f t="shared" si="24"/>
        <v>166.56</v>
      </c>
      <c r="DD23" s="280">
        <f t="shared" si="24"/>
        <v>0</v>
      </c>
      <c r="DE23" s="508">
        <f t="shared" si="31"/>
        <v>0</v>
      </c>
      <c r="DG23" s="293">
        <f t="shared" si="25"/>
        <v>0</v>
      </c>
      <c r="DH23" s="294"/>
      <c r="DI23" s="294"/>
      <c r="DJ23" s="295">
        <f t="shared" si="26"/>
        <v>0</v>
      </c>
      <c r="DK23" s="296">
        <f t="shared" si="27"/>
        <v>0</v>
      </c>
    </row>
    <row r="24" spans="1:115" ht="16.5" customHeight="1" thickBot="1">
      <c r="A24" s="127">
        <v>18</v>
      </c>
      <c r="B24" s="103">
        <f>'[1]июль 20'!K23</f>
        <v>398.87700000000001</v>
      </c>
      <c r="C24" s="104">
        <f t="shared" si="0"/>
        <v>0.36384579707528886</v>
      </c>
      <c r="D24" s="143">
        <f t="shared" si="1"/>
        <v>397.42570280000001</v>
      </c>
      <c r="E24" s="104">
        <f t="shared" si="2"/>
        <v>37.783688154493746</v>
      </c>
      <c r="F24" s="128">
        <f t="shared" si="3"/>
        <v>2.1213007888977846</v>
      </c>
      <c r="G24" s="106"/>
      <c r="H24" s="107">
        <f t="shared" si="4"/>
        <v>1.9439108769682412</v>
      </c>
      <c r="I24" s="103">
        <f>'[1]сентябрь 20'!AE23</f>
        <v>0</v>
      </c>
      <c r="J24" s="328">
        <f>'[1]июль 20'!AA23</f>
        <v>0</v>
      </c>
      <c r="K24" s="106"/>
      <c r="L24" s="328">
        <f>'[1]июль 20'!AI23</f>
        <v>33.234000000000002</v>
      </c>
      <c r="M24" s="103">
        <f t="shared" si="5"/>
        <v>0.17738991192954362</v>
      </c>
      <c r="N24" s="103">
        <f>'[1]июль 20'!W23</f>
        <v>0</v>
      </c>
      <c r="O24" s="103">
        <f>'[1]июль 20'!AM23</f>
        <v>0</v>
      </c>
      <c r="P24" s="447">
        <f t="shared" si="6"/>
        <v>0</v>
      </c>
      <c r="Q24" s="103">
        <f t="shared" si="7"/>
        <v>0</v>
      </c>
      <c r="R24" s="103">
        <f>'[1]июль 20'!S23</f>
        <v>252.46600000000001</v>
      </c>
      <c r="S24" s="108">
        <f t="shared" si="8"/>
        <v>1.4877250798127406</v>
      </c>
      <c r="T24" s="109">
        <f t="shared" si="9"/>
        <v>248.70999999999995</v>
      </c>
      <c r="U24" s="106">
        <v>35.28</v>
      </c>
      <c r="V24" s="109">
        <f t="shared" si="10"/>
        <v>248.70999999999998</v>
      </c>
      <c r="W24" s="110">
        <f t="shared" si="11"/>
        <v>1.3275153456098208</v>
      </c>
      <c r="X24" s="110"/>
      <c r="Y24" s="136">
        <v>187.35</v>
      </c>
      <c r="Z24" s="129">
        <v>187.35</v>
      </c>
      <c r="AA24" s="131">
        <v>0.76</v>
      </c>
      <c r="AB24" s="133">
        <v>668</v>
      </c>
      <c r="AC24" s="133">
        <v>1230</v>
      </c>
      <c r="AD24" s="144" t="s">
        <v>318</v>
      </c>
      <c r="AE24" s="131">
        <v>75.92</v>
      </c>
      <c r="AF24" s="133">
        <v>133</v>
      </c>
      <c r="AG24" s="134">
        <v>4</v>
      </c>
      <c r="AH24" s="131">
        <v>3.8</v>
      </c>
      <c r="AI24" s="115">
        <f t="shared" si="12"/>
        <v>20.282892981051504</v>
      </c>
      <c r="AJ24" s="131">
        <v>108.45</v>
      </c>
      <c r="AK24" s="115">
        <f t="shared" si="13"/>
        <v>578.86309047237785</v>
      </c>
      <c r="AL24" s="139">
        <v>16.78</v>
      </c>
      <c r="AM24" s="131"/>
      <c r="AN24" s="136">
        <v>9.36</v>
      </c>
      <c r="AO24" s="466">
        <v>47.65</v>
      </c>
      <c r="AP24" s="110">
        <f t="shared" si="14"/>
        <v>0.19747202652300039</v>
      </c>
      <c r="AQ24" s="137" t="s">
        <v>369</v>
      </c>
      <c r="AR24" s="150">
        <v>8.25</v>
      </c>
      <c r="AS24" s="138">
        <v>9.0299999999999994</v>
      </c>
      <c r="AT24" s="134"/>
      <c r="AU24" s="131">
        <v>5.96</v>
      </c>
      <c r="AV24" s="315">
        <v>241.3</v>
      </c>
      <c r="AW24" s="131">
        <v>3.06</v>
      </c>
      <c r="AX24" s="116"/>
      <c r="AY24" s="131"/>
      <c r="AZ24" s="109">
        <f t="shared" si="32"/>
        <v>0</v>
      </c>
      <c r="BA24" s="109">
        <f t="shared" si="15"/>
        <v>187.35000000000002</v>
      </c>
      <c r="BB24" s="115">
        <f t="shared" si="16"/>
        <v>172.6705782289304</v>
      </c>
      <c r="BC24" s="140">
        <f t="shared" si="17"/>
        <v>5.0070295774647882</v>
      </c>
      <c r="BD24" s="141"/>
      <c r="BE24" s="128">
        <f t="shared" si="19"/>
        <v>0.94721724845997335</v>
      </c>
      <c r="BF24" s="141">
        <f t="shared" si="20"/>
        <v>5.0070295774647882</v>
      </c>
      <c r="BG24" s="142">
        <v>0.92100000000000004</v>
      </c>
      <c r="BH24" s="16">
        <f t="shared" si="28"/>
        <v>3178.26</v>
      </c>
      <c r="BI24" s="16">
        <f t="shared" si="21"/>
        <v>182.25806451612902</v>
      </c>
      <c r="BJ24" s="16">
        <f t="shared" si="29"/>
        <v>3280.6451612903211</v>
      </c>
      <c r="BK24" s="17">
        <f t="shared" si="22"/>
        <v>1</v>
      </c>
      <c r="BL24" s="16">
        <f t="shared" si="30"/>
        <v>3280.6451612903211</v>
      </c>
      <c r="BM24" s="254"/>
      <c r="BN24" s="197">
        <v>33.234000000000002</v>
      </c>
      <c r="BO24" s="197"/>
      <c r="BP24" s="197">
        <v>265.93700000000001</v>
      </c>
      <c r="BQ24" s="230">
        <v>86.409000000000006</v>
      </c>
      <c r="BR24" s="230">
        <v>13.297000000000001</v>
      </c>
      <c r="BS24" s="258"/>
      <c r="BT24" s="199"/>
      <c r="BU24" s="200"/>
      <c r="BV24" s="200"/>
      <c r="BW24" s="200"/>
      <c r="BX24" s="200">
        <v>0.41</v>
      </c>
      <c r="BY24" s="208">
        <v>0.27</v>
      </c>
      <c r="BZ24" s="208">
        <v>0.96</v>
      </c>
      <c r="CA24" s="201"/>
      <c r="CB24" s="202"/>
      <c r="CC24" s="200">
        <v>43.84</v>
      </c>
      <c r="CD24" s="200"/>
      <c r="CE24" s="200">
        <v>37.159999999999997</v>
      </c>
      <c r="CF24" s="208">
        <v>38.17</v>
      </c>
      <c r="CG24" s="208">
        <v>32.61</v>
      </c>
      <c r="CH24" s="209"/>
      <c r="CI24" s="199"/>
      <c r="CJ24" s="197"/>
      <c r="CK24" s="197">
        <v>79.8</v>
      </c>
      <c r="CL24" s="197">
        <v>168.91</v>
      </c>
      <c r="CM24" s="198"/>
      <c r="CN24" s="202"/>
      <c r="CO24" s="208"/>
      <c r="CP24" s="208"/>
      <c r="CQ24" s="201"/>
      <c r="CR24" s="201"/>
      <c r="CS24" s="284"/>
      <c r="CT24" s="286">
        <f t="shared" si="23"/>
        <v>0</v>
      </c>
      <c r="CU24" s="29">
        <f t="shared" si="23"/>
        <v>33.234000000000002</v>
      </c>
      <c r="CV24" s="30">
        <f t="shared" si="23"/>
        <v>0</v>
      </c>
      <c r="CW24" s="29">
        <f t="shared" si="23"/>
        <v>264.8466583</v>
      </c>
      <c r="CX24" s="27">
        <f t="shared" si="23"/>
        <v>86.175695700000006</v>
      </c>
      <c r="CY24" s="27">
        <f t="shared" si="23"/>
        <v>13.169348800000002</v>
      </c>
      <c r="CZ24" s="282">
        <f t="shared" si="23"/>
        <v>0</v>
      </c>
      <c r="DA24" s="25">
        <f t="shared" si="24"/>
        <v>0</v>
      </c>
      <c r="DB24" s="26">
        <f t="shared" si="24"/>
        <v>79.8</v>
      </c>
      <c r="DC24" s="277">
        <f t="shared" si="24"/>
        <v>168.91</v>
      </c>
      <c r="DD24" s="280">
        <f t="shared" si="24"/>
        <v>0</v>
      </c>
      <c r="DE24" s="508">
        <f t="shared" si="31"/>
        <v>0</v>
      </c>
      <c r="DG24" s="293">
        <f t="shared" si="25"/>
        <v>0</v>
      </c>
      <c r="DH24" s="294"/>
      <c r="DI24" s="294"/>
      <c r="DJ24" s="295">
        <f t="shared" si="26"/>
        <v>0</v>
      </c>
      <c r="DK24" s="296">
        <f t="shared" si="27"/>
        <v>0</v>
      </c>
    </row>
    <row r="25" spans="1:115" ht="16.5" customHeight="1" thickBot="1">
      <c r="A25" s="127">
        <v>19</v>
      </c>
      <c r="B25" s="103">
        <f>'[1]июль 20'!K24</f>
        <v>410.62099999999998</v>
      </c>
      <c r="C25" s="104">
        <f t="shared" si="0"/>
        <v>0.26776565251168355</v>
      </c>
      <c r="D25" s="143">
        <f t="shared" si="1"/>
        <v>409.52149799999995</v>
      </c>
      <c r="E25" s="104">
        <f t="shared" si="2"/>
        <v>37.805613741138423</v>
      </c>
      <c r="F25" s="128">
        <f t="shared" si="3"/>
        <v>2.1951195218696391</v>
      </c>
      <c r="G25" s="106"/>
      <c r="H25" s="107">
        <f t="shared" si="4"/>
        <v>2.0121435355917665</v>
      </c>
      <c r="I25" s="103">
        <f>'[1]сентябрь 20'!AE24</f>
        <v>0</v>
      </c>
      <c r="J25" s="328">
        <f>'[1]июль 20'!AA24</f>
        <v>0</v>
      </c>
      <c r="K25" s="106"/>
      <c r="L25" s="328">
        <f>'[1]июль 20'!AI24</f>
        <v>34.136000000000003</v>
      </c>
      <c r="M25" s="103">
        <f t="shared" si="5"/>
        <v>0.18297598627787307</v>
      </c>
      <c r="N25" s="103">
        <f>'[1]июль 20'!W24</f>
        <v>0</v>
      </c>
      <c r="O25" s="103">
        <f>'[1]июль 20'!AM24</f>
        <v>2.8069999999999999</v>
      </c>
      <c r="P25" s="447">
        <f t="shared" ref="P25:P37" si="33">O25*((100-CR25)/100)</f>
        <v>2.7957719999999999</v>
      </c>
      <c r="Q25" s="103">
        <f>IF(O25=0,0,P25/BA25)</f>
        <v>1.4985913379073753E-2</v>
      </c>
      <c r="R25" s="103">
        <f>'[1]июль 20'!S24</f>
        <v>259.447</v>
      </c>
      <c r="S25" s="108">
        <f t="shared" si="8"/>
        <v>1.3709929195558357</v>
      </c>
      <c r="T25" s="109">
        <f t="shared" si="9"/>
        <v>255.89</v>
      </c>
      <c r="U25" s="106">
        <v>35.337000000000003</v>
      </c>
      <c r="V25" s="109">
        <f t="shared" si="10"/>
        <v>255.89</v>
      </c>
      <c r="W25" s="110">
        <f t="shared" si="11"/>
        <v>1.3716230703259003</v>
      </c>
      <c r="X25" s="110">
        <f>Q25+W25</f>
        <v>1.386608983704974</v>
      </c>
      <c r="Y25" s="136">
        <v>186.56</v>
      </c>
      <c r="Z25" s="129">
        <v>186.56</v>
      </c>
      <c r="AA25" s="131">
        <v>0.69</v>
      </c>
      <c r="AB25" s="133">
        <v>667</v>
      </c>
      <c r="AC25" s="133">
        <v>1220</v>
      </c>
      <c r="AD25" s="144" t="s">
        <v>370</v>
      </c>
      <c r="AE25" s="131">
        <v>76.12</v>
      </c>
      <c r="AF25" s="133">
        <v>138</v>
      </c>
      <c r="AG25" s="134">
        <v>4</v>
      </c>
      <c r="AH25" s="131">
        <v>3.5</v>
      </c>
      <c r="AI25" s="115">
        <f t="shared" si="12"/>
        <v>18.760720411663804</v>
      </c>
      <c r="AJ25" s="131">
        <v>117.55</v>
      </c>
      <c r="AK25" s="115">
        <f t="shared" si="13"/>
        <v>630.09219554030858</v>
      </c>
      <c r="AL25" s="139">
        <v>18.190000000000001</v>
      </c>
      <c r="AM25" s="131"/>
      <c r="AN25" s="136">
        <v>10.35</v>
      </c>
      <c r="AO25" s="466">
        <v>47.2</v>
      </c>
      <c r="AP25" s="110">
        <f t="shared" si="14"/>
        <v>0.19560712805636138</v>
      </c>
      <c r="AQ25" s="137" t="s">
        <v>371</v>
      </c>
      <c r="AR25" s="150">
        <v>7.93</v>
      </c>
      <c r="AS25" s="138">
        <v>9.11</v>
      </c>
      <c r="AT25" s="153"/>
      <c r="AU25" s="131">
        <v>7.47</v>
      </c>
      <c r="AV25" s="315">
        <v>241.3</v>
      </c>
      <c r="AW25" s="131">
        <v>2.81</v>
      </c>
      <c r="AX25" s="148"/>
      <c r="AY25" s="131"/>
      <c r="AZ25" s="109">
        <f t="shared" si="32"/>
        <v>0</v>
      </c>
      <c r="BA25" s="109">
        <f t="shared" si="15"/>
        <v>186.56000000000003</v>
      </c>
      <c r="BB25" s="115">
        <f t="shared" si="16"/>
        <v>177.56135972709114</v>
      </c>
      <c r="BC25" s="140">
        <f t="shared" si="17"/>
        <v>6.8021714788732384</v>
      </c>
      <c r="BD25" s="141">
        <f t="shared" ref="BD25:BD37" si="34">BA25*$BD$6</f>
        <v>7.4624000000000015</v>
      </c>
      <c r="BE25" s="128">
        <f t="shared" si="19"/>
        <v>0.9172428069390981</v>
      </c>
      <c r="BF25" s="141">
        <f t="shared" si="20"/>
        <v>14.26457147887324</v>
      </c>
      <c r="BG25" s="142">
        <v>0.92</v>
      </c>
      <c r="BH25" s="16">
        <f t="shared" si="28"/>
        <v>3364.82</v>
      </c>
      <c r="BI25" s="16">
        <f t="shared" si="21"/>
        <v>182.25806451612902</v>
      </c>
      <c r="BJ25" s="16">
        <f t="shared" si="29"/>
        <v>3462.9032258064499</v>
      </c>
      <c r="BK25" s="17">
        <f t="shared" si="22"/>
        <v>1</v>
      </c>
      <c r="BL25" s="16">
        <f t="shared" si="30"/>
        <v>3462.9032258064499</v>
      </c>
      <c r="BM25" s="254"/>
      <c r="BN25" s="197">
        <v>34.136000000000003</v>
      </c>
      <c r="BO25" s="197"/>
      <c r="BP25" s="197">
        <v>273.56</v>
      </c>
      <c r="BQ25" s="230">
        <v>89.015000000000001</v>
      </c>
      <c r="BR25" s="230">
        <v>13.91</v>
      </c>
      <c r="BS25" s="258"/>
      <c r="BT25" s="199"/>
      <c r="BU25" s="200"/>
      <c r="BV25" s="200"/>
      <c r="BW25" s="200"/>
      <c r="BX25" s="200">
        <v>0.25</v>
      </c>
      <c r="BY25" s="208">
        <v>0.32</v>
      </c>
      <c r="BZ25" s="208">
        <v>0.94</v>
      </c>
      <c r="CA25" s="201"/>
      <c r="CB25" s="202"/>
      <c r="CC25" s="200">
        <v>43.77</v>
      </c>
      <c r="CD25" s="200"/>
      <c r="CE25" s="200">
        <v>37.299999999999997</v>
      </c>
      <c r="CF25" s="208">
        <v>37.520000000000003</v>
      </c>
      <c r="CG25" s="208">
        <v>34.94</v>
      </c>
      <c r="CH25" s="201"/>
      <c r="CI25" s="199"/>
      <c r="CJ25" s="197"/>
      <c r="CK25" s="197"/>
      <c r="CL25" s="197">
        <v>255.89</v>
      </c>
      <c r="CM25" s="198"/>
      <c r="CN25" s="202"/>
      <c r="CO25" s="208"/>
      <c r="CP25" s="208"/>
      <c r="CQ25" s="201"/>
      <c r="CR25" s="201">
        <v>0.4</v>
      </c>
      <c r="CS25" s="284"/>
      <c r="CT25" s="286">
        <f t="shared" si="23"/>
        <v>0</v>
      </c>
      <c r="CU25" s="24">
        <f t="shared" si="23"/>
        <v>34.136000000000003</v>
      </c>
      <c r="CV25" s="25">
        <f t="shared" si="23"/>
        <v>0</v>
      </c>
      <c r="CW25" s="24">
        <f t="shared" si="23"/>
        <v>272.87610000000001</v>
      </c>
      <c r="CX25" s="27">
        <f t="shared" si="23"/>
        <v>88.730152000000004</v>
      </c>
      <c r="CY25" s="30">
        <f t="shared" si="23"/>
        <v>13.779246000000001</v>
      </c>
      <c r="CZ25" s="280">
        <f t="shared" si="23"/>
        <v>0</v>
      </c>
      <c r="DA25" s="25">
        <f t="shared" si="24"/>
        <v>0</v>
      </c>
      <c r="DB25" s="26">
        <f t="shared" si="24"/>
        <v>0</v>
      </c>
      <c r="DC25" s="277">
        <f t="shared" si="24"/>
        <v>255.89</v>
      </c>
      <c r="DD25" s="280">
        <f t="shared" si="24"/>
        <v>0</v>
      </c>
      <c r="DE25" s="508">
        <f t="shared" si="31"/>
        <v>2.8069999999999999</v>
      </c>
      <c r="DG25" s="293">
        <f t="shared" si="25"/>
        <v>0</v>
      </c>
      <c r="DH25" s="294"/>
      <c r="DI25" s="294"/>
      <c r="DJ25" s="295">
        <f t="shared" si="26"/>
        <v>0</v>
      </c>
      <c r="DK25" s="296">
        <f t="shared" si="27"/>
        <v>0</v>
      </c>
    </row>
    <row r="26" spans="1:115" ht="16.5" customHeight="1" thickBot="1">
      <c r="A26" s="127">
        <v>20</v>
      </c>
      <c r="B26" s="103">
        <f>'[1]июль 20'!K25</f>
        <v>429.14</v>
      </c>
      <c r="C26" s="104">
        <f t="shared" si="0"/>
        <v>1.0739700563918535</v>
      </c>
      <c r="D26" s="143">
        <f t="shared" si="1"/>
        <v>424.53116489999996</v>
      </c>
      <c r="E26" s="104">
        <f t="shared" si="2"/>
        <v>37.748984690310856</v>
      </c>
      <c r="F26" s="128">
        <f t="shared" si="3"/>
        <v>2.1103105080280358</v>
      </c>
      <c r="G26" s="106"/>
      <c r="H26" s="107">
        <f t="shared" si="4"/>
        <v>1.9325305209524279</v>
      </c>
      <c r="I26" s="103">
        <f>'[1]сентябрь 20'!AE25</f>
        <v>0</v>
      </c>
      <c r="J26" s="328">
        <f>'[1]июль 20'!AA25</f>
        <v>0</v>
      </c>
      <c r="K26" s="106"/>
      <c r="L26" s="328">
        <f>'[1]июль 20'!AI25</f>
        <v>35.764000000000003</v>
      </c>
      <c r="M26" s="103">
        <f t="shared" si="5"/>
        <v>0.17777998707560769</v>
      </c>
      <c r="N26" s="103">
        <f>'[1]июль 20'!W25</f>
        <v>0</v>
      </c>
      <c r="O26" s="103">
        <f>'[1]июль 20'!AM25</f>
        <v>7.1479999999999997</v>
      </c>
      <c r="P26" s="447">
        <f t="shared" si="33"/>
        <v>7.119408</v>
      </c>
      <c r="Q26" s="103">
        <f t="shared" ref="Q26:Q37" si="35">IF(O26=0,0,P26/BA26)</f>
        <v>3.5390008450564198E-2</v>
      </c>
      <c r="R26" s="103">
        <f>'[1]июль 20'!S25</f>
        <v>269.29700000000003</v>
      </c>
      <c r="S26" s="108">
        <f t="shared" si="8"/>
        <v>1.1834517280177703</v>
      </c>
      <c r="T26" s="109">
        <f t="shared" si="9"/>
        <v>266.11</v>
      </c>
      <c r="U26" s="106">
        <v>7.1479999999999997</v>
      </c>
      <c r="V26" s="109">
        <f t="shared" si="10"/>
        <v>266.11</v>
      </c>
      <c r="W26" s="110">
        <f t="shared" si="11"/>
        <v>1.3228115524183526</v>
      </c>
      <c r="X26" s="110">
        <f t="shared" ref="X26:X37" si="36">Q26+W26</f>
        <v>1.3582015608689169</v>
      </c>
      <c r="Y26" s="136">
        <v>201.17</v>
      </c>
      <c r="Z26" s="154">
        <v>145.96</v>
      </c>
      <c r="AA26" s="149">
        <v>0.85</v>
      </c>
      <c r="AB26" s="147">
        <v>673</v>
      </c>
      <c r="AC26" s="147">
        <v>1224</v>
      </c>
      <c r="AD26" s="144" t="s">
        <v>373</v>
      </c>
      <c r="AE26" s="149">
        <v>76.459999999999994</v>
      </c>
      <c r="AF26" s="147">
        <v>143</v>
      </c>
      <c r="AG26" s="155">
        <v>4</v>
      </c>
      <c r="AH26" s="149"/>
      <c r="AI26" s="115">
        <f t="shared" si="12"/>
        <v>0</v>
      </c>
      <c r="AJ26" s="149">
        <v>118.7</v>
      </c>
      <c r="AK26" s="115">
        <f t="shared" si="13"/>
        <v>590.04821792513792</v>
      </c>
      <c r="AL26" s="156">
        <v>17.57</v>
      </c>
      <c r="AM26" s="149"/>
      <c r="AN26" s="157">
        <v>6.48</v>
      </c>
      <c r="AO26" s="466">
        <v>47</v>
      </c>
      <c r="AP26" s="110">
        <f t="shared" si="14"/>
        <v>0.18680445151033387</v>
      </c>
      <c r="AQ26" s="158" t="s">
        <v>374</v>
      </c>
      <c r="AR26" s="404">
        <v>7.86</v>
      </c>
      <c r="AS26" s="159">
        <v>8.64</v>
      </c>
      <c r="AT26" s="155"/>
      <c r="AU26" s="149">
        <v>7.43</v>
      </c>
      <c r="AV26" s="315">
        <v>251.6</v>
      </c>
      <c r="AW26" s="131">
        <v>3.05</v>
      </c>
      <c r="AX26" s="148"/>
      <c r="AY26" s="149"/>
      <c r="AZ26" s="160">
        <f t="shared" si="32"/>
        <v>0</v>
      </c>
      <c r="BA26" s="109">
        <f t="shared" si="15"/>
        <v>201.17000000000002</v>
      </c>
      <c r="BB26" s="115">
        <f t="shared" si="16"/>
        <v>182.97628365073174</v>
      </c>
      <c r="BC26" s="140">
        <f t="shared" si="17"/>
        <v>6.8319373239436612</v>
      </c>
      <c r="BD26" s="140">
        <f t="shared" si="34"/>
        <v>8.0468000000000011</v>
      </c>
      <c r="BE26" s="161">
        <f t="shared" si="19"/>
        <v>0.95980422432903445</v>
      </c>
      <c r="BF26" s="140">
        <f t="shared" si="20"/>
        <v>14.878737323943662</v>
      </c>
      <c r="BG26" s="162">
        <v>0.92300000000000004</v>
      </c>
      <c r="BH26" s="16">
        <f t="shared" si="28"/>
        <v>3565.9900000000002</v>
      </c>
      <c r="BI26" s="16">
        <f t="shared" si="21"/>
        <v>182.25806451612902</v>
      </c>
      <c r="BJ26" s="16">
        <f t="shared" si="29"/>
        <v>3645.1612903225787</v>
      </c>
      <c r="BK26" s="17">
        <f t="shared" si="22"/>
        <v>1</v>
      </c>
      <c r="BL26" s="16">
        <f t="shared" si="30"/>
        <v>3645.1612903225787</v>
      </c>
      <c r="BM26" s="254"/>
      <c r="BN26" s="197">
        <v>35.764000000000003</v>
      </c>
      <c r="BO26" s="197"/>
      <c r="BP26" s="197">
        <v>286</v>
      </c>
      <c r="BQ26" s="230">
        <v>92.966999999999999</v>
      </c>
      <c r="BR26" s="230">
        <v>14.409000000000001</v>
      </c>
      <c r="BS26" s="258"/>
      <c r="BT26" s="199"/>
      <c r="BU26" s="200"/>
      <c r="BV26" s="200"/>
      <c r="BW26" s="200"/>
      <c r="BX26" s="200">
        <v>1.19</v>
      </c>
      <c r="BY26" s="208">
        <v>0.92</v>
      </c>
      <c r="BZ26" s="208">
        <v>2.4300000000000002</v>
      </c>
      <c r="CA26" s="201"/>
      <c r="CB26" s="202"/>
      <c r="CC26" s="200">
        <v>43.63</v>
      </c>
      <c r="CD26" s="200"/>
      <c r="CE26" s="200">
        <v>37.19</v>
      </c>
      <c r="CF26" s="208">
        <v>38.26</v>
      </c>
      <c r="CG26" s="208">
        <v>30.95</v>
      </c>
      <c r="CH26" s="209"/>
      <c r="CI26" s="199"/>
      <c r="CJ26" s="197"/>
      <c r="CK26" s="197"/>
      <c r="CL26" s="197">
        <v>266.11</v>
      </c>
      <c r="CM26" s="198"/>
      <c r="CN26" s="202"/>
      <c r="CO26" s="208"/>
      <c r="CP26" s="208"/>
      <c r="CQ26" s="201"/>
      <c r="CR26" s="201">
        <v>0.4</v>
      </c>
      <c r="CS26" s="284"/>
      <c r="CT26" s="286">
        <f t="shared" si="23"/>
        <v>0</v>
      </c>
      <c r="CU26" s="24">
        <f t="shared" si="23"/>
        <v>35.764000000000003</v>
      </c>
      <c r="CV26" s="25">
        <f t="shared" si="23"/>
        <v>0</v>
      </c>
      <c r="CW26" s="24">
        <f t="shared" si="23"/>
        <v>282.59659999999997</v>
      </c>
      <c r="CX26" s="27">
        <f t="shared" si="23"/>
        <v>92.111703599999998</v>
      </c>
      <c r="CY26" s="24">
        <f t="shared" si="23"/>
        <v>14.058861299999998</v>
      </c>
      <c r="CZ26" s="280">
        <f t="shared" si="23"/>
        <v>0</v>
      </c>
      <c r="DA26" s="30">
        <f t="shared" si="24"/>
        <v>0</v>
      </c>
      <c r="DB26" s="26">
        <f t="shared" si="24"/>
        <v>0</v>
      </c>
      <c r="DC26" s="277">
        <f t="shared" si="24"/>
        <v>266.11</v>
      </c>
      <c r="DD26" s="280">
        <f t="shared" si="24"/>
        <v>0</v>
      </c>
      <c r="DE26" s="508">
        <f t="shared" si="31"/>
        <v>7.1479999999999997</v>
      </c>
      <c r="DG26" s="293">
        <f t="shared" si="25"/>
        <v>0</v>
      </c>
      <c r="DH26" s="294"/>
      <c r="DI26" s="294"/>
      <c r="DJ26" s="295">
        <f t="shared" si="26"/>
        <v>0</v>
      </c>
      <c r="DK26" s="296">
        <f t="shared" si="27"/>
        <v>0</v>
      </c>
    </row>
    <row r="27" spans="1:115" ht="16.5" customHeight="1" thickBot="1">
      <c r="A27" s="127">
        <v>21</v>
      </c>
      <c r="B27" s="103">
        <f>'[1]июль 20'!K26</f>
        <v>420.41800000000001</v>
      </c>
      <c r="C27" s="104">
        <f t="shared" si="0"/>
        <v>1.1563626676307865</v>
      </c>
      <c r="D27" s="143">
        <f t="shared" si="1"/>
        <v>415.55644320000005</v>
      </c>
      <c r="E27" s="104">
        <f t="shared" si="2"/>
        <v>37.443438982155854</v>
      </c>
      <c r="F27" s="128">
        <f t="shared" si="3"/>
        <v>2.214765459681288</v>
      </c>
      <c r="G27" s="106"/>
      <c r="H27" s="107">
        <f t="shared" si="4"/>
        <v>2.027945654746043</v>
      </c>
      <c r="I27" s="103">
        <f>'[1]сентябрь 20'!AE26</f>
        <v>0</v>
      </c>
      <c r="J27" s="328">
        <f>'[1]июль 20'!AA26</f>
        <v>0</v>
      </c>
      <c r="K27" s="106"/>
      <c r="L27" s="328">
        <f>'[1]июль 20'!AI26</f>
        <v>35.052999999999997</v>
      </c>
      <c r="M27" s="103">
        <f t="shared" si="5"/>
        <v>0.18681980493524489</v>
      </c>
      <c r="N27" s="103">
        <f>'[1]июль 20'!W26</f>
        <v>0</v>
      </c>
      <c r="O27" s="103">
        <f>'[1]июль 20'!AM26</f>
        <v>7.0339999999999998</v>
      </c>
      <c r="P27" s="447">
        <f t="shared" si="33"/>
        <v>7.0058639999999999</v>
      </c>
      <c r="Q27" s="103">
        <f t="shared" si="35"/>
        <v>3.7338719820924161E-2</v>
      </c>
      <c r="R27" s="103">
        <f>'[1]июль 20'!S26</f>
        <v>261.76299999999998</v>
      </c>
      <c r="S27" s="108">
        <f t="shared" si="8"/>
        <v>1.5177851720831304</v>
      </c>
      <c r="T27" s="109">
        <f t="shared" si="9"/>
        <v>257.78999999999996</v>
      </c>
      <c r="U27" s="106">
        <v>34.503999999999998</v>
      </c>
      <c r="V27" s="109">
        <f t="shared" si="10"/>
        <v>257.79000000000002</v>
      </c>
      <c r="W27" s="110">
        <f t="shared" si="11"/>
        <v>1.3739274103288386</v>
      </c>
      <c r="X27" s="110">
        <f t="shared" si="36"/>
        <v>1.4112661301497627</v>
      </c>
      <c r="Y27" s="129">
        <v>187.63</v>
      </c>
      <c r="Z27" s="129">
        <v>96.37</v>
      </c>
      <c r="AA27" s="131">
        <v>0.98</v>
      </c>
      <c r="AB27" s="133">
        <v>675</v>
      </c>
      <c r="AC27" s="133">
        <v>1228</v>
      </c>
      <c r="AD27" s="144" t="s">
        <v>375</v>
      </c>
      <c r="AE27" s="131">
        <v>75.92</v>
      </c>
      <c r="AF27" s="133">
        <v>140</v>
      </c>
      <c r="AG27" s="134">
        <v>4</v>
      </c>
      <c r="AH27" s="131">
        <v>3.8</v>
      </c>
      <c r="AI27" s="115">
        <f t="shared" si="12"/>
        <v>20.252624846772903</v>
      </c>
      <c r="AJ27" s="131">
        <v>115.8</v>
      </c>
      <c r="AK27" s="115">
        <f t="shared" si="13"/>
        <v>617.17209401481648</v>
      </c>
      <c r="AL27" s="139">
        <v>18.61</v>
      </c>
      <c r="AM27" s="131"/>
      <c r="AN27" s="136">
        <v>11.2</v>
      </c>
      <c r="AO27" s="466">
        <v>50.15</v>
      </c>
      <c r="AP27" s="110">
        <f t="shared" si="14"/>
        <v>0.20365482233502538</v>
      </c>
      <c r="AQ27" s="137" t="s">
        <v>376</v>
      </c>
      <c r="AR27" s="150">
        <v>8.56</v>
      </c>
      <c r="AS27" s="138">
        <v>8.66</v>
      </c>
      <c r="AT27" s="134"/>
      <c r="AU27" s="131">
        <v>6.59</v>
      </c>
      <c r="AV27" s="139">
        <v>246.25</v>
      </c>
      <c r="AW27" s="131">
        <v>2.73</v>
      </c>
      <c r="AX27" s="148"/>
      <c r="AY27" s="131"/>
      <c r="AZ27" s="109">
        <f t="shared" si="32"/>
        <v>0</v>
      </c>
      <c r="BA27" s="109">
        <f t="shared" si="15"/>
        <v>187.63</v>
      </c>
      <c r="BB27" s="115">
        <f t="shared" si="16"/>
        <v>178.92202067145152</v>
      </c>
      <c r="BC27" s="140">
        <f t="shared" si="17"/>
        <v>5.9115084507042246</v>
      </c>
      <c r="BD27" s="141">
        <f t="shared" si="34"/>
        <v>7.5052000000000003</v>
      </c>
      <c r="BE27" s="128">
        <f t="shared" si="19"/>
        <v>0.91548815168358855</v>
      </c>
      <c r="BF27" s="141">
        <f t="shared" si="20"/>
        <v>13.416708450704224</v>
      </c>
      <c r="BG27" s="142">
        <v>0.92200000000000004</v>
      </c>
      <c r="BH27" s="16">
        <f t="shared" si="28"/>
        <v>3753.6200000000003</v>
      </c>
      <c r="BI27" s="16">
        <f t="shared" si="21"/>
        <v>182.25806451612902</v>
      </c>
      <c r="BJ27" s="16">
        <f t="shared" si="29"/>
        <v>3827.4193548387075</v>
      </c>
      <c r="BK27" s="17">
        <f t="shared" si="22"/>
        <v>1</v>
      </c>
      <c r="BL27" s="16">
        <f t="shared" si="30"/>
        <v>3827.4193548387075</v>
      </c>
      <c r="BM27" s="254"/>
      <c r="BN27" s="197">
        <v>35.052999999999997</v>
      </c>
      <c r="BO27" s="197"/>
      <c r="BP27" s="197">
        <v>280.27100000000002</v>
      </c>
      <c r="BQ27" s="230">
        <v>91.054000000000002</v>
      </c>
      <c r="BR27" s="230">
        <v>14.04</v>
      </c>
      <c r="BS27" s="258"/>
      <c r="BT27" s="199"/>
      <c r="BU27" s="200"/>
      <c r="BV27" s="200"/>
      <c r="BW27" s="200"/>
      <c r="BX27" s="200">
        <v>1.32</v>
      </c>
      <c r="BY27" s="208">
        <v>0.94</v>
      </c>
      <c r="BZ27" s="208">
        <v>2.1800000000000002</v>
      </c>
      <c r="CA27" s="201"/>
      <c r="CB27" s="202"/>
      <c r="CC27" s="200">
        <v>43.61</v>
      </c>
      <c r="CD27" s="200"/>
      <c r="CE27" s="200">
        <v>37</v>
      </c>
      <c r="CF27" s="208">
        <v>37.299999999999997</v>
      </c>
      <c r="CG27" s="208">
        <v>31.83</v>
      </c>
      <c r="CH27" s="209"/>
      <c r="CI27" s="199"/>
      <c r="CJ27" s="197"/>
      <c r="CK27" s="197"/>
      <c r="CL27" s="197">
        <v>257.79000000000002</v>
      </c>
      <c r="CM27" s="198"/>
      <c r="CN27" s="202"/>
      <c r="CO27" s="208"/>
      <c r="CP27" s="208"/>
      <c r="CQ27" s="201"/>
      <c r="CR27" s="201">
        <v>0.4</v>
      </c>
      <c r="CS27" s="284"/>
      <c r="CT27" s="286">
        <f t="shared" si="23"/>
        <v>0</v>
      </c>
      <c r="CU27" s="24">
        <f t="shared" si="23"/>
        <v>35.052999999999997</v>
      </c>
      <c r="CV27" s="25">
        <f t="shared" si="23"/>
        <v>0</v>
      </c>
      <c r="CW27" s="24">
        <f t="shared" si="23"/>
        <v>276.57142280000005</v>
      </c>
      <c r="CX27" s="27">
        <f t="shared" si="23"/>
        <v>90.198092400000007</v>
      </c>
      <c r="CY27" s="29">
        <f t="shared" si="23"/>
        <v>13.733927999999999</v>
      </c>
      <c r="CZ27" s="280">
        <f t="shared" si="23"/>
        <v>0</v>
      </c>
      <c r="DA27" s="237">
        <f t="shared" si="24"/>
        <v>0</v>
      </c>
      <c r="DB27" s="26">
        <f t="shared" si="24"/>
        <v>0</v>
      </c>
      <c r="DC27" s="277">
        <f t="shared" si="24"/>
        <v>257.79000000000002</v>
      </c>
      <c r="DD27" s="280">
        <f t="shared" si="24"/>
        <v>0</v>
      </c>
      <c r="DE27" s="508">
        <f t="shared" si="31"/>
        <v>7.0339999999999998</v>
      </c>
      <c r="DG27" s="293">
        <f t="shared" si="25"/>
        <v>0</v>
      </c>
      <c r="DH27" s="294"/>
      <c r="DI27" s="294"/>
      <c r="DJ27" s="295">
        <f t="shared" si="26"/>
        <v>0</v>
      </c>
      <c r="DK27" s="296">
        <f t="shared" si="27"/>
        <v>0</v>
      </c>
    </row>
    <row r="28" spans="1:115" ht="16.5" customHeight="1" thickBot="1">
      <c r="A28" s="127">
        <v>22</v>
      </c>
      <c r="B28" s="103">
        <f>'[1]июль 20'!K27</f>
        <v>406.27100000000002</v>
      </c>
      <c r="C28" s="104">
        <f t="shared" si="0"/>
        <v>0.618145941994383</v>
      </c>
      <c r="D28" s="143">
        <f t="shared" si="1"/>
        <v>403.75965230000003</v>
      </c>
      <c r="E28" s="104">
        <f t="shared" si="2"/>
        <v>37.253654358790065</v>
      </c>
      <c r="F28" s="128">
        <f t="shared" si="3"/>
        <v>2.2599331260494799</v>
      </c>
      <c r="G28" s="106"/>
      <c r="H28" s="107">
        <f t="shared" si="4"/>
        <v>2.0706014345684545</v>
      </c>
      <c r="I28" s="103">
        <f>'[1]сентябрь 20'!AE27</f>
        <v>0</v>
      </c>
      <c r="J28" s="328">
        <f>'[1]июль 20'!AA27</f>
        <v>0</v>
      </c>
      <c r="K28" s="106"/>
      <c r="L28" s="328">
        <f>'[1]июль 20'!AI27</f>
        <v>33.826000000000001</v>
      </c>
      <c r="M28" s="103">
        <f t="shared" si="5"/>
        <v>0.18933169148102544</v>
      </c>
      <c r="N28" s="103">
        <f>'[1]июль 20'!W27</f>
        <v>0</v>
      </c>
      <c r="O28" s="103">
        <f>'[1]июль 20'!AM27</f>
        <v>6.6520000000000001</v>
      </c>
      <c r="P28" s="447">
        <f t="shared" si="33"/>
        <v>6.6253919999999997</v>
      </c>
      <c r="Q28" s="103">
        <f t="shared" si="35"/>
        <v>3.7083801634389346E-2</v>
      </c>
      <c r="R28" s="103">
        <f>'[1]июль 20'!S27</f>
        <v>253.08099999999999</v>
      </c>
      <c r="S28" s="108">
        <f t="shared" si="8"/>
        <v>1.2450559307099263</v>
      </c>
      <c r="T28" s="109">
        <f t="shared" si="9"/>
        <v>249.93</v>
      </c>
      <c r="U28" s="106">
        <v>6.6520000000000001</v>
      </c>
      <c r="V28" s="109">
        <f t="shared" si="10"/>
        <v>249.93</v>
      </c>
      <c r="W28" s="110">
        <f t="shared" si="11"/>
        <v>1.398914138587261</v>
      </c>
      <c r="X28" s="110">
        <f t="shared" si="36"/>
        <v>1.4359979402216503</v>
      </c>
      <c r="Y28" s="129">
        <v>90.36</v>
      </c>
      <c r="Z28" s="136">
        <v>137.41</v>
      </c>
      <c r="AA28" s="131">
        <v>0.79</v>
      </c>
      <c r="AB28" s="133">
        <v>678</v>
      </c>
      <c r="AC28" s="133">
        <v>1238</v>
      </c>
      <c r="AD28" s="144" t="s">
        <v>370</v>
      </c>
      <c r="AE28" s="131">
        <v>75.430000000000007</v>
      </c>
      <c r="AF28" s="133">
        <v>136</v>
      </c>
      <c r="AG28" s="134">
        <v>4</v>
      </c>
      <c r="AH28" s="131">
        <v>3.6</v>
      </c>
      <c r="AI28" s="115">
        <f t="shared" si="12"/>
        <v>20.150005597223778</v>
      </c>
      <c r="AJ28" s="131">
        <v>110.75</v>
      </c>
      <c r="AK28" s="115">
        <f t="shared" si="13"/>
        <v>619.89253330348163</v>
      </c>
      <c r="AL28" s="139">
        <v>18.02</v>
      </c>
      <c r="AM28" s="131"/>
      <c r="AN28" s="136">
        <v>10.91</v>
      </c>
      <c r="AO28" s="466">
        <v>50.61</v>
      </c>
      <c r="AP28" s="110">
        <f t="shared" si="14"/>
        <v>0.21291543962978546</v>
      </c>
      <c r="AQ28" s="137" t="s">
        <v>367</v>
      </c>
      <c r="AR28" s="150">
        <v>8.93</v>
      </c>
      <c r="AS28" s="138">
        <v>8.92</v>
      </c>
      <c r="AT28" s="134"/>
      <c r="AU28" s="131">
        <v>7.29</v>
      </c>
      <c r="AV28" s="139">
        <v>237.7</v>
      </c>
      <c r="AW28" s="131">
        <v>2.48</v>
      </c>
      <c r="AX28" s="148"/>
      <c r="AY28" s="131"/>
      <c r="AZ28" s="109">
        <f t="shared" si="32"/>
        <v>0</v>
      </c>
      <c r="BA28" s="109">
        <f t="shared" si="15"/>
        <v>178.65999999999997</v>
      </c>
      <c r="BB28" s="115">
        <f t="shared" si="16"/>
        <v>174.08523358606197</v>
      </c>
      <c r="BC28" s="140">
        <f t="shared" si="17"/>
        <v>6.2542552816901402</v>
      </c>
      <c r="BD28" s="141">
        <f t="shared" si="34"/>
        <v>7.146399999999999</v>
      </c>
      <c r="BE28" s="128">
        <f t="shared" si="19"/>
        <v>0.89594146951523868</v>
      </c>
      <c r="BF28" s="141">
        <f t="shared" si="20"/>
        <v>13.400655281690138</v>
      </c>
      <c r="BG28" s="142">
        <v>0.92100000000000004</v>
      </c>
      <c r="BH28" s="16">
        <f t="shared" si="28"/>
        <v>3932.28</v>
      </c>
      <c r="BI28" s="16">
        <f t="shared" si="21"/>
        <v>182.25806451612902</v>
      </c>
      <c r="BJ28" s="16">
        <f t="shared" si="29"/>
        <v>4009.6774193548363</v>
      </c>
      <c r="BK28" s="17">
        <f t="shared" si="22"/>
        <v>1</v>
      </c>
      <c r="BL28" s="16">
        <f t="shared" si="30"/>
        <v>4009.6774193548363</v>
      </c>
      <c r="BM28" s="254"/>
      <c r="BN28" s="197">
        <v>33.826000000000001</v>
      </c>
      <c r="BO28" s="197"/>
      <c r="BP28" s="197">
        <v>270.89999999999998</v>
      </c>
      <c r="BQ28" s="230">
        <v>88.081000000000003</v>
      </c>
      <c r="BR28" s="230">
        <v>13.464</v>
      </c>
      <c r="BS28" s="258"/>
      <c r="BT28" s="199"/>
      <c r="BU28" s="200"/>
      <c r="BV28" s="200"/>
      <c r="BW28" s="200"/>
      <c r="BX28" s="200">
        <v>0.61</v>
      </c>
      <c r="BY28" s="208">
        <v>0.56999999999999995</v>
      </c>
      <c r="BZ28" s="208">
        <v>2.65</v>
      </c>
      <c r="CA28" s="201"/>
      <c r="CB28" s="202"/>
      <c r="CC28" s="200">
        <v>43.75</v>
      </c>
      <c r="CD28" s="200"/>
      <c r="CE28" s="200">
        <v>37.15</v>
      </c>
      <c r="CF28" s="208">
        <v>36.11</v>
      </c>
      <c r="CG28" s="208">
        <v>30.5</v>
      </c>
      <c r="CH28" s="209"/>
      <c r="CI28" s="199"/>
      <c r="CJ28" s="197"/>
      <c r="CK28" s="197"/>
      <c r="CL28" s="197">
        <v>249.93</v>
      </c>
      <c r="CM28" s="198"/>
      <c r="CN28" s="202"/>
      <c r="CO28" s="208"/>
      <c r="CP28" s="208"/>
      <c r="CQ28" s="201"/>
      <c r="CR28" s="201">
        <v>0.4</v>
      </c>
      <c r="CS28" s="284"/>
      <c r="CT28" s="286">
        <f t="shared" si="23"/>
        <v>0</v>
      </c>
      <c r="CU28" s="29">
        <f t="shared" si="23"/>
        <v>33.826000000000001</v>
      </c>
      <c r="CV28" s="30">
        <f t="shared" si="23"/>
        <v>0</v>
      </c>
      <c r="CW28" s="29">
        <f t="shared" si="23"/>
        <v>269.24750999999998</v>
      </c>
      <c r="CX28" s="27">
        <f t="shared" si="23"/>
        <v>87.578938300000004</v>
      </c>
      <c r="CY28" s="24">
        <f t="shared" si="23"/>
        <v>13.107203999999999</v>
      </c>
      <c r="CZ28" s="282">
        <f t="shared" si="23"/>
        <v>0</v>
      </c>
      <c r="DA28" s="25">
        <f t="shared" si="24"/>
        <v>0</v>
      </c>
      <c r="DB28" s="24">
        <f t="shared" si="24"/>
        <v>0</v>
      </c>
      <c r="DC28" s="277">
        <f t="shared" si="24"/>
        <v>249.93</v>
      </c>
      <c r="DD28" s="280">
        <f t="shared" si="24"/>
        <v>0</v>
      </c>
      <c r="DE28" s="508">
        <f t="shared" si="31"/>
        <v>6.6520000000000001</v>
      </c>
      <c r="DG28" s="293">
        <f>I28</f>
        <v>0</v>
      </c>
      <c r="DH28" s="297"/>
      <c r="DI28" s="294"/>
      <c r="DJ28" s="295">
        <f t="shared" si="26"/>
        <v>0</v>
      </c>
      <c r="DK28" s="296">
        <f t="shared" si="27"/>
        <v>0</v>
      </c>
    </row>
    <row r="29" spans="1:115" ht="16.5" customHeight="1" thickBot="1">
      <c r="A29" s="127">
        <v>23</v>
      </c>
      <c r="B29" s="103">
        <f>'[1]июль 20'!K28</f>
        <v>423.02300000000002</v>
      </c>
      <c r="C29" s="104">
        <f t="shared" si="0"/>
        <v>0.72321783921914407</v>
      </c>
      <c r="D29" s="143">
        <f t="shared" si="1"/>
        <v>419.96362220000003</v>
      </c>
      <c r="E29" s="104">
        <f t="shared" si="2"/>
        <v>37.473896171130171</v>
      </c>
      <c r="F29" s="128">
        <f t="shared" si="3"/>
        <v>2.2219121855986455</v>
      </c>
      <c r="G29" s="106"/>
      <c r="H29" s="107">
        <f t="shared" si="4"/>
        <v>2.0340755631977143</v>
      </c>
      <c r="I29" s="103">
        <f>'[1]сентябрь 20'!AE28</f>
        <v>0</v>
      </c>
      <c r="J29" s="328">
        <f>'[1]июль 20'!AA28</f>
        <v>0</v>
      </c>
      <c r="K29" s="106"/>
      <c r="L29" s="328">
        <f>'[1]июль 20'!AI28</f>
        <v>35.503</v>
      </c>
      <c r="M29" s="103">
        <f t="shared" si="5"/>
        <v>0.18783662240093116</v>
      </c>
      <c r="N29" s="103">
        <f>'[1]июль 20'!W28</f>
        <v>0</v>
      </c>
      <c r="O29" s="103">
        <f>'[1]июль 20'!AM28</f>
        <v>7.056</v>
      </c>
      <c r="P29" s="447">
        <f t="shared" si="33"/>
        <v>7.0277760000000002</v>
      </c>
      <c r="Q29" s="103">
        <f t="shared" si="35"/>
        <v>3.7182032696682715E-2</v>
      </c>
      <c r="R29" s="103">
        <f>'[1]июль 20'!S28</f>
        <v>261.68599999999998</v>
      </c>
      <c r="S29" s="108">
        <f t="shared" si="8"/>
        <v>1.5805201653890433</v>
      </c>
      <c r="T29" s="109">
        <f t="shared" si="9"/>
        <v>257.55</v>
      </c>
      <c r="U29" s="106">
        <v>7.056</v>
      </c>
      <c r="V29" s="109">
        <f t="shared" si="10"/>
        <v>257.55</v>
      </c>
      <c r="W29" s="110">
        <f t="shared" si="11"/>
        <v>1.3626263160679328</v>
      </c>
      <c r="X29" s="110">
        <f t="shared" si="36"/>
        <v>1.3998083487646156</v>
      </c>
      <c r="Y29" s="129">
        <v>189.01</v>
      </c>
      <c r="Z29" s="136">
        <v>189.01</v>
      </c>
      <c r="AA29" s="131">
        <v>0.62</v>
      </c>
      <c r="AB29" s="133">
        <v>648</v>
      </c>
      <c r="AC29" s="133">
        <v>1233</v>
      </c>
      <c r="AD29" s="144" t="s">
        <v>377</v>
      </c>
      <c r="AE29" s="131">
        <v>76.3</v>
      </c>
      <c r="AF29" s="133">
        <v>141</v>
      </c>
      <c r="AG29" s="134">
        <v>4</v>
      </c>
      <c r="AH29" s="131">
        <v>3.55</v>
      </c>
      <c r="AI29" s="115">
        <f t="shared" si="12"/>
        <v>18.782075022485582</v>
      </c>
      <c r="AJ29" s="131">
        <v>120.15</v>
      </c>
      <c r="AK29" s="115">
        <f t="shared" si="13"/>
        <v>635.68065181736415</v>
      </c>
      <c r="AL29" s="139">
        <v>21.42</v>
      </c>
      <c r="AM29" s="131"/>
      <c r="AN29" s="136">
        <v>8.5399999999999991</v>
      </c>
      <c r="AO29" s="466">
        <v>52.29</v>
      </c>
      <c r="AP29" s="110">
        <f t="shared" si="14"/>
        <v>0.21157191988670848</v>
      </c>
      <c r="AQ29" s="137" t="s">
        <v>378</v>
      </c>
      <c r="AR29" s="150">
        <v>7.72</v>
      </c>
      <c r="AS29" s="138">
        <v>9.42</v>
      </c>
      <c r="AT29" s="134"/>
      <c r="AU29" s="131">
        <v>8.1199999999999992</v>
      </c>
      <c r="AV29" s="139">
        <v>247.15</v>
      </c>
      <c r="AW29" s="131">
        <v>2.69</v>
      </c>
      <c r="AX29" s="148"/>
      <c r="AY29" s="131"/>
      <c r="AZ29" s="109">
        <f t="shared" si="32"/>
        <v>0</v>
      </c>
      <c r="BA29" s="109">
        <f t="shared" si="15"/>
        <v>189.01000000000002</v>
      </c>
      <c r="BB29" s="115">
        <f t="shared" si="16"/>
        <v>180.0653824492762</v>
      </c>
      <c r="BC29" s="140">
        <f t="shared" si="17"/>
        <v>7.5576042253521116</v>
      </c>
      <c r="BD29" s="141">
        <f t="shared" si="34"/>
        <v>7.5604000000000013</v>
      </c>
      <c r="BE29" s="128">
        <f t="shared" si="19"/>
        <v>0.91636564316565172</v>
      </c>
      <c r="BF29" s="141">
        <f t="shared" si="20"/>
        <v>15.118004225352113</v>
      </c>
      <c r="BG29" s="142">
        <v>0.92100000000000004</v>
      </c>
      <c r="BH29" s="16">
        <f t="shared" si="28"/>
        <v>4121.29</v>
      </c>
      <c r="BI29" s="16">
        <f t="shared" si="21"/>
        <v>182.25806451612902</v>
      </c>
      <c r="BJ29" s="16">
        <f t="shared" si="29"/>
        <v>4191.9354838709651</v>
      </c>
      <c r="BK29" s="17">
        <f t="shared" si="22"/>
        <v>1</v>
      </c>
      <c r="BL29" s="16">
        <f t="shared" si="30"/>
        <v>4191.9354838709651</v>
      </c>
      <c r="BM29" s="254"/>
      <c r="BN29" s="197">
        <v>35.503</v>
      </c>
      <c r="BO29" s="197"/>
      <c r="BP29" s="197">
        <v>282.03899999999999</v>
      </c>
      <c r="BQ29" s="230">
        <v>91.566000000000003</v>
      </c>
      <c r="BR29" s="230">
        <v>13.914999999999999</v>
      </c>
      <c r="BS29" s="258"/>
      <c r="BT29" s="199"/>
      <c r="BU29" s="200"/>
      <c r="BV29" s="200"/>
      <c r="BW29" s="200"/>
      <c r="BX29" s="200">
        <v>0.75</v>
      </c>
      <c r="BY29" s="208">
        <v>0.68</v>
      </c>
      <c r="BZ29" s="208">
        <v>2.31</v>
      </c>
      <c r="CA29" s="201"/>
      <c r="CB29" s="202"/>
      <c r="CC29" s="200">
        <v>43.48</v>
      </c>
      <c r="CD29" s="200"/>
      <c r="CE29" s="200">
        <v>37.21</v>
      </c>
      <c r="CF29" s="208">
        <v>37.15</v>
      </c>
      <c r="CG29" s="208">
        <v>29.63</v>
      </c>
      <c r="CH29" s="201"/>
      <c r="CI29" s="199"/>
      <c r="CJ29" s="197"/>
      <c r="CK29" s="197"/>
      <c r="CL29" s="230">
        <v>257.55</v>
      </c>
      <c r="CM29" s="198"/>
      <c r="CN29" s="202"/>
      <c r="CO29" s="208"/>
      <c r="CP29" s="208"/>
      <c r="CQ29" s="201"/>
      <c r="CR29" s="201">
        <v>0.4</v>
      </c>
      <c r="CS29" s="284"/>
      <c r="CT29" s="286">
        <f t="shared" si="23"/>
        <v>0</v>
      </c>
      <c r="CU29" s="24">
        <f t="shared" si="23"/>
        <v>35.503</v>
      </c>
      <c r="CV29" s="25">
        <f t="shared" si="23"/>
        <v>0</v>
      </c>
      <c r="CW29" s="24">
        <f t="shared" si="23"/>
        <v>279.92370749999998</v>
      </c>
      <c r="CX29" s="27">
        <f t="shared" si="23"/>
        <v>90.943351199999995</v>
      </c>
      <c r="CY29" s="29">
        <f t="shared" si="23"/>
        <v>13.593563499999998</v>
      </c>
      <c r="CZ29" s="280">
        <f t="shared" si="23"/>
        <v>0</v>
      </c>
      <c r="DA29" s="30">
        <f t="shared" si="24"/>
        <v>0</v>
      </c>
      <c r="DB29" s="29">
        <f t="shared" si="24"/>
        <v>0</v>
      </c>
      <c r="DC29" s="277">
        <f t="shared" si="24"/>
        <v>257.55</v>
      </c>
      <c r="DD29" s="280">
        <f t="shared" si="24"/>
        <v>0</v>
      </c>
      <c r="DE29" s="508">
        <f t="shared" si="31"/>
        <v>7.056</v>
      </c>
      <c r="DG29" s="293">
        <f t="shared" si="25"/>
        <v>0</v>
      </c>
      <c r="DH29" s="294"/>
      <c r="DI29" s="294"/>
      <c r="DJ29" s="295">
        <f t="shared" si="26"/>
        <v>0</v>
      </c>
      <c r="DK29" s="296">
        <f t="shared" si="27"/>
        <v>0</v>
      </c>
    </row>
    <row r="30" spans="1:115" ht="16.5" customHeight="1" thickBot="1">
      <c r="A30" s="127">
        <v>24</v>
      </c>
      <c r="B30" s="103">
        <f>'[1]июль 20'!K29</f>
        <v>395.90800000000002</v>
      </c>
      <c r="C30" s="104">
        <f t="shared" si="0"/>
        <v>2.1865361902260121</v>
      </c>
      <c r="D30" s="143">
        <f t="shared" si="1"/>
        <v>387.25132830000001</v>
      </c>
      <c r="E30" s="104">
        <f t="shared" si="2"/>
        <v>37.922437535993211</v>
      </c>
      <c r="F30" s="128">
        <f t="shared" si="3"/>
        <v>2.0138921852410419</v>
      </c>
      <c r="G30" s="106"/>
      <c r="H30" s="107">
        <f t="shared" si="4"/>
        <v>1.8421619860627176</v>
      </c>
      <c r="I30" s="103">
        <f>'[1]сентябрь 20'!AE29</f>
        <v>0</v>
      </c>
      <c r="J30" s="328">
        <f>'[1]июль 20'!AA29</f>
        <v>0</v>
      </c>
      <c r="K30" s="106"/>
      <c r="L30" s="328">
        <f>'[1]июль 20'!AI29</f>
        <v>33.021999999999998</v>
      </c>
      <c r="M30" s="103">
        <f t="shared" si="5"/>
        <v>0.17173019917832438</v>
      </c>
      <c r="N30" s="103">
        <f>'[1]июль 20'!W29</f>
        <v>0</v>
      </c>
      <c r="O30" s="103">
        <f>'[1]июль 20'!AM29</f>
        <v>6.6029999999999998</v>
      </c>
      <c r="P30" s="447">
        <f t="shared" si="33"/>
        <v>6.5765880000000001</v>
      </c>
      <c r="Q30" s="103">
        <f t="shared" si="35"/>
        <v>3.420140412917988E-2</v>
      </c>
      <c r="R30" s="103">
        <f>'[1]июль 20'!S29</f>
        <v>243.245</v>
      </c>
      <c r="S30" s="108">
        <f t="shared" si="8"/>
        <v>1.1901580710806048</v>
      </c>
      <c r="T30" s="109">
        <f t="shared" si="9"/>
        <v>240.35</v>
      </c>
      <c r="U30" s="163">
        <v>43.493000000000002</v>
      </c>
      <c r="V30" s="109">
        <f t="shared" si="10"/>
        <v>240.35</v>
      </c>
      <c r="W30" s="110">
        <f t="shared" si="11"/>
        <v>1.2499349940194495</v>
      </c>
      <c r="X30" s="110">
        <f t="shared" si="36"/>
        <v>1.2841363981486293</v>
      </c>
      <c r="Y30" s="154">
        <v>192.29</v>
      </c>
      <c r="Z30" s="157">
        <v>192.29</v>
      </c>
      <c r="AA30" s="149">
        <v>0.57999999999999996</v>
      </c>
      <c r="AB30" s="147">
        <v>652</v>
      </c>
      <c r="AC30" s="147">
        <v>1228</v>
      </c>
      <c r="AD30" s="144" t="s">
        <v>352</v>
      </c>
      <c r="AE30" s="149">
        <v>76.42</v>
      </c>
      <c r="AF30" s="147">
        <v>132</v>
      </c>
      <c r="AG30" s="155">
        <v>4</v>
      </c>
      <c r="AH30" s="149"/>
      <c r="AI30" s="115">
        <f t="shared" si="12"/>
        <v>0</v>
      </c>
      <c r="AJ30" s="131">
        <v>116.35</v>
      </c>
      <c r="AK30" s="115">
        <f t="shared" si="13"/>
        <v>605.07566696136041</v>
      </c>
      <c r="AL30" s="139">
        <v>17.78</v>
      </c>
      <c r="AM30" s="131"/>
      <c r="AN30" s="157">
        <v>8.1199999999999992</v>
      </c>
      <c r="AO30" s="466">
        <v>42.1</v>
      </c>
      <c r="AP30" s="110">
        <f t="shared" si="14"/>
        <v>0.17519766957969204</v>
      </c>
      <c r="AQ30" s="158" t="s">
        <v>379</v>
      </c>
      <c r="AR30" s="404">
        <v>7.58</v>
      </c>
      <c r="AS30" s="159">
        <v>9.58</v>
      </c>
      <c r="AT30" s="155"/>
      <c r="AU30" s="149">
        <v>8.89</v>
      </c>
      <c r="AV30" s="156">
        <v>240.3</v>
      </c>
      <c r="AW30" s="131">
        <v>2.21</v>
      </c>
      <c r="AX30" s="164"/>
      <c r="AY30" s="149"/>
      <c r="AZ30" s="109">
        <f t="shared" si="32"/>
        <v>0</v>
      </c>
      <c r="BA30" s="109">
        <f t="shared" si="15"/>
        <v>192.29000000000002</v>
      </c>
      <c r="BB30" s="115">
        <f t="shared" si="16"/>
        <v>167.76307237696128</v>
      </c>
      <c r="BC30" s="140">
        <f t="shared" si="17"/>
        <v>8.0125820422535217</v>
      </c>
      <c r="BD30" s="141">
        <f t="shared" si="34"/>
        <v>7.6916000000000011</v>
      </c>
      <c r="BE30" s="128">
        <f t="shared" si="19"/>
        <v>1.0006324253695136</v>
      </c>
      <c r="BF30" s="141">
        <f t="shared" si="20"/>
        <v>15.704182042253523</v>
      </c>
      <c r="BG30" s="162">
        <v>0.92400000000000004</v>
      </c>
      <c r="BH30" s="16">
        <f t="shared" si="28"/>
        <v>4313.58</v>
      </c>
      <c r="BI30" s="16">
        <f t="shared" si="21"/>
        <v>182.25806451612902</v>
      </c>
      <c r="BJ30" s="16">
        <f t="shared" si="29"/>
        <v>4374.1935483870939</v>
      </c>
      <c r="BK30" s="17">
        <f t="shared" si="22"/>
        <v>1</v>
      </c>
      <c r="BL30" s="16">
        <f t="shared" si="30"/>
        <v>4374.1935483870939</v>
      </c>
      <c r="BM30" s="255">
        <v>212.512</v>
      </c>
      <c r="BN30" s="210">
        <v>33.021999999999998</v>
      </c>
      <c r="BO30" s="210"/>
      <c r="BP30" s="210">
        <v>46.911999999999999</v>
      </c>
      <c r="BQ30" s="233">
        <v>85.807000000000002</v>
      </c>
      <c r="BR30" s="233">
        <v>17.655000000000001</v>
      </c>
      <c r="BS30" s="260"/>
      <c r="BT30" s="212"/>
      <c r="BU30" s="213">
        <v>2.72</v>
      </c>
      <c r="BV30" s="213"/>
      <c r="BW30" s="213"/>
      <c r="BX30" s="213">
        <v>2.72</v>
      </c>
      <c r="BY30" s="235">
        <v>1.47</v>
      </c>
      <c r="BZ30" s="235">
        <v>1.92</v>
      </c>
      <c r="CA30" s="214"/>
      <c r="CB30" s="215">
        <v>37.39</v>
      </c>
      <c r="CC30" s="213">
        <v>43.56</v>
      </c>
      <c r="CD30" s="216"/>
      <c r="CE30" s="213">
        <v>37.39</v>
      </c>
      <c r="CF30" s="235">
        <v>38.11</v>
      </c>
      <c r="CG30" s="235">
        <v>34.29</v>
      </c>
      <c r="CH30" s="214"/>
      <c r="CI30" s="212"/>
      <c r="CJ30" s="210"/>
      <c r="CK30" s="210"/>
      <c r="CL30" s="233">
        <v>240.35</v>
      </c>
      <c r="CM30" s="198"/>
      <c r="CN30" s="202"/>
      <c r="CO30" s="208"/>
      <c r="CP30" s="208"/>
      <c r="CQ30" s="201"/>
      <c r="CR30" s="201">
        <v>0.4</v>
      </c>
      <c r="CS30" s="284"/>
      <c r="CT30" s="286">
        <f t="shared" si="23"/>
        <v>206.73167359999999</v>
      </c>
      <c r="CU30" s="24">
        <f t="shared" si="23"/>
        <v>33.021999999999998</v>
      </c>
      <c r="CV30" s="25">
        <f t="shared" si="23"/>
        <v>0</v>
      </c>
      <c r="CW30" s="24">
        <f t="shared" si="23"/>
        <v>45.635993599999999</v>
      </c>
      <c r="CX30" s="27">
        <f t="shared" si="23"/>
        <v>84.545637100000008</v>
      </c>
      <c r="CY30" s="24">
        <f t="shared" si="23"/>
        <v>17.316024000000002</v>
      </c>
      <c r="CZ30" s="280">
        <f t="shared" si="23"/>
        <v>0</v>
      </c>
      <c r="DA30" s="25">
        <f t="shared" si="24"/>
        <v>0</v>
      </c>
      <c r="DB30" s="26">
        <f t="shared" si="24"/>
        <v>0</v>
      </c>
      <c r="DC30" s="277">
        <f t="shared" si="24"/>
        <v>240.35</v>
      </c>
      <c r="DD30" s="280">
        <f t="shared" si="24"/>
        <v>0</v>
      </c>
      <c r="DE30" s="508">
        <f t="shared" si="31"/>
        <v>6.6029999999999998</v>
      </c>
      <c r="DG30" s="293">
        <f t="shared" si="25"/>
        <v>0</v>
      </c>
      <c r="DH30" s="294"/>
      <c r="DI30" s="294"/>
      <c r="DJ30" s="295">
        <f t="shared" si="26"/>
        <v>0</v>
      </c>
      <c r="DK30" s="296">
        <f t="shared" si="27"/>
        <v>0</v>
      </c>
    </row>
    <row r="31" spans="1:115" ht="16.5" customHeight="1" thickBot="1">
      <c r="A31" s="127">
        <v>25</v>
      </c>
      <c r="B31" s="103">
        <f>'[1]июль 20'!K30</f>
        <v>423.072</v>
      </c>
      <c r="C31" s="104">
        <f t="shared" si="0"/>
        <v>0.95730934687239988</v>
      </c>
      <c r="D31" s="143">
        <f t="shared" si="1"/>
        <v>419.02189219999997</v>
      </c>
      <c r="E31" s="104">
        <f t="shared" si="2"/>
        <v>37.627828478367746</v>
      </c>
      <c r="F31" s="128">
        <f t="shared" si="3"/>
        <v>2.4479867511830342</v>
      </c>
      <c r="G31" s="106"/>
      <c r="H31" s="107">
        <f t="shared" si="4"/>
        <v>2.2421037109306536</v>
      </c>
      <c r="I31" s="103">
        <f>'[1]сентябрь 20'!AE30</f>
        <v>0</v>
      </c>
      <c r="J31" s="328">
        <f>'[1]июль 20'!AA30</f>
        <v>0</v>
      </c>
      <c r="K31" s="106"/>
      <c r="L31" s="328">
        <f>'[1]июль 20'!AI30</f>
        <v>35.241</v>
      </c>
      <c r="M31" s="103">
        <f t="shared" si="5"/>
        <v>0.20588304025238069</v>
      </c>
      <c r="N31" s="103">
        <f>'[1]июль 20'!W30</f>
        <v>0</v>
      </c>
      <c r="O31" s="103">
        <f>'[1]июль 20'!AM30</f>
        <v>7.069</v>
      </c>
      <c r="P31" s="447">
        <f t="shared" si="33"/>
        <v>7.040724</v>
      </c>
      <c r="Q31" s="103">
        <f t="shared" si="35"/>
        <v>4.1132932172693815E-2</v>
      </c>
      <c r="R31" s="103">
        <f>'[1]июль 20'!S30</f>
        <v>262.26299999999998</v>
      </c>
      <c r="S31" s="108">
        <f t="shared" si="8"/>
        <v>1.6140286658811953</v>
      </c>
      <c r="T31" s="109">
        <f t="shared" si="9"/>
        <v>258.02999999999997</v>
      </c>
      <c r="U31" s="106">
        <v>7.069</v>
      </c>
      <c r="V31" s="109">
        <f t="shared" si="10"/>
        <v>258.02999999999997</v>
      </c>
      <c r="W31" s="110">
        <f t="shared" si="11"/>
        <v>1.5074487351755563</v>
      </c>
      <c r="X31" s="110">
        <f t="shared" si="36"/>
        <v>1.5485816673482502</v>
      </c>
      <c r="Y31" s="136">
        <v>171.17</v>
      </c>
      <c r="Z31" s="136">
        <v>171.17</v>
      </c>
      <c r="AA31" s="131">
        <v>0.62</v>
      </c>
      <c r="AB31" s="133">
        <v>674</v>
      </c>
      <c r="AC31" s="133">
        <v>1223</v>
      </c>
      <c r="AD31" s="144" t="s">
        <v>349</v>
      </c>
      <c r="AE31" s="131">
        <v>75.53</v>
      </c>
      <c r="AF31" s="133">
        <v>141</v>
      </c>
      <c r="AG31" s="134">
        <v>4</v>
      </c>
      <c r="AH31" s="131">
        <v>3.45</v>
      </c>
      <c r="AI31" s="115">
        <f t="shared" si="12"/>
        <v>20.155401063270435</v>
      </c>
      <c r="AJ31" s="131">
        <v>114</v>
      </c>
      <c r="AK31" s="115">
        <f t="shared" si="13"/>
        <v>666.00455687328395</v>
      </c>
      <c r="AL31" s="139">
        <v>18.170000000000002</v>
      </c>
      <c r="AM31" s="131"/>
      <c r="AN31" s="136">
        <v>12.79</v>
      </c>
      <c r="AO31" s="466">
        <v>54.49</v>
      </c>
      <c r="AP31" s="110">
        <f t="shared" si="14"/>
        <v>0.23030431107354185</v>
      </c>
      <c r="AQ31" s="137" t="s">
        <v>380</v>
      </c>
      <c r="AR31" s="150">
        <v>8.64</v>
      </c>
      <c r="AS31" s="138">
        <v>8.8699999999999992</v>
      </c>
      <c r="AT31" s="134"/>
      <c r="AU31" s="131">
        <v>8.01</v>
      </c>
      <c r="AV31" s="139">
        <v>236.6</v>
      </c>
      <c r="AW31" s="131">
        <v>1.85</v>
      </c>
      <c r="AX31" s="148"/>
      <c r="AY31" s="131"/>
      <c r="AZ31" s="109">
        <f t="shared" si="32"/>
        <v>0</v>
      </c>
      <c r="BA31" s="109">
        <f t="shared" si="15"/>
        <v>171.17</v>
      </c>
      <c r="BB31" s="115">
        <f t="shared" si="16"/>
        <v>182.23870825576722</v>
      </c>
      <c r="BC31" s="140">
        <f t="shared" si="17"/>
        <v>7.0736197183098586</v>
      </c>
      <c r="BD31" s="141">
        <f t="shared" si="34"/>
        <v>6.8468</v>
      </c>
      <c r="BE31" s="128">
        <f t="shared" si="19"/>
        <v>0.81997623573075906</v>
      </c>
      <c r="BF31" s="141">
        <f t="shared" si="20"/>
        <v>13.920419718309859</v>
      </c>
      <c r="BG31" s="142">
        <v>0.92</v>
      </c>
      <c r="BH31" s="16">
        <f t="shared" si="28"/>
        <v>4484.75</v>
      </c>
      <c r="BI31" s="16">
        <f t="shared" si="21"/>
        <v>182.25806451612902</v>
      </c>
      <c r="BJ31" s="16">
        <f t="shared" si="29"/>
        <v>4556.4516129032227</v>
      </c>
      <c r="BK31" s="17">
        <f t="shared" si="22"/>
        <v>1</v>
      </c>
      <c r="BL31" s="16">
        <f t="shared" si="30"/>
        <v>4556.4516129032227</v>
      </c>
      <c r="BM31" s="254"/>
      <c r="BN31" s="197">
        <v>35.241</v>
      </c>
      <c r="BO31" s="197"/>
      <c r="BP31" s="197">
        <v>274.84199999999998</v>
      </c>
      <c r="BQ31" s="230">
        <v>91.668999999999997</v>
      </c>
      <c r="BR31" s="230">
        <v>21.32</v>
      </c>
      <c r="BS31" s="259"/>
      <c r="BT31" s="199"/>
      <c r="BU31" s="200"/>
      <c r="BV31" s="200"/>
      <c r="BW31" s="200"/>
      <c r="BX31" s="200">
        <v>1.02</v>
      </c>
      <c r="BY31" s="208">
        <v>1.06</v>
      </c>
      <c r="BZ31" s="208">
        <v>1.29</v>
      </c>
      <c r="CA31" s="201"/>
      <c r="CB31" s="202"/>
      <c r="CC31" s="200">
        <v>43.76</v>
      </c>
      <c r="CD31" s="200"/>
      <c r="CE31" s="200">
        <v>37.369999999999997</v>
      </c>
      <c r="CF31" s="208">
        <v>37.549999999999997</v>
      </c>
      <c r="CG31" s="208">
        <v>31.15</v>
      </c>
      <c r="CH31" s="209"/>
      <c r="CI31" s="199"/>
      <c r="CJ31" s="197"/>
      <c r="CK31" s="197"/>
      <c r="CL31" s="230">
        <v>258.02999999999997</v>
      </c>
      <c r="CM31" s="198"/>
      <c r="CN31" s="202"/>
      <c r="CO31" s="208"/>
      <c r="CP31" s="208"/>
      <c r="CQ31" s="201"/>
      <c r="CR31" s="201">
        <v>0.4</v>
      </c>
      <c r="CS31" s="284"/>
      <c r="CT31" s="286">
        <f t="shared" si="23"/>
        <v>0</v>
      </c>
      <c r="CU31" s="24">
        <f t="shared" si="23"/>
        <v>35.241</v>
      </c>
      <c r="CV31" s="25">
        <f t="shared" si="23"/>
        <v>0</v>
      </c>
      <c r="CW31" s="24">
        <f t="shared" si="23"/>
        <v>272.03861159999997</v>
      </c>
      <c r="CX31" s="27">
        <f t="shared" si="23"/>
        <v>90.697308599999985</v>
      </c>
      <c r="CY31" s="24">
        <f t="shared" si="23"/>
        <v>21.044972000000001</v>
      </c>
      <c r="CZ31" s="280">
        <f t="shared" si="23"/>
        <v>0</v>
      </c>
      <c r="DA31" s="28">
        <f t="shared" si="24"/>
        <v>0</v>
      </c>
      <c r="DB31" s="24">
        <f t="shared" si="24"/>
        <v>0</v>
      </c>
      <c r="DC31" s="277">
        <f t="shared" si="24"/>
        <v>258.02999999999997</v>
      </c>
      <c r="DD31" s="280">
        <f t="shared" si="24"/>
        <v>0</v>
      </c>
      <c r="DE31" s="508">
        <f t="shared" si="31"/>
        <v>7.069</v>
      </c>
      <c r="DG31" s="293">
        <f t="shared" si="25"/>
        <v>0</v>
      </c>
      <c r="DH31" s="294"/>
      <c r="DI31" s="294"/>
      <c r="DJ31" s="295">
        <f t="shared" si="26"/>
        <v>0</v>
      </c>
      <c r="DK31" s="296">
        <f t="shared" si="27"/>
        <v>0</v>
      </c>
    </row>
    <row r="32" spans="1:115" ht="16.5" customHeight="1" thickBot="1">
      <c r="A32" s="127">
        <v>26</v>
      </c>
      <c r="B32" s="103">
        <f>'[1]июль 20'!K31</f>
        <v>422.84500000000003</v>
      </c>
      <c r="C32" s="104">
        <f t="shared" si="0"/>
        <v>2.7018848514230984</v>
      </c>
      <c r="D32" s="143">
        <f t="shared" si="1"/>
        <v>411.42021500000004</v>
      </c>
      <c r="E32" s="104">
        <f t="shared" si="2"/>
        <v>37.672905792902831</v>
      </c>
      <c r="F32" s="128">
        <f t="shared" si="3"/>
        <v>2.2081376932159729</v>
      </c>
      <c r="G32" s="106"/>
      <c r="H32" s="107">
        <f t="shared" si="4"/>
        <v>2.0183942410905971</v>
      </c>
      <c r="I32" s="103">
        <f>'[1]сентябрь 20'!AE31</f>
        <v>0</v>
      </c>
      <c r="J32" s="328">
        <f>'[1]июль 20'!AA31</f>
        <v>0</v>
      </c>
      <c r="K32" s="106"/>
      <c r="L32" s="328">
        <f>'[1]июль 20'!AI31</f>
        <v>35.353000000000002</v>
      </c>
      <c r="M32" s="103">
        <f t="shared" si="5"/>
        <v>0.18974345212537572</v>
      </c>
      <c r="N32" s="103">
        <f>'[1]июль 20'!W31</f>
        <v>0</v>
      </c>
      <c r="O32" s="103">
        <f>'[1]июль 20'!AM31</f>
        <v>7.0679999999999996</v>
      </c>
      <c r="P32" s="447">
        <f t="shared" si="33"/>
        <v>7.0397279999999993</v>
      </c>
      <c r="Q32" s="103">
        <f t="shared" si="35"/>
        <v>3.77829969944182E-2</v>
      </c>
      <c r="R32" s="103">
        <f>'[1]июль 20'!S31</f>
        <v>264.33600000000001</v>
      </c>
      <c r="S32" s="108">
        <f t="shared" si="8"/>
        <v>1.9467647236850127</v>
      </c>
      <c r="T32" s="109">
        <f t="shared" si="9"/>
        <v>259.19000000000005</v>
      </c>
      <c r="U32" s="106">
        <v>7.0679999999999996</v>
      </c>
      <c r="V32" s="109">
        <f t="shared" si="10"/>
        <v>259.19</v>
      </c>
      <c r="W32" s="110">
        <f t="shared" si="11"/>
        <v>1.3911013310433666</v>
      </c>
      <c r="X32" s="110">
        <f t="shared" si="36"/>
        <v>1.4288843280377848</v>
      </c>
      <c r="Y32" s="136">
        <v>186.32</v>
      </c>
      <c r="Z32" s="136">
        <v>186.32</v>
      </c>
      <c r="AA32" s="131">
        <v>0.54</v>
      </c>
      <c r="AB32" s="133">
        <v>663</v>
      </c>
      <c r="AC32" s="133">
        <v>1233</v>
      </c>
      <c r="AD32" s="144" t="s">
        <v>381</v>
      </c>
      <c r="AE32" s="131">
        <v>76.02</v>
      </c>
      <c r="AF32" s="133">
        <v>141</v>
      </c>
      <c r="AG32" s="134">
        <v>4</v>
      </c>
      <c r="AH32" s="131">
        <v>2.5</v>
      </c>
      <c r="AI32" s="115">
        <f t="shared" si="12"/>
        <v>13.417775869471877</v>
      </c>
      <c r="AJ32" s="131">
        <v>119.55</v>
      </c>
      <c r="AK32" s="115">
        <f t="shared" si="13"/>
        <v>641.63804207814508</v>
      </c>
      <c r="AL32" s="139">
        <v>17.78</v>
      </c>
      <c r="AM32" s="131"/>
      <c r="AN32" s="136">
        <v>8.48</v>
      </c>
      <c r="AO32" s="466">
        <v>48.74</v>
      </c>
      <c r="AP32" s="110">
        <f t="shared" si="14"/>
        <v>0.20354980162873254</v>
      </c>
      <c r="AQ32" s="137" t="s">
        <v>382</v>
      </c>
      <c r="AR32" s="150">
        <v>8.44</v>
      </c>
      <c r="AS32" s="138">
        <v>9.14</v>
      </c>
      <c r="AT32" s="134"/>
      <c r="AU32" s="131">
        <v>8.39</v>
      </c>
      <c r="AV32" s="139">
        <v>239.45</v>
      </c>
      <c r="AW32" s="131">
        <v>4.09</v>
      </c>
      <c r="AX32" s="148"/>
      <c r="AY32" s="131"/>
      <c r="AZ32" s="109">
        <f t="shared" si="32"/>
        <v>0</v>
      </c>
      <c r="BA32" s="109">
        <f t="shared" si="15"/>
        <v>186.32</v>
      </c>
      <c r="BB32" s="115">
        <f t="shared" si="16"/>
        <v>177.99226303426724</v>
      </c>
      <c r="BC32" s="140">
        <f t="shared" si="17"/>
        <v>7.7699080985915492</v>
      </c>
      <c r="BD32" s="141">
        <f t="shared" si="34"/>
        <v>7.4527999999999999</v>
      </c>
      <c r="BE32" s="128">
        <f t="shared" si="19"/>
        <v>0.91384511454121498</v>
      </c>
      <c r="BF32" s="141">
        <f t="shared" si="20"/>
        <v>15.22270809859155</v>
      </c>
      <c r="BG32" s="142">
        <v>0.91900000000000004</v>
      </c>
      <c r="BH32" s="16">
        <f t="shared" si="28"/>
        <v>4671.07</v>
      </c>
      <c r="BI32" s="16">
        <f t="shared" si="21"/>
        <v>182.25806451612902</v>
      </c>
      <c r="BJ32" s="16">
        <f t="shared" si="29"/>
        <v>4738.7096774193515</v>
      </c>
      <c r="BK32" s="17">
        <f t="shared" si="22"/>
        <v>1</v>
      </c>
      <c r="BL32" s="16">
        <f t="shared" si="30"/>
        <v>4738.7096774193515</v>
      </c>
      <c r="BM32" s="254"/>
      <c r="BN32" s="197">
        <v>35.353000000000002</v>
      </c>
      <c r="BO32" s="197"/>
      <c r="BP32" s="197">
        <v>274.94299999999998</v>
      </c>
      <c r="BQ32" s="230">
        <v>91.614000000000004</v>
      </c>
      <c r="BR32" s="230">
        <v>20.934999999999999</v>
      </c>
      <c r="BS32" s="258"/>
      <c r="BT32" s="199"/>
      <c r="BU32" s="200"/>
      <c r="BV32" s="200"/>
      <c r="BW32" s="200"/>
      <c r="BX32" s="200">
        <v>3.23</v>
      </c>
      <c r="BY32" s="208">
        <v>2.2400000000000002</v>
      </c>
      <c r="BZ32" s="208">
        <v>2.35</v>
      </c>
      <c r="CA32" s="201"/>
      <c r="CB32" s="202"/>
      <c r="CC32" s="200">
        <v>43.91</v>
      </c>
      <c r="CD32" s="200"/>
      <c r="CE32" s="200">
        <v>37.24</v>
      </c>
      <c r="CF32" s="208">
        <v>37.4</v>
      </c>
      <c r="CG32" s="208">
        <v>34.020000000000003</v>
      </c>
      <c r="CH32" s="209"/>
      <c r="CI32" s="199"/>
      <c r="CJ32" s="197"/>
      <c r="CK32" s="197"/>
      <c r="CL32" s="230">
        <v>259.19</v>
      </c>
      <c r="CM32" s="198"/>
      <c r="CN32" s="202"/>
      <c r="CO32" s="208"/>
      <c r="CP32" s="208"/>
      <c r="CQ32" s="201"/>
      <c r="CR32" s="201">
        <v>0.4</v>
      </c>
      <c r="CS32" s="284"/>
      <c r="CT32" s="286">
        <f t="shared" si="23"/>
        <v>0</v>
      </c>
      <c r="CU32" s="24">
        <f t="shared" si="23"/>
        <v>35.353000000000002</v>
      </c>
      <c r="CV32" s="25">
        <f t="shared" si="23"/>
        <v>0</v>
      </c>
      <c r="CW32" s="24">
        <f t="shared" si="23"/>
        <v>266.06234109999997</v>
      </c>
      <c r="CX32" s="27">
        <f t="shared" si="23"/>
        <v>89.561846400000007</v>
      </c>
      <c r="CY32" s="24">
        <f t="shared" si="23"/>
        <v>20.443027499999999</v>
      </c>
      <c r="CZ32" s="280">
        <f t="shared" si="23"/>
        <v>0</v>
      </c>
      <c r="DA32" s="25">
        <f t="shared" si="24"/>
        <v>0</v>
      </c>
      <c r="DB32" s="24">
        <f t="shared" si="24"/>
        <v>0</v>
      </c>
      <c r="DC32" s="277">
        <f t="shared" si="24"/>
        <v>259.19</v>
      </c>
      <c r="DD32" s="280">
        <f t="shared" si="24"/>
        <v>0</v>
      </c>
      <c r="DE32" s="508">
        <f t="shared" si="31"/>
        <v>7.0679999999999996</v>
      </c>
      <c r="DG32" s="293">
        <f t="shared" si="25"/>
        <v>0</v>
      </c>
      <c r="DH32" s="294"/>
      <c r="DI32" s="294"/>
      <c r="DJ32" s="295">
        <f t="shared" si="26"/>
        <v>0</v>
      </c>
      <c r="DK32" s="296">
        <f t="shared" si="27"/>
        <v>0</v>
      </c>
    </row>
    <row r="33" spans="1:115" ht="16.5" customHeight="1" thickBot="1">
      <c r="A33" s="127">
        <v>27</v>
      </c>
      <c r="B33" s="103">
        <f>'[1]июль 20'!K32</f>
        <v>417.03199999999998</v>
      </c>
      <c r="C33" s="104">
        <f t="shared" si="0"/>
        <v>1.3237155182336129</v>
      </c>
      <c r="D33" s="143">
        <f t="shared" si="1"/>
        <v>411.51168269999999</v>
      </c>
      <c r="E33" s="104">
        <f t="shared" si="2"/>
        <v>37.876279853824173</v>
      </c>
      <c r="F33" s="128">
        <f t="shared" si="3"/>
        <v>2.1488860715404701</v>
      </c>
      <c r="G33" s="106"/>
      <c r="H33" s="107">
        <f t="shared" si="4"/>
        <v>1.9676275859007835</v>
      </c>
      <c r="I33" s="103">
        <f>'[1]сентябрь 20'!AE32</f>
        <v>0</v>
      </c>
      <c r="J33" s="328">
        <f>'[1]июль 20'!AA32</f>
        <v>0</v>
      </c>
      <c r="K33" s="106"/>
      <c r="L33" s="328">
        <f>'[1]июль 20'!AI32</f>
        <v>34.710999999999999</v>
      </c>
      <c r="M33" s="103">
        <f t="shared" si="5"/>
        <v>0.18125848563968669</v>
      </c>
      <c r="N33" s="103">
        <f>'[1]июль 20'!W32</f>
        <v>0</v>
      </c>
      <c r="O33" s="103">
        <f>'[1]июль 20'!AM32</f>
        <v>6.9580000000000002</v>
      </c>
      <c r="P33" s="447">
        <f t="shared" si="33"/>
        <v>6.9301680000000001</v>
      </c>
      <c r="Q33" s="103">
        <f t="shared" si="35"/>
        <v>3.6188866840731068E-2</v>
      </c>
      <c r="R33" s="103">
        <f>'[1]июль 20'!S32</f>
        <v>257.34399999999999</v>
      </c>
      <c r="S33" s="108">
        <f t="shared" si="8"/>
        <v>1.7190997264362129</v>
      </c>
      <c r="T33" s="109">
        <f t="shared" si="9"/>
        <v>252.92</v>
      </c>
      <c r="U33" s="131">
        <v>19.827999999999999</v>
      </c>
      <c r="V33" s="109">
        <f t="shared" si="10"/>
        <v>252.92</v>
      </c>
      <c r="W33" s="110">
        <f t="shared" si="11"/>
        <v>1.3207310704960835</v>
      </c>
      <c r="X33" s="110">
        <f t="shared" si="36"/>
        <v>1.3569199373368146</v>
      </c>
      <c r="Y33" s="136">
        <v>191.5</v>
      </c>
      <c r="Z33" s="136">
        <v>51.59</v>
      </c>
      <c r="AA33" s="131">
        <v>1.33</v>
      </c>
      <c r="AB33" s="133">
        <v>631</v>
      </c>
      <c r="AC33" s="133">
        <v>1229</v>
      </c>
      <c r="AD33" s="144" t="s">
        <v>318</v>
      </c>
      <c r="AE33" s="131">
        <v>76.19</v>
      </c>
      <c r="AF33" s="133">
        <v>139</v>
      </c>
      <c r="AG33" s="134">
        <v>4</v>
      </c>
      <c r="AH33" s="131">
        <v>3.25</v>
      </c>
      <c r="AI33" s="115">
        <f t="shared" si="12"/>
        <v>16.971279373368148</v>
      </c>
      <c r="AJ33" s="131">
        <v>98.15</v>
      </c>
      <c r="AK33" s="115">
        <f t="shared" si="13"/>
        <v>512.53263707571807</v>
      </c>
      <c r="AL33" s="139">
        <v>15.54</v>
      </c>
      <c r="AM33" s="131"/>
      <c r="AN33" s="136">
        <v>11.01</v>
      </c>
      <c r="AO33" s="466">
        <v>48.15</v>
      </c>
      <c r="AP33" s="110">
        <f t="shared" si="14"/>
        <v>0.19387960539561103</v>
      </c>
      <c r="AQ33" s="137" t="s">
        <v>385</v>
      </c>
      <c r="AR33" s="150">
        <v>9.2899999999999991</v>
      </c>
      <c r="AS33" s="138">
        <v>9.36</v>
      </c>
      <c r="AT33" s="134"/>
      <c r="AU33" s="131">
        <v>6.14</v>
      </c>
      <c r="AV33" s="139">
        <v>248.35</v>
      </c>
      <c r="AW33" s="131">
        <v>2.31</v>
      </c>
      <c r="AX33" s="116"/>
      <c r="AY33" s="131"/>
      <c r="AZ33" s="109">
        <f t="shared" si="32"/>
        <v>0</v>
      </c>
      <c r="BA33" s="109">
        <f t="shared" si="15"/>
        <v>191.5</v>
      </c>
      <c r="BB33" s="115">
        <f t="shared" si="16"/>
        <v>178.59354425273992</v>
      </c>
      <c r="BC33" s="140">
        <f t="shared" si="17"/>
        <v>4.6683457746478867</v>
      </c>
      <c r="BD33" s="141">
        <f t="shared" si="34"/>
        <v>7.66</v>
      </c>
      <c r="BE33" s="128">
        <f t="shared" si="19"/>
        <v>0.93608926738926712</v>
      </c>
      <c r="BF33" s="141">
        <f t="shared" si="20"/>
        <v>12.328345774647886</v>
      </c>
      <c r="BG33" s="142">
        <v>0.92</v>
      </c>
      <c r="BH33" s="16">
        <f t="shared" si="28"/>
        <v>4862.57</v>
      </c>
      <c r="BI33" s="16">
        <f t="shared" si="21"/>
        <v>182.25806451612902</v>
      </c>
      <c r="BJ33" s="16">
        <f t="shared" si="29"/>
        <v>4920.9677419354803</v>
      </c>
      <c r="BK33" s="17">
        <f t="shared" si="22"/>
        <v>1</v>
      </c>
      <c r="BL33" s="16">
        <f t="shared" si="30"/>
        <v>4920.9677419354803</v>
      </c>
      <c r="BM33" s="254"/>
      <c r="BN33" s="197">
        <v>34.710999999999999</v>
      </c>
      <c r="BO33" s="197"/>
      <c r="BP33" s="197">
        <v>271.05500000000001</v>
      </c>
      <c r="BQ33" s="230">
        <v>90.350999999999999</v>
      </c>
      <c r="BR33" s="230">
        <v>20.914999999999999</v>
      </c>
      <c r="BS33" s="258"/>
      <c r="BT33" s="199"/>
      <c r="BU33" s="200"/>
      <c r="BV33" s="200"/>
      <c r="BW33" s="200"/>
      <c r="BX33" s="200">
        <v>1.53</v>
      </c>
      <c r="BY33" s="208">
        <v>1.08</v>
      </c>
      <c r="BZ33" s="208">
        <v>1.9</v>
      </c>
      <c r="CA33" s="201"/>
      <c r="CB33" s="202"/>
      <c r="CC33" s="200">
        <v>43.76</v>
      </c>
      <c r="CD33" s="200"/>
      <c r="CE33" s="200">
        <v>37.4</v>
      </c>
      <c r="CF33" s="208">
        <v>38.28</v>
      </c>
      <c r="CG33" s="208">
        <v>32.54</v>
      </c>
      <c r="CH33" s="209"/>
      <c r="CI33" s="199"/>
      <c r="CJ33" s="197"/>
      <c r="CK33" s="197"/>
      <c r="CL33" s="230">
        <v>252.92</v>
      </c>
      <c r="CM33" s="198"/>
      <c r="CN33" s="202"/>
      <c r="CO33" s="208"/>
      <c r="CP33" s="208"/>
      <c r="CQ33" s="209"/>
      <c r="CR33" s="201">
        <v>0.4</v>
      </c>
      <c r="CS33" s="284"/>
      <c r="CT33" s="286">
        <f t="shared" si="23"/>
        <v>0</v>
      </c>
      <c r="CU33" s="24">
        <f t="shared" si="23"/>
        <v>34.710999999999999</v>
      </c>
      <c r="CV33" s="25">
        <f t="shared" si="23"/>
        <v>0</v>
      </c>
      <c r="CW33" s="24">
        <f t="shared" si="23"/>
        <v>266.90785850000003</v>
      </c>
      <c r="CX33" s="27">
        <f t="shared" si="23"/>
        <v>89.3752092</v>
      </c>
      <c r="CY33" s="24">
        <f t="shared" si="23"/>
        <v>20.517614999999999</v>
      </c>
      <c r="CZ33" s="280">
        <f t="shared" si="23"/>
        <v>0</v>
      </c>
      <c r="DA33" s="25">
        <f t="shared" si="24"/>
        <v>0</v>
      </c>
      <c r="DB33" s="24">
        <f t="shared" si="24"/>
        <v>0</v>
      </c>
      <c r="DC33" s="277">
        <f t="shared" si="24"/>
        <v>252.92</v>
      </c>
      <c r="DD33" s="280">
        <f t="shared" si="24"/>
        <v>0</v>
      </c>
      <c r="DE33" s="508">
        <f t="shared" si="31"/>
        <v>6.9580000000000002</v>
      </c>
      <c r="DG33" s="293">
        <f t="shared" si="25"/>
        <v>0</v>
      </c>
      <c r="DH33" s="294"/>
      <c r="DI33" s="294"/>
      <c r="DJ33" s="295">
        <f t="shared" si="26"/>
        <v>0</v>
      </c>
      <c r="DK33" s="296">
        <f t="shared" si="27"/>
        <v>0</v>
      </c>
    </row>
    <row r="34" spans="1:115" ht="16.5" customHeight="1" thickBot="1">
      <c r="A34" s="127">
        <v>28</v>
      </c>
      <c r="B34" s="103">
        <f>'[1]июль 20'!K33</f>
        <v>431.97899999999998</v>
      </c>
      <c r="C34" s="104">
        <f t="shared" si="0"/>
        <v>0.37916088513562002</v>
      </c>
      <c r="D34" s="143">
        <f t="shared" si="1"/>
        <v>430.34110459999999</v>
      </c>
      <c r="E34" s="104">
        <f t="shared" si="2"/>
        <v>37.627594142307842</v>
      </c>
      <c r="F34" s="128">
        <f t="shared" si="3"/>
        <v>2.383236997286371</v>
      </c>
      <c r="G34" s="106"/>
      <c r="H34" s="107">
        <f t="shared" si="4"/>
        <v>2.1842283025973304</v>
      </c>
      <c r="I34" s="103">
        <f>'[1]сентябрь 20'!AE33</f>
        <v>0</v>
      </c>
      <c r="J34" s="328">
        <f>'[1]июль 20'!AA33</f>
        <v>0</v>
      </c>
      <c r="K34" s="106">
        <v>24.91</v>
      </c>
      <c r="L34" s="328">
        <f>'[1]июль 20'!AI33</f>
        <v>35.935000000000002</v>
      </c>
      <c r="M34" s="103">
        <f t="shared" si="5"/>
        <v>0.19900869468904028</v>
      </c>
      <c r="N34" s="103">
        <f>'[1]июль 20'!W33</f>
        <v>0</v>
      </c>
      <c r="O34" s="103">
        <f>'[1]июль 20'!AM33</f>
        <v>7.2119999999999997</v>
      </c>
      <c r="P34" s="447">
        <f t="shared" si="33"/>
        <v>7.1831519999999998</v>
      </c>
      <c r="Q34" s="103">
        <f t="shared" si="35"/>
        <v>3.978042864263167E-2</v>
      </c>
      <c r="R34" s="103">
        <f>'[1]июль 20'!S33</f>
        <v>264.94200000000001</v>
      </c>
      <c r="S34" s="108">
        <f t="shared" si="8"/>
        <v>1.7294351216492587</v>
      </c>
      <c r="T34" s="109">
        <f t="shared" si="9"/>
        <v>260.36</v>
      </c>
      <c r="U34" s="149">
        <v>8.6020000000000003</v>
      </c>
      <c r="V34" s="109">
        <f t="shared" si="10"/>
        <v>260.36</v>
      </c>
      <c r="W34" s="110">
        <f t="shared" si="11"/>
        <v>1.4418784958741764</v>
      </c>
      <c r="X34" s="110">
        <f t="shared" si="36"/>
        <v>1.4816589245168081</v>
      </c>
      <c r="Y34" s="157">
        <v>97.79</v>
      </c>
      <c r="Z34" s="157">
        <v>88.71</v>
      </c>
      <c r="AA34" s="149">
        <v>0.97</v>
      </c>
      <c r="AB34" s="147">
        <v>669</v>
      </c>
      <c r="AC34" s="147">
        <v>1237</v>
      </c>
      <c r="AD34" s="144" t="s">
        <v>321</v>
      </c>
      <c r="AE34" s="149">
        <v>75.41</v>
      </c>
      <c r="AF34" s="147">
        <v>144</v>
      </c>
      <c r="AG34" s="155">
        <v>4</v>
      </c>
      <c r="AH34" s="149"/>
      <c r="AI34" s="115">
        <f t="shared" si="12"/>
        <v>0</v>
      </c>
      <c r="AJ34" s="149">
        <v>112.35</v>
      </c>
      <c r="AK34" s="115">
        <f t="shared" si="13"/>
        <v>622.19637813590305</v>
      </c>
      <c r="AL34" s="156">
        <v>17.84</v>
      </c>
      <c r="AM34" s="149"/>
      <c r="AN34" s="157">
        <v>11.47</v>
      </c>
      <c r="AO34" s="466">
        <v>42.4</v>
      </c>
      <c r="AP34" s="110">
        <f t="shared" si="14"/>
        <v>0.18311379831569854</v>
      </c>
      <c r="AQ34" s="158" t="s">
        <v>386</v>
      </c>
      <c r="AR34" s="404">
        <v>8.94</v>
      </c>
      <c r="AS34" s="159">
        <v>9</v>
      </c>
      <c r="AT34" s="155"/>
      <c r="AU34" s="149">
        <v>7.68</v>
      </c>
      <c r="AV34" s="156">
        <v>231.55</v>
      </c>
      <c r="AW34" s="131">
        <v>2.89</v>
      </c>
      <c r="AX34" s="148"/>
      <c r="AY34" s="149"/>
      <c r="AZ34" s="109">
        <f t="shared" si="32"/>
        <v>0</v>
      </c>
      <c r="BA34" s="109">
        <f t="shared" si="15"/>
        <v>180.57</v>
      </c>
      <c r="BB34" s="115">
        <f t="shared" si="16"/>
        <v>187.4582611385467</v>
      </c>
      <c r="BC34" s="140">
        <f t="shared" si="17"/>
        <v>6.6840338028169013</v>
      </c>
      <c r="BD34" s="141">
        <f t="shared" si="34"/>
        <v>7.2227999999999994</v>
      </c>
      <c r="BE34" s="128">
        <f t="shared" si="19"/>
        <v>0.84092111514623047</v>
      </c>
      <c r="BF34" s="141">
        <f t="shared" si="20"/>
        <v>13.906833802816902</v>
      </c>
      <c r="BG34" s="165">
        <v>0.91700000000000004</v>
      </c>
      <c r="BH34" s="16">
        <f t="shared" si="28"/>
        <v>5043.1399999999994</v>
      </c>
      <c r="BI34" s="16">
        <f t="shared" si="21"/>
        <v>182.25806451612902</v>
      </c>
      <c r="BJ34" s="16">
        <f t="shared" si="29"/>
        <v>5103.2258064516091</v>
      </c>
      <c r="BK34" s="17">
        <f t="shared" si="22"/>
        <v>1</v>
      </c>
      <c r="BL34" s="16">
        <f t="shared" si="30"/>
        <v>5103.2258064516091</v>
      </c>
      <c r="BM34" s="255"/>
      <c r="BN34" s="210">
        <v>35.935000000000002</v>
      </c>
      <c r="BO34" s="210"/>
      <c r="BP34" s="210">
        <v>280.875</v>
      </c>
      <c r="BQ34" s="233">
        <v>93.603999999999999</v>
      </c>
      <c r="BR34" s="233">
        <v>21.565000000000001</v>
      </c>
      <c r="BS34" s="260"/>
      <c r="BT34" s="212"/>
      <c r="BU34" s="213"/>
      <c r="BV34" s="213"/>
      <c r="BW34" s="213"/>
      <c r="BX34" s="213">
        <v>0.39</v>
      </c>
      <c r="BY34" s="235">
        <v>0.31</v>
      </c>
      <c r="BZ34" s="235">
        <v>1.17</v>
      </c>
      <c r="CA34" s="214"/>
      <c r="CB34" s="215"/>
      <c r="CC34" s="213">
        <v>43.99</v>
      </c>
      <c r="CD34" s="213"/>
      <c r="CE34" s="213">
        <v>37.17</v>
      </c>
      <c r="CF34" s="235">
        <v>37.409999999999997</v>
      </c>
      <c r="CG34" s="235">
        <v>33.93</v>
      </c>
      <c r="CH34" s="211"/>
      <c r="CI34" s="212"/>
      <c r="CJ34" s="210"/>
      <c r="CK34" s="210"/>
      <c r="CL34" s="233">
        <v>260.36</v>
      </c>
      <c r="CM34" s="198"/>
      <c r="CN34" s="202"/>
      <c r="CO34" s="208"/>
      <c r="CP34" s="208"/>
      <c r="CQ34" s="209"/>
      <c r="CR34" s="201">
        <v>0.4</v>
      </c>
      <c r="CS34" s="284"/>
      <c r="CT34" s="286">
        <f t="shared" si="23"/>
        <v>0</v>
      </c>
      <c r="CU34" s="24">
        <f t="shared" si="23"/>
        <v>35.935000000000002</v>
      </c>
      <c r="CV34" s="25">
        <f t="shared" si="23"/>
        <v>0</v>
      </c>
      <c r="CW34" s="24">
        <f t="shared" si="23"/>
        <v>279.77958749999999</v>
      </c>
      <c r="CX34" s="27">
        <f t="shared" si="23"/>
        <v>93.313827599999996</v>
      </c>
      <c r="CY34" s="24">
        <f t="shared" si="23"/>
        <v>21.312689500000001</v>
      </c>
      <c r="CZ34" s="280">
        <f t="shared" si="23"/>
        <v>0</v>
      </c>
      <c r="DA34" s="30">
        <f t="shared" si="24"/>
        <v>0</v>
      </c>
      <c r="DB34" s="29">
        <f t="shared" si="24"/>
        <v>0</v>
      </c>
      <c r="DC34" s="277">
        <f t="shared" si="24"/>
        <v>260.36</v>
      </c>
      <c r="DD34" s="280">
        <f t="shared" si="24"/>
        <v>0</v>
      </c>
      <c r="DE34" s="508">
        <f t="shared" si="31"/>
        <v>7.2119999999999997</v>
      </c>
      <c r="DG34" s="293">
        <f t="shared" si="25"/>
        <v>0</v>
      </c>
      <c r="DH34" s="294"/>
      <c r="DI34" s="294"/>
      <c r="DJ34" s="295">
        <f t="shared" si="26"/>
        <v>0</v>
      </c>
      <c r="DK34" s="296">
        <f t="shared" si="27"/>
        <v>0</v>
      </c>
    </row>
    <row r="35" spans="1:115" ht="16.5" customHeight="1" thickBot="1">
      <c r="A35" s="127">
        <v>29</v>
      </c>
      <c r="B35" s="103">
        <f>'[1]июль 20'!K34</f>
        <v>377.97899999999998</v>
      </c>
      <c r="C35" s="104">
        <f t="shared" si="0"/>
        <v>0.6801954076813792</v>
      </c>
      <c r="D35" s="143">
        <f t="shared" si="1"/>
        <v>375.40800419999999</v>
      </c>
      <c r="E35" s="104">
        <f t="shared" si="2"/>
        <v>37.79384621896984</v>
      </c>
      <c r="F35" s="128">
        <f t="shared" si="3"/>
        <v>2.1504726138511772</v>
      </c>
      <c r="G35" s="106"/>
      <c r="H35" s="107">
        <f t="shared" si="4"/>
        <v>1.9698172893395201</v>
      </c>
      <c r="I35" s="103">
        <f>'[1]сентябрь 20'!AE34</f>
        <v>0</v>
      </c>
      <c r="J35" s="328">
        <f>'[1]июль 20'!AA34</f>
        <v>0</v>
      </c>
      <c r="K35" s="106"/>
      <c r="L35" s="328">
        <f>'[1]июль 20'!AI34</f>
        <v>31.536999999999999</v>
      </c>
      <c r="M35" s="103">
        <f t="shared" si="5"/>
        <v>0.18065532451165722</v>
      </c>
      <c r="N35" s="103">
        <f>'[1]июль 20'!W34</f>
        <v>0</v>
      </c>
      <c r="O35" s="103">
        <f>'[1]июль 20'!AM34</f>
        <v>6.298</v>
      </c>
      <c r="P35" s="447">
        <f t="shared" si="33"/>
        <v>6.2728080000000004</v>
      </c>
      <c r="Q35" s="103">
        <f t="shared" si="35"/>
        <v>3.5932909434610763E-2</v>
      </c>
      <c r="R35" s="103">
        <f>'[1]июль 20'!S34</f>
        <v>233.90600000000001</v>
      </c>
      <c r="S35" s="108">
        <f t="shared" si="8"/>
        <v>1.6271493676947246</v>
      </c>
      <c r="T35" s="109">
        <f t="shared" si="9"/>
        <v>230.1</v>
      </c>
      <c r="U35" s="131">
        <v>6.298</v>
      </c>
      <c r="V35" s="109">
        <f t="shared" si="10"/>
        <v>230.1</v>
      </c>
      <c r="W35" s="110">
        <f t="shared" si="11"/>
        <v>1.3180958927650799</v>
      </c>
      <c r="X35" s="110">
        <f t="shared" si="36"/>
        <v>1.3540288021996907</v>
      </c>
      <c r="Y35" s="136">
        <v>89.05</v>
      </c>
      <c r="Z35" s="136">
        <v>174.57</v>
      </c>
      <c r="AA35" s="131">
        <v>0.36</v>
      </c>
      <c r="AB35" s="133">
        <v>688</v>
      </c>
      <c r="AC35" s="133">
        <v>1231</v>
      </c>
      <c r="AD35" s="144" t="s">
        <v>291</v>
      </c>
      <c r="AE35" s="131">
        <v>75.25</v>
      </c>
      <c r="AF35" s="133">
        <v>126</v>
      </c>
      <c r="AG35" s="134">
        <v>4</v>
      </c>
      <c r="AH35" s="166">
        <v>3.7</v>
      </c>
      <c r="AI35" s="115">
        <f t="shared" si="12"/>
        <v>21.194936128773559</v>
      </c>
      <c r="AJ35" s="166">
        <v>114.45</v>
      </c>
      <c r="AK35" s="115">
        <f>IF(BA35=0,0,AJ35/BA35*1000)</f>
        <v>655.61092971300911</v>
      </c>
      <c r="AL35" s="139">
        <v>18.88</v>
      </c>
      <c r="AM35" s="131"/>
      <c r="AN35" s="167">
        <v>12.88</v>
      </c>
      <c r="AO35" s="466">
        <v>40.58</v>
      </c>
      <c r="AP35" s="110">
        <f t="shared" si="14"/>
        <v>0.18027543314082631</v>
      </c>
      <c r="AQ35" s="168" t="s">
        <v>344</v>
      </c>
      <c r="AR35" s="405">
        <v>8.42</v>
      </c>
      <c r="AS35" s="169">
        <v>8.39</v>
      </c>
      <c r="AT35" s="170"/>
      <c r="AU35" s="166">
        <v>8.69</v>
      </c>
      <c r="AV35" s="171">
        <v>225.1</v>
      </c>
      <c r="AW35" s="131">
        <v>2.93</v>
      </c>
      <c r="AX35" s="116"/>
      <c r="AY35" s="131"/>
      <c r="AZ35" s="109">
        <f t="shared" si="32"/>
        <v>0</v>
      </c>
      <c r="BA35" s="109">
        <f t="shared" si="15"/>
        <v>174.57</v>
      </c>
      <c r="BB35" s="115">
        <f t="shared" si="16"/>
        <v>164.6009582436123</v>
      </c>
      <c r="BC35" s="140">
        <f t="shared" si="17"/>
        <v>7.7044193661971816</v>
      </c>
      <c r="BD35" s="141">
        <f t="shared" si="34"/>
        <v>6.9828000000000001</v>
      </c>
      <c r="BE35" s="128">
        <f t="shared" si="19"/>
        <v>0.92587316396084351</v>
      </c>
      <c r="BF35" s="141">
        <f t="shared" si="20"/>
        <v>14.687219366197182</v>
      </c>
      <c r="BG35" s="165">
        <v>0.91700000000000004</v>
      </c>
      <c r="BH35" s="16">
        <f t="shared" si="28"/>
        <v>5217.7099999999991</v>
      </c>
      <c r="BI35" s="16">
        <f t="shared" si="21"/>
        <v>182.25806451612902</v>
      </c>
      <c r="BJ35" s="16">
        <f t="shared" si="29"/>
        <v>5285.4838709677379</v>
      </c>
      <c r="BK35" s="17">
        <f t="shared" si="22"/>
        <v>1</v>
      </c>
      <c r="BL35" s="16">
        <f t="shared" si="30"/>
        <v>5285.4838709677379</v>
      </c>
      <c r="BM35" s="254"/>
      <c r="BN35" s="197">
        <v>31.536999999999999</v>
      </c>
      <c r="BO35" s="197"/>
      <c r="BP35" s="197">
        <v>245.68199999999999</v>
      </c>
      <c r="BQ35" s="230">
        <v>81.900999999999996</v>
      </c>
      <c r="BR35" s="230">
        <v>18.859000000000002</v>
      </c>
      <c r="BS35" s="259"/>
      <c r="BT35" s="199"/>
      <c r="BU35" s="200"/>
      <c r="BV35" s="200"/>
      <c r="BW35" s="200"/>
      <c r="BX35" s="200">
        <v>0.76</v>
      </c>
      <c r="BY35" s="208">
        <v>0.56000000000000005</v>
      </c>
      <c r="BZ35" s="208">
        <v>1.3</v>
      </c>
      <c r="CA35" s="201"/>
      <c r="CB35" s="202"/>
      <c r="CC35" s="200">
        <v>43.77</v>
      </c>
      <c r="CD35" s="200"/>
      <c r="CE35" s="200">
        <v>37.450000000000003</v>
      </c>
      <c r="CF35" s="208">
        <v>37.4</v>
      </c>
      <c r="CG35" s="208">
        <v>33.99</v>
      </c>
      <c r="CH35" s="209"/>
      <c r="CI35" s="199"/>
      <c r="CJ35" s="197"/>
      <c r="CK35" s="197"/>
      <c r="CL35" s="230">
        <v>230.1</v>
      </c>
      <c r="CM35" s="198"/>
      <c r="CN35" s="202"/>
      <c r="CO35" s="208"/>
      <c r="CP35" s="208"/>
      <c r="CQ35" s="209"/>
      <c r="CR35" s="201">
        <v>0.4</v>
      </c>
      <c r="CT35" s="286">
        <f t="shared" si="23"/>
        <v>0</v>
      </c>
      <c r="CU35" s="24">
        <f t="shared" si="23"/>
        <v>31.536999999999999</v>
      </c>
      <c r="CV35" s="24">
        <f t="shared" si="23"/>
        <v>0</v>
      </c>
      <c r="CW35" s="24">
        <f t="shared" si="23"/>
        <v>243.81481679999999</v>
      </c>
      <c r="CX35" s="27">
        <f t="shared" si="23"/>
        <v>81.442354399999999</v>
      </c>
      <c r="CY35" s="27">
        <f t="shared" si="23"/>
        <v>18.613833000000003</v>
      </c>
      <c r="CZ35" s="280">
        <f t="shared" si="23"/>
        <v>0</v>
      </c>
      <c r="DA35" s="237">
        <f t="shared" si="24"/>
        <v>0</v>
      </c>
      <c r="DB35" s="26">
        <f t="shared" si="24"/>
        <v>0</v>
      </c>
      <c r="DC35" s="277">
        <f t="shared" si="24"/>
        <v>230.1</v>
      </c>
      <c r="DD35" s="280">
        <f t="shared" si="24"/>
        <v>0</v>
      </c>
      <c r="DE35" s="508">
        <f t="shared" si="31"/>
        <v>6.298</v>
      </c>
      <c r="DG35" s="293">
        <f t="shared" si="25"/>
        <v>0</v>
      </c>
      <c r="DH35" s="294"/>
      <c r="DI35" s="294"/>
      <c r="DJ35" s="295">
        <f t="shared" si="26"/>
        <v>0</v>
      </c>
      <c r="DK35" s="296">
        <f t="shared" si="27"/>
        <v>0</v>
      </c>
    </row>
    <row r="36" spans="1:115" ht="16.5" customHeight="1" thickBot="1">
      <c r="A36" s="127">
        <v>30</v>
      </c>
      <c r="B36" s="103">
        <f>'[1]июль 20'!K35</f>
        <v>426.11</v>
      </c>
      <c r="C36" s="104">
        <f t="shared" si="0"/>
        <v>0.66912475651826986</v>
      </c>
      <c r="D36" s="143">
        <f t="shared" si="1"/>
        <v>423.25879250000003</v>
      </c>
      <c r="E36" s="104">
        <f t="shared" si="2"/>
        <v>37.948754664288558</v>
      </c>
      <c r="F36" s="128">
        <f t="shared" si="3"/>
        <v>2.4894647247382666</v>
      </c>
      <c r="G36" s="106"/>
      <c r="H36" s="107">
        <f t="shared" si="4"/>
        <v>1.889470606399247</v>
      </c>
      <c r="I36" s="103">
        <f>'[1]сентябрь 20'!AE35</f>
        <v>0</v>
      </c>
      <c r="J36" s="328">
        <f>'[1]июль 20'!AA35</f>
        <v>0</v>
      </c>
      <c r="K36" s="106"/>
      <c r="L36" s="328">
        <f>'[1]июль 20'!AI35</f>
        <v>102.011</v>
      </c>
      <c r="M36" s="103">
        <f t="shared" si="5"/>
        <v>0.59999411833901894</v>
      </c>
      <c r="N36" s="103">
        <f>'[1]июль 20'!W35</f>
        <v>0</v>
      </c>
      <c r="O36" s="103">
        <f>'[1]июль 20'!AM35</f>
        <v>7.1239999999999997</v>
      </c>
      <c r="P36" s="447">
        <f t="shared" si="33"/>
        <v>7.095504</v>
      </c>
      <c r="Q36" s="103">
        <f t="shared" si="35"/>
        <v>4.1733349017762621E-2</v>
      </c>
      <c r="R36" s="103">
        <f>'[1]июль 20'!S35</f>
        <v>264.15899999999999</v>
      </c>
      <c r="S36" s="108">
        <f t="shared" si="8"/>
        <v>1.6652849230955558</v>
      </c>
      <c r="T36" s="109">
        <f t="shared" si="9"/>
        <v>259.76</v>
      </c>
      <c r="U36" s="131">
        <v>48.393999999999998</v>
      </c>
      <c r="V36" s="109">
        <f t="shared" si="10"/>
        <v>259.76</v>
      </c>
      <c r="W36" s="110">
        <f t="shared" si="11"/>
        <v>1.5278202564404189</v>
      </c>
      <c r="X36" s="110">
        <f t="shared" si="36"/>
        <v>1.5695536054581816</v>
      </c>
      <c r="Y36" s="136">
        <v>139.27000000000001</v>
      </c>
      <c r="Z36" s="136">
        <v>131.05000000000001</v>
      </c>
      <c r="AA36" s="131">
        <v>1.1100000000000001</v>
      </c>
      <c r="AB36" s="133">
        <v>671</v>
      </c>
      <c r="AC36" s="133">
        <v>1234</v>
      </c>
      <c r="AD36" s="144" t="s">
        <v>288</v>
      </c>
      <c r="AE36" s="131">
        <v>75.67</v>
      </c>
      <c r="AF36" s="133">
        <v>142</v>
      </c>
      <c r="AG36" s="134">
        <v>4</v>
      </c>
      <c r="AH36" s="131">
        <v>3.3</v>
      </c>
      <c r="AI36" s="115">
        <f t="shared" si="12"/>
        <v>19.409481237501474</v>
      </c>
      <c r="AJ36" s="131">
        <v>106.75</v>
      </c>
      <c r="AK36" s="115">
        <f t="shared" si="13"/>
        <v>627.86730972826729</v>
      </c>
      <c r="AL36" s="139">
        <v>17.559999999999999</v>
      </c>
      <c r="AM36" s="131"/>
      <c r="AN36" s="136">
        <v>11.89</v>
      </c>
      <c r="AO36" s="466">
        <v>49.34</v>
      </c>
      <c r="AP36" s="110">
        <f t="shared" si="14"/>
        <v>0.21336216216216217</v>
      </c>
      <c r="AQ36" s="137" t="s">
        <v>392</v>
      </c>
      <c r="AR36" s="150">
        <v>9.34</v>
      </c>
      <c r="AS36" s="138">
        <v>8.89</v>
      </c>
      <c r="AT36" s="134"/>
      <c r="AU36" s="131">
        <v>6.46</v>
      </c>
      <c r="AV36" s="139">
        <v>231.25</v>
      </c>
      <c r="AW36" s="131"/>
      <c r="AX36" s="116"/>
      <c r="AY36" s="131"/>
      <c r="AZ36" s="109">
        <f t="shared" si="32"/>
        <v>0</v>
      </c>
      <c r="BA36" s="109">
        <f t="shared" si="15"/>
        <v>170.01999999999998</v>
      </c>
      <c r="BB36" s="115">
        <f t="shared" si="16"/>
        <v>185.30793945318698</v>
      </c>
      <c r="BC36" s="140">
        <f t="shared" si="17"/>
        <v>5.3420105633802812</v>
      </c>
      <c r="BD36" s="141">
        <f t="shared" si="34"/>
        <v>6.8007999999999997</v>
      </c>
      <c r="BE36" s="128">
        <f t="shared" si="19"/>
        <v>0.80097733771140533</v>
      </c>
      <c r="BF36" s="141">
        <f t="shared" si="20"/>
        <v>12.14281056338028</v>
      </c>
      <c r="BG36" s="165">
        <v>0.91300000000000003</v>
      </c>
      <c r="BH36" s="16">
        <f t="shared" si="28"/>
        <v>5387.73</v>
      </c>
      <c r="BI36" s="16">
        <f t="shared" si="21"/>
        <v>182.25806451612902</v>
      </c>
      <c r="BJ36" s="16">
        <f t="shared" si="29"/>
        <v>5467.7419354838667</v>
      </c>
      <c r="BK36" s="17">
        <f t="shared" si="22"/>
        <v>1</v>
      </c>
      <c r="BL36" s="16">
        <f t="shared" si="30"/>
        <v>5467.7419354838667</v>
      </c>
      <c r="BM36" s="254">
        <v>123.70699999999999</v>
      </c>
      <c r="BN36" s="197">
        <v>20.986999999999998</v>
      </c>
      <c r="BO36" s="197">
        <v>81.024000000000001</v>
      </c>
      <c r="BP36" s="197"/>
      <c r="BQ36" s="230"/>
      <c r="BR36" s="230">
        <v>29.981999999999999</v>
      </c>
      <c r="BS36" s="258">
        <v>170.41</v>
      </c>
      <c r="BT36" s="199"/>
      <c r="BU36" s="200">
        <v>0.79</v>
      </c>
      <c r="BV36" s="200"/>
      <c r="BW36" s="200"/>
      <c r="BX36" s="200"/>
      <c r="BY36" s="208"/>
      <c r="BZ36" s="208">
        <v>1.76</v>
      </c>
      <c r="CA36" s="201">
        <v>0.79</v>
      </c>
      <c r="CB36" s="202">
        <v>37.49</v>
      </c>
      <c r="CC36" s="200">
        <v>44.26</v>
      </c>
      <c r="CD36" s="200">
        <v>41.62</v>
      </c>
      <c r="CE36" s="200"/>
      <c r="CF36" s="208"/>
      <c r="CG36" s="208">
        <v>28.11</v>
      </c>
      <c r="CH36" s="209">
        <v>37.49</v>
      </c>
      <c r="CI36" s="199"/>
      <c r="CJ36" s="197"/>
      <c r="CK36" s="197"/>
      <c r="CL36" s="230">
        <v>259.76</v>
      </c>
      <c r="CM36" s="198"/>
      <c r="CN36" s="202"/>
      <c r="CO36" s="208"/>
      <c r="CP36" s="208"/>
      <c r="CQ36" s="209"/>
      <c r="CR36" s="201">
        <v>0.4</v>
      </c>
      <c r="CT36" s="286">
        <f t="shared" si="23"/>
        <v>122.72971469999999</v>
      </c>
      <c r="CU36" s="27">
        <f t="shared" si="23"/>
        <v>20.986999999999998</v>
      </c>
      <c r="CV36" s="28">
        <f t="shared" si="23"/>
        <v>81.024000000000001</v>
      </c>
      <c r="CW36" s="27">
        <f t="shared" si="23"/>
        <v>0</v>
      </c>
      <c r="CX36" s="27">
        <f t="shared" si="23"/>
        <v>0</v>
      </c>
      <c r="CY36" s="29">
        <f t="shared" si="23"/>
        <v>29.454316799999997</v>
      </c>
      <c r="CZ36" s="281">
        <f t="shared" si="23"/>
        <v>169.063761</v>
      </c>
      <c r="DA36" s="25">
        <f t="shared" si="24"/>
        <v>0</v>
      </c>
      <c r="DB36" s="24">
        <f t="shared" si="24"/>
        <v>0</v>
      </c>
      <c r="DC36" s="277">
        <f t="shared" si="24"/>
        <v>259.76</v>
      </c>
      <c r="DD36" s="280">
        <f t="shared" si="24"/>
        <v>0</v>
      </c>
      <c r="DE36" s="508">
        <f t="shared" si="31"/>
        <v>7.1239999999999997</v>
      </c>
      <c r="DG36" s="293">
        <f t="shared" si="25"/>
        <v>0</v>
      </c>
      <c r="DH36" s="294"/>
      <c r="DI36" s="294"/>
      <c r="DJ36" s="295">
        <f t="shared" si="26"/>
        <v>0</v>
      </c>
      <c r="DK36" s="296">
        <f t="shared" si="27"/>
        <v>0</v>
      </c>
    </row>
    <row r="37" spans="1:115" ht="16.5" customHeight="1" thickBot="1">
      <c r="A37" s="172">
        <v>31</v>
      </c>
      <c r="B37" s="103">
        <f>'[1]июль 20'!K36</f>
        <v>405.52800000000002</v>
      </c>
      <c r="C37" s="104">
        <f t="shared" si="0"/>
        <v>0.55065618157069296</v>
      </c>
      <c r="D37" s="173">
        <f t="shared" si="1"/>
        <v>403.29493500000007</v>
      </c>
      <c r="E37" s="104">
        <f t="shared" si="2"/>
        <v>38.612796650292957</v>
      </c>
      <c r="F37" s="174">
        <f t="shared" si="3"/>
        <v>2.3028318106549421</v>
      </c>
      <c r="G37" s="106"/>
      <c r="H37" s="107">
        <f t="shared" si="4"/>
        <v>0.98552466738993894</v>
      </c>
      <c r="I37" s="103">
        <f>'[1]сентябрь 20'!AE36</f>
        <v>0</v>
      </c>
      <c r="J37" s="328">
        <f>'[1]июль 20'!AA36</f>
        <v>0</v>
      </c>
      <c r="K37" s="106">
        <v>2.71</v>
      </c>
      <c r="L37" s="328">
        <f>'[1]июль 20'!AI36</f>
        <v>230.7</v>
      </c>
      <c r="M37" s="103">
        <f t="shared" si="5"/>
        <v>1.317307143265003</v>
      </c>
      <c r="N37" s="103">
        <f>'[1]июль 20'!W36</f>
        <v>0</v>
      </c>
      <c r="O37" s="103">
        <f>'[1]июль 20'!AM36</f>
        <v>6.7409999999999997</v>
      </c>
      <c r="P37" s="447">
        <f t="shared" si="33"/>
        <v>6.7140359999999992</v>
      </c>
      <c r="Q37" s="103">
        <f t="shared" si="35"/>
        <v>3.8337440758293831E-2</v>
      </c>
      <c r="R37" s="103">
        <f>'[1]июль 20'!S36</f>
        <v>253.428</v>
      </c>
      <c r="S37" s="108">
        <f t="shared" si="8"/>
        <v>1.7867007591899853</v>
      </c>
      <c r="T37" s="175">
        <f t="shared" si="9"/>
        <v>248.9</v>
      </c>
      <c r="U37" s="176">
        <v>9.8510000000000009</v>
      </c>
      <c r="V37" s="109">
        <f t="shared" si="10"/>
        <v>248.9</v>
      </c>
      <c r="W37" s="227">
        <f t="shared" si="11"/>
        <v>1.4212299434705646</v>
      </c>
      <c r="X37" s="110">
        <f t="shared" si="36"/>
        <v>1.4595673842288586</v>
      </c>
      <c r="Y37" s="177">
        <v>89.69</v>
      </c>
      <c r="Z37" s="177">
        <v>175.13</v>
      </c>
      <c r="AA37" s="176">
        <v>0.56999999999999995</v>
      </c>
      <c r="AB37" s="178">
        <v>700</v>
      </c>
      <c r="AC37" s="178">
        <v>1228</v>
      </c>
      <c r="AD37" s="179" t="s">
        <v>302</v>
      </c>
      <c r="AE37" s="176">
        <v>75.22</v>
      </c>
      <c r="AF37" s="178">
        <v>135</v>
      </c>
      <c r="AG37" s="180">
        <v>4</v>
      </c>
      <c r="AH37" s="176"/>
      <c r="AI37" s="115">
        <f t="shared" si="12"/>
        <v>0</v>
      </c>
      <c r="AJ37" s="176">
        <v>132</v>
      </c>
      <c r="AK37" s="181">
        <f t="shared" si="13"/>
        <v>753.7258036886883</v>
      </c>
      <c r="AL37" s="182">
        <v>20.49</v>
      </c>
      <c r="AM37" s="176"/>
      <c r="AN37" s="177">
        <v>11.2</v>
      </c>
      <c r="AO37" s="466">
        <v>51.57</v>
      </c>
      <c r="AP37" s="227">
        <f t="shared" si="14"/>
        <v>0.21677175283732661</v>
      </c>
      <c r="AQ37" s="183" t="s">
        <v>324</v>
      </c>
      <c r="AR37" s="406">
        <v>9.25</v>
      </c>
      <c r="AS37" s="184">
        <v>7.39</v>
      </c>
      <c r="AT37" s="180"/>
      <c r="AU37" s="176">
        <v>9.39</v>
      </c>
      <c r="AV37" s="176">
        <v>237.9</v>
      </c>
      <c r="AW37" s="131"/>
      <c r="AX37" s="176"/>
      <c r="AY37" s="176"/>
      <c r="AZ37" s="185">
        <f t="shared" si="32"/>
        <v>0</v>
      </c>
      <c r="BA37" s="109">
        <f t="shared" si="15"/>
        <v>175.13000000000002</v>
      </c>
      <c r="BB37" s="115">
        <f t="shared" si="16"/>
        <v>180.73195240908811</v>
      </c>
      <c r="BC37" s="186">
        <f t="shared" si="17"/>
        <v>9.6016056338028157</v>
      </c>
      <c r="BD37" s="181">
        <f t="shared" si="34"/>
        <v>7.0052000000000012</v>
      </c>
      <c r="BE37" s="174">
        <f t="shared" si="19"/>
        <v>0.84594056536243134</v>
      </c>
      <c r="BF37" s="181">
        <f t="shared" si="20"/>
        <v>16.606805633802818</v>
      </c>
      <c r="BG37" s="187">
        <v>0.91100000000000003</v>
      </c>
      <c r="BH37" s="16">
        <f t="shared" si="28"/>
        <v>5562.86</v>
      </c>
      <c r="BI37" s="16">
        <f t="shared" si="21"/>
        <v>182.25806451612902</v>
      </c>
      <c r="BJ37" s="16">
        <f t="shared" si="29"/>
        <v>5649.9999999999955</v>
      </c>
      <c r="BK37" s="17">
        <f t="shared" si="22"/>
        <v>1</v>
      </c>
      <c r="BL37" s="16">
        <f t="shared" si="30"/>
        <v>5649.9999999999955</v>
      </c>
      <c r="BM37" s="256"/>
      <c r="BN37" s="257">
        <v>33.375999999999998</v>
      </c>
      <c r="BO37" s="257">
        <v>197.32400000000001</v>
      </c>
      <c r="BP37" s="257"/>
      <c r="BQ37" s="261"/>
      <c r="BR37" s="261">
        <v>40.601999999999997</v>
      </c>
      <c r="BS37" s="262">
        <v>134.226</v>
      </c>
      <c r="BT37" s="219"/>
      <c r="BU37" s="220"/>
      <c r="BV37" s="220"/>
      <c r="BW37" s="220"/>
      <c r="BX37" s="220"/>
      <c r="BY37" s="224"/>
      <c r="BZ37" s="224">
        <v>3.88</v>
      </c>
      <c r="CA37" s="221">
        <v>0.49</v>
      </c>
      <c r="CB37" s="222"/>
      <c r="CC37" s="220">
        <v>43.78</v>
      </c>
      <c r="CD37" s="220">
        <v>41.8</v>
      </c>
      <c r="CE37" s="220"/>
      <c r="CF37" s="224"/>
      <c r="CG37" s="224">
        <v>29.1</v>
      </c>
      <c r="CH37" s="221">
        <v>35.520000000000003</v>
      </c>
      <c r="CI37" s="219"/>
      <c r="CJ37" s="217"/>
      <c r="CK37" s="217"/>
      <c r="CL37" s="234">
        <v>248.9</v>
      </c>
      <c r="CM37" s="223"/>
      <c r="CN37" s="222"/>
      <c r="CO37" s="224"/>
      <c r="CP37" s="224"/>
      <c r="CQ37" s="218"/>
      <c r="CR37" s="221">
        <v>0.4</v>
      </c>
      <c r="CT37" s="287">
        <f t="shared" si="23"/>
        <v>0</v>
      </c>
      <c r="CU37" s="32">
        <f t="shared" si="23"/>
        <v>33.375999999999998</v>
      </c>
      <c r="CV37" s="30">
        <f t="shared" si="23"/>
        <v>197.32400000000001</v>
      </c>
      <c r="CW37" s="246">
        <f t="shared" si="23"/>
        <v>0</v>
      </c>
      <c r="CX37" s="27">
        <f t="shared" si="23"/>
        <v>0</v>
      </c>
      <c r="CY37" s="26">
        <f t="shared" si="23"/>
        <v>39.0266424</v>
      </c>
      <c r="CZ37" s="282">
        <f t="shared" si="23"/>
        <v>133.56829260000001</v>
      </c>
      <c r="DA37" s="30">
        <f t="shared" si="24"/>
        <v>0</v>
      </c>
      <c r="DB37" s="32">
        <f t="shared" si="24"/>
        <v>0</v>
      </c>
      <c r="DC37" s="246">
        <f t="shared" si="24"/>
        <v>248.9</v>
      </c>
      <c r="DD37" s="280">
        <f t="shared" si="24"/>
        <v>0</v>
      </c>
      <c r="DE37" s="508">
        <f t="shared" si="31"/>
        <v>6.7409999999999997</v>
      </c>
      <c r="DG37" s="293">
        <f t="shared" si="25"/>
        <v>0</v>
      </c>
      <c r="DH37" s="298"/>
      <c r="DI37" s="298"/>
      <c r="DJ37" s="295">
        <f t="shared" si="26"/>
        <v>0</v>
      </c>
      <c r="DK37" s="296">
        <f t="shared" si="27"/>
        <v>0</v>
      </c>
    </row>
    <row r="38" spans="1:115" ht="16.5" customHeight="1" thickBot="1">
      <c r="A38" s="55" t="s">
        <v>58</v>
      </c>
      <c r="B38" s="188">
        <f>SUM(B7:B37)</f>
        <v>12368.167999999998</v>
      </c>
      <c r="C38" s="326"/>
      <c r="D38" s="327">
        <f>SUM(D7:D37)</f>
        <v>12284.506611158815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0</v>
      </c>
      <c r="K38" s="188">
        <f>SUM(K7:K37)</f>
        <v>57.46</v>
      </c>
      <c r="L38" s="331">
        <f>SUM(L7:L37)</f>
        <v>1341.3880000000001</v>
      </c>
      <c r="M38" s="342"/>
      <c r="N38" s="342">
        <f>SUM(N7:N37)</f>
        <v>32.440000000000005</v>
      </c>
      <c r="O38" s="188">
        <f>SUM(O7:O37)</f>
        <v>85.77</v>
      </c>
      <c r="P38" s="483">
        <f>SUM(P7:P37)</f>
        <v>85.426919999999996</v>
      </c>
      <c r="Q38" s="340"/>
      <c r="R38" s="188">
        <f>SUM(R7:R37)</f>
        <v>7822.53</v>
      </c>
      <c r="S38" s="342"/>
      <c r="T38" s="341">
        <f>SUM(T7:T37)</f>
        <v>7704.5100002000008</v>
      </c>
      <c r="U38" s="343">
        <f>SUM(U7:U37)</f>
        <v>583.30999999999995</v>
      </c>
      <c r="V38" s="341">
        <f>SUM(V7:V37)</f>
        <v>7704.5100001999999</v>
      </c>
      <c r="W38" s="344"/>
      <c r="X38" s="346"/>
      <c r="Y38" s="194">
        <f>SUM(Y7:Y37)</f>
        <v>4879.1100000000006</v>
      </c>
      <c r="Z38" s="194">
        <f>SUM(Z7:Z37)</f>
        <v>4889.1699999999992</v>
      </c>
      <c r="AA38" s="345"/>
      <c r="AB38" s="346"/>
      <c r="AC38" s="347"/>
      <c r="AD38" s="348"/>
      <c r="AE38" s="345"/>
      <c r="AF38" s="345"/>
      <c r="AG38" s="347">
        <f>SUM(AG7:AG37)</f>
        <v>122</v>
      </c>
      <c r="AH38" s="194">
        <f>SUM(AH7:AH37)</f>
        <v>78.649999999999991</v>
      </c>
      <c r="AI38" s="349"/>
      <c r="AJ38" s="194">
        <f>SUM(AJ7:AJ37)</f>
        <v>3368.05</v>
      </c>
      <c r="AK38" s="343"/>
      <c r="AL38" s="338">
        <f>SUM(AL7:AL37)</f>
        <v>544.92999999999995</v>
      </c>
      <c r="AM38" s="343">
        <f>SUM(AM7:AM37)</f>
        <v>0</v>
      </c>
      <c r="AN38" s="337">
        <f>SUM(AN7:AN37)</f>
        <v>288.46999999999997</v>
      </c>
      <c r="AO38" s="395">
        <f>SUM(AO7:AO37)</f>
        <v>1328.8600000000001</v>
      </c>
      <c r="AP38" s="350"/>
      <c r="AQ38" s="351"/>
      <c r="AR38" s="343"/>
      <c r="AS38" s="351"/>
      <c r="AT38" s="351"/>
      <c r="AU38" s="352"/>
      <c r="AV38" s="337">
        <f>SUM(AV7:AV37)</f>
        <v>7106.3500000000013</v>
      </c>
      <c r="AW38" s="341">
        <f>SUM(AW7:AW37)</f>
        <v>73.84</v>
      </c>
      <c r="AX38" s="343">
        <f>SUM(AX7:AX36)</f>
        <v>0</v>
      </c>
      <c r="AY38" s="343">
        <f>SUM(AY7:AY37)</f>
        <v>0</v>
      </c>
      <c r="AZ38" s="340"/>
      <c r="BA38" s="252">
        <f>SUM(BA7:BA37)</f>
        <v>5562.86</v>
      </c>
      <c r="BB38" s="252">
        <f>SUM(BB7:BB37)</f>
        <v>5332.4964538909526</v>
      </c>
      <c r="BC38" s="351">
        <f>SUM(BC7:BC36)</f>
        <v>183.38053133802816</v>
      </c>
      <c r="BD38" s="351">
        <f>SUM(BD7:BD36)</f>
        <v>208.01519999999999</v>
      </c>
      <c r="BE38" s="340"/>
      <c r="BF38" s="351">
        <f>SUM(BF7:BF37)</f>
        <v>408.00253697183103</v>
      </c>
      <c r="BG38" s="353"/>
      <c r="BH38" s="16"/>
      <c r="BI38" s="16">
        <f t="shared" si="21"/>
        <v>0</v>
      </c>
      <c r="BJ38" s="16"/>
      <c r="BK38" s="17">
        <f>SUM(BK7:BK37)</f>
        <v>31</v>
      </c>
      <c r="BL38" s="33"/>
      <c r="BM38" s="228">
        <f t="shared" ref="BM38:BS38" si="37">SUM(BM7:BM37)</f>
        <v>336.21900010000002</v>
      </c>
      <c r="BN38" s="38">
        <f t="shared" si="37"/>
        <v>1063.0400000000002</v>
      </c>
      <c r="BO38" s="38">
        <f t="shared" si="37"/>
        <v>278.34800010000004</v>
      </c>
      <c r="BP38" s="38">
        <f t="shared" si="37"/>
        <v>7311.9489999999996</v>
      </c>
      <c r="BQ38" s="38">
        <f t="shared" si="37"/>
        <v>2499.598</v>
      </c>
      <c r="BR38" s="38">
        <f t="shared" si="37"/>
        <v>574.37800000000004</v>
      </c>
      <c r="BS38" s="38">
        <f t="shared" si="37"/>
        <v>304.63600009999999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1395.6000000000001</v>
      </c>
      <c r="CL38" s="39">
        <f>SUM(CL7:CL37)</f>
        <v>6308.9099999999989</v>
      </c>
      <c r="CM38" s="40">
        <f>SUM(CM7:CM37)</f>
        <v>9.9999999999999995E-8</v>
      </c>
      <c r="CN38" s="34"/>
      <c r="CO38" s="35"/>
      <c r="CP38" s="236"/>
      <c r="CQ38" s="36"/>
      <c r="CR38" s="36"/>
      <c r="CT38" s="189">
        <f t="shared" ref="CT38:DE38" si="38">SUM(CT7:CT37)</f>
        <v>329.46138839999998</v>
      </c>
      <c r="CU38" s="190">
        <f t="shared" si="38"/>
        <v>1063.0399999588133</v>
      </c>
      <c r="CV38" s="191">
        <f t="shared" si="38"/>
        <v>278.34800010000004</v>
      </c>
      <c r="CW38" s="192">
        <f t="shared" si="38"/>
        <v>7261.4047093999989</v>
      </c>
      <c r="CX38" s="192">
        <f t="shared" si="38"/>
        <v>2485.7646575999997</v>
      </c>
      <c r="CY38" s="192">
        <f t="shared" si="38"/>
        <v>563.85580230000005</v>
      </c>
      <c r="CZ38" s="278">
        <f t="shared" si="38"/>
        <v>302.63205370000003</v>
      </c>
      <c r="DA38" s="278">
        <f t="shared" si="38"/>
        <v>9.99999999E-8</v>
      </c>
      <c r="DB38" s="192">
        <f t="shared" si="38"/>
        <v>1395.5999999178</v>
      </c>
      <c r="DC38" s="192">
        <f t="shared" si="38"/>
        <v>6308.9099998287493</v>
      </c>
      <c r="DD38" s="192">
        <f t="shared" si="38"/>
        <v>9.99999999E-8</v>
      </c>
      <c r="DE38" s="500">
        <f t="shared" si="38"/>
        <v>85.77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398.97316129032254</v>
      </c>
      <c r="C39" s="84">
        <f>(BM38*BU39+BN38*BV39+BP38*BX39+BS38*CA39+BO38*BW39+BR38*BZ39+BQ38*BY39)/B38</f>
        <v>0.67642506829780302</v>
      </c>
      <c r="D39" s="82"/>
      <c r="E39" s="354">
        <f>(BM38*CB39+BN38*CC39+BP38*CE39+BS38*CH39+BO38*CD39+BR38*CG39+BQ38*CF39)/B38</f>
        <v>37.797591762983821</v>
      </c>
      <c r="F39" s="355">
        <f>IF(BA38=0,0,D38/BA38)</f>
        <v>2.2083077070353765</v>
      </c>
      <c r="G39" s="354">
        <f>G38/AV2</f>
        <v>0</v>
      </c>
      <c r="H39" s="355">
        <f>IF(BA38=0,0,(CZ38+CW38+CY38+CT38+CX38)/BA38)</f>
        <v>1.9671749084823271</v>
      </c>
      <c r="I39" s="354">
        <f>I38/AV2</f>
        <v>0</v>
      </c>
      <c r="J39" s="354">
        <f>J38/AV2</f>
        <v>0</v>
      </c>
      <c r="K39" s="354">
        <f>K38/AV2</f>
        <v>1.8535483870967742</v>
      </c>
      <c r="L39" s="354">
        <f>L38/AV2</f>
        <v>43.270580645161296</v>
      </c>
      <c r="M39" s="355">
        <f>IF($BA$38=0,0,(CV38+CU38)/$BA$38)</f>
        <v>0.24113279860697795</v>
      </c>
      <c r="N39" s="354">
        <f>N38/AV2</f>
        <v>1.046451612903226</v>
      </c>
      <c r="O39" s="354">
        <f>O38/AV2</f>
        <v>2.7667741935483869</v>
      </c>
      <c r="P39" s="354"/>
      <c r="Q39" s="504">
        <f>IF(O38=0,0,P38/BA38)</f>
        <v>1.5356654670439307E-2</v>
      </c>
      <c r="R39" s="356">
        <f>R38/AV2</f>
        <v>252.33967741935484</v>
      </c>
      <c r="S39" s="354">
        <f>(SUMPRODUCT(R7:R37,S7:S37))/R38</f>
        <v>1.5087190435830864</v>
      </c>
      <c r="T39" s="357"/>
      <c r="U39" s="354">
        <f>U38/AV2</f>
        <v>18.816451612903226</v>
      </c>
      <c r="V39" s="354">
        <f>V38/AV2:AV2</f>
        <v>248.5325806516129</v>
      </c>
      <c r="W39" s="358">
        <f>IF($BA$38=0,0,T38/$BA$38)</f>
        <v>1.3849908141136036</v>
      </c>
      <c r="X39" s="358">
        <f>Q39+W39</f>
        <v>1.4003474687840429</v>
      </c>
      <c r="Y39" s="354">
        <f>Y38/AV2</f>
        <v>157.39064516129034</v>
      </c>
      <c r="Z39" s="354">
        <f>Z38/AV2</f>
        <v>157.71516129032256</v>
      </c>
      <c r="AA39" s="354">
        <f>(SUMPRODUCT(AA7:AA37,BA7:BA37))/BA38</f>
        <v>0.68907051408807707</v>
      </c>
      <c r="AB39" s="359">
        <f>AVERAGE(AB7:AB37)</f>
        <v>658.9677419354839</v>
      </c>
      <c r="AC39" s="359">
        <f>AVERAGE(AC7:AC37)</f>
        <v>1220</v>
      </c>
      <c r="AD39" s="359"/>
      <c r="AE39" s="354">
        <f>(SUMPRODUCT(AE7:AE37,BA7:BA37))/BA38</f>
        <v>76.02917046267568</v>
      </c>
      <c r="AF39" s="360">
        <f>AVERAGE(AF7:AF37)</f>
        <v>133.09677419354838</v>
      </c>
      <c r="AG39" s="360">
        <f>AVERAGE(AG7:AG37)</f>
        <v>3.935483870967742</v>
      </c>
      <c r="AH39" s="354">
        <f>AH38/AV2</f>
        <v>2.537096774193548</v>
      </c>
      <c r="AI39" s="361">
        <f>IF(BA38=0,0,AH38/BA38*1000)</f>
        <v>14.138410817457206</v>
      </c>
      <c r="AJ39" s="361">
        <f>AJ38/AV2</f>
        <v>108.6467741935484</v>
      </c>
      <c r="AK39" s="361">
        <f>IF(BA38=0,0,AJ38/BA38*1000)</f>
        <v>605.45295046073431</v>
      </c>
      <c r="AL39" s="354">
        <f>AL38/AV2</f>
        <v>17.578387096774193</v>
      </c>
      <c r="AM39" s="359"/>
      <c r="AN39" s="354">
        <f>AN38/AV2</f>
        <v>9.3054838709677412</v>
      </c>
      <c r="AO39" s="354">
        <f>AO38/AV2</f>
        <v>42.866451612903226</v>
      </c>
      <c r="AP39" s="346">
        <f>IF(AO39=0,0,AO39/AV39)</f>
        <v>0.18699613725752318</v>
      </c>
      <c r="AQ39" s="361">
        <f>SUM(AQ8:AQ38)</f>
        <v>0</v>
      </c>
      <c r="AR39" s="354">
        <f>AVERAGE(AR7:AR37)</f>
        <v>8.4035483870967731</v>
      </c>
      <c r="AS39" s="354">
        <f>AVERAGE(AS7:AS37)</f>
        <v>8.6919354838709655</v>
      </c>
      <c r="AT39" s="362"/>
      <c r="AU39" s="354">
        <f>AVERAGE(AU7:AU37)</f>
        <v>7.3158064516129038</v>
      </c>
      <c r="AV39" s="363">
        <f>AV38/AV2</f>
        <v>229.23709677419359</v>
      </c>
      <c r="AW39" s="363">
        <f>AW38/AV2</f>
        <v>2.3819354838709677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179.44709677419354</v>
      </c>
      <c r="BB39" s="354">
        <f>BB38/AV2</f>
        <v>172.01601464164364</v>
      </c>
      <c r="BC39" s="362" t="e">
        <f>BC38/$AY$2</f>
        <v>#DIV/0!</v>
      </c>
      <c r="BD39" s="362" t="e">
        <f>BD38/$AY$2</f>
        <v>#DIV/0!</v>
      </c>
      <c r="BE39" s="355">
        <f>(BA38*AE39)/(D38*E39)</f>
        <v>0.91087028360807898</v>
      </c>
      <c r="BF39" s="354">
        <f>BF38/AV2</f>
        <v>13.161372160381646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2.0098839440930214</v>
      </c>
      <c r="BV39" s="42">
        <f t="shared" ref="BV39:CA39" si="39">(SUMPRODUCT(BN7:BN37,BV7:BV37))/BN38</f>
        <v>3.8744543949428044E-9</v>
      </c>
      <c r="BW39" s="42">
        <f t="shared" si="39"/>
        <v>3.5926250579876173E-17</v>
      </c>
      <c r="BX39" s="42">
        <f t="shared" si="39"/>
        <v>0.69125606045665799</v>
      </c>
      <c r="BY39" s="42">
        <f t="shared" si="39"/>
        <v>0.55342268636796799</v>
      </c>
      <c r="BZ39" s="46">
        <f t="shared" si="39"/>
        <v>1.8319290954737126</v>
      </c>
      <c r="CA39" s="240">
        <f t="shared" si="39"/>
        <v>0.65781667279710321</v>
      </c>
      <c r="CB39" s="41">
        <f t="shared" ref="CB39:CH39" si="40">(SUMPRODUCT(BM7:BM37,CB7:CB37))/BM38</f>
        <v>37.426793566863623</v>
      </c>
      <c r="CC39" s="42">
        <f t="shared" si="40"/>
        <v>43.716826864464174</v>
      </c>
      <c r="CD39" s="42">
        <f t="shared" si="40"/>
        <v>41.747603991497115</v>
      </c>
      <c r="CE39" s="42">
        <f t="shared" si="40"/>
        <v>37.32561881243975</v>
      </c>
      <c r="CF39" s="42">
        <f t="shared" si="40"/>
        <v>37.81250727516985</v>
      </c>
      <c r="CG39" s="46">
        <f t="shared" si="40"/>
        <v>31.712219078725159</v>
      </c>
      <c r="CH39" s="240">
        <f t="shared" si="40"/>
        <v>36.621996140764068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5.8899398108340485E-9</v>
      </c>
      <c r="CP39" s="46">
        <f>(SUMPRODUCT(CL7:CL37,CP7:CP37))/CL38</f>
        <v>2.7144150098828486E-9</v>
      </c>
      <c r="CQ39" s="44">
        <f>(SUMPRODUCT(CM7:CM37,CQ7:CQ37))/CM38</f>
        <v>9.9999999999999982E-8</v>
      </c>
      <c r="CR39" s="44">
        <f>(SUMPRODUCT(N7:N37,CR7:CR37))/N38</f>
        <v>1.6738594327990131E-8</v>
      </c>
      <c r="CT39" s="667">
        <f>CT38+CU38</f>
        <v>1392.5013883588133</v>
      </c>
      <c r="CU39" s="667"/>
      <c r="CV39" s="668">
        <f>CV38+CW38+CZ38+CY38+CX38</f>
        <v>10892.005223099997</v>
      </c>
      <c r="CW39" s="668"/>
      <c r="CX39" s="668"/>
      <c r="CY39" s="668"/>
      <c r="CZ39" s="668"/>
      <c r="DA39" s="669">
        <f>DA38+DB38+DD38+DC38</f>
        <v>7704.5099999465492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38</v>
      </c>
      <c r="F40" s="366">
        <v>2.2200000000000002</v>
      </c>
      <c r="G40" s="366"/>
      <c r="H40" s="401">
        <v>1.9314</v>
      </c>
      <c r="I40" s="366"/>
      <c r="J40" s="408"/>
      <c r="K40" s="366"/>
      <c r="L40" s="366"/>
      <c r="M40" s="401">
        <v>0.28860000000000002</v>
      </c>
      <c r="N40" s="365"/>
      <c r="O40" s="366"/>
      <c r="P40" s="366"/>
      <c r="Q40" s="366"/>
      <c r="R40" s="367"/>
      <c r="S40" s="368"/>
      <c r="T40" s="367"/>
      <c r="U40" s="450">
        <v>21.6522504</v>
      </c>
      <c r="V40" s="367"/>
      <c r="W40" s="369">
        <v>1.32</v>
      </c>
      <c r="X40" s="484"/>
      <c r="Y40" s="370">
        <v>5650</v>
      </c>
      <c r="Z40" s="370">
        <v>5650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653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5650</v>
      </c>
      <c r="AW40" s="379">
        <v>39.549999999999997</v>
      </c>
      <c r="AX40" s="380"/>
      <c r="AY40" s="381"/>
      <c r="AZ40" s="382"/>
      <c r="BA40" s="365">
        <v>182.26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12284.50661145881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-1.1692292964623707E-2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1.5087190435830864</v>
      </c>
      <c r="T41" s="386"/>
      <c r="U41" s="388"/>
      <c r="V41" s="388"/>
      <c r="W41" s="385">
        <f>W39-W40</f>
        <v>6.4990814113603523E-2</v>
      </c>
      <c r="X41" s="385"/>
      <c r="Y41" s="385"/>
      <c r="Z41" s="385"/>
      <c r="AA41" s="385"/>
      <c r="AB41" s="385"/>
      <c r="AC41" s="389">
        <f>AC39-AC40</f>
        <v>-30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1456.3500000000013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182.25806451612902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0.18699613725752318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58.248770491803292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188.33333333333334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-87.13999999999578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-1.5423008849556776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'[4]июль 20 '!$G$38</f>
        <v>1328.8554999999999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'[4]июль 20 '!$C$38</f>
        <v>1328.8600000000001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4.5000000002346496E-3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B4:B6"/>
    <mergeCell ref="C4:C6"/>
    <mergeCell ref="D4:D6"/>
    <mergeCell ref="E4:E6"/>
    <mergeCell ref="L4:L6"/>
    <mergeCell ref="M4:M6"/>
    <mergeCell ref="N4:N6"/>
    <mergeCell ref="O4:O6"/>
    <mergeCell ref="P3:X3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Y3:Y6"/>
    <mergeCell ref="U4:U6"/>
    <mergeCell ref="T4:T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R4:R6"/>
    <mergeCell ref="S4:S6"/>
    <mergeCell ref="P4:P6"/>
    <mergeCell ref="Q4:Q6"/>
    <mergeCell ref="F4:F6"/>
    <mergeCell ref="H4:H6"/>
    <mergeCell ref="I4:I6"/>
    <mergeCell ref="J4:J6"/>
    <mergeCell ref="K4:K6"/>
    <mergeCell ref="V4:V6"/>
    <mergeCell ref="W4:W6"/>
    <mergeCell ref="AH5:AH6"/>
    <mergeCell ref="X4:X6"/>
    <mergeCell ref="DG5:DK5"/>
    <mergeCell ref="AN3:AN6"/>
    <mergeCell ref="AJ5:AJ6"/>
    <mergeCell ref="BM3:BS5"/>
    <mergeCell ref="BU3:CA5"/>
    <mergeCell ref="CB3:CH5"/>
    <mergeCell ref="BA5:BA6"/>
    <mergeCell ref="AO3:AO6"/>
    <mergeCell ref="AP3:AP6"/>
    <mergeCell ref="AQ3:AQ6"/>
    <mergeCell ref="AR3:AR6"/>
    <mergeCell ref="AS3:AS6"/>
    <mergeCell ref="CT39:CU39"/>
    <mergeCell ref="CV39:CZ39"/>
    <mergeCell ref="DA39:DD39"/>
    <mergeCell ref="CJ3:CM5"/>
    <mergeCell ref="CN3:CQ5"/>
    <mergeCell ref="CR3:CR6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CW22" activePane="bottomRight" state="frozen"/>
      <selection pane="topRight" activeCell="B1" sqref="B1"/>
      <selection pane="bottomLeft" activeCell="A7" sqref="A7"/>
      <selection pane="bottomRight" activeCell="CY41" sqref="CY41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hidden="1" customWidth="1"/>
    <col min="11" max="11" width="6.140625" customWidth="1"/>
    <col min="12" max="12" width="8" customWidth="1"/>
    <col min="13" max="13" width="7.28515625" customWidth="1"/>
    <col min="14" max="14" width="6.28515625" customWidth="1"/>
    <col min="15" max="15" width="6.7109375" customWidth="1"/>
    <col min="16" max="17" width="7.140625" customWidth="1"/>
    <col min="18" max="18" width="9" customWidth="1"/>
    <col min="19" max="19" width="5.140625" customWidth="1"/>
    <col min="20" max="20" width="8.85546875" hidden="1" customWidth="1"/>
    <col min="21" max="21" width="6.7109375" customWidth="1"/>
    <col min="22" max="22" width="7.85546875" hidden="1" customWidth="1"/>
    <col min="23" max="24" width="6.85546875" customWidth="1"/>
    <col min="25" max="26" width="8.42578125" customWidth="1"/>
    <col min="27" max="27" width="6.5703125" customWidth="1"/>
    <col min="28" max="28" width="4.85546875" customWidth="1"/>
    <col min="29" max="29" width="6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323" t="s">
        <v>337</v>
      </c>
      <c r="BB2" s="323"/>
      <c r="BC2" s="323"/>
      <c r="BD2" s="323"/>
      <c r="BE2" s="323" t="s">
        <v>107</v>
      </c>
      <c r="BF2" s="324"/>
      <c r="BG2" s="49"/>
      <c r="BO2" s="2"/>
    </row>
    <row r="3" spans="1:117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95" t="s">
        <v>4</v>
      </c>
      <c r="I3" s="696"/>
      <c r="J3" s="696"/>
      <c r="K3" s="696"/>
      <c r="L3" s="696"/>
      <c r="M3" s="696"/>
      <c r="N3" s="696"/>
      <c r="O3" s="698" t="s">
        <v>5</v>
      </c>
      <c r="P3" s="699"/>
      <c r="Q3" s="700"/>
      <c r="R3" s="700"/>
      <c r="S3" s="700"/>
      <c r="T3" s="700"/>
      <c r="U3" s="700"/>
      <c r="V3" s="700"/>
      <c r="W3" s="700"/>
      <c r="X3" s="701"/>
      <c r="Y3" s="697" t="s">
        <v>6</v>
      </c>
      <c r="Z3" s="645" t="s">
        <v>7</v>
      </c>
      <c r="AA3" s="633" t="s">
        <v>8</v>
      </c>
      <c r="AB3" s="633" t="s">
        <v>9</v>
      </c>
      <c r="AC3" s="633" t="s">
        <v>10</v>
      </c>
      <c r="AD3" s="633" t="s">
        <v>11</v>
      </c>
      <c r="AE3" s="633" t="s">
        <v>12</v>
      </c>
      <c r="AF3" s="633" t="s">
        <v>13</v>
      </c>
      <c r="AG3" s="633" t="s">
        <v>14</v>
      </c>
      <c r="AH3" s="647" t="s">
        <v>15</v>
      </c>
      <c r="AI3" s="647"/>
      <c r="AJ3" s="646" t="s">
        <v>16</v>
      </c>
      <c r="AK3" s="646"/>
      <c r="AL3" s="633" t="s">
        <v>17</v>
      </c>
      <c r="AM3" s="643"/>
      <c r="AN3" s="633" t="s">
        <v>18</v>
      </c>
      <c r="AO3" s="633" t="s">
        <v>19</v>
      </c>
      <c r="AP3" s="647" t="s">
        <v>86</v>
      </c>
      <c r="AQ3" s="633" t="s">
        <v>20</v>
      </c>
      <c r="AR3" s="633" t="s">
        <v>105</v>
      </c>
      <c r="AS3" s="633" t="s">
        <v>21</v>
      </c>
      <c r="AT3" s="70"/>
      <c r="AU3" s="633" t="s">
        <v>22</v>
      </c>
      <c r="AV3" s="646" t="s">
        <v>23</v>
      </c>
      <c r="AW3" s="646"/>
      <c r="AX3" s="646"/>
      <c r="AY3" s="646"/>
      <c r="AZ3" s="646"/>
      <c r="BA3" s="646"/>
      <c r="BB3" s="633" t="s">
        <v>24</v>
      </c>
      <c r="BC3" s="657" t="s">
        <v>25</v>
      </c>
      <c r="BD3" s="657"/>
      <c r="BE3" s="633" t="s">
        <v>26</v>
      </c>
      <c r="BF3" s="633" t="s">
        <v>25</v>
      </c>
      <c r="BG3" s="649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0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100</v>
      </c>
      <c r="O4" s="641" t="s">
        <v>372</v>
      </c>
      <c r="P4" s="702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41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649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0"/>
      <c r="CR4" s="690"/>
      <c r="CS4" s="7"/>
      <c r="CT4" s="7"/>
      <c r="CU4" s="7"/>
      <c r="CV4" s="7"/>
    </row>
    <row r="5" spans="1:117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644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649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703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644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456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649"/>
      <c r="BH6" s="14" t="s">
        <v>54</v>
      </c>
      <c r="BI6" s="14" t="s">
        <v>55</v>
      </c>
      <c r="BJ6" s="14" t="s">
        <v>56</v>
      </c>
      <c r="BK6" s="3"/>
      <c r="BL6" s="4"/>
      <c r="BM6" s="226" t="s">
        <v>387</v>
      </c>
      <c r="BN6" s="481" t="s">
        <v>389</v>
      </c>
      <c r="BO6" s="232" t="s">
        <v>390</v>
      </c>
      <c r="BP6" s="396" t="s">
        <v>99</v>
      </c>
      <c r="BQ6" s="232" t="s">
        <v>296</v>
      </c>
      <c r="BR6" s="310" t="s">
        <v>147</v>
      </c>
      <c r="BS6" s="397" t="s">
        <v>388</v>
      </c>
      <c r="BT6" s="15"/>
      <c r="BU6" s="226" t="s">
        <v>387</v>
      </c>
      <c r="BV6" s="52"/>
      <c r="BW6" s="333"/>
      <c r="BX6" s="396" t="s">
        <v>99</v>
      </c>
      <c r="BY6" s="232" t="s">
        <v>296</v>
      </c>
      <c r="BZ6" s="310" t="s">
        <v>98</v>
      </c>
      <c r="CA6" s="397" t="s">
        <v>388</v>
      </c>
      <c r="CB6" s="226" t="s">
        <v>387</v>
      </c>
      <c r="CC6" s="481" t="s">
        <v>389</v>
      </c>
      <c r="CD6" s="232" t="s">
        <v>390</v>
      </c>
      <c r="CE6" s="396" t="s">
        <v>99</v>
      </c>
      <c r="CF6" s="232" t="s">
        <v>296</v>
      </c>
      <c r="CG6" s="310" t="s">
        <v>147</v>
      </c>
      <c r="CH6" s="397" t="s">
        <v>388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496" t="s">
        <v>102</v>
      </c>
      <c r="CR6" s="691"/>
      <c r="CS6"/>
      <c r="CT6" s="251" t="s">
        <v>387</v>
      </c>
      <c r="CU6" s="482" t="s">
        <v>391</v>
      </c>
      <c r="CV6" s="51" t="s">
        <v>390</v>
      </c>
      <c r="CW6" s="245" t="s">
        <v>99</v>
      </c>
      <c r="CX6" s="51" t="s">
        <v>296</v>
      </c>
      <c r="CY6" s="51" t="s">
        <v>147</v>
      </c>
      <c r="CZ6" s="229" t="s">
        <v>388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102">
        <v>1</v>
      </c>
      <c r="B7" s="103">
        <f>'[1]июль 20'!K6</f>
        <v>411.02</v>
      </c>
      <c r="C7" s="104">
        <f t="shared" ref="C7:C37" si="0">IF(B7=0,0,(BM7*BU7+BN7*BV7+BP7*BX7+BS7*CA7+BO7*BW7+BR7*BZ7+BQ7*BY7)/B7)</f>
        <v>0.98110124597026915</v>
      </c>
      <c r="D7" s="447">
        <f>B7*((100-C7)/100)</f>
        <v>406.98747765881302</v>
      </c>
      <c r="E7" s="104">
        <f t="shared" ref="E7:E37" si="1">IF(B7=0,0,(BM7*CB7+BN7*CC7+BP7*CE7+BS7*CH7+BO7*CD7+BR7*CG7+BQ7*CF7)/B7)</f>
        <v>38.060954917035666</v>
      </c>
      <c r="F7" s="103">
        <f>IF(BA7=0,0,D7/BA7)</f>
        <v>2.3404746517002777</v>
      </c>
      <c r="G7" s="106"/>
      <c r="H7" s="107">
        <f t="shared" ref="H7:H37" si="2">IF(BA7=0,0,(CZ7+CW7+CY7+CT7+CX7)/BA7)</f>
        <v>2.1036193816816278</v>
      </c>
      <c r="I7" s="103">
        <f>'[1]сентябрь 20'!AE6</f>
        <v>0</v>
      </c>
      <c r="J7" s="328">
        <f>'[1]июль 20'!AA6</f>
        <v>0</v>
      </c>
      <c r="K7" s="106"/>
      <c r="L7" s="328">
        <f>'[1]июль 20'!AI6</f>
        <v>41.186999999999998</v>
      </c>
      <c r="M7" s="103">
        <f t="shared" ref="M7:M37" si="3">IF(BA7=0,0,(CV7+CU7)/BA7)</f>
        <v>0.23685527174386825</v>
      </c>
      <c r="N7" s="103">
        <f>'[1]июль 20'!W6</f>
        <v>5.43</v>
      </c>
      <c r="O7" s="103">
        <f>'[1]июль 20'!AM6</f>
        <v>0</v>
      </c>
      <c r="P7" s="447">
        <f>O7*((100-CR7)/100)</f>
        <v>0</v>
      </c>
      <c r="Q7" s="103">
        <f>IF(O7=0,0,P7/BA7)</f>
        <v>0</v>
      </c>
      <c r="R7" s="103">
        <f>'[1]июль 20'!S6</f>
        <v>257.30900000000003</v>
      </c>
      <c r="S7" s="108">
        <f t="shared" ref="S7:S37" si="4">IF(R7=0,0,(1-(V7/R7))*100)</f>
        <v>1.4997531372785478</v>
      </c>
      <c r="T7" s="109">
        <f>R7*((100-S7)/100)</f>
        <v>253.45000019999998</v>
      </c>
      <c r="U7" s="106">
        <v>16.510000000000002</v>
      </c>
      <c r="V7" s="109">
        <f t="shared" ref="V7:V37" si="5">CJ7+CK7+CM7+CL7</f>
        <v>253.45000019999998</v>
      </c>
      <c r="W7" s="110">
        <f t="shared" ref="W7:W37" si="6">IF(BA7=0,0,T7/BA7)</f>
        <v>1.4575222420941851</v>
      </c>
      <c r="X7" s="227">
        <f>Q7+W7</f>
        <v>1.4575222420941851</v>
      </c>
      <c r="Y7" s="136">
        <v>173.89</v>
      </c>
      <c r="Z7" s="111">
        <v>173.89</v>
      </c>
      <c r="AA7" s="106">
        <v>0.41</v>
      </c>
      <c r="AB7" s="112">
        <v>641</v>
      </c>
      <c r="AC7" s="238">
        <v>1220</v>
      </c>
      <c r="AD7" s="113" t="s">
        <v>340</v>
      </c>
      <c r="AE7" s="106">
        <v>76.180000000000007</v>
      </c>
      <c r="AF7" s="112">
        <v>137</v>
      </c>
      <c r="AG7" s="114">
        <v>4</v>
      </c>
      <c r="AH7" s="106">
        <v>1.5</v>
      </c>
      <c r="AI7" s="115">
        <f t="shared" ref="AI7:AI37" si="7">IF(BA7=0,0,AH7/BA7*1000)</f>
        <v>8.6260933573330405</v>
      </c>
      <c r="AJ7" s="106">
        <v>109.35</v>
      </c>
      <c r="AK7" s="115">
        <f t="shared" ref="AK7:AK37" si="8">IF(BA7=0,0,AJ7/BA7*1000)</f>
        <v>628.84220574957862</v>
      </c>
      <c r="AL7" s="106">
        <v>15.58</v>
      </c>
      <c r="AM7" s="116"/>
      <c r="AN7" s="117">
        <v>10.91</v>
      </c>
      <c r="AO7" s="466">
        <f t="shared" ref="AO7:AO36" si="9">AV7*0.19</f>
        <v>42.009</v>
      </c>
      <c r="AP7" s="110">
        <f t="shared" ref="AP7:AP37" si="10">IF(AO7=0,0,AO7/AV7)</f>
        <v>0.19</v>
      </c>
      <c r="AQ7" s="119" t="s">
        <v>341</v>
      </c>
      <c r="AR7" s="403">
        <v>8.35</v>
      </c>
      <c r="AS7" s="120">
        <v>8.1</v>
      </c>
      <c r="AT7" s="106"/>
      <c r="AU7" s="106">
        <v>7.39</v>
      </c>
      <c r="AV7" s="314">
        <v>221.1</v>
      </c>
      <c r="AW7" s="121">
        <v>5.71</v>
      </c>
      <c r="AX7" s="122"/>
      <c r="AY7" s="123"/>
      <c r="AZ7" s="124"/>
      <c r="BA7" s="109">
        <f t="shared" ref="BA7:BA37" si="11">AV7-AO7-AN7+AY7+AW7</f>
        <v>173.89100000000002</v>
      </c>
      <c r="BB7" s="115">
        <f t="shared" ref="BB7:BB37" si="12">IF(AE7=0,0,((D7*0.97)*(E7/100)*0.9)/(AE7/100))</f>
        <v>177.51456904726876</v>
      </c>
      <c r="BC7" s="125">
        <f t="shared" ref="BC7:BC37" si="13">(AJ7*AU7)/100*(55/71)</f>
        <v>6.2599024647887314</v>
      </c>
      <c r="BD7" s="115">
        <f t="shared" ref="BD7:BD23" si="14">BA7*$BD$6</f>
        <v>6.9556400000000007</v>
      </c>
      <c r="BE7" s="103">
        <f t="shared" ref="BE7:BE37" si="15">IF((D7*E7)=0,0,(BA7*AE7)/(D7*E7))</f>
        <v>0.85517962731034625</v>
      </c>
      <c r="BF7" s="115">
        <f t="shared" ref="BF7:BF37" si="16">BC7+BD7</f>
        <v>13.215542464788733</v>
      </c>
      <c r="BG7" s="126">
        <v>0.85499999999999998</v>
      </c>
      <c r="BH7" s="16">
        <f>BA7</f>
        <v>173.89100000000002</v>
      </c>
      <c r="BI7" s="16">
        <f t="shared" ref="BI7:BI38" si="17">IF(A7&lt;=$BG$43,$AV$43,0)</f>
        <v>182.25806451612902</v>
      </c>
      <c r="BJ7" s="16">
        <f>BI7</f>
        <v>182.25806451612902</v>
      </c>
      <c r="BK7" s="17">
        <f t="shared" ref="BK7:BK37" si="18">IF(BA7&lt;&gt;0,1,0)</f>
        <v>1</v>
      </c>
      <c r="BL7" s="16">
        <f>BI7*BK7</f>
        <v>182.25806451612902</v>
      </c>
      <c r="BM7" s="336">
        <v>9.9999999999999995E-8</v>
      </c>
      <c r="BN7" s="336">
        <v>41.186999999999998</v>
      </c>
      <c r="BO7" s="336">
        <v>9.9999999999999995E-8</v>
      </c>
      <c r="BP7" s="336">
        <v>253.529</v>
      </c>
      <c r="BQ7" s="336">
        <v>89.150999999999996</v>
      </c>
      <c r="BR7" s="336">
        <v>27.152999999999999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0.81</v>
      </c>
      <c r="BY7" s="336">
        <v>1.37</v>
      </c>
      <c r="BZ7" s="336">
        <v>2.79</v>
      </c>
      <c r="CA7" s="336">
        <v>9.9999999999999995E-8</v>
      </c>
      <c r="CB7" s="336">
        <v>9.9999999999999995E-8</v>
      </c>
      <c r="CC7" s="336">
        <v>43.54</v>
      </c>
      <c r="CD7" s="336">
        <v>9.9999999999999995E-8</v>
      </c>
      <c r="CE7" s="336">
        <v>37.04</v>
      </c>
      <c r="CF7" s="336">
        <v>39.74</v>
      </c>
      <c r="CG7" s="336">
        <v>33.770000000000003</v>
      </c>
      <c r="CH7" s="336">
        <v>9.9999999999999995E-8</v>
      </c>
      <c r="CI7" s="336">
        <v>9.9999999999999995E-8</v>
      </c>
      <c r="CJ7" s="336">
        <v>9.9999999999999995E-8</v>
      </c>
      <c r="CK7" s="336">
        <v>82.2</v>
      </c>
      <c r="CL7" s="336">
        <v>171.25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503">
        <v>9.9999999999999995E-8</v>
      </c>
      <c r="CS7" s="284"/>
      <c r="CT7" s="285">
        <f t="shared" ref="CT7:CZ37" si="19">BM7*((100-BU7)/100)</f>
        <v>9.99999999E-8</v>
      </c>
      <c r="CU7" s="22">
        <f t="shared" si="19"/>
        <v>41.186999958812997</v>
      </c>
      <c r="CV7" s="22">
        <f t="shared" si="19"/>
        <v>9.99999999E-8</v>
      </c>
      <c r="CW7" s="27">
        <f t="shared" si="19"/>
        <v>251.47541509999999</v>
      </c>
      <c r="CX7" s="27">
        <f t="shared" si="19"/>
        <v>87.929631299999997</v>
      </c>
      <c r="CY7" s="276">
        <f t="shared" si="19"/>
        <v>26.395431299999998</v>
      </c>
      <c r="CZ7" s="279">
        <f t="shared" si="19"/>
        <v>9.99999999E-8</v>
      </c>
      <c r="DA7" s="276">
        <f t="shared" ref="DA7:DD37" si="20">CJ7*((100-CN7)/100)</f>
        <v>9.99999999E-8</v>
      </c>
      <c r="DB7" s="21">
        <f t="shared" si="20"/>
        <v>82.1999999178</v>
      </c>
      <c r="DC7" s="21">
        <f t="shared" si="20"/>
        <v>171.24999982874999</v>
      </c>
      <c r="DD7" s="279">
        <f t="shared" si="20"/>
        <v>9.99999999E-8</v>
      </c>
      <c r="DE7" s="508">
        <f>P7</f>
        <v>0</v>
      </c>
      <c r="DF7" s="247"/>
      <c r="DG7" s="293">
        <f t="shared" ref="DG7:DG37" si="21">I7</f>
        <v>0</v>
      </c>
      <c r="DH7" s="294"/>
      <c r="DI7" s="294"/>
      <c r="DJ7" s="295">
        <f t="shared" ref="DJ7:DJ37" si="22">DG7*((100-DH7)/100)</f>
        <v>0</v>
      </c>
      <c r="DK7" s="296">
        <f t="shared" ref="DK7:DK37" si="23">IF(I7=0,0,(DJ7*DI7%)/(AE7/100))</f>
        <v>0</v>
      </c>
      <c r="DM7" s="402"/>
    </row>
    <row r="8" spans="1:117" ht="16.5" customHeight="1" thickBot="1">
      <c r="A8" s="127">
        <v>2</v>
      </c>
      <c r="B8" s="103">
        <f>'[1]июль 20'!K7</f>
        <v>357.113</v>
      </c>
      <c r="C8" s="104">
        <f t="shared" si="0"/>
        <v>0.53237140624956247</v>
      </c>
      <c r="D8" s="447">
        <f t="shared" ref="D8:D37" si="24">B8*((100-C8)/100)</f>
        <v>355.21183250000001</v>
      </c>
      <c r="E8" s="104">
        <f t="shared" si="1"/>
        <v>37.997560856087567</v>
      </c>
      <c r="F8" s="128">
        <f t="shared" ref="F8:F36" si="25">IF(BA8=0,0,D8/BA8)</f>
        <v>2.2276200159289594</v>
      </c>
      <c r="G8" s="106"/>
      <c r="H8" s="107">
        <f t="shared" si="2"/>
        <v>2.0162038436453487</v>
      </c>
      <c r="I8" s="103">
        <f>'[1]сентябрь 20'!AE7</f>
        <v>0</v>
      </c>
      <c r="J8" s="328">
        <f>'[1]июль 20'!AA7</f>
        <v>0</v>
      </c>
      <c r="K8" s="106"/>
      <c r="L8" s="328">
        <f>'[1]июль 20'!AI7</f>
        <v>33.712000000000003</v>
      </c>
      <c r="M8" s="103">
        <f t="shared" si="3"/>
        <v>0.21141617228361076</v>
      </c>
      <c r="N8" s="103">
        <f>'[1]июль 20'!W7</f>
        <v>4.806</v>
      </c>
      <c r="O8" s="103">
        <f>'[1]июль 20'!AM7</f>
        <v>0</v>
      </c>
      <c r="P8" s="447">
        <f t="shared" ref="P8:P37" si="26">O8*((100-CR8)/100)</f>
        <v>0</v>
      </c>
      <c r="Q8" s="103">
        <f t="shared" ref="Q8:Q37" si="27">IF(O8=0,0,P8/BA8)</f>
        <v>0</v>
      </c>
      <c r="R8" s="103">
        <f>'[1]июль 20'!S7</f>
        <v>223.42400000000001</v>
      </c>
      <c r="S8" s="108">
        <f t="shared" si="4"/>
        <v>1.4653752506445183</v>
      </c>
      <c r="T8" s="109">
        <f t="shared" ref="T8:T37" si="28">R8*((100-S8)/100)</f>
        <v>220.15</v>
      </c>
      <c r="U8" s="106">
        <v>40.69</v>
      </c>
      <c r="V8" s="109">
        <f t="shared" si="5"/>
        <v>220.15</v>
      </c>
      <c r="W8" s="485">
        <f t="shared" si="6"/>
        <v>1.3806143310464198</v>
      </c>
      <c r="X8" s="510">
        <f t="shared" ref="X8:X37" si="29">Q8+W8</f>
        <v>1.3806143310464198</v>
      </c>
      <c r="Y8" s="135"/>
      <c r="Z8" s="130">
        <v>129.12</v>
      </c>
      <c r="AA8" s="131">
        <v>0.7</v>
      </c>
      <c r="AB8" s="112">
        <v>663</v>
      </c>
      <c r="AC8" s="112">
        <v>1216</v>
      </c>
      <c r="AD8" s="132" t="s">
        <v>342</v>
      </c>
      <c r="AE8" s="131">
        <v>74.180000000000007</v>
      </c>
      <c r="AF8" s="133">
        <v>119</v>
      </c>
      <c r="AG8" s="134">
        <v>4</v>
      </c>
      <c r="AH8" s="131"/>
      <c r="AI8" s="115">
        <f t="shared" si="7"/>
        <v>0</v>
      </c>
      <c r="AJ8" s="131">
        <v>85.5</v>
      </c>
      <c r="AK8" s="115">
        <f t="shared" si="8"/>
        <v>536.19134819200042</v>
      </c>
      <c r="AL8" s="131">
        <v>15.91</v>
      </c>
      <c r="AM8" s="116"/>
      <c r="AN8" s="135">
        <v>8.27</v>
      </c>
      <c r="AO8" s="466">
        <f t="shared" si="9"/>
        <v>38.722000000000001</v>
      </c>
      <c r="AP8" s="110">
        <f t="shared" si="10"/>
        <v>0.19</v>
      </c>
      <c r="AQ8" s="137" t="s">
        <v>343</v>
      </c>
      <c r="AR8" s="150">
        <v>9.2899999999999991</v>
      </c>
      <c r="AS8" s="138">
        <v>8.32</v>
      </c>
      <c r="AT8" s="131"/>
      <c r="AU8" s="131">
        <v>5.93</v>
      </c>
      <c r="AV8" s="315">
        <v>203.8</v>
      </c>
      <c r="AW8" s="131">
        <v>2.65</v>
      </c>
      <c r="AX8" s="116"/>
      <c r="AY8" s="131"/>
      <c r="AZ8" s="109"/>
      <c r="BA8" s="109">
        <f t="shared" si="11"/>
        <v>159.458</v>
      </c>
      <c r="BB8" s="115">
        <f t="shared" si="12"/>
        <v>158.84390607979304</v>
      </c>
      <c r="BC8" s="140">
        <f t="shared" si="13"/>
        <v>3.9275809859154927</v>
      </c>
      <c r="BD8" s="141">
        <f t="shared" si="14"/>
        <v>6.3783200000000004</v>
      </c>
      <c r="BE8" s="128">
        <f t="shared" si="15"/>
        <v>0.87637503657251636</v>
      </c>
      <c r="BF8" s="141">
        <f t="shared" si="16"/>
        <v>10.305900985915493</v>
      </c>
      <c r="BG8" s="142">
        <v>0.86499999999999999</v>
      </c>
      <c r="BH8" s="16">
        <f t="shared" ref="BH8:BH37" si="30">BH7+BA8</f>
        <v>333.34900000000005</v>
      </c>
      <c r="BI8" s="16">
        <f t="shared" si="17"/>
        <v>182.25806451612902</v>
      </c>
      <c r="BJ8" s="16">
        <f t="shared" ref="BJ8:BJ37" si="31">BI8+BJ7</f>
        <v>364.51612903225805</v>
      </c>
      <c r="BK8" s="17">
        <f t="shared" si="18"/>
        <v>1</v>
      </c>
      <c r="BL8" s="16">
        <f t="shared" ref="BL8:BL37" si="32">BL7+BI8*BK8</f>
        <v>364.51612903225805</v>
      </c>
      <c r="BM8" s="249"/>
      <c r="BN8" s="195">
        <v>33.712000000000003</v>
      </c>
      <c r="BO8" s="197"/>
      <c r="BP8" s="197">
        <v>222.17699999999999</v>
      </c>
      <c r="BQ8" s="230">
        <v>77.263999999999996</v>
      </c>
      <c r="BR8" s="230">
        <v>23.96</v>
      </c>
      <c r="BS8" s="250"/>
      <c r="BT8" s="199"/>
      <c r="BU8" s="200"/>
      <c r="BV8" s="200"/>
      <c r="BW8" s="200"/>
      <c r="BX8" s="200">
        <v>0.51</v>
      </c>
      <c r="BY8" s="208">
        <v>0.47</v>
      </c>
      <c r="BZ8" s="208">
        <v>1.69</v>
      </c>
      <c r="CA8" s="198"/>
      <c r="CB8" s="202"/>
      <c r="CC8" s="200">
        <v>43.68</v>
      </c>
      <c r="CD8" s="200"/>
      <c r="CE8" s="200">
        <v>37.51</v>
      </c>
      <c r="CF8" s="197">
        <v>37.979999999999997</v>
      </c>
      <c r="CG8" s="197">
        <v>34.58</v>
      </c>
      <c r="CH8" s="197"/>
      <c r="CI8" s="203"/>
      <c r="CJ8" s="204"/>
      <c r="CK8" s="197">
        <v>71.400000000000006</v>
      </c>
      <c r="CL8" s="197">
        <v>148.75</v>
      </c>
      <c r="CM8" s="198"/>
      <c r="CN8" s="205"/>
      <c r="CO8" s="206"/>
      <c r="CP8" s="269"/>
      <c r="CQ8" s="207"/>
      <c r="CR8" s="207"/>
      <c r="CS8" s="284"/>
      <c r="CT8" s="286">
        <f t="shared" si="19"/>
        <v>0</v>
      </c>
      <c r="CU8" s="24">
        <f t="shared" si="19"/>
        <v>33.712000000000003</v>
      </c>
      <c r="CV8" s="25">
        <f t="shared" si="19"/>
        <v>0</v>
      </c>
      <c r="CW8" s="24">
        <f t="shared" si="19"/>
        <v>221.04389729999997</v>
      </c>
      <c r="CX8" s="27">
        <f t="shared" si="19"/>
        <v>76.900859199999999</v>
      </c>
      <c r="CY8" s="237">
        <f t="shared" si="19"/>
        <v>23.555076</v>
      </c>
      <c r="CZ8" s="280">
        <f t="shared" si="19"/>
        <v>0</v>
      </c>
      <c r="DA8" s="237">
        <f t="shared" si="20"/>
        <v>0</v>
      </c>
      <c r="DB8" s="26">
        <f t="shared" si="20"/>
        <v>71.400000000000006</v>
      </c>
      <c r="DC8" s="277">
        <f t="shared" si="20"/>
        <v>148.75</v>
      </c>
      <c r="DD8" s="280">
        <f t="shared" si="20"/>
        <v>0</v>
      </c>
      <c r="DE8" s="508">
        <f t="shared" ref="DE8:DE37" si="33">P8</f>
        <v>0</v>
      </c>
      <c r="DF8" s="247"/>
      <c r="DG8" s="293">
        <f t="shared" si="21"/>
        <v>0</v>
      </c>
      <c r="DH8" s="294"/>
      <c r="DI8" s="294"/>
      <c r="DJ8" s="295">
        <f t="shared" si="22"/>
        <v>0</v>
      </c>
      <c r="DK8" s="296">
        <f t="shared" si="23"/>
        <v>0</v>
      </c>
      <c r="DM8" s="402"/>
    </row>
    <row r="9" spans="1:117" ht="16.5" customHeight="1" thickBot="1">
      <c r="A9" s="127">
        <v>3</v>
      </c>
      <c r="B9" s="103">
        <f>'[1]июль 20'!K8</f>
        <v>161.95400000000001</v>
      </c>
      <c r="C9" s="104">
        <f t="shared" si="0"/>
        <v>0.45468861528582183</v>
      </c>
      <c r="D9" s="448">
        <f t="shared" si="24"/>
        <v>161.21761360000002</v>
      </c>
      <c r="E9" s="104">
        <f t="shared" si="1"/>
        <v>37.729332403028017</v>
      </c>
      <c r="F9" s="128">
        <f t="shared" si="25"/>
        <v>2.2309379238768687</v>
      </c>
      <c r="G9" s="106"/>
      <c r="H9" s="107">
        <f t="shared" si="2"/>
        <v>2.0442210712037028</v>
      </c>
      <c r="I9" s="103">
        <f>'[1]сентябрь 20'!AE8</f>
        <v>0</v>
      </c>
      <c r="J9" s="328">
        <f>'[1]июль 20'!AA8</f>
        <v>0</v>
      </c>
      <c r="K9" s="106"/>
      <c r="L9" s="328">
        <f>'[1]июль 20'!AI8</f>
        <v>13.493</v>
      </c>
      <c r="M9" s="103">
        <f t="shared" si="3"/>
        <v>0.1867168526731659</v>
      </c>
      <c r="N9" s="103">
        <f>'[1]июль 20'!W8</f>
        <v>2.17</v>
      </c>
      <c r="O9" s="103">
        <f>'[1]июль 20'!AM8</f>
        <v>0</v>
      </c>
      <c r="P9" s="447">
        <f t="shared" si="26"/>
        <v>0</v>
      </c>
      <c r="Q9" s="103">
        <f t="shared" si="27"/>
        <v>0</v>
      </c>
      <c r="R9" s="103">
        <f>'[1]июль 20'!S8</f>
        <v>107.497</v>
      </c>
      <c r="S9" s="108">
        <f t="shared" si="4"/>
        <v>1.4856228545912842</v>
      </c>
      <c r="T9" s="109">
        <f t="shared" si="28"/>
        <v>105.9</v>
      </c>
      <c r="U9" s="106">
        <v>2.0299999999999998</v>
      </c>
      <c r="V9" s="109">
        <f t="shared" si="5"/>
        <v>105.9</v>
      </c>
      <c r="W9" s="485">
        <f t="shared" si="6"/>
        <v>1.465449840516436</v>
      </c>
      <c r="X9" s="510">
        <f t="shared" si="29"/>
        <v>1.465449840516436</v>
      </c>
      <c r="Y9" s="135">
        <v>72.260000000000005</v>
      </c>
      <c r="Z9" s="130">
        <v>36.67</v>
      </c>
      <c r="AA9" s="131">
        <v>1.1599999999999999</v>
      </c>
      <c r="AB9" s="112">
        <v>637</v>
      </c>
      <c r="AC9" s="112">
        <v>1158</v>
      </c>
      <c r="AD9" s="144" t="s">
        <v>345</v>
      </c>
      <c r="AE9" s="131">
        <v>76.67</v>
      </c>
      <c r="AF9" s="133">
        <v>56</v>
      </c>
      <c r="AG9" s="134">
        <v>2</v>
      </c>
      <c r="AH9" s="131"/>
      <c r="AI9" s="115">
        <f t="shared" si="7"/>
        <v>0</v>
      </c>
      <c r="AJ9" s="131">
        <v>44.65</v>
      </c>
      <c r="AK9" s="115">
        <f t="shared" si="8"/>
        <v>617.86907817808174</v>
      </c>
      <c r="AL9" s="131">
        <v>10.65</v>
      </c>
      <c r="AM9" s="116"/>
      <c r="AN9" s="135">
        <v>6.28</v>
      </c>
      <c r="AO9" s="466">
        <f t="shared" si="9"/>
        <v>18.1355</v>
      </c>
      <c r="AP9" s="110">
        <f t="shared" si="10"/>
        <v>0.19</v>
      </c>
      <c r="AQ9" s="137" t="s">
        <v>344</v>
      </c>
      <c r="AR9" s="150">
        <v>8.5</v>
      </c>
      <c r="AS9" s="131">
        <v>8.65</v>
      </c>
      <c r="AT9" s="131"/>
      <c r="AU9" s="131">
        <v>6.65</v>
      </c>
      <c r="AV9" s="315">
        <v>95.45</v>
      </c>
      <c r="AW9" s="131">
        <v>1.23</v>
      </c>
      <c r="AX9" s="116"/>
      <c r="AY9" s="131"/>
      <c r="AZ9" s="109"/>
      <c r="BA9" s="109">
        <f t="shared" si="11"/>
        <v>72.264500000000012</v>
      </c>
      <c r="BB9" s="115">
        <f t="shared" si="12"/>
        <v>69.259665452976265</v>
      </c>
      <c r="BC9" s="140">
        <f t="shared" si="13"/>
        <v>2.3001038732394368</v>
      </c>
      <c r="BD9" s="141">
        <f t="shared" si="14"/>
        <v>2.8905800000000004</v>
      </c>
      <c r="BE9" s="128">
        <f t="shared" si="15"/>
        <v>0.91087515493173676</v>
      </c>
      <c r="BF9" s="141">
        <f t="shared" si="16"/>
        <v>5.1906838732394371</v>
      </c>
      <c r="BG9" s="142">
        <v>0.873</v>
      </c>
      <c r="BH9" s="16">
        <f t="shared" si="30"/>
        <v>405.61350000000004</v>
      </c>
      <c r="BI9" s="16">
        <f t="shared" si="17"/>
        <v>182.25806451612902</v>
      </c>
      <c r="BJ9" s="16">
        <f t="shared" si="31"/>
        <v>546.77419354838707</v>
      </c>
      <c r="BK9" s="17">
        <f t="shared" si="18"/>
        <v>1</v>
      </c>
      <c r="BL9" s="16">
        <f t="shared" si="32"/>
        <v>546.77419354838707</v>
      </c>
      <c r="BM9" s="249"/>
      <c r="BN9" s="195">
        <v>13.493</v>
      </c>
      <c r="BO9" s="197"/>
      <c r="BP9" s="197">
        <v>102.554</v>
      </c>
      <c r="BQ9" s="230">
        <v>35.103000000000002</v>
      </c>
      <c r="BR9" s="230">
        <v>10.804</v>
      </c>
      <c r="BS9" s="250"/>
      <c r="BT9" s="199"/>
      <c r="BU9" s="200"/>
      <c r="BV9" s="200"/>
      <c r="BW9" s="200"/>
      <c r="BX9" s="200">
        <v>0.51</v>
      </c>
      <c r="BY9" s="208">
        <v>0.18</v>
      </c>
      <c r="BZ9" s="208">
        <v>1.39</v>
      </c>
      <c r="CA9" s="201"/>
      <c r="CB9" s="202"/>
      <c r="CC9" s="200">
        <v>43.6</v>
      </c>
      <c r="CD9" s="200"/>
      <c r="CE9" s="200">
        <v>37.47</v>
      </c>
      <c r="CF9" s="200">
        <v>38.28</v>
      </c>
      <c r="CG9" s="200">
        <v>31.07</v>
      </c>
      <c r="CH9" s="200"/>
      <c r="CI9" s="203"/>
      <c r="CJ9" s="204"/>
      <c r="CK9" s="197">
        <v>32.4</v>
      </c>
      <c r="CL9" s="197">
        <v>73.5</v>
      </c>
      <c r="CM9" s="198"/>
      <c r="CN9" s="202"/>
      <c r="CO9" s="208"/>
      <c r="CP9" s="208"/>
      <c r="CQ9" s="201"/>
      <c r="CR9" s="201"/>
      <c r="CS9" s="284"/>
      <c r="CT9" s="286">
        <f t="shared" si="19"/>
        <v>0</v>
      </c>
      <c r="CU9" s="27">
        <f t="shared" si="19"/>
        <v>13.493</v>
      </c>
      <c r="CV9" s="28">
        <f t="shared" si="19"/>
        <v>0</v>
      </c>
      <c r="CW9" s="27">
        <f t="shared" si="19"/>
        <v>102.03097459999999</v>
      </c>
      <c r="CX9" s="27">
        <f t="shared" si="19"/>
        <v>35.0398146</v>
      </c>
      <c r="CY9" s="237">
        <f t="shared" si="19"/>
        <v>10.6538244</v>
      </c>
      <c r="CZ9" s="281">
        <f t="shared" si="19"/>
        <v>0</v>
      </c>
      <c r="DA9" s="237">
        <f t="shared" si="20"/>
        <v>0</v>
      </c>
      <c r="DB9" s="26">
        <f t="shared" si="20"/>
        <v>32.4</v>
      </c>
      <c r="DC9" s="277">
        <f t="shared" si="20"/>
        <v>73.5</v>
      </c>
      <c r="DD9" s="280">
        <f t="shared" si="20"/>
        <v>0</v>
      </c>
      <c r="DE9" s="508">
        <f t="shared" si="33"/>
        <v>0</v>
      </c>
      <c r="DF9" s="247"/>
      <c r="DG9" s="293">
        <f t="shared" si="21"/>
        <v>0</v>
      </c>
      <c r="DH9" s="294"/>
      <c r="DI9" s="294"/>
      <c r="DJ9" s="295">
        <f t="shared" si="22"/>
        <v>0</v>
      </c>
      <c r="DK9" s="296">
        <f t="shared" si="23"/>
        <v>0</v>
      </c>
      <c r="DM9" s="402"/>
    </row>
    <row r="10" spans="1:117" ht="16.5" customHeight="1" thickBot="1">
      <c r="A10" s="127">
        <v>4</v>
      </c>
      <c r="B10" s="103">
        <f>'[1]июль 20'!K9</f>
        <v>365.59500000000003</v>
      </c>
      <c r="C10" s="104">
        <f t="shared" si="0"/>
        <v>0.29878633460523257</v>
      </c>
      <c r="D10" s="448">
        <f t="shared" si="24"/>
        <v>364.50265209999998</v>
      </c>
      <c r="E10" s="104">
        <f t="shared" si="1"/>
        <v>37.877330105718073</v>
      </c>
      <c r="F10" s="128">
        <f t="shared" si="25"/>
        <v>2.1726654572548316</v>
      </c>
      <c r="G10" s="106"/>
      <c r="H10" s="107">
        <f t="shared" si="2"/>
        <v>1.9909556505282608</v>
      </c>
      <c r="I10" s="103">
        <f>'[1]сентябрь 20'!AE9</f>
        <v>0</v>
      </c>
      <c r="J10" s="328">
        <f>'[1]июль 20'!AA9</f>
        <v>0</v>
      </c>
      <c r="K10" s="106"/>
      <c r="L10" s="328">
        <f>'[1]июль 20'!AI9</f>
        <v>30.484999999999999</v>
      </c>
      <c r="M10" s="103">
        <f t="shared" si="3"/>
        <v>0.18170980672657097</v>
      </c>
      <c r="N10" s="103">
        <f>'[1]июль 20'!W9</f>
        <v>4.8609999999999998</v>
      </c>
      <c r="O10" s="103">
        <f>'[1]июль 20'!AM9</f>
        <v>0</v>
      </c>
      <c r="P10" s="447">
        <f t="shared" si="26"/>
        <v>0</v>
      </c>
      <c r="Q10" s="103">
        <f t="shared" si="27"/>
        <v>0</v>
      </c>
      <c r="R10" s="103">
        <f>'[1]июль 20'!S9</f>
        <v>229.07</v>
      </c>
      <c r="S10" s="108">
        <f t="shared" si="4"/>
        <v>1.4711660191207954</v>
      </c>
      <c r="T10" s="109">
        <f t="shared" si="28"/>
        <v>225.69999999999996</v>
      </c>
      <c r="U10" s="106">
        <v>30.06</v>
      </c>
      <c r="V10" s="109">
        <f t="shared" si="5"/>
        <v>225.7</v>
      </c>
      <c r="W10" s="485">
        <f t="shared" si="6"/>
        <v>1.345314199710909</v>
      </c>
      <c r="X10" s="509">
        <f t="shared" si="29"/>
        <v>1.345314199710909</v>
      </c>
      <c r="Y10" s="135">
        <v>167.77</v>
      </c>
      <c r="Z10" s="130">
        <v>172.15</v>
      </c>
      <c r="AA10" s="131">
        <v>0.56999999999999995</v>
      </c>
      <c r="AB10" s="112">
        <v>606</v>
      </c>
      <c r="AC10" s="112">
        <v>1183</v>
      </c>
      <c r="AD10" s="144" t="s">
        <v>346</v>
      </c>
      <c r="AE10" s="131">
        <v>76.87</v>
      </c>
      <c r="AF10" s="133">
        <v>122</v>
      </c>
      <c r="AG10" s="134">
        <v>4</v>
      </c>
      <c r="AH10" s="131">
        <v>5</v>
      </c>
      <c r="AI10" s="115">
        <f t="shared" si="7"/>
        <v>29.803150192975398</v>
      </c>
      <c r="AJ10" s="131">
        <v>107.2</v>
      </c>
      <c r="AK10" s="115">
        <f t="shared" si="8"/>
        <v>638.97954013739241</v>
      </c>
      <c r="AL10" s="131">
        <v>17.95</v>
      </c>
      <c r="AM10" s="116"/>
      <c r="AN10" s="135">
        <v>5.21</v>
      </c>
      <c r="AO10" s="466">
        <f t="shared" si="9"/>
        <v>39.852499999999999</v>
      </c>
      <c r="AP10" s="110">
        <f t="shared" si="10"/>
        <v>0.19</v>
      </c>
      <c r="AQ10" s="137" t="s">
        <v>347</v>
      </c>
      <c r="AR10" s="150">
        <v>8.74</v>
      </c>
      <c r="AS10" s="138">
        <v>8.11</v>
      </c>
      <c r="AT10" s="131"/>
      <c r="AU10" s="131">
        <v>7.07</v>
      </c>
      <c r="AV10" s="315">
        <v>209.75</v>
      </c>
      <c r="AW10" s="131">
        <v>3.08</v>
      </c>
      <c r="AX10" s="116"/>
      <c r="AY10" s="131"/>
      <c r="AZ10" s="109"/>
      <c r="BA10" s="109">
        <f t="shared" si="11"/>
        <v>167.76750000000001</v>
      </c>
      <c r="BB10" s="115">
        <f t="shared" si="12"/>
        <v>156.79687906459256</v>
      </c>
      <c r="BC10" s="140">
        <f t="shared" si="13"/>
        <v>5.8710873239436614</v>
      </c>
      <c r="BD10" s="141">
        <f t="shared" si="14"/>
        <v>6.710700000000001</v>
      </c>
      <c r="BE10" s="128">
        <f t="shared" si="15"/>
        <v>0.93408126726594676</v>
      </c>
      <c r="BF10" s="141">
        <f t="shared" si="16"/>
        <v>12.581787323943662</v>
      </c>
      <c r="BG10" s="142">
        <v>0.89</v>
      </c>
      <c r="BH10" s="16">
        <f t="shared" si="30"/>
        <v>573.38100000000009</v>
      </c>
      <c r="BI10" s="16">
        <f t="shared" si="17"/>
        <v>182.25806451612902</v>
      </c>
      <c r="BJ10" s="16">
        <f t="shared" si="31"/>
        <v>729.0322580645161</v>
      </c>
      <c r="BK10" s="17">
        <f t="shared" si="18"/>
        <v>1</v>
      </c>
      <c r="BL10" s="16">
        <f t="shared" si="32"/>
        <v>729.0322580645161</v>
      </c>
      <c r="BM10" s="249"/>
      <c r="BN10" s="195">
        <v>30.484999999999999</v>
      </c>
      <c r="BO10" s="197"/>
      <c r="BP10" s="195">
        <v>231.80099999999999</v>
      </c>
      <c r="BQ10" s="195">
        <v>79.337000000000003</v>
      </c>
      <c r="BR10" s="230">
        <v>23.972000000000001</v>
      </c>
      <c r="BS10" s="250"/>
      <c r="BT10" s="199"/>
      <c r="BU10" s="200"/>
      <c r="BV10" s="200"/>
      <c r="BW10" s="200"/>
      <c r="BX10" s="200">
        <v>0.19</v>
      </c>
      <c r="BY10" s="208">
        <v>0.16</v>
      </c>
      <c r="BZ10" s="208">
        <v>2.19</v>
      </c>
      <c r="CA10" s="201"/>
      <c r="CB10" s="202"/>
      <c r="CC10" s="200">
        <v>43.72</v>
      </c>
      <c r="CD10" s="200"/>
      <c r="CE10" s="200">
        <v>37.39</v>
      </c>
      <c r="CF10" s="200">
        <v>38.270000000000003</v>
      </c>
      <c r="CG10" s="200">
        <v>33.86</v>
      </c>
      <c r="CH10" s="200"/>
      <c r="CI10" s="203"/>
      <c r="CJ10" s="204"/>
      <c r="CK10" s="197">
        <v>73.2</v>
      </c>
      <c r="CL10" s="197">
        <v>152.5</v>
      </c>
      <c r="CM10" s="198"/>
      <c r="CN10" s="202"/>
      <c r="CO10" s="208"/>
      <c r="CP10" s="208"/>
      <c r="CQ10" s="201"/>
      <c r="CR10" s="201"/>
      <c r="CS10" s="284"/>
      <c r="CT10" s="286">
        <f t="shared" si="19"/>
        <v>0</v>
      </c>
      <c r="CU10" s="29">
        <f t="shared" si="19"/>
        <v>30.484999999999999</v>
      </c>
      <c r="CV10" s="30">
        <f t="shared" si="19"/>
        <v>0</v>
      </c>
      <c r="CW10" s="29">
        <f t="shared" si="19"/>
        <v>231.3605781</v>
      </c>
      <c r="CX10" s="27">
        <f t="shared" si="19"/>
        <v>79.210060800000008</v>
      </c>
      <c r="CY10" s="24">
        <f t="shared" si="19"/>
        <v>23.447013200000001</v>
      </c>
      <c r="CZ10" s="282">
        <f t="shared" si="19"/>
        <v>0</v>
      </c>
      <c r="DA10" s="237">
        <f t="shared" si="20"/>
        <v>0</v>
      </c>
      <c r="DB10" s="26">
        <f t="shared" si="20"/>
        <v>73.2</v>
      </c>
      <c r="DC10" s="277">
        <f t="shared" si="20"/>
        <v>152.5</v>
      </c>
      <c r="DD10" s="280">
        <f t="shared" si="20"/>
        <v>0</v>
      </c>
      <c r="DE10" s="508">
        <f t="shared" si="33"/>
        <v>0</v>
      </c>
      <c r="DF10" s="247"/>
      <c r="DG10" s="293">
        <f t="shared" si="21"/>
        <v>0</v>
      </c>
      <c r="DH10" s="294"/>
      <c r="DI10" s="294"/>
      <c r="DJ10" s="295">
        <f t="shared" si="22"/>
        <v>0</v>
      </c>
      <c r="DK10" s="296">
        <f t="shared" si="23"/>
        <v>0</v>
      </c>
      <c r="DM10" s="402"/>
    </row>
    <row r="11" spans="1:117" ht="16.5" customHeight="1" thickBot="1">
      <c r="A11" s="127">
        <v>5</v>
      </c>
      <c r="B11" s="103">
        <f>'[1]июль 20'!K10</f>
        <v>389.98399999999998</v>
      </c>
      <c r="C11" s="104">
        <f t="shared" si="0"/>
        <v>0.59550612332813657</v>
      </c>
      <c r="D11" s="448">
        <f t="shared" si="24"/>
        <v>387.6616214</v>
      </c>
      <c r="E11" s="104">
        <f t="shared" si="1"/>
        <v>38.020059540904249</v>
      </c>
      <c r="F11" s="128">
        <f t="shared" si="25"/>
        <v>2.3109003472356759</v>
      </c>
      <c r="G11" s="106"/>
      <c r="H11" s="107">
        <f>IF(BA11=0,0,(CZ11+CW11+CY11+CT11+CX11)/BA11)</f>
        <v>2.0987915089700064</v>
      </c>
      <c r="I11" s="103">
        <f>'[1]сентябрь 20'!AE10</f>
        <v>0</v>
      </c>
      <c r="J11" s="328">
        <f>'[1]июль 20'!AA10</f>
        <v>0</v>
      </c>
      <c r="K11" s="106"/>
      <c r="L11" s="328">
        <f>'[1]июль 20'!AI10</f>
        <v>35.582000000000001</v>
      </c>
      <c r="M11" s="103">
        <f t="shared" si="3"/>
        <v>0.21210883826566956</v>
      </c>
      <c r="N11" s="103">
        <f>'[1]июль 20'!W10</f>
        <v>5.4660000000000002</v>
      </c>
      <c r="O11" s="103">
        <f>'[1]июль 20'!AM10</f>
        <v>0</v>
      </c>
      <c r="P11" s="447">
        <f t="shared" si="26"/>
        <v>0</v>
      </c>
      <c r="Q11" s="103">
        <f t="shared" si="27"/>
        <v>0</v>
      </c>
      <c r="R11" s="103">
        <f>'[1]июль 20'!S10</f>
        <v>247.369</v>
      </c>
      <c r="S11" s="108">
        <f t="shared" si="4"/>
        <v>1.5357623631093609</v>
      </c>
      <c r="T11" s="109">
        <f t="shared" si="28"/>
        <v>243.57</v>
      </c>
      <c r="U11" s="106"/>
      <c r="V11" s="109">
        <f t="shared" si="5"/>
        <v>243.57</v>
      </c>
      <c r="W11" s="485">
        <f t="shared" si="6"/>
        <v>1.4519518221676446</v>
      </c>
      <c r="X11" s="495">
        <f t="shared" si="29"/>
        <v>1.4519518221676446</v>
      </c>
      <c r="Y11" s="135">
        <v>167.75</v>
      </c>
      <c r="Z11" s="130">
        <v>167.49</v>
      </c>
      <c r="AA11" s="131">
        <v>0.25</v>
      </c>
      <c r="AB11" s="112">
        <v>606</v>
      </c>
      <c r="AC11" s="112">
        <v>1209</v>
      </c>
      <c r="AD11" s="144" t="s">
        <v>299</v>
      </c>
      <c r="AE11" s="131">
        <v>76.95</v>
      </c>
      <c r="AF11" s="133">
        <v>130</v>
      </c>
      <c r="AG11" s="134">
        <v>4</v>
      </c>
      <c r="AH11" s="131"/>
      <c r="AI11" s="115">
        <f t="shared" si="7"/>
        <v>0</v>
      </c>
      <c r="AJ11" s="131">
        <v>124</v>
      </c>
      <c r="AK11" s="115">
        <f t="shared" si="8"/>
        <v>739.17980846897376</v>
      </c>
      <c r="AL11" s="131">
        <v>15.47</v>
      </c>
      <c r="AM11" s="116"/>
      <c r="AN11" s="135">
        <v>6.29</v>
      </c>
      <c r="AO11" s="466">
        <f t="shared" si="9"/>
        <v>40.536499999999997</v>
      </c>
      <c r="AP11" s="110">
        <f t="shared" si="10"/>
        <v>0.19</v>
      </c>
      <c r="AQ11" s="137" t="s">
        <v>348</v>
      </c>
      <c r="AR11" s="150">
        <v>7.78</v>
      </c>
      <c r="AS11" s="138">
        <v>8.2899999999999991</v>
      </c>
      <c r="AT11" s="131"/>
      <c r="AU11" s="131">
        <v>9.4600000000000009</v>
      </c>
      <c r="AV11" s="315">
        <v>213.35</v>
      </c>
      <c r="AW11" s="131">
        <v>1.23</v>
      </c>
      <c r="AX11" s="145"/>
      <c r="AY11" s="131"/>
      <c r="AZ11" s="109"/>
      <c r="BA11" s="109">
        <f t="shared" si="11"/>
        <v>167.7535</v>
      </c>
      <c r="BB11" s="115">
        <f t="shared" si="12"/>
        <v>167.21345484831505</v>
      </c>
      <c r="BC11" s="140">
        <f t="shared" si="13"/>
        <v>9.0869295774647885</v>
      </c>
      <c r="BD11" s="141">
        <f t="shared" si="14"/>
        <v>6.71014</v>
      </c>
      <c r="BE11" s="128">
        <f t="shared" si="15"/>
        <v>0.8758195064676384</v>
      </c>
      <c r="BF11" s="141">
        <f t="shared" si="16"/>
        <v>15.797069577464789</v>
      </c>
      <c r="BG11" s="142">
        <v>0.88700000000000001</v>
      </c>
      <c r="BH11" s="16">
        <f t="shared" si="30"/>
        <v>741.13450000000012</v>
      </c>
      <c r="BI11" s="16">
        <f t="shared" si="17"/>
        <v>182.25806451612902</v>
      </c>
      <c r="BJ11" s="16">
        <f t="shared" si="31"/>
        <v>911.29032258064512</v>
      </c>
      <c r="BK11" s="17">
        <f t="shared" si="18"/>
        <v>1</v>
      </c>
      <c r="BL11" s="16">
        <f t="shared" si="32"/>
        <v>911.29032258064512</v>
      </c>
      <c r="BM11" s="249"/>
      <c r="BN11" s="195">
        <v>35.582000000000001</v>
      </c>
      <c r="BO11" s="197"/>
      <c r="BP11" s="197">
        <v>243.99</v>
      </c>
      <c r="BQ11" s="230">
        <v>84.688000000000002</v>
      </c>
      <c r="BR11" s="230">
        <v>25.724</v>
      </c>
      <c r="BS11" s="250"/>
      <c r="BT11" s="199"/>
      <c r="BU11" s="200"/>
      <c r="BV11" s="200"/>
      <c r="BW11" s="200"/>
      <c r="BX11" s="200">
        <v>0.61</v>
      </c>
      <c r="BY11" s="208">
        <v>0.35</v>
      </c>
      <c r="BZ11" s="208">
        <v>2.09</v>
      </c>
      <c r="CA11" s="201"/>
      <c r="CB11" s="202"/>
      <c r="CC11" s="200">
        <v>43.61</v>
      </c>
      <c r="CD11" s="200"/>
      <c r="CE11" s="200">
        <v>37.520000000000003</v>
      </c>
      <c r="CF11" s="200">
        <v>38.64</v>
      </c>
      <c r="CG11" s="200">
        <v>32.99</v>
      </c>
      <c r="CH11" s="200"/>
      <c r="CI11" s="203"/>
      <c r="CJ11" s="204"/>
      <c r="CK11" s="197">
        <v>78</v>
      </c>
      <c r="CL11" s="230">
        <v>165.57</v>
      </c>
      <c r="CM11" s="198"/>
      <c r="CN11" s="202"/>
      <c r="CO11" s="208"/>
      <c r="CP11" s="208"/>
      <c r="CQ11" s="201"/>
      <c r="CR11" s="201"/>
      <c r="CS11" s="284"/>
      <c r="CT11" s="286">
        <f t="shared" si="19"/>
        <v>0</v>
      </c>
      <c r="CU11" s="24">
        <f t="shared" si="19"/>
        <v>35.582000000000001</v>
      </c>
      <c r="CV11" s="25">
        <f t="shared" si="19"/>
        <v>0</v>
      </c>
      <c r="CW11" s="24">
        <f t="shared" si="19"/>
        <v>242.50166100000001</v>
      </c>
      <c r="CX11" s="27">
        <f t="shared" si="19"/>
        <v>84.391592000000003</v>
      </c>
      <c r="CY11" s="24">
        <f t="shared" si="19"/>
        <v>25.186368399999999</v>
      </c>
      <c r="CZ11" s="280">
        <f t="shared" si="19"/>
        <v>0</v>
      </c>
      <c r="DA11" s="237">
        <f t="shared" si="20"/>
        <v>0</v>
      </c>
      <c r="DB11" s="26">
        <f t="shared" si="20"/>
        <v>78</v>
      </c>
      <c r="DC11" s="277">
        <f t="shared" si="20"/>
        <v>165.57</v>
      </c>
      <c r="DD11" s="280">
        <f t="shared" si="20"/>
        <v>0</v>
      </c>
      <c r="DE11" s="508">
        <f t="shared" si="33"/>
        <v>0</v>
      </c>
      <c r="DF11" s="247"/>
      <c r="DG11" s="293">
        <f t="shared" si="21"/>
        <v>0</v>
      </c>
      <c r="DH11" s="294"/>
      <c r="DI11" s="294"/>
      <c r="DJ11" s="295">
        <f t="shared" si="22"/>
        <v>0</v>
      </c>
      <c r="DK11" s="296">
        <f t="shared" si="23"/>
        <v>0</v>
      </c>
      <c r="DM11" s="402"/>
    </row>
    <row r="12" spans="1:117" ht="16.5" customHeight="1" thickBot="1">
      <c r="A12" s="127">
        <v>6</v>
      </c>
      <c r="B12" s="103">
        <f>'[1]июль 20'!K11</f>
        <v>413.98399999999998</v>
      </c>
      <c r="C12" s="104">
        <f t="shared" si="0"/>
        <v>0.35320169378526711</v>
      </c>
      <c r="D12" s="448">
        <f t="shared" si="24"/>
        <v>412.52180149999998</v>
      </c>
      <c r="E12" s="104">
        <f t="shared" si="1"/>
        <v>37.696531242753345</v>
      </c>
      <c r="F12" s="128">
        <f t="shared" si="25"/>
        <v>2.3542069680843469</v>
      </c>
      <c r="G12" s="106"/>
      <c r="H12" s="107">
        <f t="shared" si="2"/>
        <v>2.0785538885163573</v>
      </c>
      <c r="I12" s="103">
        <f>'[1]сентябрь 20'!AE11</f>
        <v>0</v>
      </c>
      <c r="J12" s="328">
        <f>'[1]июль 20'!AA11</f>
        <v>0</v>
      </c>
      <c r="K12" s="493"/>
      <c r="L12" s="328">
        <f>'[1]июль 20'!AI11</f>
        <v>48.302</v>
      </c>
      <c r="M12" s="103">
        <f t="shared" si="3"/>
        <v>0.27565307956799012</v>
      </c>
      <c r="N12" s="103">
        <f>'[1]июль 20'!W11</f>
        <v>6.9080000000000004</v>
      </c>
      <c r="O12" s="103">
        <f>'[1]июль 20'!AM11</f>
        <v>0</v>
      </c>
      <c r="P12" s="447">
        <f t="shared" si="26"/>
        <v>0</v>
      </c>
      <c r="Q12" s="103">
        <f t="shared" si="27"/>
        <v>0</v>
      </c>
      <c r="R12" s="103">
        <f>'[1]июль 20'!S11</f>
        <v>268.07100000000003</v>
      </c>
      <c r="S12" s="108">
        <f t="shared" si="4"/>
        <v>1.6342685333363249</v>
      </c>
      <c r="T12" s="109">
        <f t="shared" si="28"/>
        <v>263.69</v>
      </c>
      <c r="U12" s="106">
        <v>21.82</v>
      </c>
      <c r="V12" s="109">
        <f t="shared" si="5"/>
        <v>263.69</v>
      </c>
      <c r="W12" s="485">
        <f t="shared" si="6"/>
        <v>1.5048437031858581</v>
      </c>
      <c r="X12" s="495">
        <f t="shared" si="29"/>
        <v>1.5048437031858581</v>
      </c>
      <c r="Y12" s="135">
        <v>175.23</v>
      </c>
      <c r="Z12" s="130">
        <v>175.23</v>
      </c>
      <c r="AA12" s="131">
        <v>0.31</v>
      </c>
      <c r="AB12" s="112">
        <v>616</v>
      </c>
      <c r="AC12" s="133">
        <v>1221</v>
      </c>
      <c r="AD12" s="144" t="s">
        <v>349</v>
      </c>
      <c r="AE12" s="131">
        <v>76.06</v>
      </c>
      <c r="AF12" s="133">
        <v>138</v>
      </c>
      <c r="AG12" s="134">
        <v>4</v>
      </c>
      <c r="AH12" s="131">
        <v>3.95</v>
      </c>
      <c r="AI12" s="115">
        <f t="shared" si="7"/>
        <v>22.542123810474951</v>
      </c>
      <c r="AJ12" s="131">
        <v>117.6</v>
      </c>
      <c r="AK12" s="115">
        <f t="shared" si="8"/>
        <v>671.1275342055327</v>
      </c>
      <c r="AL12" s="131">
        <v>18.399999999999999</v>
      </c>
      <c r="AM12" s="116"/>
      <c r="AN12" s="135">
        <v>7.89</v>
      </c>
      <c r="AO12" s="466">
        <f t="shared" si="9"/>
        <v>42.512500000000003</v>
      </c>
      <c r="AP12" s="110">
        <f t="shared" si="10"/>
        <v>0.19</v>
      </c>
      <c r="AQ12" s="137" t="s">
        <v>166</v>
      </c>
      <c r="AR12" s="150">
        <v>8.4700000000000006</v>
      </c>
      <c r="AS12" s="138">
        <v>7.99</v>
      </c>
      <c r="AT12" s="131"/>
      <c r="AU12" s="131">
        <v>7.36</v>
      </c>
      <c r="AV12" s="315">
        <v>223.75</v>
      </c>
      <c r="AW12" s="131">
        <v>1.88</v>
      </c>
      <c r="AX12" s="116"/>
      <c r="AY12" s="131"/>
      <c r="AZ12" s="109"/>
      <c r="BA12" s="109">
        <f t="shared" si="11"/>
        <v>175.22750000000002</v>
      </c>
      <c r="BB12" s="115">
        <f t="shared" si="12"/>
        <v>178.48684688777689</v>
      </c>
      <c r="BC12" s="140">
        <f t="shared" si="13"/>
        <v>6.7048563380281685</v>
      </c>
      <c r="BD12" s="141">
        <f t="shared" si="14"/>
        <v>7.009100000000001</v>
      </c>
      <c r="BE12" s="128">
        <f t="shared" si="15"/>
        <v>0.85705815396123675</v>
      </c>
      <c r="BF12" s="141">
        <f t="shared" si="16"/>
        <v>13.713956338028169</v>
      </c>
      <c r="BG12" s="142">
        <v>0.88100000000000001</v>
      </c>
      <c r="BH12" s="16">
        <f t="shared" si="30"/>
        <v>916.36200000000008</v>
      </c>
      <c r="BI12" s="16">
        <f t="shared" si="17"/>
        <v>182.25806451612902</v>
      </c>
      <c r="BJ12" s="16">
        <f t="shared" si="31"/>
        <v>1093.5483870967741</v>
      </c>
      <c r="BK12" s="17">
        <f t="shared" si="18"/>
        <v>1</v>
      </c>
      <c r="BL12" s="16">
        <f t="shared" si="32"/>
        <v>1093.5483870967741</v>
      </c>
      <c r="BM12" s="249"/>
      <c r="BN12" s="195">
        <v>48.302</v>
      </c>
      <c r="BO12" s="271"/>
      <c r="BP12" s="197">
        <v>248.411</v>
      </c>
      <c r="BQ12" s="230">
        <v>89.712999999999994</v>
      </c>
      <c r="BR12" s="230">
        <v>27.558</v>
      </c>
      <c r="BS12" s="250"/>
      <c r="BT12" s="199"/>
      <c r="BU12" s="200"/>
      <c r="BV12" s="200"/>
      <c r="BW12" s="200"/>
      <c r="BX12" s="200">
        <v>0.31</v>
      </c>
      <c r="BY12" s="208">
        <v>0.28000000000000003</v>
      </c>
      <c r="BZ12" s="208">
        <v>1.6</v>
      </c>
      <c r="CA12" s="201"/>
      <c r="CB12" s="202"/>
      <c r="CC12" s="200">
        <v>43.94</v>
      </c>
      <c r="CD12" s="200"/>
      <c r="CE12" s="200">
        <v>37.21</v>
      </c>
      <c r="CF12" s="200">
        <v>38.200000000000003</v>
      </c>
      <c r="CG12" s="200">
        <v>29.5</v>
      </c>
      <c r="CH12" s="200"/>
      <c r="CI12" s="203"/>
      <c r="CJ12" s="204"/>
      <c r="CK12" s="197">
        <v>82.8</v>
      </c>
      <c r="CL12" s="230">
        <v>180.89</v>
      </c>
      <c r="CM12" s="198"/>
      <c r="CN12" s="202"/>
      <c r="CO12" s="202"/>
      <c r="CP12" s="270"/>
      <c r="CQ12" s="201"/>
      <c r="CR12" s="201"/>
      <c r="CS12" s="284"/>
      <c r="CT12" s="286">
        <f t="shared" si="19"/>
        <v>0</v>
      </c>
      <c r="CU12" s="24">
        <f t="shared" si="19"/>
        <v>48.302</v>
      </c>
      <c r="CV12" s="25">
        <f t="shared" si="19"/>
        <v>0</v>
      </c>
      <c r="CW12" s="24">
        <f t="shared" si="19"/>
        <v>247.64092590000001</v>
      </c>
      <c r="CX12" s="27">
        <f t="shared" si="19"/>
        <v>89.461803599999996</v>
      </c>
      <c r="CY12" s="30">
        <f t="shared" si="19"/>
        <v>27.117072000000004</v>
      </c>
      <c r="CZ12" s="280">
        <f t="shared" si="19"/>
        <v>0</v>
      </c>
      <c r="DA12" s="237">
        <f t="shared" si="20"/>
        <v>0</v>
      </c>
      <c r="DB12" s="26">
        <f t="shared" si="20"/>
        <v>82.8</v>
      </c>
      <c r="DC12" s="277">
        <f t="shared" si="20"/>
        <v>180.89</v>
      </c>
      <c r="DD12" s="280">
        <f t="shared" si="20"/>
        <v>0</v>
      </c>
      <c r="DE12" s="508">
        <f t="shared" si="33"/>
        <v>0</v>
      </c>
      <c r="DF12" s="247"/>
      <c r="DG12" s="293">
        <f t="shared" si="21"/>
        <v>0</v>
      </c>
      <c r="DH12" s="294"/>
      <c r="DI12" s="294"/>
      <c r="DJ12" s="295">
        <f t="shared" si="22"/>
        <v>0</v>
      </c>
      <c r="DK12" s="296">
        <f t="shared" si="23"/>
        <v>0</v>
      </c>
    </row>
    <row r="13" spans="1:117" ht="16.5" customHeight="1" thickBot="1">
      <c r="A13" s="127">
        <v>7</v>
      </c>
      <c r="B13" s="103">
        <f>'[1]июль 20'!K12</f>
        <v>408.375</v>
      </c>
      <c r="C13" s="104">
        <f t="shared" si="0"/>
        <v>0.44154505050505055</v>
      </c>
      <c r="D13" s="448">
        <f t="shared" si="24"/>
        <v>406.57184039999999</v>
      </c>
      <c r="E13" s="104">
        <f t="shared" si="1"/>
        <v>37.651143973063974</v>
      </c>
      <c r="F13" s="128">
        <f t="shared" si="25"/>
        <v>2.2341198925174326</v>
      </c>
      <c r="G13" s="106"/>
      <c r="H13" s="107">
        <f t="shared" si="2"/>
        <v>1.9725515042613866</v>
      </c>
      <c r="I13" s="103">
        <f>'[1]сентябрь 20'!AE12</f>
        <v>0</v>
      </c>
      <c r="J13" s="491">
        <f>'[1]июль 20'!AA12</f>
        <v>0</v>
      </c>
      <c r="K13" s="494"/>
      <c r="L13" s="492">
        <f>'[1]июль 20'!AI12</f>
        <v>47.600999999999999</v>
      </c>
      <c r="M13" s="103">
        <f t="shared" si="3"/>
        <v>0.26156838825604584</v>
      </c>
      <c r="N13" s="103">
        <f>'[1]июль 20'!W12</f>
        <v>2.7989999999999999</v>
      </c>
      <c r="O13" s="103">
        <f>'[1]июль 20'!AM12</f>
        <v>0</v>
      </c>
      <c r="P13" s="447">
        <f t="shared" si="26"/>
        <v>0</v>
      </c>
      <c r="Q13" s="103">
        <f t="shared" si="27"/>
        <v>0</v>
      </c>
      <c r="R13" s="103">
        <f>'[1]июль 20'!S12</f>
        <v>265.11500000000001</v>
      </c>
      <c r="S13" s="108">
        <f t="shared" si="4"/>
        <v>1.5483846632593501</v>
      </c>
      <c r="T13" s="109">
        <f t="shared" si="28"/>
        <v>261.01</v>
      </c>
      <c r="U13" s="106">
        <v>28.8</v>
      </c>
      <c r="V13" s="109">
        <f t="shared" si="5"/>
        <v>261.01</v>
      </c>
      <c r="W13" s="485">
        <f t="shared" si="6"/>
        <v>1.4342548479803054</v>
      </c>
      <c r="X13" s="495">
        <f t="shared" si="29"/>
        <v>1.4342548479803054</v>
      </c>
      <c r="Y13" s="135">
        <v>140.6</v>
      </c>
      <c r="Z13" s="130">
        <v>181.98</v>
      </c>
      <c r="AA13" s="131">
        <v>0.46</v>
      </c>
      <c r="AB13" s="146">
        <v>665</v>
      </c>
      <c r="AC13" s="147">
        <v>1214</v>
      </c>
      <c r="AD13" s="144" t="s">
        <v>349</v>
      </c>
      <c r="AE13" s="131">
        <v>74.61</v>
      </c>
      <c r="AF13" s="133">
        <v>136</v>
      </c>
      <c r="AG13" s="134">
        <v>4</v>
      </c>
      <c r="AH13" s="131">
        <v>4.8</v>
      </c>
      <c r="AI13" s="115">
        <f t="shared" si="7"/>
        <v>26.376090074347598</v>
      </c>
      <c r="AJ13" s="131">
        <v>122.6</v>
      </c>
      <c r="AK13" s="115">
        <f t="shared" si="8"/>
        <v>673.68930064896165</v>
      </c>
      <c r="AL13" s="131">
        <v>17.72</v>
      </c>
      <c r="AM13" s="116"/>
      <c r="AN13" s="135">
        <v>7.64</v>
      </c>
      <c r="AO13" s="466">
        <f t="shared" si="9"/>
        <v>44.137</v>
      </c>
      <c r="AP13" s="110">
        <f t="shared" si="10"/>
        <v>0.19</v>
      </c>
      <c r="AQ13" s="137" t="s">
        <v>164</v>
      </c>
      <c r="AR13" s="150">
        <v>8.42</v>
      </c>
      <c r="AS13" s="138">
        <v>7.7</v>
      </c>
      <c r="AT13" s="131"/>
      <c r="AU13" s="131">
        <v>9.7200000000000006</v>
      </c>
      <c r="AV13" s="315">
        <v>232.3</v>
      </c>
      <c r="AW13" s="131">
        <v>1.46</v>
      </c>
      <c r="AX13" s="148"/>
      <c r="AY13" s="149"/>
      <c r="AZ13" s="109"/>
      <c r="BA13" s="109">
        <f t="shared" si="11"/>
        <v>181.98300000000003</v>
      </c>
      <c r="BB13" s="115">
        <f t="shared" si="12"/>
        <v>179.11529615615405</v>
      </c>
      <c r="BC13" s="140">
        <f t="shared" si="13"/>
        <v>9.2312619718309854</v>
      </c>
      <c r="BD13" s="141">
        <f t="shared" si="14"/>
        <v>7.2793200000000011</v>
      </c>
      <c r="BE13" s="128">
        <f t="shared" si="15"/>
        <v>0.886977061196912</v>
      </c>
      <c r="BF13" s="141">
        <f t="shared" si="16"/>
        <v>16.510581971830987</v>
      </c>
      <c r="BG13" s="142">
        <v>0.88200000000000001</v>
      </c>
      <c r="BH13" s="16">
        <f t="shared" si="30"/>
        <v>1098.345</v>
      </c>
      <c r="BI13" s="16">
        <f t="shared" si="17"/>
        <v>182.25806451612902</v>
      </c>
      <c r="BJ13" s="16">
        <f t="shared" si="31"/>
        <v>1275.8064516129032</v>
      </c>
      <c r="BK13" s="17">
        <f t="shared" si="18"/>
        <v>1</v>
      </c>
      <c r="BL13" s="16">
        <f t="shared" si="32"/>
        <v>1275.8064516129032</v>
      </c>
      <c r="BM13" s="249"/>
      <c r="BN13" s="195">
        <v>47.600999999999999</v>
      </c>
      <c r="BO13" s="266"/>
      <c r="BP13" s="196">
        <v>247.834</v>
      </c>
      <c r="BQ13" s="313">
        <v>88.305999999999997</v>
      </c>
      <c r="BR13" s="230">
        <v>24.634</v>
      </c>
      <c r="BS13" s="250"/>
      <c r="BT13" s="199"/>
      <c r="BU13" s="200"/>
      <c r="BV13" s="200"/>
      <c r="BW13" s="200"/>
      <c r="BX13" s="200">
        <v>0.43</v>
      </c>
      <c r="BY13" s="208">
        <v>0.28000000000000003</v>
      </c>
      <c r="BZ13" s="208">
        <v>1.99</v>
      </c>
      <c r="CA13" s="201"/>
      <c r="CB13" s="202"/>
      <c r="CC13" s="200">
        <v>43.92</v>
      </c>
      <c r="CD13" s="202"/>
      <c r="CE13" s="200">
        <v>37.42</v>
      </c>
      <c r="CF13" s="200">
        <v>37.44</v>
      </c>
      <c r="CG13" s="200">
        <v>28.62</v>
      </c>
      <c r="CH13" s="200"/>
      <c r="CI13" s="203"/>
      <c r="CJ13" s="204"/>
      <c r="CK13" s="197">
        <v>81.599999999999994</v>
      </c>
      <c r="CL13" s="264">
        <v>179.41</v>
      </c>
      <c r="CM13" s="265"/>
      <c r="CN13" s="202"/>
      <c r="CO13" s="202"/>
      <c r="CP13" s="270"/>
      <c r="CQ13" s="201"/>
      <c r="CR13" s="201"/>
      <c r="CS13" s="284"/>
      <c r="CT13" s="286">
        <f t="shared" si="19"/>
        <v>0</v>
      </c>
      <c r="CU13" s="24">
        <f t="shared" si="19"/>
        <v>47.600999999999999</v>
      </c>
      <c r="CV13" s="25">
        <f t="shared" si="19"/>
        <v>0</v>
      </c>
      <c r="CW13" s="24">
        <f t="shared" si="19"/>
        <v>246.76831379999999</v>
      </c>
      <c r="CX13" s="27">
        <f t="shared" si="19"/>
        <v>88.058743199999995</v>
      </c>
      <c r="CY13" s="24">
        <f t="shared" si="19"/>
        <v>24.143783400000004</v>
      </c>
      <c r="CZ13" s="280">
        <f t="shared" si="19"/>
        <v>0</v>
      </c>
      <c r="DA13" s="237">
        <f t="shared" si="20"/>
        <v>0</v>
      </c>
      <c r="DB13" s="26">
        <f t="shared" si="20"/>
        <v>81.599999999999994</v>
      </c>
      <c r="DC13" s="277">
        <f t="shared" si="20"/>
        <v>179.41</v>
      </c>
      <c r="DD13" s="280">
        <f t="shared" si="20"/>
        <v>0</v>
      </c>
      <c r="DE13" s="508">
        <f t="shared" si="33"/>
        <v>0</v>
      </c>
      <c r="DF13" s="247"/>
      <c r="DG13" s="293">
        <f t="shared" si="21"/>
        <v>0</v>
      </c>
      <c r="DH13" s="294"/>
      <c r="DI13" s="294"/>
      <c r="DJ13" s="295">
        <f t="shared" si="22"/>
        <v>0</v>
      </c>
      <c r="DK13" s="296">
        <f t="shared" si="23"/>
        <v>0</v>
      </c>
    </row>
    <row r="14" spans="1:117" ht="16.5" customHeight="1" thickBot="1">
      <c r="A14" s="127">
        <v>8</v>
      </c>
      <c r="B14" s="103">
        <f>'[1]июль 20'!K13</f>
        <v>414.17099999999999</v>
      </c>
      <c r="C14" s="104">
        <f t="shared" si="0"/>
        <v>0.33098536594788147</v>
      </c>
      <c r="D14" s="448">
        <f>B14*((100-C14)/100)</f>
        <v>412.80015459999998</v>
      </c>
      <c r="E14" s="104">
        <f t="shared" si="1"/>
        <v>38.265361988164308</v>
      </c>
      <c r="F14" s="128">
        <f t="shared" si="25"/>
        <v>2.2083140993954955</v>
      </c>
      <c r="G14" s="106"/>
      <c r="H14" s="107">
        <f>IF(BA14=0,0,(CZ14+CW14+CY14+CT14+CX14)/BA14)</f>
        <v>1.9933405798962176</v>
      </c>
      <c r="I14" s="103">
        <f>'[1]сентябрь 20'!AE13</f>
        <v>0</v>
      </c>
      <c r="J14" s="328">
        <f>'[1]июль 20'!AA13</f>
        <v>0</v>
      </c>
      <c r="K14" s="106"/>
      <c r="L14" s="328">
        <f>'[1]июль 20'!AI13</f>
        <v>40.185000000000002</v>
      </c>
      <c r="M14" s="103">
        <f>IF(BA14=0,0,(CV14+CU14)/BA14)</f>
        <v>0.21497351949927782</v>
      </c>
      <c r="N14" s="103">
        <f>'[1]июль 20'!W13</f>
        <v>0</v>
      </c>
      <c r="O14" s="103">
        <f>'[1]июль 20'!AM13</f>
        <v>0</v>
      </c>
      <c r="P14" s="447">
        <f t="shared" si="26"/>
        <v>0</v>
      </c>
      <c r="Q14" s="103">
        <f t="shared" si="27"/>
        <v>0</v>
      </c>
      <c r="R14" s="103">
        <f>'[1]июль 20'!S13</f>
        <v>267.56599999999997</v>
      </c>
      <c r="S14" s="108">
        <f>IF(R14=0,0,(1-(V14/R14))*100)</f>
        <v>1.4897258994042595</v>
      </c>
      <c r="T14" s="109">
        <f>R14*((100-S14)/100)</f>
        <v>263.58</v>
      </c>
      <c r="U14" s="106">
        <v>19.93</v>
      </c>
      <c r="V14" s="109">
        <f>CJ14+CK14+CM14+CL14</f>
        <v>263.58</v>
      </c>
      <c r="W14" s="485">
        <f t="shared" si="6"/>
        <v>1.4100465414861176</v>
      </c>
      <c r="X14" s="495">
        <f t="shared" si="29"/>
        <v>1.4100465414861176</v>
      </c>
      <c r="Y14" s="135">
        <v>101.07</v>
      </c>
      <c r="Z14" s="130">
        <v>186.93</v>
      </c>
      <c r="AA14" s="131">
        <v>0.64</v>
      </c>
      <c r="AB14" s="146">
        <v>663</v>
      </c>
      <c r="AC14" s="147">
        <v>1219</v>
      </c>
      <c r="AD14" s="144" t="s">
        <v>350</v>
      </c>
      <c r="AE14" s="131">
        <v>74.64</v>
      </c>
      <c r="AF14" s="133">
        <v>138</v>
      </c>
      <c r="AG14" s="134">
        <v>4</v>
      </c>
      <c r="AH14" s="131">
        <v>2.6</v>
      </c>
      <c r="AI14" s="115">
        <f t="shared" si="7"/>
        <v>13.908949874284492</v>
      </c>
      <c r="AJ14" s="131">
        <v>112.7</v>
      </c>
      <c r="AK14" s="115">
        <f>IF(BA14=0,0,AJ14/BA14*1000)</f>
        <v>602.89948108917781</v>
      </c>
      <c r="AL14" s="131">
        <v>18.62</v>
      </c>
      <c r="AM14" s="116"/>
      <c r="AN14" s="135">
        <v>8.06</v>
      </c>
      <c r="AO14" s="466">
        <f t="shared" si="9"/>
        <v>45.22</v>
      </c>
      <c r="AP14" s="110">
        <f>IF(AO14=0,0,AO14/AV14)</f>
        <v>0.19</v>
      </c>
      <c r="AQ14" s="137" t="s">
        <v>351</v>
      </c>
      <c r="AR14" s="150">
        <v>8.66</v>
      </c>
      <c r="AS14" s="138">
        <v>8.16</v>
      </c>
      <c r="AT14" s="131"/>
      <c r="AU14" s="131">
        <v>7.15</v>
      </c>
      <c r="AV14" s="315">
        <v>238</v>
      </c>
      <c r="AW14" s="131">
        <v>2.21</v>
      </c>
      <c r="AX14" s="148"/>
      <c r="AY14" s="149"/>
      <c r="AZ14" s="109"/>
      <c r="BA14" s="109">
        <f>AV14-AO14-AN14+AY14+AW14</f>
        <v>186.93</v>
      </c>
      <c r="BB14" s="115">
        <f t="shared" si="12"/>
        <v>184.75163493813923</v>
      </c>
      <c r="BC14" s="140">
        <f>(AJ14*AU14)/100*(55/71)</f>
        <v>6.242151408450705</v>
      </c>
      <c r="BD14" s="141">
        <f>BA14*$BD$6</f>
        <v>7.4772000000000007</v>
      </c>
      <c r="BE14" s="128">
        <f t="shared" si="15"/>
        <v>0.883293347063701</v>
      </c>
      <c r="BF14" s="141">
        <f>BC14+BD14</f>
        <v>13.719351408450706</v>
      </c>
      <c r="BG14" s="142">
        <v>0.88200000000000001</v>
      </c>
      <c r="BH14" s="16">
        <f>BH13+BA14</f>
        <v>1285.2750000000001</v>
      </c>
      <c r="BI14" s="16">
        <f>IF(A14&lt;=$BG$43,$AV$43,0)</f>
        <v>182.25806451612902</v>
      </c>
      <c r="BJ14" s="16">
        <f>BI14+BJ13</f>
        <v>1458.0645161290322</v>
      </c>
      <c r="BK14" s="17">
        <f>IF(BA14&lt;&gt;0,1,0)</f>
        <v>1</v>
      </c>
      <c r="BL14" s="16">
        <f>BL13+BI14*BK14</f>
        <v>1458.0645161290322</v>
      </c>
      <c r="BM14" s="249"/>
      <c r="BN14" s="195">
        <v>40.185000000000002</v>
      </c>
      <c r="BO14" s="266"/>
      <c r="BP14" s="196">
        <v>270.488</v>
      </c>
      <c r="BQ14" s="313">
        <v>89.707999999999998</v>
      </c>
      <c r="BR14" s="230">
        <v>13.79</v>
      </c>
      <c r="BS14" s="250"/>
      <c r="BT14" s="199"/>
      <c r="BU14" s="200"/>
      <c r="BV14" s="200"/>
      <c r="BW14" s="200"/>
      <c r="BX14" s="200">
        <v>0.35</v>
      </c>
      <c r="BY14" s="208">
        <v>0.13</v>
      </c>
      <c r="BZ14" s="208">
        <v>2.23</v>
      </c>
      <c r="CA14" s="201"/>
      <c r="CB14" s="202"/>
      <c r="CC14" s="200">
        <v>43.82</v>
      </c>
      <c r="CD14" s="202"/>
      <c r="CE14" s="200">
        <v>37.79</v>
      </c>
      <c r="CF14" s="200">
        <v>37.840000000000003</v>
      </c>
      <c r="CG14" s="200">
        <v>34.17</v>
      </c>
      <c r="CH14" s="200"/>
      <c r="CI14" s="203"/>
      <c r="CJ14" s="204"/>
      <c r="CK14" s="197">
        <v>82.8</v>
      </c>
      <c r="CL14" s="264">
        <v>180.78</v>
      </c>
      <c r="CM14" s="265"/>
      <c r="CN14" s="202"/>
      <c r="CO14" s="202"/>
      <c r="CP14" s="270"/>
      <c r="CQ14" s="201"/>
      <c r="CR14" s="201"/>
      <c r="CS14" s="284"/>
      <c r="CT14" s="286">
        <f t="shared" si="19"/>
        <v>0</v>
      </c>
      <c r="CU14" s="27">
        <f t="shared" si="19"/>
        <v>40.185000000000002</v>
      </c>
      <c r="CV14" s="28">
        <f t="shared" si="19"/>
        <v>0</v>
      </c>
      <c r="CW14" s="27">
        <f t="shared" si="19"/>
        <v>269.541292</v>
      </c>
      <c r="CX14" s="27">
        <f t="shared" si="19"/>
        <v>89.591379599999996</v>
      </c>
      <c r="CY14" s="24">
        <f t="shared" si="19"/>
        <v>13.482483</v>
      </c>
      <c r="CZ14" s="282">
        <f t="shared" si="19"/>
        <v>0</v>
      </c>
      <c r="DA14" s="237">
        <f t="shared" si="20"/>
        <v>0</v>
      </c>
      <c r="DB14" s="26">
        <f t="shared" si="20"/>
        <v>82.8</v>
      </c>
      <c r="DC14" s="277">
        <f t="shared" si="20"/>
        <v>180.78</v>
      </c>
      <c r="DD14" s="280">
        <f t="shared" si="20"/>
        <v>0</v>
      </c>
      <c r="DE14" s="508">
        <f t="shared" si="33"/>
        <v>0</v>
      </c>
      <c r="DF14" s="247"/>
      <c r="DG14" s="293">
        <f t="shared" si="21"/>
        <v>0</v>
      </c>
      <c r="DH14" s="294"/>
      <c r="DI14" s="294"/>
      <c r="DJ14" s="295">
        <f t="shared" si="22"/>
        <v>0</v>
      </c>
      <c r="DK14" s="296">
        <f t="shared" si="23"/>
        <v>0</v>
      </c>
    </row>
    <row r="15" spans="1:117" ht="16.5" customHeight="1" thickBot="1">
      <c r="A15" s="253">
        <v>9</v>
      </c>
      <c r="B15" s="103">
        <f>'[1]июль 20'!K14</f>
        <v>410.762</v>
      </c>
      <c r="C15" s="104">
        <f t="shared" si="0"/>
        <v>0.34764135922991901</v>
      </c>
      <c r="D15" s="448">
        <f t="shared" si="24"/>
        <v>409.33402139999998</v>
      </c>
      <c r="E15" s="104">
        <f t="shared" si="1"/>
        <v>37.819578734157481</v>
      </c>
      <c r="F15" s="128">
        <f t="shared" si="25"/>
        <v>2.2581080547020238</v>
      </c>
      <c r="G15" s="106"/>
      <c r="H15" s="107">
        <f t="shared" si="2"/>
        <v>2.0692768443176863</v>
      </c>
      <c r="I15" s="103">
        <f>'[1]сентябрь 20'!AE14</f>
        <v>0</v>
      </c>
      <c r="J15" s="328">
        <f>'[1]июль 20'!AA14</f>
        <v>0</v>
      </c>
      <c r="K15" s="106"/>
      <c r="L15" s="328">
        <f>'[1]июль 20'!AI14</f>
        <v>34.229999999999997</v>
      </c>
      <c r="M15" s="103">
        <f t="shared" si="3"/>
        <v>0.18883121038433739</v>
      </c>
      <c r="N15" s="103">
        <f>'[1]июль 20'!W14</f>
        <v>0</v>
      </c>
      <c r="O15" s="103">
        <f>'[1]июль 20'!AM14</f>
        <v>0</v>
      </c>
      <c r="P15" s="447">
        <f t="shared" si="26"/>
        <v>0</v>
      </c>
      <c r="Q15" s="103">
        <f t="shared" si="27"/>
        <v>0</v>
      </c>
      <c r="R15" s="103">
        <f>'[1]июль 20'!S14</f>
        <v>265.52100000000002</v>
      </c>
      <c r="S15" s="108">
        <f t="shared" si="4"/>
        <v>1.4503560923618042</v>
      </c>
      <c r="T15" s="109">
        <f t="shared" si="28"/>
        <v>261.67</v>
      </c>
      <c r="U15" s="106">
        <v>19.61</v>
      </c>
      <c r="V15" s="109">
        <f t="shared" si="5"/>
        <v>261.67</v>
      </c>
      <c r="W15" s="485">
        <f t="shared" si="6"/>
        <v>1.443513374854501</v>
      </c>
      <c r="X15" s="495">
        <f t="shared" si="29"/>
        <v>1.443513374854501</v>
      </c>
      <c r="Y15" s="135">
        <v>181.27</v>
      </c>
      <c r="Z15" s="130">
        <v>181.27</v>
      </c>
      <c r="AA15" s="131">
        <v>0.65</v>
      </c>
      <c r="AB15" s="112">
        <v>628</v>
      </c>
      <c r="AC15" s="133">
        <v>1208</v>
      </c>
      <c r="AD15" s="144" t="s">
        <v>352</v>
      </c>
      <c r="AE15" s="131">
        <v>76.180000000000007</v>
      </c>
      <c r="AF15" s="133">
        <v>137</v>
      </c>
      <c r="AG15" s="134">
        <v>4</v>
      </c>
      <c r="AH15" s="131">
        <v>1.35</v>
      </c>
      <c r="AI15" s="115">
        <f t="shared" si="7"/>
        <v>7.4473308214681717</v>
      </c>
      <c r="AJ15" s="131">
        <v>101.6</v>
      </c>
      <c r="AK15" s="115">
        <f t="shared" si="8"/>
        <v>560.48060108234529</v>
      </c>
      <c r="AL15" s="131">
        <v>17.93</v>
      </c>
      <c r="AM15" s="116"/>
      <c r="AN15" s="135">
        <v>9.2200000000000006</v>
      </c>
      <c r="AO15" s="466">
        <f t="shared" si="9"/>
        <v>44.137</v>
      </c>
      <c r="AP15" s="110">
        <f t="shared" si="10"/>
        <v>0.19</v>
      </c>
      <c r="AQ15" s="137" t="s">
        <v>353</v>
      </c>
      <c r="AR15" s="150">
        <v>8.3000000000000007</v>
      </c>
      <c r="AS15" s="138">
        <v>8.64</v>
      </c>
      <c r="AT15" s="131"/>
      <c r="AU15" s="131">
        <v>6.28</v>
      </c>
      <c r="AV15" s="315">
        <v>232.3</v>
      </c>
      <c r="AW15" s="131">
        <v>2.33</v>
      </c>
      <c r="AX15" s="116"/>
      <c r="AY15" s="131"/>
      <c r="AZ15" s="109"/>
      <c r="BA15" s="109">
        <f t="shared" si="11"/>
        <v>181.27300000000002</v>
      </c>
      <c r="BB15" s="115">
        <f t="shared" si="12"/>
        <v>177.40579599686879</v>
      </c>
      <c r="BC15" s="140">
        <f t="shared" si="13"/>
        <v>4.9426253521126764</v>
      </c>
      <c r="BD15" s="141">
        <f t="shared" si="14"/>
        <v>7.2509200000000007</v>
      </c>
      <c r="BE15" s="128">
        <f t="shared" si="15"/>
        <v>0.89203020741663452</v>
      </c>
      <c r="BF15" s="141">
        <f t="shared" si="16"/>
        <v>12.193545352112677</v>
      </c>
      <c r="BG15" s="142">
        <v>0.88300000000000001</v>
      </c>
      <c r="BH15" s="16">
        <f t="shared" si="30"/>
        <v>1466.5480000000002</v>
      </c>
      <c r="BI15" s="16">
        <f t="shared" si="17"/>
        <v>182.25806451612902</v>
      </c>
      <c r="BJ15" s="16">
        <f t="shared" si="31"/>
        <v>1640.3225806451612</v>
      </c>
      <c r="BK15" s="17">
        <f t="shared" si="18"/>
        <v>1</v>
      </c>
      <c r="BL15" s="16">
        <f t="shared" si="32"/>
        <v>1640.3225806451612</v>
      </c>
      <c r="BM15" s="249"/>
      <c r="BN15" s="195">
        <v>34.229999999999997</v>
      </c>
      <c r="BO15" s="197"/>
      <c r="BP15" s="197">
        <v>274.01799999999997</v>
      </c>
      <c r="BQ15" s="230">
        <v>89.034999999999997</v>
      </c>
      <c r="BR15" s="195">
        <v>13.478999999999999</v>
      </c>
      <c r="BS15" s="329"/>
      <c r="BT15" s="199"/>
      <c r="BU15" s="200"/>
      <c r="BV15" s="200"/>
      <c r="BW15" s="200"/>
      <c r="BX15" s="200">
        <v>0.38</v>
      </c>
      <c r="BY15" s="208">
        <v>0.18</v>
      </c>
      <c r="BZ15" s="208">
        <v>1.68</v>
      </c>
      <c r="CA15" s="330"/>
      <c r="CB15" s="202"/>
      <c r="CC15" s="200">
        <v>43.57</v>
      </c>
      <c r="CD15" s="200"/>
      <c r="CE15" s="200">
        <v>37.51</v>
      </c>
      <c r="CF15" s="200">
        <v>37.65</v>
      </c>
      <c r="CG15" s="200">
        <v>30.63</v>
      </c>
      <c r="CH15" s="200"/>
      <c r="CI15" s="203"/>
      <c r="CJ15" s="204"/>
      <c r="CK15" s="230">
        <v>82.2</v>
      </c>
      <c r="CL15" s="266">
        <v>179.47</v>
      </c>
      <c r="CM15" s="265"/>
      <c r="CN15" s="202"/>
      <c r="CO15" s="208"/>
      <c r="CP15" s="208"/>
      <c r="CQ15" s="201"/>
      <c r="CR15" s="201"/>
      <c r="CS15" s="284"/>
      <c r="CT15" s="286">
        <f t="shared" si="19"/>
        <v>0</v>
      </c>
      <c r="CU15" s="29">
        <f t="shared" si="19"/>
        <v>34.229999999999997</v>
      </c>
      <c r="CV15" s="30">
        <f t="shared" si="19"/>
        <v>0</v>
      </c>
      <c r="CW15" s="29">
        <f t="shared" si="19"/>
        <v>272.97673159999999</v>
      </c>
      <c r="CX15" s="27">
        <f t="shared" si="19"/>
        <v>88.874736999999996</v>
      </c>
      <c r="CY15" s="24">
        <f t="shared" si="19"/>
        <v>13.252552799999998</v>
      </c>
      <c r="CZ15" s="283">
        <f t="shared" si="19"/>
        <v>0</v>
      </c>
      <c r="DA15" s="237">
        <f t="shared" si="20"/>
        <v>0</v>
      </c>
      <c r="DB15" s="24">
        <f t="shared" si="20"/>
        <v>82.2</v>
      </c>
      <c r="DC15" s="277">
        <f t="shared" si="20"/>
        <v>179.47</v>
      </c>
      <c r="DD15" s="280">
        <f t="shared" si="20"/>
        <v>0</v>
      </c>
      <c r="DE15" s="508">
        <f t="shared" si="33"/>
        <v>0</v>
      </c>
      <c r="DF15" s="247"/>
      <c r="DG15" s="293">
        <f t="shared" si="21"/>
        <v>0</v>
      </c>
      <c r="DH15" s="294"/>
      <c r="DI15" s="294"/>
      <c r="DJ15" s="295">
        <f t="shared" si="22"/>
        <v>0</v>
      </c>
      <c r="DK15" s="296">
        <f t="shared" si="23"/>
        <v>0</v>
      </c>
    </row>
    <row r="16" spans="1:117" ht="16.5" customHeight="1" thickBot="1">
      <c r="A16" s="127">
        <v>10</v>
      </c>
      <c r="B16" s="103">
        <f>'[1]июль 20'!K15</f>
        <v>410.77100000000002</v>
      </c>
      <c r="C16" s="104">
        <f t="shared" si="0"/>
        <v>0.46082152829678824</v>
      </c>
      <c r="D16" s="448">
        <f t="shared" si="24"/>
        <v>408.87807879999997</v>
      </c>
      <c r="E16" s="104">
        <f t="shared" si="1"/>
        <v>37.886371335853795</v>
      </c>
      <c r="F16" s="128">
        <f t="shared" si="25"/>
        <v>2.2104564618366314</v>
      </c>
      <c r="G16" s="106"/>
      <c r="H16" s="107">
        <f t="shared" si="2"/>
        <v>2.0252903984062667</v>
      </c>
      <c r="I16" s="103">
        <f>'[1]сентябрь 20'!AE15</f>
        <v>0</v>
      </c>
      <c r="J16" s="328">
        <f>'[1]июль 20'!AA15</f>
        <v>0</v>
      </c>
      <c r="K16" s="106"/>
      <c r="L16" s="328">
        <f>'[1]июль 20'!AI15</f>
        <v>34.250999999999998</v>
      </c>
      <c r="M16" s="103">
        <f t="shared" si="3"/>
        <v>0.18516606343036471</v>
      </c>
      <c r="N16" s="103">
        <f>'[1]июль 20'!W15</f>
        <v>0</v>
      </c>
      <c r="O16" s="103">
        <f>'[1]июль 20'!AM15</f>
        <v>0</v>
      </c>
      <c r="P16" s="447">
        <f t="shared" si="26"/>
        <v>0</v>
      </c>
      <c r="Q16" s="103">
        <f t="shared" si="27"/>
        <v>0</v>
      </c>
      <c r="R16" s="103">
        <f>'[1]июль 20'!S15</f>
        <v>266.767</v>
      </c>
      <c r="S16" s="108">
        <f t="shared" si="4"/>
        <v>1.4945626707950965</v>
      </c>
      <c r="T16" s="109">
        <f t="shared" si="28"/>
        <v>262.78000000000009</v>
      </c>
      <c r="U16" s="106">
        <v>20.34</v>
      </c>
      <c r="V16" s="109">
        <f t="shared" si="5"/>
        <v>262.78000000000003</v>
      </c>
      <c r="W16" s="485">
        <f t="shared" si="6"/>
        <v>1.420628248758613</v>
      </c>
      <c r="X16" s="495">
        <f t="shared" si="29"/>
        <v>1.420628248758613</v>
      </c>
      <c r="Y16" s="135">
        <v>184.97</v>
      </c>
      <c r="Z16" s="130">
        <v>184.97</v>
      </c>
      <c r="AA16" s="131">
        <v>0.5</v>
      </c>
      <c r="AB16" s="112">
        <v>643</v>
      </c>
      <c r="AC16" s="133">
        <v>1221</v>
      </c>
      <c r="AD16" s="144" t="s">
        <v>360</v>
      </c>
      <c r="AE16" s="131">
        <v>76.739999999999995</v>
      </c>
      <c r="AF16" s="133">
        <v>137</v>
      </c>
      <c r="AG16" s="134">
        <v>4</v>
      </c>
      <c r="AH16" s="131">
        <v>4.2</v>
      </c>
      <c r="AI16" s="115">
        <f t="shared" si="7"/>
        <v>22.705832425550547</v>
      </c>
      <c r="AJ16" s="131">
        <v>106.15</v>
      </c>
      <c r="AK16" s="115">
        <f t="shared" si="8"/>
        <v>573.86288380290262</v>
      </c>
      <c r="AL16" s="139">
        <v>17.68</v>
      </c>
      <c r="AM16" s="131"/>
      <c r="AN16" s="136">
        <v>8.26</v>
      </c>
      <c r="AO16" s="466">
        <f t="shared" si="9"/>
        <v>44.735500000000002</v>
      </c>
      <c r="AP16" s="110">
        <f t="shared" si="10"/>
        <v>0.19000000000000003</v>
      </c>
      <c r="AQ16" s="137" t="s">
        <v>361</v>
      </c>
      <c r="AR16" s="150">
        <v>7.86</v>
      </c>
      <c r="AS16" s="138">
        <v>8.4700000000000006</v>
      </c>
      <c r="AT16" s="131"/>
      <c r="AU16" s="131">
        <v>7.29</v>
      </c>
      <c r="AV16" s="315">
        <v>235.45</v>
      </c>
      <c r="AW16" s="131">
        <v>2.52</v>
      </c>
      <c r="AX16" s="116"/>
      <c r="AY16" s="131"/>
      <c r="AZ16" s="109"/>
      <c r="BA16" s="109">
        <f t="shared" si="11"/>
        <v>184.97450000000001</v>
      </c>
      <c r="BB16" s="115">
        <f t="shared" si="12"/>
        <v>176.22571762437926</v>
      </c>
      <c r="BC16" s="140">
        <f t="shared" si="13"/>
        <v>5.9944848591549302</v>
      </c>
      <c r="BD16" s="141">
        <f t="shared" si="14"/>
        <v>7.3989800000000008</v>
      </c>
      <c r="BE16" s="128">
        <f t="shared" si="15"/>
        <v>0.91634036550894615</v>
      </c>
      <c r="BF16" s="141">
        <f t="shared" si="16"/>
        <v>13.393464859154932</v>
      </c>
      <c r="BG16" s="142">
        <v>0.88700000000000001</v>
      </c>
      <c r="BH16" s="16">
        <f t="shared" si="30"/>
        <v>1651.5225000000003</v>
      </c>
      <c r="BI16" s="16">
        <f t="shared" si="17"/>
        <v>182.25806451612902</v>
      </c>
      <c r="BJ16" s="16">
        <f t="shared" si="31"/>
        <v>1822.5806451612902</v>
      </c>
      <c r="BK16" s="17">
        <f t="shared" si="18"/>
        <v>1</v>
      </c>
      <c r="BL16" s="16">
        <f t="shared" si="32"/>
        <v>1822.5806451612902</v>
      </c>
      <c r="BM16" s="249"/>
      <c r="BN16" s="195">
        <v>34.250999999999998</v>
      </c>
      <c r="BO16" s="195"/>
      <c r="BP16" s="197">
        <v>273.995</v>
      </c>
      <c r="BQ16" s="230">
        <v>89.028000000000006</v>
      </c>
      <c r="BR16" s="230">
        <v>13.497</v>
      </c>
      <c r="BS16" s="250"/>
      <c r="BT16" s="199"/>
      <c r="BU16" s="200"/>
      <c r="BV16" s="200"/>
      <c r="BW16" s="200"/>
      <c r="BX16" s="200">
        <v>0.59</v>
      </c>
      <c r="BY16" s="208">
        <v>0.13</v>
      </c>
      <c r="BZ16" s="208">
        <v>1.19</v>
      </c>
      <c r="CA16" s="201"/>
      <c r="CB16" s="202"/>
      <c r="CC16" s="200">
        <v>43.69</v>
      </c>
      <c r="CD16" s="200"/>
      <c r="CE16" s="200">
        <v>37.32</v>
      </c>
      <c r="CF16" s="200">
        <v>38.33</v>
      </c>
      <c r="CG16" s="200">
        <v>31.73</v>
      </c>
      <c r="CH16" s="200"/>
      <c r="CI16" s="203"/>
      <c r="CJ16" s="204"/>
      <c r="CK16" s="230">
        <v>82.2</v>
      </c>
      <c r="CL16" s="266">
        <v>180.58</v>
      </c>
      <c r="CM16" s="265"/>
      <c r="CN16" s="202"/>
      <c r="CO16" s="208"/>
      <c r="CP16" s="208"/>
      <c r="CQ16" s="201"/>
      <c r="CR16" s="201"/>
      <c r="CS16" s="284"/>
      <c r="CT16" s="286">
        <f t="shared" si="19"/>
        <v>0</v>
      </c>
      <c r="CU16" s="24">
        <f t="shared" si="19"/>
        <v>34.250999999999998</v>
      </c>
      <c r="CV16" s="25">
        <f t="shared" si="19"/>
        <v>0</v>
      </c>
      <c r="CW16" s="24">
        <f t="shared" si="19"/>
        <v>272.37842949999998</v>
      </c>
      <c r="CX16" s="27">
        <f t="shared" si="19"/>
        <v>88.912263600000003</v>
      </c>
      <c r="CY16" s="24">
        <f t="shared" si="19"/>
        <v>13.336385699999999</v>
      </c>
      <c r="CZ16" s="280">
        <f t="shared" si="19"/>
        <v>0</v>
      </c>
      <c r="DA16" s="237">
        <f t="shared" si="20"/>
        <v>0</v>
      </c>
      <c r="DB16" s="29">
        <f t="shared" si="20"/>
        <v>82.2</v>
      </c>
      <c r="DC16" s="277">
        <f t="shared" si="20"/>
        <v>180.58</v>
      </c>
      <c r="DD16" s="280">
        <f t="shared" si="20"/>
        <v>0</v>
      </c>
      <c r="DE16" s="508">
        <f t="shared" si="33"/>
        <v>0</v>
      </c>
      <c r="DF16" s="247"/>
      <c r="DG16" s="293">
        <f t="shared" si="21"/>
        <v>0</v>
      </c>
      <c r="DH16" s="294"/>
      <c r="DI16" s="294"/>
      <c r="DJ16" s="295">
        <f t="shared" si="22"/>
        <v>0</v>
      </c>
      <c r="DK16" s="296">
        <f t="shared" si="23"/>
        <v>0</v>
      </c>
    </row>
    <row r="17" spans="1:115" ht="16.5" customHeight="1" thickBot="1">
      <c r="A17" s="127">
        <v>11</v>
      </c>
      <c r="B17" s="103">
        <f>'[1]июль 20'!K16</f>
        <v>408.041</v>
      </c>
      <c r="C17" s="104">
        <f t="shared" si="0"/>
        <v>0.34054423452545207</v>
      </c>
      <c r="D17" s="448">
        <f t="shared" si="24"/>
        <v>406.65143990000001</v>
      </c>
      <c r="E17" s="104">
        <f t="shared" si="1"/>
        <v>37.116239152438112</v>
      </c>
      <c r="F17" s="128">
        <f t="shared" si="25"/>
        <v>2.2779040998207485</v>
      </c>
      <c r="G17" s="106"/>
      <c r="H17" s="107">
        <f t="shared" si="2"/>
        <v>2.0874660536634551</v>
      </c>
      <c r="I17" s="103">
        <f>'[1]сентябрь 20'!AE16</f>
        <v>0</v>
      </c>
      <c r="J17" s="328">
        <f>'[1]июль 20'!AA16</f>
        <v>0</v>
      </c>
      <c r="K17" s="106"/>
      <c r="L17" s="328">
        <f>'[1]июль 20'!AI16</f>
        <v>33.997</v>
      </c>
      <c r="M17" s="103">
        <f t="shared" si="3"/>
        <v>0.19043804615729329</v>
      </c>
      <c r="N17" s="103">
        <f>'[1]июль 20'!W16</f>
        <v>0</v>
      </c>
      <c r="O17" s="507">
        <f>'[1]июль 20'!AM16</f>
        <v>0</v>
      </c>
      <c r="P17" s="447">
        <f t="shared" si="26"/>
        <v>0</v>
      </c>
      <c r="Q17" s="103">
        <f t="shared" si="27"/>
        <v>0</v>
      </c>
      <c r="R17" s="103">
        <f>'[1]июль 20'!S16</f>
        <v>264.95499999999998</v>
      </c>
      <c r="S17" s="108">
        <f t="shared" si="4"/>
        <v>1.4474155988752679</v>
      </c>
      <c r="T17" s="109">
        <f t="shared" si="28"/>
        <v>261.12</v>
      </c>
      <c r="U17" s="106">
        <v>15.61</v>
      </c>
      <c r="V17" s="109">
        <f t="shared" si="5"/>
        <v>261.12</v>
      </c>
      <c r="W17" s="485">
        <f t="shared" si="6"/>
        <v>1.4626932556576293</v>
      </c>
      <c r="X17" s="495">
        <f t="shared" si="29"/>
        <v>1.4626932556576293</v>
      </c>
      <c r="Y17" s="135">
        <v>178.52</v>
      </c>
      <c r="Z17" s="130">
        <v>178.52</v>
      </c>
      <c r="AA17" s="131">
        <v>0.55000000000000004</v>
      </c>
      <c r="AB17" s="112">
        <v>679</v>
      </c>
      <c r="AC17" s="133">
        <v>1216</v>
      </c>
      <c r="AD17" s="144" t="s">
        <v>349</v>
      </c>
      <c r="AE17" s="131">
        <v>76.63</v>
      </c>
      <c r="AF17" s="133">
        <v>136</v>
      </c>
      <c r="AG17" s="134">
        <v>4</v>
      </c>
      <c r="AH17" s="131">
        <v>4.0999999999999996</v>
      </c>
      <c r="AI17" s="115">
        <f t="shared" si="7"/>
        <v>22.966614384942858</v>
      </c>
      <c r="AJ17" s="131">
        <v>101.5</v>
      </c>
      <c r="AK17" s="115">
        <f t="shared" si="8"/>
        <v>568.56374635895133</v>
      </c>
      <c r="AL17" s="139">
        <v>18.079999999999998</v>
      </c>
      <c r="AM17" s="131"/>
      <c r="AN17" s="136">
        <v>8.76</v>
      </c>
      <c r="AO17" s="466">
        <f t="shared" si="9"/>
        <v>43.51</v>
      </c>
      <c r="AP17" s="110">
        <f t="shared" si="10"/>
        <v>0.19</v>
      </c>
      <c r="AQ17" s="137" t="s">
        <v>362</v>
      </c>
      <c r="AR17" s="150">
        <v>8.3000000000000007</v>
      </c>
      <c r="AS17" s="138">
        <v>8.83</v>
      </c>
      <c r="AT17" s="131"/>
      <c r="AU17" s="131">
        <v>6.65</v>
      </c>
      <c r="AV17" s="315">
        <v>229</v>
      </c>
      <c r="AW17" s="131">
        <v>1.79</v>
      </c>
      <c r="AX17" s="116"/>
      <c r="AY17" s="131"/>
      <c r="AZ17" s="109"/>
      <c r="BA17" s="109">
        <f t="shared" si="11"/>
        <v>178.52</v>
      </c>
      <c r="BB17" s="115">
        <f t="shared" si="12"/>
        <v>171.94980867734864</v>
      </c>
      <c r="BC17" s="140">
        <f t="shared" si="13"/>
        <v>5.2286795774647894</v>
      </c>
      <c r="BD17" s="141">
        <f t="shared" si="14"/>
        <v>7.1408000000000005</v>
      </c>
      <c r="BE17" s="128">
        <f t="shared" si="15"/>
        <v>0.90635727482801332</v>
      </c>
      <c r="BF17" s="141">
        <f t="shared" si="16"/>
        <v>12.369479577464791</v>
      </c>
      <c r="BG17" s="142">
        <v>0.88900000000000001</v>
      </c>
      <c r="BH17" s="16">
        <f t="shared" si="30"/>
        <v>1830.0425000000002</v>
      </c>
      <c r="BI17" s="16">
        <f t="shared" si="17"/>
        <v>182.25806451612902</v>
      </c>
      <c r="BJ17" s="16">
        <f t="shared" si="31"/>
        <v>2004.8387096774193</v>
      </c>
      <c r="BK17" s="17">
        <f t="shared" si="18"/>
        <v>1</v>
      </c>
      <c r="BL17" s="16">
        <f t="shared" si="32"/>
        <v>2004.8387096774193</v>
      </c>
      <c r="BM17" s="249"/>
      <c r="BN17" s="195">
        <v>33.997</v>
      </c>
      <c r="BO17" s="195"/>
      <c r="BP17" s="197">
        <v>271.99700000000001</v>
      </c>
      <c r="BQ17" s="230">
        <v>88.409000000000006</v>
      </c>
      <c r="BR17" s="230">
        <v>13.638</v>
      </c>
      <c r="BS17" s="250"/>
      <c r="BT17" s="199"/>
      <c r="BU17" s="200"/>
      <c r="BV17" s="200"/>
      <c r="BW17" s="200"/>
      <c r="BX17" s="200">
        <v>0.42</v>
      </c>
      <c r="BY17" s="208">
        <v>0.15</v>
      </c>
      <c r="BZ17" s="208">
        <v>0.84</v>
      </c>
      <c r="CA17" s="201"/>
      <c r="CB17" s="202"/>
      <c r="CC17" s="200">
        <v>43.68</v>
      </c>
      <c r="CD17" s="200"/>
      <c r="CE17" s="200">
        <v>36.68</v>
      </c>
      <c r="CF17" s="208">
        <v>37.119999999999997</v>
      </c>
      <c r="CG17" s="208">
        <v>29.43</v>
      </c>
      <c r="CH17" s="201"/>
      <c r="CI17" s="199"/>
      <c r="CJ17" s="197"/>
      <c r="CK17" s="244">
        <v>81.599999999999994</v>
      </c>
      <c r="CL17" s="266">
        <v>179.52</v>
      </c>
      <c r="CM17" s="265"/>
      <c r="CN17" s="231"/>
      <c r="CO17" s="208"/>
      <c r="CP17" s="208"/>
      <c r="CQ17" s="201"/>
      <c r="CR17" s="201"/>
      <c r="CS17" s="284"/>
      <c r="CT17" s="286">
        <f t="shared" si="19"/>
        <v>0</v>
      </c>
      <c r="CU17" s="24">
        <f t="shared" si="19"/>
        <v>33.997</v>
      </c>
      <c r="CV17" s="25">
        <f t="shared" si="19"/>
        <v>0</v>
      </c>
      <c r="CW17" s="24">
        <f t="shared" si="19"/>
        <v>270.8546126</v>
      </c>
      <c r="CX17" s="27">
        <f t="shared" si="19"/>
        <v>88.276386500000001</v>
      </c>
      <c r="CY17" s="27">
        <f t="shared" si="19"/>
        <v>13.523440799999999</v>
      </c>
      <c r="CZ17" s="280">
        <f t="shared" si="19"/>
        <v>0</v>
      </c>
      <c r="DA17" s="25">
        <f t="shared" si="20"/>
        <v>0</v>
      </c>
      <c r="DB17" s="26">
        <f t="shared" si="20"/>
        <v>81.599999999999994</v>
      </c>
      <c r="DC17" s="277">
        <f t="shared" si="20"/>
        <v>179.52</v>
      </c>
      <c r="DD17" s="280">
        <f t="shared" si="20"/>
        <v>0</v>
      </c>
      <c r="DE17" s="508">
        <f t="shared" si="33"/>
        <v>0</v>
      </c>
      <c r="DF17" s="247"/>
      <c r="DG17" s="293">
        <f t="shared" si="21"/>
        <v>0</v>
      </c>
      <c r="DH17" s="294"/>
      <c r="DI17" s="294"/>
      <c r="DJ17" s="295">
        <f t="shared" si="22"/>
        <v>0</v>
      </c>
      <c r="DK17" s="296">
        <f t="shared" si="23"/>
        <v>0</v>
      </c>
    </row>
    <row r="18" spans="1:115" ht="16.5" customHeight="1" thickBot="1">
      <c r="A18" s="127">
        <v>12</v>
      </c>
      <c r="B18" s="103">
        <f>'[1]июль 20'!K17</f>
        <v>401.95499999999998</v>
      </c>
      <c r="C18" s="104">
        <f t="shared" si="0"/>
        <v>0.22709636650868881</v>
      </c>
      <c r="D18" s="143">
        <f t="shared" si="24"/>
        <v>401.04217479999994</v>
      </c>
      <c r="E18" s="104">
        <f t="shared" si="1"/>
        <v>37.975841201129477</v>
      </c>
      <c r="F18" s="128">
        <f t="shared" si="25"/>
        <v>2.1786534773302617</v>
      </c>
      <c r="G18" s="106"/>
      <c r="H18" s="107">
        <f t="shared" si="2"/>
        <v>1.9967197318528014</v>
      </c>
      <c r="I18" s="103">
        <f>'[1]сентябрь 20'!AE17</f>
        <v>0</v>
      </c>
      <c r="J18" s="328">
        <f>'[1]июль 20'!AA17</f>
        <v>0</v>
      </c>
      <c r="K18" s="106"/>
      <c r="L18" s="328">
        <f>'[1]июль 20'!AI17</f>
        <v>33.49</v>
      </c>
      <c r="M18" s="103">
        <f t="shared" si="3"/>
        <v>0.18193374547746066</v>
      </c>
      <c r="N18" s="103">
        <f>'[1]июль 20'!W17</f>
        <v>0</v>
      </c>
      <c r="O18" s="103">
        <f>'[1]июль 20'!AM17</f>
        <v>0</v>
      </c>
      <c r="P18" s="447">
        <f t="shared" si="26"/>
        <v>0</v>
      </c>
      <c r="Q18" s="103">
        <f t="shared" si="27"/>
        <v>0</v>
      </c>
      <c r="R18" s="103">
        <f>'[1]июль 20'!S17</f>
        <v>261.26</v>
      </c>
      <c r="S18" s="108">
        <f t="shared" si="4"/>
        <v>1.5233866646252814</v>
      </c>
      <c r="T18" s="109">
        <f t="shared" si="28"/>
        <v>257.27999999999997</v>
      </c>
      <c r="U18" s="106">
        <v>16.920000000000002</v>
      </c>
      <c r="V18" s="109">
        <f t="shared" si="5"/>
        <v>257.27999999999997</v>
      </c>
      <c r="W18" s="485">
        <f t="shared" si="6"/>
        <v>1.3976683797086016</v>
      </c>
      <c r="X18" s="495">
        <f t="shared" si="29"/>
        <v>1.3976683797086016</v>
      </c>
      <c r="Y18" s="135">
        <v>184.08</v>
      </c>
      <c r="Z18" s="130">
        <v>184.08</v>
      </c>
      <c r="AA18" s="131">
        <v>0.45</v>
      </c>
      <c r="AB18" s="112">
        <v>679</v>
      </c>
      <c r="AC18" s="133">
        <v>1223</v>
      </c>
      <c r="AD18" s="144" t="s">
        <v>363</v>
      </c>
      <c r="AE18" s="131">
        <v>76.77</v>
      </c>
      <c r="AF18" s="133">
        <v>134</v>
      </c>
      <c r="AG18" s="134">
        <v>4</v>
      </c>
      <c r="AH18" s="131">
        <v>3.3</v>
      </c>
      <c r="AI18" s="115">
        <f t="shared" si="7"/>
        <v>17.927183041971336</v>
      </c>
      <c r="AJ18" s="131">
        <v>104.8</v>
      </c>
      <c r="AK18" s="115">
        <f t="shared" si="8"/>
        <v>569.32387357533219</v>
      </c>
      <c r="AL18" s="139">
        <v>16.84</v>
      </c>
      <c r="AM18" s="131"/>
      <c r="AN18" s="136">
        <v>7.03</v>
      </c>
      <c r="AO18" s="466">
        <f t="shared" si="9"/>
        <v>44.231999999999999</v>
      </c>
      <c r="AP18" s="110">
        <f t="shared" si="10"/>
        <v>0.18999999999999997</v>
      </c>
      <c r="AQ18" s="137" t="s">
        <v>364</v>
      </c>
      <c r="AR18" s="150">
        <v>8.3699999999999992</v>
      </c>
      <c r="AS18" s="138">
        <v>8.86</v>
      </c>
      <c r="AT18" s="131"/>
      <c r="AU18" s="131">
        <v>6.96</v>
      </c>
      <c r="AV18" s="315">
        <v>232.8</v>
      </c>
      <c r="AW18" s="131">
        <v>2.54</v>
      </c>
      <c r="AX18" s="116"/>
      <c r="AY18" s="131"/>
      <c r="AZ18" s="109">
        <f t="shared" ref="AZ18:AZ37" si="34">IF(BA18=0,0,AY18/BA18*100)</f>
        <v>0</v>
      </c>
      <c r="BA18" s="109">
        <f t="shared" si="11"/>
        <v>184.078</v>
      </c>
      <c r="BB18" s="115">
        <f t="shared" si="12"/>
        <v>173.18893935293784</v>
      </c>
      <c r="BC18" s="140">
        <f t="shared" si="13"/>
        <v>5.6503436619718306</v>
      </c>
      <c r="BD18" s="141">
        <f t="shared" si="14"/>
        <v>7.3631200000000003</v>
      </c>
      <c r="BE18" s="128">
        <f t="shared" si="15"/>
        <v>0.92788889752660775</v>
      </c>
      <c r="BF18" s="141">
        <f t="shared" si="16"/>
        <v>13.01346366197183</v>
      </c>
      <c r="BG18" s="142">
        <v>0.89200000000000002</v>
      </c>
      <c r="BH18" s="16">
        <f t="shared" si="30"/>
        <v>2014.1205000000002</v>
      </c>
      <c r="BI18" s="16">
        <f t="shared" si="17"/>
        <v>182.25806451612902</v>
      </c>
      <c r="BJ18" s="16">
        <f t="shared" si="31"/>
        <v>2187.0967741935483</v>
      </c>
      <c r="BK18" s="17">
        <f t="shared" si="18"/>
        <v>1</v>
      </c>
      <c r="BL18" s="16">
        <f t="shared" si="32"/>
        <v>2187.0967741935483</v>
      </c>
      <c r="BM18" s="249"/>
      <c r="BN18" s="195">
        <v>33.49</v>
      </c>
      <c r="BO18" s="195"/>
      <c r="BP18" s="197">
        <v>268.00700000000001</v>
      </c>
      <c r="BQ18" s="230">
        <v>87.102000000000004</v>
      </c>
      <c r="BR18" s="230">
        <v>13.356</v>
      </c>
      <c r="BS18" s="250"/>
      <c r="BT18" s="199"/>
      <c r="BU18" s="200"/>
      <c r="BV18" s="200"/>
      <c r="BW18" s="200"/>
      <c r="BX18" s="200">
        <v>0.22</v>
      </c>
      <c r="BY18" s="208">
        <v>0.23</v>
      </c>
      <c r="BZ18" s="208">
        <v>0.92</v>
      </c>
      <c r="CA18" s="201"/>
      <c r="CB18" s="202"/>
      <c r="CC18" s="200">
        <v>43.89</v>
      </c>
      <c r="CD18" s="200"/>
      <c r="CE18" s="200">
        <v>37.43</v>
      </c>
      <c r="CF18" s="208">
        <v>38.31</v>
      </c>
      <c r="CG18" s="208">
        <v>31.92</v>
      </c>
      <c r="CH18" s="209"/>
      <c r="CI18" s="199"/>
      <c r="CJ18" s="197"/>
      <c r="CK18" s="268">
        <v>80.400000000000006</v>
      </c>
      <c r="CL18" s="289">
        <v>176.88</v>
      </c>
      <c r="CM18" s="267"/>
      <c r="CN18" s="202"/>
      <c r="CO18" s="208"/>
      <c r="CP18" s="208"/>
      <c r="CQ18" s="201"/>
      <c r="CR18" s="201"/>
      <c r="CS18" s="284"/>
      <c r="CT18" s="286">
        <f t="shared" si="19"/>
        <v>0</v>
      </c>
      <c r="CU18" s="24">
        <f t="shared" si="19"/>
        <v>33.49</v>
      </c>
      <c r="CV18" s="25">
        <f t="shared" si="19"/>
        <v>0</v>
      </c>
      <c r="CW18" s="24">
        <f t="shared" si="19"/>
        <v>267.41738459999999</v>
      </c>
      <c r="CX18" s="27">
        <f t="shared" si="19"/>
        <v>86.901665399999999</v>
      </c>
      <c r="CY18" s="30">
        <f t="shared" si="19"/>
        <v>13.233124800000001</v>
      </c>
      <c r="CZ18" s="280">
        <f t="shared" si="19"/>
        <v>0</v>
      </c>
      <c r="DA18" s="30">
        <f t="shared" si="20"/>
        <v>0</v>
      </c>
      <c r="DB18" s="24">
        <f t="shared" si="20"/>
        <v>80.400000000000006</v>
      </c>
      <c r="DC18" s="277">
        <f t="shared" si="20"/>
        <v>176.88</v>
      </c>
      <c r="DD18" s="280">
        <f t="shared" si="20"/>
        <v>0</v>
      </c>
      <c r="DE18" s="508">
        <f t="shared" si="33"/>
        <v>0</v>
      </c>
      <c r="DF18" s="247"/>
      <c r="DG18" s="293">
        <f t="shared" si="21"/>
        <v>0</v>
      </c>
      <c r="DH18" s="294"/>
      <c r="DI18" s="294"/>
      <c r="DJ18" s="295">
        <f t="shared" si="22"/>
        <v>0</v>
      </c>
      <c r="DK18" s="296">
        <f t="shared" si="23"/>
        <v>0</v>
      </c>
    </row>
    <row r="19" spans="1:115" ht="16.5" customHeight="1" thickBot="1">
      <c r="A19" s="127">
        <v>13</v>
      </c>
      <c r="B19" s="103">
        <f>'[1]июль 20'!K18</f>
        <v>410.9</v>
      </c>
      <c r="C19" s="104">
        <f t="shared" si="0"/>
        <v>0.38839705524458501</v>
      </c>
      <c r="D19" s="143">
        <f t="shared" si="24"/>
        <v>409.30407650000001</v>
      </c>
      <c r="E19" s="104">
        <f t="shared" si="1"/>
        <v>38.101876368946215</v>
      </c>
      <c r="F19" s="128">
        <f t="shared" si="25"/>
        <v>2.1281177368241813</v>
      </c>
      <c r="G19" s="106"/>
      <c r="H19" s="107">
        <f t="shared" si="2"/>
        <v>1.9499929886680027</v>
      </c>
      <c r="I19" s="103">
        <f>'[1]сентябрь 20'!AE18</f>
        <v>0</v>
      </c>
      <c r="J19" s="328">
        <f>'[1]июль 20'!AA18</f>
        <v>0</v>
      </c>
      <c r="K19" s="106">
        <v>29.84</v>
      </c>
      <c r="L19" s="328">
        <f>'[1]июль 20'!AI18</f>
        <v>34.259</v>
      </c>
      <c r="M19" s="103">
        <f t="shared" si="3"/>
        <v>0.17812474815617826</v>
      </c>
      <c r="N19" s="103">
        <f>'[1]июль 20'!W18</f>
        <v>0</v>
      </c>
      <c r="O19" s="103">
        <f>'[1]июль 20'!AM18</f>
        <v>0</v>
      </c>
      <c r="P19" s="447">
        <f t="shared" si="26"/>
        <v>0</v>
      </c>
      <c r="Q19" s="103">
        <f t="shared" si="27"/>
        <v>0</v>
      </c>
      <c r="R19" s="103">
        <f>'[1]июль 20'!S18</f>
        <v>265.92500000000001</v>
      </c>
      <c r="S19" s="108">
        <f t="shared" si="4"/>
        <v>1.3857290589451954</v>
      </c>
      <c r="T19" s="109">
        <f t="shared" si="28"/>
        <v>262.23999999999995</v>
      </c>
      <c r="U19" s="106">
        <v>27.86</v>
      </c>
      <c r="V19" s="109">
        <f t="shared" si="5"/>
        <v>262.24</v>
      </c>
      <c r="W19" s="485">
        <f t="shared" si="6"/>
        <v>1.363479201274882</v>
      </c>
      <c r="X19" s="495">
        <f t="shared" si="29"/>
        <v>1.363479201274882</v>
      </c>
      <c r="Y19" s="135">
        <v>192.33</v>
      </c>
      <c r="Z19" s="130">
        <v>153.22</v>
      </c>
      <c r="AA19" s="131">
        <v>0.87</v>
      </c>
      <c r="AB19" s="112">
        <v>684</v>
      </c>
      <c r="AC19" s="133">
        <v>1222</v>
      </c>
      <c r="AD19" s="144" t="s">
        <v>302</v>
      </c>
      <c r="AE19" s="131">
        <v>76.849999999999994</v>
      </c>
      <c r="AF19" s="133">
        <v>137</v>
      </c>
      <c r="AG19" s="134">
        <v>4</v>
      </c>
      <c r="AH19" s="131">
        <v>2.6</v>
      </c>
      <c r="AI19" s="115">
        <f t="shared" si="7"/>
        <v>13.518326431187818</v>
      </c>
      <c r="AJ19" s="131">
        <v>105.1</v>
      </c>
      <c r="AK19" s="115">
        <f t="shared" si="8"/>
        <v>546.45234919916902</v>
      </c>
      <c r="AL19" s="139">
        <v>17.399999999999999</v>
      </c>
      <c r="AM19" s="131"/>
      <c r="AN19" s="136">
        <v>10.56</v>
      </c>
      <c r="AO19" s="466">
        <f t="shared" si="9"/>
        <v>47.148499999999999</v>
      </c>
      <c r="AP19" s="110">
        <f t="shared" si="10"/>
        <v>0.19</v>
      </c>
      <c r="AQ19" s="137" t="s">
        <v>361</v>
      </c>
      <c r="AR19" s="150">
        <v>8.01</v>
      </c>
      <c r="AS19" s="138">
        <v>9.01</v>
      </c>
      <c r="AT19" s="134"/>
      <c r="AU19" s="131">
        <v>6.84</v>
      </c>
      <c r="AV19" s="315">
        <v>248.15</v>
      </c>
      <c r="AW19" s="131">
        <v>1.89</v>
      </c>
      <c r="AX19" s="116"/>
      <c r="AY19" s="131"/>
      <c r="AZ19" s="109">
        <f t="shared" si="34"/>
        <v>0</v>
      </c>
      <c r="BA19" s="109">
        <f t="shared" si="11"/>
        <v>192.33150000000001</v>
      </c>
      <c r="BB19" s="115">
        <f t="shared" si="12"/>
        <v>177.15883081919191</v>
      </c>
      <c r="BC19" s="140">
        <f t="shared" si="13"/>
        <v>5.5688197183098582</v>
      </c>
      <c r="BD19" s="141">
        <f t="shared" si="14"/>
        <v>7.6932600000000004</v>
      </c>
      <c r="BE19" s="128">
        <f t="shared" si="15"/>
        <v>0.94776759771780184</v>
      </c>
      <c r="BF19" s="141">
        <f t="shared" si="16"/>
        <v>13.26207971830986</v>
      </c>
      <c r="BG19" s="142">
        <v>0.89700000000000002</v>
      </c>
      <c r="BH19" s="16">
        <f t="shared" si="30"/>
        <v>2206.4520000000002</v>
      </c>
      <c r="BI19" s="16">
        <f t="shared" si="17"/>
        <v>182.25806451612902</v>
      </c>
      <c r="BJ19" s="16">
        <f t="shared" si="31"/>
        <v>2369.3548387096771</v>
      </c>
      <c r="BK19" s="17">
        <f t="shared" si="18"/>
        <v>1</v>
      </c>
      <c r="BL19" s="16">
        <f t="shared" si="32"/>
        <v>2369.3548387096771</v>
      </c>
      <c r="BM19" s="254"/>
      <c r="BN19" s="197">
        <v>34.259</v>
      </c>
      <c r="BO19" s="197"/>
      <c r="BP19" s="197">
        <v>274.05900000000003</v>
      </c>
      <c r="BQ19" s="230">
        <v>89.058000000000007</v>
      </c>
      <c r="BR19" s="230">
        <v>13.523999999999999</v>
      </c>
      <c r="BS19" s="258"/>
      <c r="BT19" s="199"/>
      <c r="BU19" s="200"/>
      <c r="BV19" s="200"/>
      <c r="BW19" s="200"/>
      <c r="BX19" s="200">
        <v>0.47</v>
      </c>
      <c r="BY19" s="208">
        <v>0.25</v>
      </c>
      <c r="BZ19" s="208">
        <v>0.63</v>
      </c>
      <c r="CA19" s="201"/>
      <c r="CB19" s="202"/>
      <c r="CC19" s="200">
        <v>43.47</v>
      </c>
      <c r="CD19" s="200"/>
      <c r="CE19" s="200">
        <v>37.65</v>
      </c>
      <c r="CF19" s="208">
        <v>38.72</v>
      </c>
      <c r="CG19" s="208">
        <v>29.59</v>
      </c>
      <c r="CH19" s="209"/>
      <c r="CI19" s="199"/>
      <c r="CJ19" s="197"/>
      <c r="CK19" s="197">
        <v>82.2</v>
      </c>
      <c r="CL19" s="197">
        <v>180.04</v>
      </c>
      <c r="CM19" s="198"/>
      <c r="CN19" s="202"/>
      <c r="CO19" s="208"/>
      <c r="CP19" s="208"/>
      <c r="CQ19" s="201"/>
      <c r="CR19" s="201"/>
      <c r="CS19" s="284"/>
      <c r="CT19" s="286">
        <f t="shared" si="19"/>
        <v>0</v>
      </c>
      <c r="CU19" s="24">
        <f t="shared" si="19"/>
        <v>34.259</v>
      </c>
      <c r="CV19" s="25">
        <f t="shared" si="19"/>
        <v>0</v>
      </c>
      <c r="CW19" s="24">
        <f t="shared" si="19"/>
        <v>272.77092270000003</v>
      </c>
      <c r="CX19" s="27">
        <f t="shared" si="19"/>
        <v>88.835355000000007</v>
      </c>
      <c r="CY19" s="24">
        <f t="shared" si="19"/>
        <v>13.438798799999999</v>
      </c>
      <c r="CZ19" s="280">
        <f t="shared" si="19"/>
        <v>0</v>
      </c>
      <c r="DA19" s="237">
        <f t="shared" si="20"/>
        <v>0</v>
      </c>
      <c r="DB19" s="24">
        <f t="shared" si="20"/>
        <v>82.2</v>
      </c>
      <c r="DC19" s="277">
        <f t="shared" si="20"/>
        <v>180.04</v>
      </c>
      <c r="DD19" s="280">
        <f t="shared" si="20"/>
        <v>0</v>
      </c>
      <c r="DE19" s="508">
        <f t="shared" si="33"/>
        <v>0</v>
      </c>
      <c r="DG19" s="293">
        <f t="shared" si="21"/>
        <v>0</v>
      </c>
      <c r="DH19" s="294"/>
      <c r="DI19" s="294"/>
      <c r="DJ19" s="295">
        <f t="shared" si="22"/>
        <v>0</v>
      </c>
      <c r="DK19" s="296">
        <f t="shared" si="23"/>
        <v>0</v>
      </c>
    </row>
    <row r="20" spans="1:115" ht="16.5" customHeight="1" thickBot="1">
      <c r="A20" s="127">
        <v>14</v>
      </c>
      <c r="B20" s="103">
        <f>'[1]июль 20'!K19</f>
        <v>393.19499999999999</v>
      </c>
      <c r="C20" s="104">
        <f t="shared" si="0"/>
        <v>0.31848563689772252</v>
      </c>
      <c r="D20" s="143">
        <f t="shared" si="24"/>
        <v>391.94273040000002</v>
      </c>
      <c r="E20" s="104">
        <f t="shared" si="1"/>
        <v>38.01462638131207</v>
      </c>
      <c r="F20" s="128">
        <f t="shared" si="25"/>
        <v>2.0937614974718946</v>
      </c>
      <c r="G20" s="106"/>
      <c r="H20" s="107">
        <f t="shared" si="2"/>
        <v>1.9186344244386215</v>
      </c>
      <c r="I20" s="103">
        <f>'[1]сентябрь 20'!AE19</f>
        <v>0</v>
      </c>
      <c r="J20" s="328">
        <f>'[1]июль 20'!AA19</f>
        <v>0</v>
      </c>
      <c r="K20" s="106"/>
      <c r="L20" s="328">
        <f>'[1]июль 20'!AI19</f>
        <v>32.783000000000001</v>
      </c>
      <c r="M20" s="103">
        <f t="shared" si="3"/>
        <v>0.17512707303327271</v>
      </c>
      <c r="N20" s="103">
        <f>'[1]июль 20'!W19</f>
        <v>0</v>
      </c>
      <c r="O20" s="103">
        <f>'[1]июль 20'!AM19</f>
        <v>0</v>
      </c>
      <c r="P20" s="447">
        <f t="shared" si="26"/>
        <v>0</v>
      </c>
      <c r="Q20" s="103">
        <f t="shared" si="27"/>
        <v>0</v>
      </c>
      <c r="R20" s="103">
        <f>'[1]июль 20'!S19</f>
        <v>253.70599999999999</v>
      </c>
      <c r="S20" s="108">
        <f t="shared" si="4"/>
        <v>1.4134470607711225</v>
      </c>
      <c r="T20" s="109">
        <f t="shared" si="28"/>
        <v>250.12</v>
      </c>
      <c r="U20" s="106">
        <v>4.58</v>
      </c>
      <c r="V20" s="109">
        <f t="shared" si="5"/>
        <v>250.12</v>
      </c>
      <c r="W20" s="485">
        <f t="shared" si="6"/>
        <v>1.3361432299387539</v>
      </c>
      <c r="X20" s="495">
        <f t="shared" si="29"/>
        <v>1.3361432299387539</v>
      </c>
      <c r="Y20" s="135">
        <v>187.2</v>
      </c>
      <c r="Z20" s="130">
        <v>187.2</v>
      </c>
      <c r="AA20" s="131">
        <v>0.67</v>
      </c>
      <c r="AB20" s="112">
        <v>672</v>
      </c>
      <c r="AC20" s="133">
        <v>1212</v>
      </c>
      <c r="AD20" s="151" t="s">
        <v>365</v>
      </c>
      <c r="AE20" s="131">
        <v>77.010000000000005</v>
      </c>
      <c r="AF20" s="133">
        <v>131</v>
      </c>
      <c r="AG20" s="134">
        <v>4</v>
      </c>
      <c r="AH20" s="131">
        <v>2.9</v>
      </c>
      <c r="AI20" s="115">
        <f t="shared" si="7"/>
        <v>15.491825391101814</v>
      </c>
      <c r="AJ20" s="131">
        <v>107.8</v>
      </c>
      <c r="AK20" s="115">
        <f t="shared" si="8"/>
        <v>575.86854384854337</v>
      </c>
      <c r="AL20" s="139">
        <v>17.18</v>
      </c>
      <c r="AM20" s="131"/>
      <c r="AN20" s="136">
        <v>9.76</v>
      </c>
      <c r="AO20" s="466">
        <f t="shared" si="9"/>
        <v>45.514500000000005</v>
      </c>
      <c r="AP20" s="110">
        <f t="shared" si="10"/>
        <v>0.19</v>
      </c>
      <c r="AQ20" s="137" t="s">
        <v>361</v>
      </c>
      <c r="AR20" s="150">
        <v>8.33</v>
      </c>
      <c r="AS20" s="138">
        <v>8.8800000000000008</v>
      </c>
      <c r="AT20" s="131"/>
      <c r="AU20" s="131">
        <v>5.86</v>
      </c>
      <c r="AV20" s="315">
        <v>239.55</v>
      </c>
      <c r="AW20" s="131">
        <v>2.92</v>
      </c>
      <c r="AX20" s="148"/>
      <c r="AY20" s="131"/>
      <c r="AZ20" s="109">
        <f t="shared" si="34"/>
        <v>0</v>
      </c>
      <c r="BA20" s="109">
        <f t="shared" si="11"/>
        <v>187.19550000000001</v>
      </c>
      <c r="BB20" s="115">
        <f t="shared" si="12"/>
        <v>168.90420450241339</v>
      </c>
      <c r="BC20" s="140">
        <f t="shared" si="13"/>
        <v>4.8935126760563374</v>
      </c>
      <c r="BD20" s="141">
        <f t="shared" si="14"/>
        <v>7.4878200000000001</v>
      </c>
      <c r="BE20" s="128">
        <f t="shared" si="15"/>
        <v>0.96754057710662256</v>
      </c>
      <c r="BF20" s="141">
        <f t="shared" si="16"/>
        <v>12.381332676056338</v>
      </c>
      <c r="BG20" s="142">
        <v>0.90200000000000002</v>
      </c>
      <c r="BH20" s="16">
        <f t="shared" si="30"/>
        <v>2393.6475</v>
      </c>
      <c r="BI20" s="16">
        <f t="shared" si="17"/>
        <v>182.25806451612902</v>
      </c>
      <c r="BJ20" s="16">
        <f t="shared" si="31"/>
        <v>2551.6129032258059</v>
      </c>
      <c r="BK20" s="17">
        <f t="shared" si="18"/>
        <v>1</v>
      </c>
      <c r="BL20" s="16">
        <f t="shared" si="32"/>
        <v>2551.6129032258059</v>
      </c>
      <c r="BM20" s="254"/>
      <c r="BN20" s="197">
        <v>32.783000000000001</v>
      </c>
      <c r="BO20" s="197"/>
      <c r="BP20" s="197">
        <v>262.00799999999998</v>
      </c>
      <c r="BQ20" s="230">
        <v>85.152000000000001</v>
      </c>
      <c r="BR20" s="230">
        <v>13.252000000000001</v>
      </c>
      <c r="BS20" s="259"/>
      <c r="BT20" s="199"/>
      <c r="BU20" s="200"/>
      <c r="BV20" s="200"/>
      <c r="BW20" s="200"/>
      <c r="BX20" s="200">
        <v>0.38</v>
      </c>
      <c r="BY20" s="208">
        <v>0.18</v>
      </c>
      <c r="BZ20" s="208">
        <v>0.78</v>
      </c>
      <c r="CA20" s="201"/>
      <c r="CB20" s="202"/>
      <c r="CC20" s="200">
        <v>43.9</v>
      </c>
      <c r="CD20" s="200"/>
      <c r="CE20" s="200">
        <v>37.71</v>
      </c>
      <c r="CF20" s="208">
        <v>37.770000000000003</v>
      </c>
      <c r="CG20" s="208">
        <v>31.05</v>
      </c>
      <c r="CH20" s="209"/>
      <c r="CI20" s="199"/>
      <c r="CJ20" s="197"/>
      <c r="CK20" s="197">
        <v>78.599999999999994</v>
      </c>
      <c r="CL20" s="197">
        <v>171.52</v>
      </c>
      <c r="CM20" s="198"/>
      <c r="CN20" s="202"/>
      <c r="CO20" s="208"/>
      <c r="CP20" s="208"/>
      <c r="CQ20" s="201"/>
      <c r="CR20" s="201"/>
      <c r="CS20" s="284"/>
      <c r="CT20" s="286">
        <f t="shared" si="19"/>
        <v>0</v>
      </c>
      <c r="CU20" s="24">
        <f t="shared" si="19"/>
        <v>32.783000000000001</v>
      </c>
      <c r="CV20" s="25">
        <f t="shared" si="19"/>
        <v>0</v>
      </c>
      <c r="CW20" s="24">
        <f t="shared" si="19"/>
        <v>261.0123696</v>
      </c>
      <c r="CX20" s="27">
        <f t="shared" si="19"/>
        <v>84.998726399999995</v>
      </c>
      <c r="CY20" s="30">
        <f t="shared" si="19"/>
        <v>13.148634400000001</v>
      </c>
      <c r="CZ20" s="280">
        <f t="shared" si="19"/>
        <v>0</v>
      </c>
      <c r="DA20" s="237">
        <f t="shared" si="20"/>
        <v>0</v>
      </c>
      <c r="DB20" s="29">
        <f t="shared" si="20"/>
        <v>78.599999999999994</v>
      </c>
      <c r="DC20" s="277">
        <f t="shared" si="20"/>
        <v>171.52</v>
      </c>
      <c r="DD20" s="280">
        <f t="shared" si="20"/>
        <v>0</v>
      </c>
      <c r="DE20" s="508">
        <f t="shared" si="33"/>
        <v>0</v>
      </c>
      <c r="DG20" s="293">
        <f t="shared" si="21"/>
        <v>0</v>
      </c>
      <c r="DH20" s="294"/>
      <c r="DI20" s="294"/>
      <c r="DJ20" s="295">
        <f t="shared" si="22"/>
        <v>0</v>
      </c>
      <c r="DK20" s="296">
        <f t="shared" si="23"/>
        <v>0</v>
      </c>
    </row>
    <row r="21" spans="1:115" ht="16.5" customHeight="1" thickBot="1">
      <c r="A21" s="127">
        <v>15</v>
      </c>
      <c r="B21" s="103">
        <f>'[1]июль 20'!K20</f>
        <v>432.08100000000002</v>
      </c>
      <c r="C21" s="104">
        <f t="shared" si="0"/>
        <v>0.41579821838960751</v>
      </c>
      <c r="D21" s="143">
        <f t="shared" si="24"/>
        <v>430.2844149</v>
      </c>
      <c r="E21" s="104">
        <f t="shared" si="1"/>
        <v>37.26806640421588</v>
      </c>
      <c r="F21" s="128">
        <f t="shared" si="25"/>
        <v>2.3412315710434175</v>
      </c>
      <c r="G21" s="106"/>
      <c r="H21" s="107">
        <f t="shared" si="2"/>
        <v>2.1451007555002981</v>
      </c>
      <c r="I21" s="103">
        <f>'[1]сентябрь 20'!AE20</f>
        <v>0</v>
      </c>
      <c r="J21" s="328">
        <f>'[1]июль 20'!AA20</f>
        <v>0</v>
      </c>
      <c r="K21" s="106"/>
      <c r="L21" s="328">
        <f>'[1]июль 20'!AI20</f>
        <v>36.045999999999999</v>
      </c>
      <c r="M21" s="103">
        <f t="shared" si="3"/>
        <v>0.19613081554311956</v>
      </c>
      <c r="N21" s="103">
        <f>'[1]июль 20'!W20</f>
        <v>0</v>
      </c>
      <c r="O21" s="103">
        <f>'[1]июль 20'!AM20</f>
        <v>0</v>
      </c>
      <c r="P21" s="447">
        <f t="shared" si="26"/>
        <v>0</v>
      </c>
      <c r="Q21" s="103">
        <f t="shared" si="27"/>
        <v>0</v>
      </c>
      <c r="R21" s="103">
        <f>'[1]июль 20'!S20</f>
        <v>277.18900000000002</v>
      </c>
      <c r="S21" s="108">
        <f t="shared" si="4"/>
        <v>1.3885832410376997</v>
      </c>
      <c r="T21" s="109">
        <f t="shared" si="28"/>
        <v>273.34000000000009</v>
      </c>
      <c r="U21" s="106">
        <v>4.3</v>
      </c>
      <c r="V21" s="109">
        <f t="shared" si="5"/>
        <v>273.34000000000003</v>
      </c>
      <c r="W21" s="485">
        <f t="shared" si="6"/>
        <v>1.4872772879253267</v>
      </c>
      <c r="X21" s="495">
        <f t="shared" si="29"/>
        <v>1.4872772879253267</v>
      </c>
      <c r="Y21" s="135">
        <v>183.79</v>
      </c>
      <c r="Z21" s="130">
        <v>136.08000000000001</v>
      </c>
      <c r="AA21" s="131">
        <v>0.84</v>
      </c>
      <c r="AB21" s="112">
        <v>634</v>
      </c>
      <c r="AC21" s="133">
        <v>1217</v>
      </c>
      <c r="AD21" s="151" t="s">
        <v>366</v>
      </c>
      <c r="AE21" s="131">
        <v>76.13</v>
      </c>
      <c r="AF21" s="133">
        <v>144</v>
      </c>
      <c r="AG21" s="134">
        <v>4</v>
      </c>
      <c r="AH21" s="131">
        <v>3.5</v>
      </c>
      <c r="AI21" s="115">
        <f t="shared" si="7"/>
        <v>19.04393981026795</v>
      </c>
      <c r="AJ21" s="131">
        <v>97.5</v>
      </c>
      <c r="AK21" s="115">
        <f t="shared" si="8"/>
        <v>530.50975185746427</v>
      </c>
      <c r="AL21" s="139">
        <v>20.77</v>
      </c>
      <c r="AM21" s="131"/>
      <c r="AN21" s="136">
        <v>9.52</v>
      </c>
      <c r="AO21" s="466">
        <f t="shared" si="9"/>
        <v>44.7545</v>
      </c>
      <c r="AP21" s="110">
        <f t="shared" si="10"/>
        <v>0.19</v>
      </c>
      <c r="AQ21" s="137" t="s">
        <v>367</v>
      </c>
      <c r="AR21" s="150">
        <v>8.1</v>
      </c>
      <c r="AS21" s="138">
        <v>8.92</v>
      </c>
      <c r="AT21" s="131"/>
      <c r="AU21" s="131">
        <v>7.26</v>
      </c>
      <c r="AV21" s="315">
        <v>235.55</v>
      </c>
      <c r="AW21" s="131">
        <v>2.5099999999999998</v>
      </c>
      <c r="AX21" s="116"/>
      <c r="AY21" s="131"/>
      <c r="AZ21" s="109">
        <f t="shared" si="34"/>
        <v>0</v>
      </c>
      <c r="BA21" s="109">
        <f t="shared" si="11"/>
        <v>183.78549999999998</v>
      </c>
      <c r="BB21" s="115">
        <f t="shared" si="12"/>
        <v>183.8869419742407</v>
      </c>
      <c r="BC21" s="140">
        <f t="shared" si="13"/>
        <v>5.4833450704225353</v>
      </c>
      <c r="BD21" s="141">
        <f t="shared" si="14"/>
        <v>7.3514199999999992</v>
      </c>
      <c r="BE21" s="128">
        <f t="shared" si="15"/>
        <v>0.87251840602404174</v>
      </c>
      <c r="BF21" s="141">
        <f t="shared" si="16"/>
        <v>12.834765070422534</v>
      </c>
      <c r="BG21" s="142">
        <v>0.9</v>
      </c>
      <c r="BH21" s="16">
        <f t="shared" si="30"/>
        <v>2577.433</v>
      </c>
      <c r="BI21" s="16">
        <f t="shared" si="17"/>
        <v>182.25806451612902</v>
      </c>
      <c r="BJ21" s="16">
        <f t="shared" si="31"/>
        <v>2733.8709677419347</v>
      </c>
      <c r="BK21" s="17">
        <f t="shared" si="18"/>
        <v>1</v>
      </c>
      <c r="BL21" s="16">
        <f t="shared" si="32"/>
        <v>2733.8709677419347</v>
      </c>
      <c r="BM21" s="254"/>
      <c r="BN21" s="197">
        <v>36.045999999999999</v>
      </c>
      <c r="BO21" s="197"/>
      <c r="BP21" s="197">
        <v>288.02699999999999</v>
      </c>
      <c r="BQ21" s="230">
        <v>93.603999999999999</v>
      </c>
      <c r="BR21" s="230">
        <v>14.404</v>
      </c>
      <c r="BS21" s="259"/>
      <c r="BT21" s="199"/>
      <c r="BU21" s="200"/>
      <c r="BV21" s="200"/>
      <c r="BW21" s="200"/>
      <c r="BX21" s="200">
        <v>0.53</v>
      </c>
      <c r="BY21" s="208">
        <v>0.15</v>
      </c>
      <c r="BZ21" s="208">
        <v>0.9</v>
      </c>
      <c r="CA21" s="201"/>
      <c r="CB21" s="202"/>
      <c r="CC21" s="200">
        <v>43.35</v>
      </c>
      <c r="CD21" s="200"/>
      <c r="CE21" s="200">
        <v>37.1</v>
      </c>
      <c r="CF21" s="208">
        <v>36.5</v>
      </c>
      <c r="CG21" s="208">
        <v>30.4</v>
      </c>
      <c r="CH21" s="209"/>
      <c r="CI21" s="199"/>
      <c r="CJ21" s="197"/>
      <c r="CK21" s="197">
        <v>86.4</v>
      </c>
      <c r="CL21" s="197">
        <v>186.94</v>
      </c>
      <c r="CM21" s="198"/>
      <c r="CN21" s="202"/>
      <c r="CO21" s="208"/>
      <c r="CP21" s="208"/>
      <c r="CQ21" s="201"/>
      <c r="CR21" s="201"/>
      <c r="CS21" s="284"/>
      <c r="CT21" s="286">
        <f t="shared" si="19"/>
        <v>0</v>
      </c>
      <c r="CU21" s="27">
        <f t="shared" si="19"/>
        <v>36.045999999999999</v>
      </c>
      <c r="CV21" s="28">
        <f t="shared" si="19"/>
        <v>0</v>
      </c>
      <c r="CW21" s="27">
        <f t="shared" si="19"/>
        <v>286.50045690000002</v>
      </c>
      <c r="CX21" s="27">
        <f t="shared" si="19"/>
        <v>93.463594000000001</v>
      </c>
      <c r="CY21" s="24">
        <f t="shared" si="19"/>
        <v>14.274364</v>
      </c>
      <c r="CZ21" s="281">
        <f t="shared" si="19"/>
        <v>0</v>
      </c>
      <c r="DA21" s="237">
        <f t="shared" si="20"/>
        <v>0</v>
      </c>
      <c r="DB21" s="24">
        <f t="shared" si="20"/>
        <v>86.4</v>
      </c>
      <c r="DC21" s="277">
        <f t="shared" si="20"/>
        <v>186.94</v>
      </c>
      <c r="DD21" s="280">
        <f t="shared" si="20"/>
        <v>0</v>
      </c>
      <c r="DE21" s="508">
        <f t="shared" si="33"/>
        <v>0</v>
      </c>
      <c r="DG21" s="293">
        <f t="shared" si="21"/>
        <v>0</v>
      </c>
      <c r="DH21" s="294"/>
      <c r="DI21" s="294"/>
      <c r="DJ21" s="295">
        <f t="shared" si="22"/>
        <v>0</v>
      </c>
      <c r="DK21" s="296">
        <f t="shared" si="23"/>
        <v>0</v>
      </c>
    </row>
    <row r="22" spans="1:115" ht="16.5" customHeight="1" thickBot="1">
      <c r="A22" s="127">
        <v>16</v>
      </c>
      <c r="B22" s="103">
        <f>'[1]июль 20'!K21</f>
        <v>396.23200000000003</v>
      </c>
      <c r="C22" s="104">
        <f t="shared" si="0"/>
        <v>0.21622382846413213</v>
      </c>
      <c r="D22" s="143">
        <f t="shared" si="24"/>
        <v>395.37525199999999</v>
      </c>
      <c r="E22" s="104">
        <f t="shared" si="1"/>
        <v>38.014657221022027</v>
      </c>
      <c r="F22" s="128">
        <f t="shared" si="25"/>
        <v>2.2559483507266385</v>
      </c>
      <c r="G22" s="106"/>
      <c r="H22" s="107">
        <f t="shared" si="2"/>
        <v>2.0676042428634194</v>
      </c>
      <c r="I22" s="103">
        <f>'[1]сентябрь 20'!AE21</f>
        <v>0</v>
      </c>
      <c r="J22" s="328">
        <f>'[1]июль 20'!AA21</f>
        <v>0</v>
      </c>
      <c r="K22" s="106"/>
      <c r="L22" s="328">
        <f>'[1]июль 20'!AI21</f>
        <v>33.009</v>
      </c>
      <c r="M22" s="103">
        <f t="shared" si="3"/>
        <v>0.18834410786321956</v>
      </c>
      <c r="N22" s="103">
        <f>'[1]июль 20'!W21</f>
        <v>0</v>
      </c>
      <c r="O22" s="103">
        <f>'[1]июль 20'!AM21</f>
        <v>0</v>
      </c>
      <c r="P22" s="447">
        <f t="shared" si="26"/>
        <v>0</v>
      </c>
      <c r="Q22" s="103">
        <f t="shared" si="27"/>
        <v>0</v>
      </c>
      <c r="R22" s="103">
        <f>'[1]июль 20'!S21</f>
        <v>251.667</v>
      </c>
      <c r="S22" s="108">
        <f t="shared" si="4"/>
        <v>1.3935080880687511</v>
      </c>
      <c r="T22" s="109">
        <f t="shared" si="28"/>
        <v>248.16000000000003</v>
      </c>
      <c r="U22" s="106">
        <v>3.15</v>
      </c>
      <c r="V22" s="109">
        <f t="shared" si="5"/>
        <v>248.16000000000003</v>
      </c>
      <c r="W22" s="485">
        <f t="shared" si="6"/>
        <v>1.4159615198078273</v>
      </c>
      <c r="X22" s="495">
        <f t="shared" si="29"/>
        <v>1.4159615198078273</v>
      </c>
      <c r="Y22" s="135">
        <v>175.26</v>
      </c>
      <c r="Z22" s="129">
        <v>175.26</v>
      </c>
      <c r="AA22" s="131">
        <v>0.78</v>
      </c>
      <c r="AB22" s="112">
        <v>670</v>
      </c>
      <c r="AC22" s="152">
        <v>1218</v>
      </c>
      <c r="AD22" s="144" t="s">
        <v>309</v>
      </c>
      <c r="AE22" s="131">
        <v>76.47</v>
      </c>
      <c r="AF22" s="133">
        <v>132</v>
      </c>
      <c r="AG22" s="134">
        <v>4</v>
      </c>
      <c r="AH22" s="131">
        <v>2.1</v>
      </c>
      <c r="AI22" s="115">
        <f t="shared" si="7"/>
        <v>11.982266245955985</v>
      </c>
      <c r="AJ22" s="131">
        <v>104.25</v>
      </c>
      <c r="AK22" s="115">
        <f t="shared" si="8"/>
        <v>594.83393149567212</v>
      </c>
      <c r="AL22" s="139">
        <v>17.72</v>
      </c>
      <c r="AM22" s="131"/>
      <c r="AN22" s="136">
        <v>9.42</v>
      </c>
      <c r="AO22" s="466">
        <f t="shared" si="9"/>
        <v>42.731000000000002</v>
      </c>
      <c r="AP22" s="110">
        <f t="shared" si="10"/>
        <v>0.19</v>
      </c>
      <c r="AQ22" s="137" t="s">
        <v>367</v>
      </c>
      <c r="AR22" s="150">
        <v>8.3000000000000007</v>
      </c>
      <c r="AS22" s="138">
        <v>8.86</v>
      </c>
      <c r="AT22" s="134"/>
      <c r="AU22" s="131">
        <v>5.39</v>
      </c>
      <c r="AV22" s="315">
        <v>224.9</v>
      </c>
      <c r="AW22" s="131">
        <v>2.5099999999999998</v>
      </c>
      <c r="AX22" s="116"/>
      <c r="AY22" s="131"/>
      <c r="AZ22" s="109">
        <f t="shared" si="34"/>
        <v>0</v>
      </c>
      <c r="BA22" s="109">
        <f t="shared" si="11"/>
        <v>175.25900000000001</v>
      </c>
      <c r="BB22" s="115">
        <f t="shared" si="12"/>
        <v>171.58673642332147</v>
      </c>
      <c r="BC22" s="140">
        <f t="shared" si="13"/>
        <v>4.3528045774647879</v>
      </c>
      <c r="BD22" s="141">
        <f t="shared" si="14"/>
        <v>7.0103600000000004</v>
      </c>
      <c r="BE22" s="128">
        <f t="shared" si="15"/>
        <v>0.8916837640791252</v>
      </c>
      <c r="BF22" s="141">
        <f t="shared" si="16"/>
        <v>11.363164577464788</v>
      </c>
      <c r="BG22" s="142">
        <v>0.89900000000000002</v>
      </c>
      <c r="BH22" s="16">
        <f t="shared" si="30"/>
        <v>2752.692</v>
      </c>
      <c r="BI22" s="16">
        <f t="shared" si="17"/>
        <v>182.25806451612902</v>
      </c>
      <c r="BJ22" s="16">
        <f t="shared" si="31"/>
        <v>2916.1290322580635</v>
      </c>
      <c r="BK22" s="17">
        <f t="shared" si="18"/>
        <v>1</v>
      </c>
      <c r="BL22" s="16">
        <f t="shared" si="32"/>
        <v>2916.1290322580635</v>
      </c>
      <c r="BM22" s="254"/>
      <c r="BN22" s="197">
        <v>33.009</v>
      </c>
      <c r="BO22" s="197"/>
      <c r="BP22" s="197">
        <v>264.036</v>
      </c>
      <c r="BQ22" s="230">
        <v>85.778999999999996</v>
      </c>
      <c r="BR22" s="230">
        <v>13.407999999999999</v>
      </c>
      <c r="BS22" s="258"/>
      <c r="BT22" s="199"/>
      <c r="BU22" s="200"/>
      <c r="BV22" s="200"/>
      <c r="BW22" s="200"/>
      <c r="BX22" s="200">
        <v>0.16</v>
      </c>
      <c r="BY22" s="208">
        <v>0.4</v>
      </c>
      <c r="BZ22" s="208">
        <v>0.68</v>
      </c>
      <c r="CA22" s="201"/>
      <c r="CB22" s="202"/>
      <c r="CC22" s="200">
        <v>43.79</v>
      </c>
      <c r="CD22" s="200"/>
      <c r="CE22" s="200">
        <v>37.43</v>
      </c>
      <c r="CF22" s="208">
        <v>38.21</v>
      </c>
      <c r="CG22" s="208">
        <v>34.06</v>
      </c>
      <c r="CH22" s="201"/>
      <c r="CI22" s="199"/>
      <c r="CJ22" s="197"/>
      <c r="CK22" s="197">
        <v>79.2</v>
      </c>
      <c r="CL22" s="197">
        <v>168.96</v>
      </c>
      <c r="CM22" s="198"/>
      <c r="CN22" s="202"/>
      <c r="CO22" s="200"/>
      <c r="CP22" s="208"/>
      <c r="CQ22" s="201"/>
      <c r="CR22" s="201"/>
      <c r="CS22" s="284"/>
      <c r="CT22" s="286">
        <f t="shared" si="19"/>
        <v>0</v>
      </c>
      <c r="CU22" s="29">
        <f t="shared" si="19"/>
        <v>33.009</v>
      </c>
      <c r="CV22" s="30">
        <f t="shared" si="19"/>
        <v>0</v>
      </c>
      <c r="CW22" s="29">
        <f t="shared" si="19"/>
        <v>263.61354240000003</v>
      </c>
      <c r="CX22" s="27">
        <f t="shared" si="19"/>
        <v>85.435884000000001</v>
      </c>
      <c r="CY22" s="24">
        <f t="shared" si="19"/>
        <v>13.3168256</v>
      </c>
      <c r="CZ22" s="282">
        <f t="shared" si="19"/>
        <v>0</v>
      </c>
      <c r="DA22" s="237">
        <f t="shared" si="20"/>
        <v>0</v>
      </c>
      <c r="DB22" s="24">
        <f t="shared" si="20"/>
        <v>79.2</v>
      </c>
      <c r="DC22" s="277">
        <f t="shared" si="20"/>
        <v>168.96</v>
      </c>
      <c r="DD22" s="280">
        <f t="shared" si="20"/>
        <v>0</v>
      </c>
      <c r="DE22" s="508">
        <f t="shared" si="33"/>
        <v>0</v>
      </c>
      <c r="DG22" s="293">
        <f t="shared" si="21"/>
        <v>0</v>
      </c>
      <c r="DH22" s="294"/>
      <c r="DI22" s="294"/>
      <c r="DJ22" s="295">
        <f t="shared" si="22"/>
        <v>0</v>
      </c>
      <c r="DK22" s="296">
        <f t="shared" si="23"/>
        <v>0</v>
      </c>
    </row>
    <row r="23" spans="1:115" ht="16.5" customHeight="1" thickBot="1">
      <c r="A23" s="127">
        <v>17</v>
      </c>
      <c r="B23" s="103">
        <f>'[1]июль 20'!K22</f>
        <v>393.23200000000003</v>
      </c>
      <c r="C23" s="104">
        <f t="shared" si="0"/>
        <v>0.3251539040566383</v>
      </c>
      <c r="D23" s="143">
        <f t="shared" si="24"/>
        <v>391.95339080000008</v>
      </c>
      <c r="E23" s="104">
        <f t="shared" si="1"/>
        <v>37.718142546893439</v>
      </c>
      <c r="F23" s="128">
        <f t="shared" si="25"/>
        <v>2.1511847511161974</v>
      </c>
      <c r="G23" s="106"/>
      <c r="H23" s="107">
        <f t="shared" si="2"/>
        <v>1.9714406737521513</v>
      </c>
      <c r="I23" s="103">
        <f>'[1]сентябрь 20'!AE22</f>
        <v>0</v>
      </c>
      <c r="J23" s="328">
        <f>'[1]июль 20'!AA22</f>
        <v>0</v>
      </c>
      <c r="K23" s="106"/>
      <c r="L23" s="328">
        <f>'[1]июль 20'!AI22</f>
        <v>32.75</v>
      </c>
      <c r="M23" s="103">
        <f t="shared" si="3"/>
        <v>0.17974407736404627</v>
      </c>
      <c r="N23" s="103">
        <f>'[1]июль 20'!W22</f>
        <v>0</v>
      </c>
      <c r="O23" s="103">
        <f>'[1]июль 20'!AM22</f>
        <v>0</v>
      </c>
      <c r="P23" s="447">
        <f t="shared" si="26"/>
        <v>0</v>
      </c>
      <c r="Q23" s="103">
        <f t="shared" si="27"/>
        <v>0</v>
      </c>
      <c r="R23" s="103">
        <f>'[1]июль 20'!S22</f>
        <v>248.756</v>
      </c>
      <c r="S23" s="108">
        <f t="shared" si="4"/>
        <v>1.445593272122081</v>
      </c>
      <c r="T23" s="109">
        <f t="shared" si="28"/>
        <v>245.16</v>
      </c>
      <c r="U23" s="106">
        <v>34.520000000000003</v>
      </c>
      <c r="V23" s="109">
        <f t="shared" si="5"/>
        <v>245.16</v>
      </c>
      <c r="W23" s="485">
        <f t="shared" si="6"/>
        <v>1.3455284887502161</v>
      </c>
      <c r="X23" s="495">
        <f t="shared" si="29"/>
        <v>1.3455284887502161</v>
      </c>
      <c r="Y23" s="135">
        <v>182.2</v>
      </c>
      <c r="Z23" s="129">
        <v>131.22999999999999</v>
      </c>
      <c r="AA23" s="131">
        <v>0.99</v>
      </c>
      <c r="AB23" s="112">
        <v>685</v>
      </c>
      <c r="AC23" s="133">
        <v>1227</v>
      </c>
      <c r="AD23" s="144" t="s">
        <v>304</v>
      </c>
      <c r="AE23" s="131">
        <v>76.260000000000005</v>
      </c>
      <c r="AF23" s="133">
        <v>131</v>
      </c>
      <c r="AG23" s="134">
        <v>4</v>
      </c>
      <c r="AH23" s="131">
        <v>2.2999999999999998</v>
      </c>
      <c r="AI23" s="115">
        <f t="shared" si="7"/>
        <v>12.623248181291798</v>
      </c>
      <c r="AJ23" s="131">
        <v>110.75</v>
      </c>
      <c r="AK23" s="115">
        <f t="shared" si="8"/>
        <v>607.83684177307236</v>
      </c>
      <c r="AL23" s="139">
        <v>16.399999999999999</v>
      </c>
      <c r="AM23" s="131"/>
      <c r="AN23" s="136">
        <v>10.71</v>
      </c>
      <c r="AO23" s="466">
        <f t="shared" si="9"/>
        <v>44.716499999999996</v>
      </c>
      <c r="AP23" s="110">
        <f t="shared" si="10"/>
        <v>0.19</v>
      </c>
      <c r="AQ23" s="137" t="s">
        <v>368</v>
      </c>
      <c r="AR23" s="150">
        <v>7.58</v>
      </c>
      <c r="AS23" s="138">
        <v>9.26</v>
      </c>
      <c r="AT23" s="134"/>
      <c r="AU23" s="131">
        <v>7.02</v>
      </c>
      <c r="AV23" s="315">
        <v>235.35</v>
      </c>
      <c r="AW23" s="131">
        <v>2.2799999999999998</v>
      </c>
      <c r="AX23" s="116"/>
      <c r="AY23" s="131"/>
      <c r="AZ23" s="109">
        <f t="shared" si="34"/>
        <v>0</v>
      </c>
      <c r="BA23" s="109">
        <f t="shared" si="11"/>
        <v>182.20349999999999</v>
      </c>
      <c r="BB23" s="115">
        <f t="shared" si="12"/>
        <v>169.23966856752148</v>
      </c>
      <c r="BC23" s="140">
        <f t="shared" si="13"/>
        <v>6.0226161971830976</v>
      </c>
      <c r="BD23" s="141">
        <f t="shared" si="14"/>
        <v>7.2881399999999994</v>
      </c>
      <c r="BE23" s="128">
        <f t="shared" si="15"/>
        <v>0.93987217563321113</v>
      </c>
      <c r="BF23" s="141">
        <f t="shared" si="16"/>
        <v>13.310756197183096</v>
      </c>
      <c r="BG23" s="142">
        <v>0.90200000000000002</v>
      </c>
      <c r="BH23" s="16">
        <f t="shared" si="30"/>
        <v>2934.8955000000001</v>
      </c>
      <c r="BI23" s="16">
        <f t="shared" si="17"/>
        <v>182.25806451612902</v>
      </c>
      <c r="BJ23" s="16">
        <f t="shared" si="31"/>
        <v>3098.3870967741923</v>
      </c>
      <c r="BK23" s="17">
        <f t="shared" si="18"/>
        <v>1</v>
      </c>
      <c r="BL23" s="16">
        <f t="shared" si="32"/>
        <v>3098.3870967741923</v>
      </c>
      <c r="BM23" s="254"/>
      <c r="BN23" s="197">
        <v>32.75</v>
      </c>
      <c r="BO23" s="197"/>
      <c r="BP23" s="197">
        <v>262.00200000000001</v>
      </c>
      <c r="BQ23" s="230">
        <v>85.123000000000005</v>
      </c>
      <c r="BR23" s="230">
        <v>13.356999999999999</v>
      </c>
      <c r="BS23" s="258"/>
      <c r="BT23" s="199"/>
      <c r="BU23" s="200"/>
      <c r="BV23" s="200"/>
      <c r="BW23" s="200"/>
      <c r="BX23" s="200">
        <v>0.3</v>
      </c>
      <c r="BY23" s="208">
        <v>0.37</v>
      </c>
      <c r="BZ23" s="208">
        <v>1.33</v>
      </c>
      <c r="CA23" s="201"/>
      <c r="CB23" s="202"/>
      <c r="CC23" s="200">
        <v>43.18</v>
      </c>
      <c r="CD23" s="200"/>
      <c r="CE23" s="200">
        <v>37.49</v>
      </c>
      <c r="CF23" s="208">
        <v>37.369999999999997</v>
      </c>
      <c r="CG23" s="208">
        <v>31.02</v>
      </c>
      <c r="CH23" s="209"/>
      <c r="CI23" s="199"/>
      <c r="CJ23" s="197"/>
      <c r="CK23" s="197">
        <v>78.599999999999994</v>
      </c>
      <c r="CL23" s="197">
        <v>166.56</v>
      </c>
      <c r="CM23" s="198"/>
      <c r="CN23" s="202"/>
      <c r="CO23" s="208"/>
      <c r="CP23" s="208"/>
      <c r="CQ23" s="201"/>
      <c r="CR23" s="201"/>
      <c r="CS23" s="284"/>
      <c r="CT23" s="286">
        <f t="shared" si="19"/>
        <v>0</v>
      </c>
      <c r="CU23" s="24">
        <f t="shared" si="19"/>
        <v>32.75</v>
      </c>
      <c r="CV23" s="25">
        <f t="shared" si="19"/>
        <v>0</v>
      </c>
      <c r="CW23" s="24">
        <f t="shared" si="19"/>
        <v>261.21599400000002</v>
      </c>
      <c r="CX23" s="27">
        <f t="shared" si="19"/>
        <v>84.808044899999999</v>
      </c>
      <c r="CY23" s="24">
        <f t="shared" si="19"/>
        <v>13.1793519</v>
      </c>
      <c r="CZ23" s="280">
        <f t="shared" si="19"/>
        <v>0</v>
      </c>
      <c r="DA23" s="237">
        <f t="shared" si="20"/>
        <v>0</v>
      </c>
      <c r="DB23" s="29">
        <f t="shared" si="20"/>
        <v>78.599999999999994</v>
      </c>
      <c r="DC23" s="277">
        <f t="shared" si="20"/>
        <v>166.56</v>
      </c>
      <c r="DD23" s="280">
        <f t="shared" si="20"/>
        <v>0</v>
      </c>
      <c r="DE23" s="508">
        <f t="shared" si="33"/>
        <v>0</v>
      </c>
      <c r="DG23" s="293">
        <f t="shared" si="21"/>
        <v>0</v>
      </c>
      <c r="DH23" s="294"/>
      <c r="DI23" s="294"/>
      <c r="DJ23" s="295">
        <f t="shared" si="22"/>
        <v>0</v>
      </c>
      <c r="DK23" s="296">
        <f t="shared" si="23"/>
        <v>0</v>
      </c>
    </row>
    <row r="24" spans="1:115" ht="16.5" customHeight="1" thickBot="1">
      <c r="A24" s="127">
        <v>18</v>
      </c>
      <c r="B24" s="103">
        <f>'[1]июль 20'!K23</f>
        <v>398.87700000000001</v>
      </c>
      <c r="C24" s="104">
        <f t="shared" si="0"/>
        <v>0.36384579707528886</v>
      </c>
      <c r="D24" s="143">
        <f t="shared" si="24"/>
        <v>397.42570280000001</v>
      </c>
      <c r="E24" s="104">
        <f t="shared" si="1"/>
        <v>37.783688154493746</v>
      </c>
      <c r="F24" s="128">
        <f t="shared" si="25"/>
        <v>2.1010806215074567</v>
      </c>
      <c r="G24" s="106"/>
      <c r="H24" s="107">
        <f t="shared" si="2"/>
        <v>1.9253815842201816</v>
      </c>
      <c r="I24" s="103">
        <f>'[1]сентябрь 20'!AE23</f>
        <v>0</v>
      </c>
      <c r="J24" s="328">
        <f>'[1]июль 20'!AA23</f>
        <v>0</v>
      </c>
      <c r="K24" s="106"/>
      <c r="L24" s="328">
        <f>'[1]июль 20'!AI23</f>
        <v>33.234000000000002</v>
      </c>
      <c r="M24" s="103">
        <f t="shared" si="3"/>
        <v>0.17569903728727537</v>
      </c>
      <c r="N24" s="103">
        <f>'[1]июль 20'!W23</f>
        <v>0</v>
      </c>
      <c r="O24" s="103">
        <f>'[1]июль 20'!AM23</f>
        <v>0</v>
      </c>
      <c r="P24" s="447">
        <f t="shared" si="26"/>
        <v>0</v>
      </c>
      <c r="Q24" s="103">
        <f t="shared" si="27"/>
        <v>0</v>
      </c>
      <c r="R24" s="103">
        <f>'[1]июль 20'!S23</f>
        <v>252.46600000000001</v>
      </c>
      <c r="S24" s="108">
        <f t="shared" si="4"/>
        <v>1.4877250798127406</v>
      </c>
      <c r="T24" s="109">
        <f t="shared" si="28"/>
        <v>248.70999999999995</v>
      </c>
      <c r="U24" s="106">
        <v>35.28</v>
      </c>
      <c r="V24" s="109">
        <f t="shared" si="5"/>
        <v>248.70999999999998</v>
      </c>
      <c r="W24" s="485">
        <f t="shared" si="6"/>
        <v>1.3148615142239348</v>
      </c>
      <c r="X24" s="495">
        <f t="shared" si="29"/>
        <v>1.3148615142239348</v>
      </c>
      <c r="Y24" s="135">
        <v>189.15</v>
      </c>
      <c r="Z24" s="129">
        <v>189.15</v>
      </c>
      <c r="AA24" s="131">
        <v>0.76</v>
      </c>
      <c r="AB24" s="133">
        <v>668</v>
      </c>
      <c r="AC24" s="133">
        <v>1230</v>
      </c>
      <c r="AD24" s="144" t="s">
        <v>318</v>
      </c>
      <c r="AE24" s="131">
        <v>75.92</v>
      </c>
      <c r="AF24" s="133">
        <v>133</v>
      </c>
      <c r="AG24" s="134">
        <v>4</v>
      </c>
      <c r="AH24" s="131">
        <v>3.8</v>
      </c>
      <c r="AI24" s="115">
        <f t="shared" si="7"/>
        <v>20.089557130999772</v>
      </c>
      <c r="AJ24" s="131">
        <v>108.45</v>
      </c>
      <c r="AK24" s="115">
        <f t="shared" si="8"/>
        <v>573.3453870676118</v>
      </c>
      <c r="AL24" s="139">
        <v>16.78</v>
      </c>
      <c r="AM24" s="131"/>
      <c r="AN24" s="136">
        <v>9.36</v>
      </c>
      <c r="AO24" s="466">
        <f t="shared" si="9"/>
        <v>45.847000000000001</v>
      </c>
      <c r="AP24" s="110">
        <f t="shared" si="10"/>
        <v>0.19</v>
      </c>
      <c r="AQ24" s="137" t="s">
        <v>369</v>
      </c>
      <c r="AR24" s="150">
        <v>8.25</v>
      </c>
      <c r="AS24" s="138">
        <v>9.0299999999999994</v>
      </c>
      <c r="AT24" s="134"/>
      <c r="AU24" s="131">
        <v>5.96</v>
      </c>
      <c r="AV24" s="315">
        <v>241.3</v>
      </c>
      <c r="AW24" s="131">
        <v>3.06</v>
      </c>
      <c r="AX24" s="116"/>
      <c r="AY24" s="131"/>
      <c r="AZ24" s="109">
        <f t="shared" si="34"/>
        <v>0</v>
      </c>
      <c r="BA24" s="109">
        <f t="shared" si="11"/>
        <v>189.15300000000002</v>
      </c>
      <c r="BB24" s="115">
        <f t="shared" si="12"/>
        <v>172.6705782289304</v>
      </c>
      <c r="BC24" s="140">
        <f t="shared" si="13"/>
        <v>5.0070295774647882</v>
      </c>
      <c r="BD24" s="141"/>
      <c r="BE24" s="128">
        <f t="shared" si="15"/>
        <v>0.95633298210808282</v>
      </c>
      <c r="BF24" s="141">
        <f t="shared" si="16"/>
        <v>5.0070295774647882</v>
      </c>
      <c r="BG24" s="142">
        <v>0.90500000000000003</v>
      </c>
      <c r="BH24" s="16">
        <f t="shared" si="30"/>
        <v>3124.0484999999999</v>
      </c>
      <c r="BI24" s="16">
        <f t="shared" si="17"/>
        <v>182.25806451612902</v>
      </c>
      <c r="BJ24" s="16">
        <f t="shared" si="31"/>
        <v>3280.6451612903211</v>
      </c>
      <c r="BK24" s="17">
        <f t="shared" si="18"/>
        <v>1</v>
      </c>
      <c r="BL24" s="16">
        <f t="shared" si="32"/>
        <v>3280.6451612903211</v>
      </c>
      <c r="BM24" s="254"/>
      <c r="BN24" s="197">
        <v>33.234000000000002</v>
      </c>
      <c r="BO24" s="197"/>
      <c r="BP24" s="197">
        <v>265.93700000000001</v>
      </c>
      <c r="BQ24" s="230">
        <v>86.409000000000006</v>
      </c>
      <c r="BR24" s="230">
        <v>13.297000000000001</v>
      </c>
      <c r="BS24" s="258"/>
      <c r="BT24" s="199"/>
      <c r="BU24" s="200"/>
      <c r="BV24" s="200"/>
      <c r="BW24" s="200"/>
      <c r="BX24" s="200">
        <v>0.41</v>
      </c>
      <c r="BY24" s="208">
        <v>0.27</v>
      </c>
      <c r="BZ24" s="208">
        <v>0.96</v>
      </c>
      <c r="CA24" s="201"/>
      <c r="CB24" s="202"/>
      <c r="CC24" s="200">
        <v>43.84</v>
      </c>
      <c r="CD24" s="200"/>
      <c r="CE24" s="200">
        <v>37.159999999999997</v>
      </c>
      <c r="CF24" s="208">
        <v>38.17</v>
      </c>
      <c r="CG24" s="208">
        <v>32.61</v>
      </c>
      <c r="CH24" s="209"/>
      <c r="CI24" s="199"/>
      <c r="CJ24" s="197"/>
      <c r="CK24" s="197">
        <v>79.8</v>
      </c>
      <c r="CL24" s="197">
        <v>168.91</v>
      </c>
      <c r="CM24" s="198"/>
      <c r="CN24" s="202"/>
      <c r="CO24" s="208"/>
      <c r="CP24" s="208"/>
      <c r="CQ24" s="201"/>
      <c r="CR24" s="201"/>
      <c r="CS24" s="284"/>
      <c r="CT24" s="286">
        <f t="shared" si="19"/>
        <v>0</v>
      </c>
      <c r="CU24" s="29">
        <f t="shared" si="19"/>
        <v>33.234000000000002</v>
      </c>
      <c r="CV24" s="30">
        <f t="shared" si="19"/>
        <v>0</v>
      </c>
      <c r="CW24" s="29">
        <f t="shared" si="19"/>
        <v>264.8466583</v>
      </c>
      <c r="CX24" s="27">
        <f t="shared" si="19"/>
        <v>86.175695700000006</v>
      </c>
      <c r="CY24" s="27">
        <f t="shared" si="19"/>
        <v>13.169348800000002</v>
      </c>
      <c r="CZ24" s="282">
        <f t="shared" si="19"/>
        <v>0</v>
      </c>
      <c r="DA24" s="25">
        <f t="shared" si="20"/>
        <v>0</v>
      </c>
      <c r="DB24" s="26">
        <f t="shared" si="20"/>
        <v>79.8</v>
      </c>
      <c r="DC24" s="277">
        <f t="shared" si="20"/>
        <v>168.91</v>
      </c>
      <c r="DD24" s="280">
        <f t="shared" si="20"/>
        <v>0</v>
      </c>
      <c r="DE24" s="508">
        <f t="shared" si="33"/>
        <v>0</v>
      </c>
      <c r="DG24" s="293">
        <f t="shared" si="21"/>
        <v>0</v>
      </c>
      <c r="DH24" s="294"/>
      <c r="DI24" s="294"/>
      <c r="DJ24" s="295">
        <f t="shared" si="22"/>
        <v>0</v>
      </c>
      <c r="DK24" s="296">
        <f t="shared" si="23"/>
        <v>0</v>
      </c>
    </row>
    <row r="25" spans="1:115" ht="16.5" customHeight="1" thickBot="1">
      <c r="A25" s="127">
        <v>19</v>
      </c>
      <c r="B25" s="103">
        <f>'[1]июль 20'!K24</f>
        <v>410.62099999999998</v>
      </c>
      <c r="C25" s="104">
        <f t="shared" si="0"/>
        <v>0.26776565251168355</v>
      </c>
      <c r="D25" s="143">
        <f t="shared" si="24"/>
        <v>409.52149799999995</v>
      </c>
      <c r="E25" s="104">
        <f t="shared" si="1"/>
        <v>37.805613741138423</v>
      </c>
      <c r="F25" s="128">
        <f t="shared" si="25"/>
        <v>2.1793143529186376</v>
      </c>
      <c r="G25" s="106"/>
      <c r="H25" s="107">
        <f t="shared" si="2"/>
        <v>1.9976558194483616</v>
      </c>
      <c r="I25" s="103">
        <f>'[1]сентябрь 20'!AE24</f>
        <v>0</v>
      </c>
      <c r="J25" s="328">
        <f>'[1]июль 20'!AA24</f>
        <v>0</v>
      </c>
      <c r="K25" s="106"/>
      <c r="L25" s="328">
        <f>'[1]июль 20'!AI24</f>
        <v>34.136000000000003</v>
      </c>
      <c r="M25" s="103">
        <f t="shared" si="3"/>
        <v>0.18165853347027613</v>
      </c>
      <c r="N25" s="103">
        <f>'[1]июль 20'!W24</f>
        <v>0</v>
      </c>
      <c r="O25" s="103">
        <f>'[1]июль 20'!AM24</f>
        <v>2.8069999999999999</v>
      </c>
      <c r="P25" s="447">
        <f t="shared" si="26"/>
        <v>2.7957719999999999</v>
      </c>
      <c r="Q25" s="103">
        <f t="shared" si="27"/>
        <v>1.4878012697365269E-2</v>
      </c>
      <c r="R25" s="103">
        <f>'[1]июль 20'!S24</f>
        <v>259.447</v>
      </c>
      <c r="S25" s="108">
        <f t="shared" si="4"/>
        <v>1.3709929195558357</v>
      </c>
      <c r="T25" s="109">
        <f t="shared" si="28"/>
        <v>255.89</v>
      </c>
      <c r="U25" s="106">
        <v>35.337000000000003</v>
      </c>
      <c r="V25" s="109">
        <f t="shared" si="5"/>
        <v>255.89</v>
      </c>
      <c r="W25" s="485">
        <f t="shared" si="6"/>
        <v>1.3617471915194796</v>
      </c>
      <c r="X25" s="495">
        <f t="shared" si="29"/>
        <v>1.376625204216845</v>
      </c>
      <c r="Y25" s="135">
        <v>187.91</v>
      </c>
      <c r="Z25" s="129">
        <v>187.91</v>
      </c>
      <c r="AA25" s="131">
        <v>0.69</v>
      </c>
      <c r="AB25" s="133">
        <v>667</v>
      </c>
      <c r="AC25" s="133">
        <v>1220</v>
      </c>
      <c r="AD25" s="144" t="s">
        <v>370</v>
      </c>
      <c r="AE25" s="131">
        <v>76.12</v>
      </c>
      <c r="AF25" s="133">
        <v>138</v>
      </c>
      <c r="AG25" s="134">
        <v>4</v>
      </c>
      <c r="AH25" s="131">
        <v>3.5</v>
      </c>
      <c r="AI25" s="115">
        <f t="shared" si="7"/>
        <v>18.625640588995967</v>
      </c>
      <c r="AJ25" s="131">
        <v>117.55</v>
      </c>
      <c r="AK25" s="115">
        <f t="shared" si="8"/>
        <v>625.5554432104218</v>
      </c>
      <c r="AL25" s="139">
        <v>18.190000000000001</v>
      </c>
      <c r="AM25" s="131"/>
      <c r="AN25" s="136">
        <v>10.35</v>
      </c>
      <c r="AO25" s="466">
        <f t="shared" si="9"/>
        <v>45.847000000000001</v>
      </c>
      <c r="AP25" s="110">
        <f t="shared" si="10"/>
        <v>0.19</v>
      </c>
      <c r="AQ25" s="137" t="s">
        <v>371</v>
      </c>
      <c r="AR25" s="150">
        <v>7.93</v>
      </c>
      <c r="AS25" s="138">
        <v>9.11</v>
      </c>
      <c r="AT25" s="153"/>
      <c r="AU25" s="131">
        <v>7.47</v>
      </c>
      <c r="AV25" s="315">
        <v>241.3</v>
      </c>
      <c r="AW25" s="131">
        <v>2.81</v>
      </c>
      <c r="AX25" s="148"/>
      <c r="AY25" s="131"/>
      <c r="AZ25" s="109">
        <f t="shared" si="34"/>
        <v>0</v>
      </c>
      <c r="BA25" s="109">
        <f t="shared" si="11"/>
        <v>187.91300000000001</v>
      </c>
      <c r="BB25" s="115">
        <f t="shared" si="12"/>
        <v>177.56135972709114</v>
      </c>
      <c r="BC25" s="140">
        <f t="shared" si="13"/>
        <v>6.8021714788732384</v>
      </c>
      <c r="BD25" s="141">
        <f t="shared" ref="BD25:BD37" si="35">BA25*$BD$6</f>
        <v>7.5165200000000008</v>
      </c>
      <c r="BE25" s="128">
        <f t="shared" si="15"/>
        <v>0.92389498059791353</v>
      </c>
      <c r="BF25" s="141">
        <f t="shared" si="16"/>
        <v>14.318691478873239</v>
      </c>
      <c r="BG25" s="142">
        <v>0.90600000000000003</v>
      </c>
      <c r="BH25" s="16">
        <f t="shared" si="30"/>
        <v>3311.9614999999999</v>
      </c>
      <c r="BI25" s="16">
        <f t="shared" si="17"/>
        <v>182.25806451612902</v>
      </c>
      <c r="BJ25" s="16">
        <f t="shared" si="31"/>
        <v>3462.9032258064499</v>
      </c>
      <c r="BK25" s="17">
        <f t="shared" si="18"/>
        <v>1</v>
      </c>
      <c r="BL25" s="16">
        <f t="shared" si="32"/>
        <v>3462.9032258064499</v>
      </c>
      <c r="BM25" s="254"/>
      <c r="BN25" s="197">
        <v>34.136000000000003</v>
      </c>
      <c r="BO25" s="197"/>
      <c r="BP25" s="197">
        <v>273.56</v>
      </c>
      <c r="BQ25" s="230">
        <v>89.015000000000001</v>
      </c>
      <c r="BR25" s="230">
        <v>13.91</v>
      </c>
      <c r="BS25" s="258"/>
      <c r="BT25" s="199"/>
      <c r="BU25" s="200"/>
      <c r="BV25" s="200"/>
      <c r="BW25" s="200"/>
      <c r="BX25" s="200">
        <v>0.25</v>
      </c>
      <c r="BY25" s="208">
        <v>0.32</v>
      </c>
      <c r="BZ25" s="208">
        <v>0.94</v>
      </c>
      <c r="CA25" s="201"/>
      <c r="CB25" s="202"/>
      <c r="CC25" s="200">
        <v>43.77</v>
      </c>
      <c r="CD25" s="200"/>
      <c r="CE25" s="200">
        <v>37.299999999999997</v>
      </c>
      <c r="CF25" s="208">
        <v>37.520000000000003</v>
      </c>
      <c r="CG25" s="208">
        <v>34.94</v>
      </c>
      <c r="CH25" s="201"/>
      <c r="CI25" s="199"/>
      <c r="CJ25" s="197"/>
      <c r="CK25" s="197"/>
      <c r="CL25" s="197">
        <v>255.89</v>
      </c>
      <c r="CM25" s="198"/>
      <c r="CN25" s="202"/>
      <c r="CO25" s="208"/>
      <c r="CP25" s="208"/>
      <c r="CQ25" s="201"/>
      <c r="CR25" s="201">
        <v>0.4</v>
      </c>
      <c r="CS25" s="284"/>
      <c r="CT25" s="286">
        <f t="shared" si="19"/>
        <v>0</v>
      </c>
      <c r="CU25" s="24">
        <f t="shared" si="19"/>
        <v>34.136000000000003</v>
      </c>
      <c r="CV25" s="25">
        <f t="shared" si="19"/>
        <v>0</v>
      </c>
      <c r="CW25" s="24">
        <f t="shared" si="19"/>
        <v>272.87610000000001</v>
      </c>
      <c r="CX25" s="27">
        <f t="shared" si="19"/>
        <v>88.730152000000004</v>
      </c>
      <c r="CY25" s="30">
        <f t="shared" si="19"/>
        <v>13.779246000000001</v>
      </c>
      <c r="CZ25" s="280">
        <f t="shared" si="19"/>
        <v>0</v>
      </c>
      <c r="DA25" s="25">
        <f t="shared" si="20"/>
        <v>0</v>
      </c>
      <c r="DB25" s="26">
        <f t="shared" si="20"/>
        <v>0</v>
      </c>
      <c r="DC25" s="277">
        <f t="shared" si="20"/>
        <v>255.89</v>
      </c>
      <c r="DD25" s="280">
        <f t="shared" si="20"/>
        <v>0</v>
      </c>
      <c r="DE25" s="508">
        <f t="shared" si="33"/>
        <v>2.7957719999999999</v>
      </c>
      <c r="DG25" s="293">
        <f t="shared" si="21"/>
        <v>0</v>
      </c>
      <c r="DH25" s="294"/>
      <c r="DI25" s="294"/>
      <c r="DJ25" s="295">
        <f t="shared" si="22"/>
        <v>0</v>
      </c>
      <c r="DK25" s="296">
        <f t="shared" si="23"/>
        <v>0</v>
      </c>
    </row>
    <row r="26" spans="1:115" ht="16.5" customHeight="1" thickBot="1">
      <c r="A26" s="127">
        <v>20</v>
      </c>
      <c r="B26" s="103">
        <f>'[1]июль 20'!K25</f>
        <v>429.14</v>
      </c>
      <c r="C26" s="104">
        <f t="shared" si="0"/>
        <v>1.0739700563918535</v>
      </c>
      <c r="D26" s="143">
        <f t="shared" si="24"/>
        <v>424.53116489999996</v>
      </c>
      <c r="E26" s="104">
        <f t="shared" si="1"/>
        <v>37.748984690310856</v>
      </c>
      <c r="F26" s="128">
        <f t="shared" si="25"/>
        <v>2.118778459918349</v>
      </c>
      <c r="G26" s="106"/>
      <c r="H26" s="107">
        <f t="shared" si="2"/>
        <v>1.9402851027619452</v>
      </c>
      <c r="I26" s="103">
        <f>'[1]сентябрь 20'!AE25</f>
        <v>0</v>
      </c>
      <c r="J26" s="328">
        <f>'[1]июль 20'!AA25</f>
        <v>0</v>
      </c>
      <c r="K26" s="106"/>
      <c r="L26" s="328">
        <f>'[1]июль 20'!AI25</f>
        <v>35.764000000000003</v>
      </c>
      <c r="M26" s="103">
        <f t="shared" si="3"/>
        <v>0.17849335715640377</v>
      </c>
      <c r="N26" s="103">
        <f>'[1]июль 20'!W25</f>
        <v>0</v>
      </c>
      <c r="O26" s="103">
        <f>'[1]июль 20'!AM25</f>
        <v>7.1479999999999997</v>
      </c>
      <c r="P26" s="447">
        <f t="shared" si="26"/>
        <v>7.119408</v>
      </c>
      <c r="Q26" s="103">
        <f t="shared" si="27"/>
        <v>3.5532016409969752E-2</v>
      </c>
      <c r="R26" s="103">
        <f>'[1]июль 20'!S25</f>
        <v>269.29700000000003</v>
      </c>
      <c r="S26" s="108">
        <f t="shared" si="4"/>
        <v>1.1834517280177703</v>
      </c>
      <c r="T26" s="109">
        <f t="shared" si="28"/>
        <v>266.11</v>
      </c>
      <c r="U26" s="106">
        <v>7.1479999999999997</v>
      </c>
      <c r="V26" s="109">
        <f t="shared" si="5"/>
        <v>266.11</v>
      </c>
      <c r="W26" s="485">
        <f t="shared" si="6"/>
        <v>1.3281195412395317</v>
      </c>
      <c r="X26" s="495">
        <f t="shared" si="29"/>
        <v>1.3636515576495014</v>
      </c>
      <c r="Y26" s="135">
        <v>200.37</v>
      </c>
      <c r="Z26" s="154">
        <v>145.96</v>
      </c>
      <c r="AA26" s="149">
        <v>0.85</v>
      </c>
      <c r="AB26" s="147">
        <v>673</v>
      </c>
      <c r="AC26" s="147">
        <v>1224</v>
      </c>
      <c r="AD26" s="144" t="s">
        <v>373</v>
      </c>
      <c r="AE26" s="149">
        <v>76.459999999999994</v>
      </c>
      <c r="AF26" s="147">
        <v>143</v>
      </c>
      <c r="AG26" s="155">
        <v>4</v>
      </c>
      <c r="AH26" s="149"/>
      <c r="AI26" s="115">
        <f t="shared" si="7"/>
        <v>0</v>
      </c>
      <c r="AJ26" s="149">
        <v>118.7</v>
      </c>
      <c r="AK26" s="115">
        <f t="shared" si="8"/>
        <v>592.4158789415369</v>
      </c>
      <c r="AL26" s="156">
        <v>17.57</v>
      </c>
      <c r="AM26" s="149"/>
      <c r="AN26" s="157">
        <v>6.48</v>
      </c>
      <c r="AO26" s="466">
        <f t="shared" si="9"/>
        <v>47.804000000000002</v>
      </c>
      <c r="AP26" s="110">
        <f t="shared" si="10"/>
        <v>0.19</v>
      </c>
      <c r="AQ26" s="158" t="s">
        <v>374</v>
      </c>
      <c r="AR26" s="404">
        <v>7.86</v>
      </c>
      <c r="AS26" s="159">
        <v>8.64</v>
      </c>
      <c r="AT26" s="155"/>
      <c r="AU26" s="149">
        <v>7.43</v>
      </c>
      <c r="AV26" s="315">
        <v>251.6</v>
      </c>
      <c r="AW26" s="131">
        <v>3.05</v>
      </c>
      <c r="AX26" s="148"/>
      <c r="AY26" s="149"/>
      <c r="AZ26" s="160">
        <f t="shared" si="34"/>
        <v>0</v>
      </c>
      <c r="BA26" s="109">
        <f t="shared" si="11"/>
        <v>200.36600000000001</v>
      </c>
      <c r="BB26" s="115">
        <f t="shared" si="12"/>
        <v>182.97628365073174</v>
      </c>
      <c r="BC26" s="140">
        <f t="shared" si="13"/>
        <v>6.8319373239436612</v>
      </c>
      <c r="BD26" s="140">
        <f t="shared" si="35"/>
        <v>8.01464</v>
      </c>
      <c r="BE26" s="161">
        <f t="shared" si="15"/>
        <v>0.95596825178660505</v>
      </c>
      <c r="BF26" s="140">
        <f t="shared" si="16"/>
        <v>14.846577323943661</v>
      </c>
      <c r="BG26" s="162">
        <v>0.90900000000000003</v>
      </c>
      <c r="BH26" s="16">
        <f t="shared" si="30"/>
        <v>3512.3274999999999</v>
      </c>
      <c r="BI26" s="16">
        <f t="shared" si="17"/>
        <v>182.25806451612902</v>
      </c>
      <c r="BJ26" s="16">
        <f t="shared" si="31"/>
        <v>3645.1612903225787</v>
      </c>
      <c r="BK26" s="17">
        <f t="shared" si="18"/>
        <v>1</v>
      </c>
      <c r="BL26" s="16">
        <f t="shared" si="32"/>
        <v>3645.1612903225787</v>
      </c>
      <c r="BM26" s="254"/>
      <c r="BN26" s="197">
        <v>35.764000000000003</v>
      </c>
      <c r="BO26" s="197"/>
      <c r="BP26" s="197">
        <v>286</v>
      </c>
      <c r="BQ26" s="230">
        <v>92.966999999999999</v>
      </c>
      <c r="BR26" s="230">
        <v>14.409000000000001</v>
      </c>
      <c r="BS26" s="258"/>
      <c r="BT26" s="199"/>
      <c r="BU26" s="200"/>
      <c r="BV26" s="200"/>
      <c r="BW26" s="200"/>
      <c r="BX26" s="200">
        <v>1.19</v>
      </c>
      <c r="BY26" s="208">
        <v>0.92</v>
      </c>
      <c r="BZ26" s="208">
        <v>2.4300000000000002</v>
      </c>
      <c r="CA26" s="201"/>
      <c r="CB26" s="202"/>
      <c r="CC26" s="200">
        <v>43.63</v>
      </c>
      <c r="CD26" s="200"/>
      <c r="CE26" s="200">
        <v>37.19</v>
      </c>
      <c r="CF26" s="208">
        <v>38.26</v>
      </c>
      <c r="CG26" s="208">
        <v>30.95</v>
      </c>
      <c r="CH26" s="209"/>
      <c r="CI26" s="199"/>
      <c r="CJ26" s="197"/>
      <c r="CK26" s="197"/>
      <c r="CL26" s="197">
        <v>266.11</v>
      </c>
      <c r="CM26" s="198"/>
      <c r="CN26" s="202"/>
      <c r="CO26" s="208"/>
      <c r="CP26" s="208"/>
      <c r="CQ26" s="201"/>
      <c r="CR26" s="201">
        <v>0.4</v>
      </c>
      <c r="CS26" s="284"/>
      <c r="CT26" s="286">
        <f t="shared" si="19"/>
        <v>0</v>
      </c>
      <c r="CU26" s="24">
        <f t="shared" si="19"/>
        <v>35.764000000000003</v>
      </c>
      <c r="CV26" s="25">
        <f t="shared" si="19"/>
        <v>0</v>
      </c>
      <c r="CW26" s="24">
        <f t="shared" si="19"/>
        <v>282.59659999999997</v>
      </c>
      <c r="CX26" s="27">
        <f t="shared" si="19"/>
        <v>92.111703599999998</v>
      </c>
      <c r="CY26" s="24">
        <f t="shared" si="19"/>
        <v>14.058861299999998</v>
      </c>
      <c r="CZ26" s="280">
        <f t="shared" si="19"/>
        <v>0</v>
      </c>
      <c r="DA26" s="30">
        <f t="shared" si="20"/>
        <v>0</v>
      </c>
      <c r="DB26" s="26">
        <f t="shared" si="20"/>
        <v>0</v>
      </c>
      <c r="DC26" s="277">
        <f t="shared" si="20"/>
        <v>266.11</v>
      </c>
      <c r="DD26" s="280">
        <f t="shared" si="20"/>
        <v>0</v>
      </c>
      <c r="DE26" s="508">
        <f t="shared" si="33"/>
        <v>7.119408</v>
      </c>
      <c r="DG26" s="293">
        <f t="shared" si="21"/>
        <v>0</v>
      </c>
      <c r="DH26" s="294"/>
      <c r="DI26" s="294"/>
      <c r="DJ26" s="295">
        <f t="shared" si="22"/>
        <v>0</v>
      </c>
      <c r="DK26" s="296">
        <f t="shared" si="23"/>
        <v>0</v>
      </c>
    </row>
    <row r="27" spans="1:115" ht="16.5" customHeight="1" thickBot="1">
      <c r="A27" s="127">
        <v>21</v>
      </c>
      <c r="B27" s="103">
        <f>'[1]июль 20'!K26</f>
        <v>420.41800000000001</v>
      </c>
      <c r="C27" s="104">
        <f t="shared" si="0"/>
        <v>1.1563626676307865</v>
      </c>
      <c r="D27" s="143">
        <f t="shared" si="24"/>
        <v>415.55644320000005</v>
      </c>
      <c r="E27" s="104">
        <f t="shared" si="1"/>
        <v>37.443438982155854</v>
      </c>
      <c r="F27" s="128">
        <f t="shared" si="25"/>
        <v>2.1757736204301219</v>
      </c>
      <c r="G27" s="106"/>
      <c r="H27" s="107">
        <f t="shared" si="2"/>
        <v>1.9922428535151906</v>
      </c>
      <c r="I27" s="103">
        <f>'[1]сентябрь 20'!AE26</f>
        <v>0</v>
      </c>
      <c r="J27" s="328">
        <f>'[1]июль 20'!AA26</f>
        <v>0</v>
      </c>
      <c r="K27" s="106"/>
      <c r="L27" s="328">
        <f>'[1]июль 20'!AI26</f>
        <v>35.052999999999997</v>
      </c>
      <c r="M27" s="103">
        <f t="shared" si="3"/>
        <v>0.1835307669149312</v>
      </c>
      <c r="N27" s="103">
        <f>'[1]июль 20'!W26</f>
        <v>0</v>
      </c>
      <c r="O27" s="103">
        <f>'[1]июль 20'!AM26</f>
        <v>7.0339999999999998</v>
      </c>
      <c r="P27" s="447">
        <f t="shared" si="26"/>
        <v>7.0058639999999999</v>
      </c>
      <c r="Q27" s="103">
        <f t="shared" si="27"/>
        <v>3.6681356597772163E-2</v>
      </c>
      <c r="R27" s="103">
        <f>'[1]июль 20'!S26</f>
        <v>261.76299999999998</v>
      </c>
      <c r="S27" s="108">
        <f t="shared" si="4"/>
        <v>1.5177851720831304</v>
      </c>
      <c r="T27" s="109">
        <f t="shared" si="28"/>
        <v>257.78999999999996</v>
      </c>
      <c r="U27" s="106">
        <v>34.503999999999998</v>
      </c>
      <c r="V27" s="109">
        <f t="shared" si="5"/>
        <v>257.79000000000002</v>
      </c>
      <c r="W27" s="485">
        <f t="shared" si="6"/>
        <v>1.3497388640915218</v>
      </c>
      <c r="X27" s="495">
        <f t="shared" si="29"/>
        <v>1.3864202206892939</v>
      </c>
      <c r="Y27" s="487">
        <v>190.99</v>
      </c>
      <c r="Z27" s="129">
        <v>96.37</v>
      </c>
      <c r="AA27" s="131">
        <v>0.98</v>
      </c>
      <c r="AB27" s="133">
        <v>675</v>
      </c>
      <c r="AC27" s="133">
        <v>1228</v>
      </c>
      <c r="AD27" s="144" t="s">
        <v>375</v>
      </c>
      <c r="AE27" s="131">
        <v>75.92</v>
      </c>
      <c r="AF27" s="133">
        <v>140</v>
      </c>
      <c r="AG27" s="134">
        <v>4</v>
      </c>
      <c r="AH27" s="131">
        <v>3.8</v>
      </c>
      <c r="AI27" s="115">
        <f t="shared" si="7"/>
        <v>19.896069217377644</v>
      </c>
      <c r="AJ27" s="131">
        <v>115.8</v>
      </c>
      <c r="AK27" s="115">
        <f t="shared" si="8"/>
        <v>606.30653036113983</v>
      </c>
      <c r="AL27" s="139">
        <v>18.61</v>
      </c>
      <c r="AM27" s="131"/>
      <c r="AN27" s="136">
        <v>11.2</v>
      </c>
      <c r="AO27" s="466">
        <f t="shared" si="9"/>
        <v>46.787500000000001</v>
      </c>
      <c r="AP27" s="110">
        <f t="shared" si="10"/>
        <v>0.19</v>
      </c>
      <c r="AQ27" s="137" t="s">
        <v>376</v>
      </c>
      <c r="AR27" s="150">
        <v>8.56</v>
      </c>
      <c r="AS27" s="138">
        <v>8.66</v>
      </c>
      <c r="AT27" s="134"/>
      <c r="AU27" s="131">
        <v>6.59</v>
      </c>
      <c r="AV27" s="139">
        <v>246.25</v>
      </c>
      <c r="AW27" s="131">
        <v>2.73</v>
      </c>
      <c r="AX27" s="148"/>
      <c r="AY27" s="131"/>
      <c r="AZ27" s="109">
        <f t="shared" si="34"/>
        <v>0</v>
      </c>
      <c r="BA27" s="109">
        <f t="shared" si="11"/>
        <v>190.99250000000001</v>
      </c>
      <c r="BB27" s="115">
        <f t="shared" si="12"/>
        <v>178.92202067145152</v>
      </c>
      <c r="BC27" s="140">
        <f t="shared" si="13"/>
        <v>5.9115084507042246</v>
      </c>
      <c r="BD27" s="141">
        <f t="shared" si="35"/>
        <v>7.6397000000000004</v>
      </c>
      <c r="BE27" s="128">
        <f t="shared" si="15"/>
        <v>0.9318945307809402</v>
      </c>
      <c r="BF27" s="141">
        <f t="shared" si="16"/>
        <v>13.551208450704225</v>
      </c>
      <c r="BG27" s="142">
        <v>0.91</v>
      </c>
      <c r="BH27" s="16">
        <f t="shared" si="30"/>
        <v>3703.3199999999997</v>
      </c>
      <c r="BI27" s="16">
        <f t="shared" si="17"/>
        <v>182.25806451612902</v>
      </c>
      <c r="BJ27" s="16">
        <f t="shared" si="31"/>
        <v>3827.4193548387075</v>
      </c>
      <c r="BK27" s="17">
        <f t="shared" si="18"/>
        <v>1</v>
      </c>
      <c r="BL27" s="16">
        <f t="shared" si="32"/>
        <v>3827.4193548387075</v>
      </c>
      <c r="BM27" s="254"/>
      <c r="BN27" s="197">
        <v>35.052999999999997</v>
      </c>
      <c r="BO27" s="197"/>
      <c r="BP27" s="197">
        <v>280.27100000000002</v>
      </c>
      <c r="BQ27" s="230">
        <v>91.054000000000002</v>
      </c>
      <c r="BR27" s="230">
        <v>14.04</v>
      </c>
      <c r="BS27" s="258"/>
      <c r="BT27" s="199"/>
      <c r="BU27" s="200"/>
      <c r="BV27" s="200"/>
      <c r="BW27" s="200"/>
      <c r="BX27" s="200">
        <v>1.32</v>
      </c>
      <c r="BY27" s="208">
        <v>0.94</v>
      </c>
      <c r="BZ27" s="208">
        <v>2.1800000000000002</v>
      </c>
      <c r="CA27" s="201"/>
      <c r="CB27" s="202"/>
      <c r="CC27" s="200">
        <v>43.61</v>
      </c>
      <c r="CD27" s="200"/>
      <c r="CE27" s="200">
        <v>37</v>
      </c>
      <c r="CF27" s="208">
        <v>37.299999999999997</v>
      </c>
      <c r="CG27" s="208">
        <v>31.83</v>
      </c>
      <c r="CH27" s="209"/>
      <c r="CI27" s="199"/>
      <c r="CJ27" s="197"/>
      <c r="CK27" s="197"/>
      <c r="CL27" s="197">
        <v>257.79000000000002</v>
      </c>
      <c r="CM27" s="198"/>
      <c r="CN27" s="202"/>
      <c r="CO27" s="208"/>
      <c r="CP27" s="208"/>
      <c r="CQ27" s="201"/>
      <c r="CR27" s="201">
        <v>0.4</v>
      </c>
      <c r="CS27" s="284"/>
      <c r="CT27" s="286">
        <f t="shared" si="19"/>
        <v>0</v>
      </c>
      <c r="CU27" s="24">
        <f t="shared" si="19"/>
        <v>35.052999999999997</v>
      </c>
      <c r="CV27" s="25">
        <f t="shared" si="19"/>
        <v>0</v>
      </c>
      <c r="CW27" s="24">
        <f t="shared" si="19"/>
        <v>276.57142280000005</v>
      </c>
      <c r="CX27" s="27">
        <f t="shared" si="19"/>
        <v>90.198092400000007</v>
      </c>
      <c r="CY27" s="29">
        <f t="shared" si="19"/>
        <v>13.733927999999999</v>
      </c>
      <c r="CZ27" s="280">
        <f t="shared" si="19"/>
        <v>0</v>
      </c>
      <c r="DA27" s="237">
        <f t="shared" si="20"/>
        <v>0</v>
      </c>
      <c r="DB27" s="26">
        <f t="shared" si="20"/>
        <v>0</v>
      </c>
      <c r="DC27" s="277">
        <f t="shared" si="20"/>
        <v>257.79000000000002</v>
      </c>
      <c r="DD27" s="280">
        <f t="shared" si="20"/>
        <v>0</v>
      </c>
      <c r="DE27" s="508">
        <f t="shared" si="33"/>
        <v>7.0058639999999999</v>
      </c>
      <c r="DG27" s="293">
        <f t="shared" si="21"/>
        <v>0</v>
      </c>
      <c r="DH27" s="294"/>
      <c r="DI27" s="294"/>
      <c r="DJ27" s="295">
        <f t="shared" si="22"/>
        <v>0</v>
      </c>
      <c r="DK27" s="296">
        <f t="shared" si="23"/>
        <v>0</v>
      </c>
    </row>
    <row r="28" spans="1:115" ht="16.5" customHeight="1" thickBot="1">
      <c r="A28" s="127">
        <v>22</v>
      </c>
      <c r="B28" s="103">
        <f>'[1]июль 20'!K27</f>
        <v>406.27100000000002</v>
      </c>
      <c r="C28" s="104">
        <f t="shared" si="0"/>
        <v>0.618145941994383</v>
      </c>
      <c r="D28" s="143">
        <f t="shared" si="24"/>
        <v>403.75965230000003</v>
      </c>
      <c r="E28" s="104">
        <f t="shared" si="1"/>
        <v>37.253654358790065</v>
      </c>
      <c r="F28" s="128">
        <f t="shared" si="25"/>
        <v>2.1930706181731279</v>
      </c>
      <c r="G28" s="106"/>
      <c r="H28" s="107">
        <f t="shared" si="2"/>
        <v>2.0093405047065027</v>
      </c>
      <c r="I28" s="103">
        <f>'[1]сентябрь 20'!AE27</f>
        <v>0</v>
      </c>
      <c r="J28" s="328">
        <f>'[1]июль 20'!AA27</f>
        <v>0</v>
      </c>
      <c r="K28" s="106"/>
      <c r="L28" s="328">
        <f>'[1]июль 20'!AI27</f>
        <v>33.826000000000001</v>
      </c>
      <c r="M28" s="103">
        <f t="shared" si="3"/>
        <v>0.18373011346662541</v>
      </c>
      <c r="N28" s="103">
        <f>'[1]июль 20'!W27</f>
        <v>0</v>
      </c>
      <c r="O28" s="103">
        <f>'[1]июль 20'!AM27</f>
        <v>6.6520000000000001</v>
      </c>
      <c r="P28" s="447">
        <f t="shared" si="26"/>
        <v>6.6253919999999997</v>
      </c>
      <c r="Q28" s="103">
        <f t="shared" si="27"/>
        <v>3.5986638204956907E-2</v>
      </c>
      <c r="R28" s="103">
        <f>'[1]июль 20'!S27</f>
        <v>253.08099999999999</v>
      </c>
      <c r="S28" s="108">
        <f t="shared" si="4"/>
        <v>1.2450559307099263</v>
      </c>
      <c r="T28" s="109">
        <f t="shared" si="28"/>
        <v>249.93</v>
      </c>
      <c r="U28" s="106">
        <v>6.6520000000000001</v>
      </c>
      <c r="V28" s="109">
        <f t="shared" si="5"/>
        <v>249.93</v>
      </c>
      <c r="W28" s="485">
        <f t="shared" si="6"/>
        <v>1.3575257866349462</v>
      </c>
      <c r="X28" s="495">
        <f t="shared" si="29"/>
        <v>1.3935124248399031</v>
      </c>
      <c r="Y28" s="487">
        <v>90.36</v>
      </c>
      <c r="Z28" s="136">
        <v>137.41</v>
      </c>
      <c r="AA28" s="131">
        <v>0.79</v>
      </c>
      <c r="AB28" s="133">
        <v>678</v>
      </c>
      <c r="AC28" s="133">
        <v>1238</v>
      </c>
      <c r="AD28" s="144" t="s">
        <v>370</v>
      </c>
      <c r="AE28" s="131">
        <v>75.430000000000007</v>
      </c>
      <c r="AF28" s="133">
        <v>136</v>
      </c>
      <c r="AG28" s="134">
        <v>4</v>
      </c>
      <c r="AH28" s="131">
        <v>3.6</v>
      </c>
      <c r="AI28" s="115">
        <f t="shared" si="7"/>
        <v>19.553846404536493</v>
      </c>
      <c r="AJ28" s="131">
        <v>110.75</v>
      </c>
      <c r="AK28" s="115">
        <f t="shared" si="8"/>
        <v>601.55235813956017</v>
      </c>
      <c r="AL28" s="139">
        <v>18.02</v>
      </c>
      <c r="AM28" s="131"/>
      <c r="AN28" s="136">
        <v>10.91</v>
      </c>
      <c r="AO28" s="466">
        <f t="shared" si="9"/>
        <v>45.162999999999997</v>
      </c>
      <c r="AP28" s="110">
        <f t="shared" si="10"/>
        <v>0.19</v>
      </c>
      <c r="AQ28" s="137" t="s">
        <v>367</v>
      </c>
      <c r="AR28" s="150">
        <v>8.93</v>
      </c>
      <c r="AS28" s="138">
        <v>8.92</v>
      </c>
      <c r="AT28" s="134"/>
      <c r="AU28" s="131">
        <v>7.29</v>
      </c>
      <c r="AV28" s="139">
        <v>237.7</v>
      </c>
      <c r="AW28" s="131">
        <v>2.48</v>
      </c>
      <c r="AX28" s="148"/>
      <c r="AY28" s="131"/>
      <c r="AZ28" s="109">
        <f t="shared" si="34"/>
        <v>0</v>
      </c>
      <c r="BA28" s="109">
        <f t="shared" si="11"/>
        <v>184.10699999999997</v>
      </c>
      <c r="BB28" s="115">
        <f t="shared" si="12"/>
        <v>174.08523358606197</v>
      </c>
      <c r="BC28" s="140">
        <f t="shared" si="13"/>
        <v>6.2542552816901402</v>
      </c>
      <c r="BD28" s="141">
        <f t="shared" si="35"/>
        <v>7.364279999999999</v>
      </c>
      <c r="BE28" s="128">
        <f t="shared" si="15"/>
        <v>0.92325700284362511</v>
      </c>
      <c r="BF28" s="141">
        <f t="shared" si="16"/>
        <v>13.618535281690139</v>
      </c>
      <c r="BG28" s="142">
        <v>0.91100000000000003</v>
      </c>
      <c r="BH28" s="16">
        <f t="shared" si="30"/>
        <v>3887.4269999999997</v>
      </c>
      <c r="BI28" s="16">
        <f t="shared" si="17"/>
        <v>182.25806451612902</v>
      </c>
      <c r="BJ28" s="16">
        <f t="shared" si="31"/>
        <v>4009.6774193548363</v>
      </c>
      <c r="BK28" s="17">
        <f t="shared" si="18"/>
        <v>1</v>
      </c>
      <c r="BL28" s="16">
        <f t="shared" si="32"/>
        <v>4009.6774193548363</v>
      </c>
      <c r="BM28" s="254"/>
      <c r="BN28" s="197">
        <v>33.826000000000001</v>
      </c>
      <c r="BO28" s="197"/>
      <c r="BP28" s="197">
        <v>270.89999999999998</v>
      </c>
      <c r="BQ28" s="230">
        <v>88.081000000000003</v>
      </c>
      <c r="BR28" s="230">
        <v>13.464</v>
      </c>
      <c r="BS28" s="258"/>
      <c r="BT28" s="199"/>
      <c r="BU28" s="200"/>
      <c r="BV28" s="200"/>
      <c r="BW28" s="200"/>
      <c r="BX28" s="200">
        <v>0.61</v>
      </c>
      <c r="BY28" s="208">
        <v>0.56999999999999995</v>
      </c>
      <c r="BZ28" s="208">
        <v>2.65</v>
      </c>
      <c r="CA28" s="201"/>
      <c r="CB28" s="202"/>
      <c r="CC28" s="200">
        <v>43.75</v>
      </c>
      <c r="CD28" s="200"/>
      <c r="CE28" s="200">
        <v>37.15</v>
      </c>
      <c r="CF28" s="208">
        <v>36.11</v>
      </c>
      <c r="CG28" s="208">
        <v>30.5</v>
      </c>
      <c r="CH28" s="209"/>
      <c r="CI28" s="199"/>
      <c r="CJ28" s="197"/>
      <c r="CK28" s="197"/>
      <c r="CL28" s="197">
        <v>249.93</v>
      </c>
      <c r="CM28" s="198"/>
      <c r="CN28" s="202"/>
      <c r="CO28" s="208"/>
      <c r="CP28" s="208"/>
      <c r="CQ28" s="201"/>
      <c r="CR28" s="201">
        <v>0.4</v>
      </c>
      <c r="CS28" s="284"/>
      <c r="CT28" s="286">
        <f t="shared" si="19"/>
        <v>0</v>
      </c>
      <c r="CU28" s="29">
        <f t="shared" si="19"/>
        <v>33.826000000000001</v>
      </c>
      <c r="CV28" s="30">
        <f t="shared" si="19"/>
        <v>0</v>
      </c>
      <c r="CW28" s="29">
        <f t="shared" si="19"/>
        <v>269.24750999999998</v>
      </c>
      <c r="CX28" s="27">
        <f t="shared" si="19"/>
        <v>87.578938300000004</v>
      </c>
      <c r="CY28" s="24">
        <f t="shared" si="19"/>
        <v>13.107203999999999</v>
      </c>
      <c r="CZ28" s="282">
        <f t="shared" si="19"/>
        <v>0</v>
      </c>
      <c r="DA28" s="25">
        <f t="shared" si="20"/>
        <v>0</v>
      </c>
      <c r="DB28" s="24">
        <f t="shared" si="20"/>
        <v>0</v>
      </c>
      <c r="DC28" s="277">
        <f t="shared" si="20"/>
        <v>249.93</v>
      </c>
      <c r="DD28" s="280">
        <f t="shared" si="20"/>
        <v>0</v>
      </c>
      <c r="DE28" s="508">
        <f t="shared" si="33"/>
        <v>6.6253919999999997</v>
      </c>
      <c r="DG28" s="293">
        <f>I28</f>
        <v>0</v>
      </c>
      <c r="DH28" s="297"/>
      <c r="DI28" s="294"/>
      <c r="DJ28" s="295">
        <f t="shared" si="22"/>
        <v>0</v>
      </c>
      <c r="DK28" s="296">
        <f t="shared" si="23"/>
        <v>0</v>
      </c>
    </row>
    <row r="29" spans="1:115" ht="16.5" customHeight="1" thickBot="1">
      <c r="A29" s="127">
        <v>23</v>
      </c>
      <c r="B29" s="103">
        <f>'[1]июль 20'!K28</f>
        <v>423.02300000000002</v>
      </c>
      <c r="C29" s="104">
        <f t="shared" si="0"/>
        <v>0.72321783921914407</v>
      </c>
      <c r="D29" s="143">
        <f t="shared" si="24"/>
        <v>419.96362220000003</v>
      </c>
      <c r="E29" s="104">
        <f t="shared" si="1"/>
        <v>37.473896171130171</v>
      </c>
      <c r="F29" s="128">
        <f t="shared" si="25"/>
        <v>2.160956986541732</v>
      </c>
      <c r="G29" s="106"/>
      <c r="H29" s="107">
        <f t="shared" si="2"/>
        <v>1.9782734114947138</v>
      </c>
      <c r="I29" s="103">
        <f>'[1]сентябрь 20'!AE28</f>
        <v>0</v>
      </c>
      <c r="J29" s="328">
        <f>'[1]июль 20'!AA28</f>
        <v>0</v>
      </c>
      <c r="K29" s="106"/>
      <c r="L29" s="328">
        <f>'[1]июль 20'!AI28</f>
        <v>35.503</v>
      </c>
      <c r="M29" s="103">
        <f t="shared" si="3"/>
        <v>0.18268357504701774</v>
      </c>
      <c r="N29" s="103">
        <f>'[1]июль 20'!W28</f>
        <v>0</v>
      </c>
      <c r="O29" s="103">
        <f>'[1]июль 20'!AM28</f>
        <v>7.056</v>
      </c>
      <c r="P29" s="447">
        <f t="shared" si="26"/>
        <v>7.0277760000000002</v>
      </c>
      <c r="Q29" s="103">
        <f t="shared" si="27"/>
        <v>3.616199319239586E-2</v>
      </c>
      <c r="R29" s="103">
        <f>'[1]июль 20'!S28</f>
        <v>261.68599999999998</v>
      </c>
      <c r="S29" s="108">
        <f t="shared" si="4"/>
        <v>1.5805201653890433</v>
      </c>
      <c r="T29" s="109">
        <f t="shared" si="28"/>
        <v>257.55</v>
      </c>
      <c r="U29" s="106">
        <v>7.056</v>
      </c>
      <c r="V29" s="109">
        <f t="shared" si="5"/>
        <v>257.55</v>
      </c>
      <c r="W29" s="485">
        <f t="shared" si="6"/>
        <v>1.3252444794343976</v>
      </c>
      <c r="X29" s="495">
        <f t="shared" si="29"/>
        <v>1.3614064726267934</v>
      </c>
      <c r="Y29" s="487">
        <v>194.34</v>
      </c>
      <c r="Z29" s="136">
        <v>194.34</v>
      </c>
      <c r="AA29" s="131">
        <v>0.62</v>
      </c>
      <c r="AB29" s="133">
        <v>648</v>
      </c>
      <c r="AC29" s="133">
        <v>1233</v>
      </c>
      <c r="AD29" s="144" t="s">
        <v>377</v>
      </c>
      <c r="AE29" s="131">
        <v>76.3</v>
      </c>
      <c r="AF29" s="133">
        <v>141</v>
      </c>
      <c r="AG29" s="134">
        <v>4</v>
      </c>
      <c r="AH29" s="131">
        <v>3.55</v>
      </c>
      <c r="AI29" s="115">
        <f t="shared" si="7"/>
        <v>18.266813830293575</v>
      </c>
      <c r="AJ29" s="131">
        <v>120.15</v>
      </c>
      <c r="AK29" s="115">
        <f t="shared" si="8"/>
        <v>618.24160048162639</v>
      </c>
      <c r="AL29" s="139">
        <v>21.42</v>
      </c>
      <c r="AM29" s="131"/>
      <c r="AN29" s="136">
        <v>8.5399999999999991</v>
      </c>
      <c r="AO29" s="466">
        <f t="shared" si="9"/>
        <v>46.958500000000001</v>
      </c>
      <c r="AP29" s="110">
        <f t="shared" si="10"/>
        <v>0.19</v>
      </c>
      <c r="AQ29" s="137" t="s">
        <v>378</v>
      </c>
      <c r="AR29" s="150">
        <v>7.72</v>
      </c>
      <c r="AS29" s="138">
        <v>9.42</v>
      </c>
      <c r="AT29" s="134"/>
      <c r="AU29" s="131">
        <v>8.1199999999999992</v>
      </c>
      <c r="AV29" s="139">
        <v>247.15</v>
      </c>
      <c r="AW29" s="131">
        <v>2.69</v>
      </c>
      <c r="AX29" s="148"/>
      <c r="AY29" s="131"/>
      <c r="AZ29" s="109">
        <f t="shared" si="34"/>
        <v>0</v>
      </c>
      <c r="BA29" s="109">
        <f t="shared" si="11"/>
        <v>194.34150000000002</v>
      </c>
      <c r="BB29" s="115">
        <f t="shared" si="12"/>
        <v>180.0653824492762</v>
      </c>
      <c r="BC29" s="140">
        <f t="shared" si="13"/>
        <v>7.5576042253521116</v>
      </c>
      <c r="BD29" s="141">
        <f t="shared" si="35"/>
        <v>7.7736600000000013</v>
      </c>
      <c r="BE29" s="128">
        <f t="shared" si="15"/>
        <v>0.94221402910574825</v>
      </c>
      <c r="BF29" s="141">
        <f t="shared" si="16"/>
        <v>15.331264225352113</v>
      </c>
      <c r="BG29" s="142">
        <v>0.91200000000000003</v>
      </c>
      <c r="BH29" s="16">
        <f t="shared" si="30"/>
        <v>4081.7684999999997</v>
      </c>
      <c r="BI29" s="16">
        <f t="shared" si="17"/>
        <v>182.25806451612902</v>
      </c>
      <c r="BJ29" s="16">
        <f t="shared" si="31"/>
        <v>4191.9354838709651</v>
      </c>
      <c r="BK29" s="17">
        <f t="shared" si="18"/>
        <v>1</v>
      </c>
      <c r="BL29" s="16">
        <f t="shared" si="32"/>
        <v>4191.9354838709651</v>
      </c>
      <c r="BM29" s="254"/>
      <c r="BN29" s="197">
        <v>35.503</v>
      </c>
      <c r="BO29" s="197"/>
      <c r="BP29" s="197">
        <v>282.03899999999999</v>
      </c>
      <c r="BQ29" s="230">
        <v>91.566000000000003</v>
      </c>
      <c r="BR29" s="230">
        <v>13.914999999999999</v>
      </c>
      <c r="BS29" s="258"/>
      <c r="BT29" s="199"/>
      <c r="BU29" s="200"/>
      <c r="BV29" s="200"/>
      <c r="BW29" s="200"/>
      <c r="BX29" s="200">
        <v>0.75</v>
      </c>
      <c r="BY29" s="208">
        <v>0.68</v>
      </c>
      <c r="BZ29" s="208">
        <v>2.31</v>
      </c>
      <c r="CA29" s="201"/>
      <c r="CB29" s="202"/>
      <c r="CC29" s="200">
        <v>43.48</v>
      </c>
      <c r="CD29" s="200"/>
      <c r="CE29" s="200">
        <v>37.21</v>
      </c>
      <c r="CF29" s="208">
        <v>37.15</v>
      </c>
      <c r="CG29" s="208">
        <v>29.63</v>
      </c>
      <c r="CH29" s="201"/>
      <c r="CI29" s="199"/>
      <c r="CJ29" s="197"/>
      <c r="CK29" s="197"/>
      <c r="CL29" s="230">
        <v>257.55</v>
      </c>
      <c r="CM29" s="198"/>
      <c r="CN29" s="202"/>
      <c r="CO29" s="208"/>
      <c r="CP29" s="208"/>
      <c r="CQ29" s="201"/>
      <c r="CR29" s="201">
        <v>0.4</v>
      </c>
      <c r="CS29" s="284"/>
      <c r="CT29" s="286">
        <f t="shared" si="19"/>
        <v>0</v>
      </c>
      <c r="CU29" s="24">
        <f t="shared" si="19"/>
        <v>35.503</v>
      </c>
      <c r="CV29" s="25">
        <f t="shared" si="19"/>
        <v>0</v>
      </c>
      <c r="CW29" s="24">
        <f t="shared" si="19"/>
        <v>279.92370749999998</v>
      </c>
      <c r="CX29" s="27">
        <f t="shared" si="19"/>
        <v>90.943351199999995</v>
      </c>
      <c r="CY29" s="29">
        <f t="shared" si="19"/>
        <v>13.593563499999998</v>
      </c>
      <c r="CZ29" s="280">
        <f t="shared" si="19"/>
        <v>0</v>
      </c>
      <c r="DA29" s="30">
        <f t="shared" si="20"/>
        <v>0</v>
      </c>
      <c r="DB29" s="29">
        <f t="shared" si="20"/>
        <v>0</v>
      </c>
      <c r="DC29" s="277">
        <f t="shared" si="20"/>
        <v>257.55</v>
      </c>
      <c r="DD29" s="280">
        <f t="shared" si="20"/>
        <v>0</v>
      </c>
      <c r="DE29" s="508">
        <f t="shared" si="33"/>
        <v>7.0277760000000002</v>
      </c>
      <c r="DG29" s="293">
        <f t="shared" si="21"/>
        <v>0</v>
      </c>
      <c r="DH29" s="294"/>
      <c r="DI29" s="294"/>
      <c r="DJ29" s="295">
        <f t="shared" si="22"/>
        <v>0</v>
      </c>
      <c r="DK29" s="296">
        <f t="shared" si="23"/>
        <v>0</v>
      </c>
    </row>
    <row r="30" spans="1:115" ht="16.5" customHeight="1" thickBot="1">
      <c r="A30" s="127">
        <v>24</v>
      </c>
      <c r="B30" s="103">
        <f>'[1]июль 20'!K29</f>
        <v>395.90800000000002</v>
      </c>
      <c r="C30" s="104">
        <f t="shared" si="0"/>
        <v>2.1865361902260121</v>
      </c>
      <c r="D30" s="143">
        <f t="shared" si="24"/>
        <v>387.25132830000001</v>
      </c>
      <c r="E30" s="104">
        <f t="shared" si="1"/>
        <v>37.922437535993211</v>
      </c>
      <c r="F30" s="128">
        <f t="shared" si="25"/>
        <v>2.0518474686461827</v>
      </c>
      <c r="G30" s="106"/>
      <c r="H30" s="107">
        <f t="shared" si="2"/>
        <v>1.8768807166738197</v>
      </c>
      <c r="I30" s="103">
        <f>'[1]сентябрь 20'!AE29</f>
        <v>0</v>
      </c>
      <c r="J30" s="328">
        <f>'[1]июль 20'!AA29</f>
        <v>0</v>
      </c>
      <c r="K30" s="106"/>
      <c r="L30" s="328">
        <f>'[1]июль 20'!AI29</f>
        <v>33.021999999999998</v>
      </c>
      <c r="M30" s="103">
        <f t="shared" si="3"/>
        <v>0.17496675197236305</v>
      </c>
      <c r="N30" s="103">
        <f>'[1]июль 20'!W29</f>
        <v>0</v>
      </c>
      <c r="O30" s="103">
        <f>'[1]июль 20'!AM29</f>
        <v>6.6029999999999998</v>
      </c>
      <c r="P30" s="447">
        <f t="shared" si="26"/>
        <v>6.5765880000000001</v>
      </c>
      <c r="Q30" s="103">
        <f t="shared" si="27"/>
        <v>3.4845988777797203E-2</v>
      </c>
      <c r="R30" s="103">
        <f>'[1]июль 20'!S29</f>
        <v>243.245</v>
      </c>
      <c r="S30" s="108">
        <f t="shared" si="4"/>
        <v>1.1901580710806048</v>
      </c>
      <c r="T30" s="109">
        <f t="shared" si="28"/>
        <v>240.35</v>
      </c>
      <c r="U30" s="163">
        <v>43.493000000000002</v>
      </c>
      <c r="V30" s="109">
        <f t="shared" si="5"/>
        <v>240.35</v>
      </c>
      <c r="W30" s="485">
        <f t="shared" si="6"/>
        <v>1.2734921820773262</v>
      </c>
      <c r="X30" s="495">
        <f t="shared" si="29"/>
        <v>1.3083381708551234</v>
      </c>
      <c r="Y30" s="488">
        <v>188.73</v>
      </c>
      <c r="Z30" s="157">
        <v>188.73</v>
      </c>
      <c r="AA30" s="149">
        <v>0.57999999999999996</v>
      </c>
      <c r="AB30" s="147">
        <v>652</v>
      </c>
      <c r="AC30" s="147">
        <v>1228</v>
      </c>
      <c r="AD30" s="144" t="s">
        <v>352</v>
      </c>
      <c r="AE30" s="149">
        <v>76.42</v>
      </c>
      <c r="AF30" s="147">
        <v>132</v>
      </c>
      <c r="AG30" s="155">
        <v>4</v>
      </c>
      <c r="AH30" s="149"/>
      <c r="AI30" s="115">
        <f t="shared" si="7"/>
        <v>0</v>
      </c>
      <c r="AJ30" s="131">
        <v>116.35</v>
      </c>
      <c r="AK30" s="115">
        <f t="shared" si="8"/>
        <v>616.4793650289032</v>
      </c>
      <c r="AL30" s="139">
        <v>17.78</v>
      </c>
      <c r="AM30" s="131"/>
      <c r="AN30" s="157">
        <v>8.1199999999999992</v>
      </c>
      <c r="AO30" s="466">
        <f t="shared" si="9"/>
        <v>45.657000000000004</v>
      </c>
      <c r="AP30" s="110">
        <f t="shared" si="10"/>
        <v>0.19</v>
      </c>
      <c r="AQ30" s="158" t="s">
        <v>379</v>
      </c>
      <c r="AR30" s="404">
        <v>7.58</v>
      </c>
      <c r="AS30" s="159">
        <v>9.58</v>
      </c>
      <c r="AT30" s="155"/>
      <c r="AU30" s="149">
        <v>8.89</v>
      </c>
      <c r="AV30" s="156">
        <v>240.3</v>
      </c>
      <c r="AW30" s="131">
        <v>2.21</v>
      </c>
      <c r="AX30" s="164"/>
      <c r="AY30" s="149"/>
      <c r="AZ30" s="109">
        <f t="shared" si="34"/>
        <v>0</v>
      </c>
      <c r="BA30" s="109">
        <f t="shared" si="11"/>
        <v>188.733</v>
      </c>
      <c r="BB30" s="115">
        <f t="shared" si="12"/>
        <v>167.76307237696128</v>
      </c>
      <c r="BC30" s="140">
        <f t="shared" si="13"/>
        <v>8.0125820422535217</v>
      </c>
      <c r="BD30" s="141">
        <f t="shared" si="35"/>
        <v>7.5493200000000007</v>
      </c>
      <c r="BE30" s="128">
        <f t="shared" si="15"/>
        <v>0.98212262487526336</v>
      </c>
      <c r="BF30" s="141">
        <f t="shared" si="16"/>
        <v>15.561902042253521</v>
      </c>
      <c r="BG30" s="162">
        <v>0.91500000000000004</v>
      </c>
      <c r="BH30" s="16">
        <f t="shared" si="30"/>
        <v>4270.5014999999994</v>
      </c>
      <c r="BI30" s="16">
        <f t="shared" si="17"/>
        <v>182.25806451612902</v>
      </c>
      <c r="BJ30" s="16">
        <f t="shared" si="31"/>
        <v>4374.1935483870939</v>
      </c>
      <c r="BK30" s="17">
        <f t="shared" si="18"/>
        <v>1</v>
      </c>
      <c r="BL30" s="16">
        <f t="shared" si="32"/>
        <v>4374.1935483870939</v>
      </c>
      <c r="BM30" s="255">
        <v>212.512</v>
      </c>
      <c r="BN30" s="210">
        <v>33.021999999999998</v>
      </c>
      <c r="BO30" s="210"/>
      <c r="BP30" s="210">
        <v>46.911999999999999</v>
      </c>
      <c r="BQ30" s="233">
        <v>85.807000000000002</v>
      </c>
      <c r="BR30" s="233">
        <v>17.655000000000001</v>
      </c>
      <c r="BS30" s="260"/>
      <c r="BT30" s="212"/>
      <c r="BU30" s="213">
        <v>2.72</v>
      </c>
      <c r="BV30" s="213"/>
      <c r="BW30" s="213"/>
      <c r="BX30" s="213">
        <v>2.72</v>
      </c>
      <c r="BY30" s="235">
        <v>1.47</v>
      </c>
      <c r="BZ30" s="235">
        <v>1.92</v>
      </c>
      <c r="CA30" s="214"/>
      <c r="CB30" s="215">
        <v>37.39</v>
      </c>
      <c r="CC30" s="213">
        <v>43.56</v>
      </c>
      <c r="CD30" s="216"/>
      <c r="CE30" s="213">
        <v>37.39</v>
      </c>
      <c r="CF30" s="235">
        <v>38.11</v>
      </c>
      <c r="CG30" s="235">
        <v>34.29</v>
      </c>
      <c r="CH30" s="214"/>
      <c r="CI30" s="212"/>
      <c r="CJ30" s="210"/>
      <c r="CK30" s="210"/>
      <c r="CL30" s="233">
        <v>240.35</v>
      </c>
      <c r="CM30" s="198"/>
      <c r="CN30" s="202"/>
      <c r="CO30" s="208"/>
      <c r="CP30" s="208"/>
      <c r="CQ30" s="201"/>
      <c r="CR30" s="201">
        <v>0.4</v>
      </c>
      <c r="CS30" s="284"/>
      <c r="CT30" s="480">
        <f t="shared" si="19"/>
        <v>206.73167359999999</v>
      </c>
      <c r="CU30" s="24">
        <f t="shared" si="19"/>
        <v>33.021999999999998</v>
      </c>
      <c r="CV30" s="25">
        <f t="shared" si="19"/>
        <v>0</v>
      </c>
      <c r="CW30" s="24">
        <f t="shared" si="19"/>
        <v>45.635993599999999</v>
      </c>
      <c r="CX30" s="27">
        <f t="shared" si="19"/>
        <v>84.545637100000008</v>
      </c>
      <c r="CY30" s="24">
        <f t="shared" si="19"/>
        <v>17.316024000000002</v>
      </c>
      <c r="CZ30" s="280">
        <f t="shared" si="19"/>
        <v>0</v>
      </c>
      <c r="DA30" s="25">
        <f t="shared" si="20"/>
        <v>0</v>
      </c>
      <c r="DB30" s="26">
        <f t="shared" si="20"/>
        <v>0</v>
      </c>
      <c r="DC30" s="277">
        <f t="shared" si="20"/>
        <v>240.35</v>
      </c>
      <c r="DD30" s="280">
        <f t="shared" si="20"/>
        <v>0</v>
      </c>
      <c r="DE30" s="508">
        <f t="shared" si="33"/>
        <v>6.5765880000000001</v>
      </c>
      <c r="DG30" s="293">
        <f t="shared" si="21"/>
        <v>0</v>
      </c>
      <c r="DH30" s="294"/>
      <c r="DI30" s="294"/>
      <c r="DJ30" s="295">
        <f t="shared" si="22"/>
        <v>0</v>
      </c>
      <c r="DK30" s="296">
        <f t="shared" si="23"/>
        <v>0</v>
      </c>
    </row>
    <row r="31" spans="1:115" ht="16.5" customHeight="1" thickBot="1">
      <c r="A31" s="127">
        <v>25</v>
      </c>
      <c r="B31" s="103">
        <f>'[1]июль 20'!K30</f>
        <v>423.072</v>
      </c>
      <c r="C31" s="104">
        <f t="shared" si="0"/>
        <v>0.95730934687239988</v>
      </c>
      <c r="D31" s="143">
        <f t="shared" si="24"/>
        <v>419.02189219999997</v>
      </c>
      <c r="E31" s="104">
        <f t="shared" si="1"/>
        <v>37.627828478367746</v>
      </c>
      <c r="F31" s="128">
        <f t="shared" si="25"/>
        <v>2.318804534437152</v>
      </c>
      <c r="G31" s="106"/>
      <c r="H31" s="107">
        <f t="shared" si="2"/>
        <v>2.1237861067147743</v>
      </c>
      <c r="I31" s="103">
        <f>'[1]сентябрь 20'!AE30</f>
        <v>0</v>
      </c>
      <c r="J31" s="328">
        <f>'[1]июль 20'!AA30</f>
        <v>0</v>
      </c>
      <c r="K31" s="106"/>
      <c r="L31" s="328">
        <f>'[1]июль 20'!AI30</f>
        <v>35.241</v>
      </c>
      <c r="M31" s="103">
        <f t="shared" si="3"/>
        <v>0.19501842772237779</v>
      </c>
      <c r="N31" s="103">
        <f>'[1]июль 20'!W30</f>
        <v>0</v>
      </c>
      <c r="O31" s="103">
        <f>'[1]июль 20'!AM30</f>
        <v>7.069</v>
      </c>
      <c r="P31" s="447">
        <f t="shared" si="26"/>
        <v>7.040724</v>
      </c>
      <c r="Q31" s="103">
        <f t="shared" si="27"/>
        <v>3.8962314477659847E-2</v>
      </c>
      <c r="R31" s="103">
        <f>'[1]июль 20'!S30</f>
        <v>262.26299999999998</v>
      </c>
      <c r="S31" s="108">
        <f t="shared" si="4"/>
        <v>1.6140286658811953</v>
      </c>
      <c r="T31" s="109">
        <f t="shared" si="28"/>
        <v>258.02999999999997</v>
      </c>
      <c r="U31" s="106">
        <v>7.069</v>
      </c>
      <c r="V31" s="109">
        <f t="shared" si="5"/>
        <v>258.02999999999997</v>
      </c>
      <c r="W31" s="485">
        <f t="shared" si="6"/>
        <v>1.427899461002955</v>
      </c>
      <c r="X31" s="495">
        <f t="shared" si="29"/>
        <v>1.4668617754806148</v>
      </c>
      <c r="Y31" s="135">
        <v>180.71</v>
      </c>
      <c r="Z31" s="136">
        <v>180.71</v>
      </c>
      <c r="AA31" s="131">
        <v>0.62</v>
      </c>
      <c r="AB31" s="133">
        <v>674</v>
      </c>
      <c r="AC31" s="133">
        <v>1223</v>
      </c>
      <c r="AD31" s="144" t="s">
        <v>349</v>
      </c>
      <c r="AE31" s="131">
        <v>75.53</v>
      </c>
      <c r="AF31" s="133">
        <v>141</v>
      </c>
      <c r="AG31" s="134">
        <v>4</v>
      </c>
      <c r="AH31" s="131">
        <v>3.45</v>
      </c>
      <c r="AI31" s="115">
        <f t="shared" si="7"/>
        <v>19.091784445452838</v>
      </c>
      <c r="AJ31" s="131">
        <v>114</v>
      </c>
      <c r="AK31" s="115">
        <f t="shared" si="8"/>
        <v>630.8589642845285</v>
      </c>
      <c r="AL31" s="139">
        <v>18.170000000000002</v>
      </c>
      <c r="AM31" s="131"/>
      <c r="AN31" s="136">
        <v>12.79</v>
      </c>
      <c r="AO31" s="466">
        <f t="shared" si="9"/>
        <v>44.954000000000001</v>
      </c>
      <c r="AP31" s="110">
        <f t="shared" si="10"/>
        <v>0.19</v>
      </c>
      <c r="AQ31" s="137" t="s">
        <v>380</v>
      </c>
      <c r="AR31" s="150">
        <v>8.64</v>
      </c>
      <c r="AS31" s="138">
        <v>8.8699999999999992</v>
      </c>
      <c r="AT31" s="134"/>
      <c r="AU31" s="131">
        <v>8.01</v>
      </c>
      <c r="AV31" s="139">
        <v>236.6</v>
      </c>
      <c r="AW31" s="131">
        <v>1.85</v>
      </c>
      <c r="AX31" s="148"/>
      <c r="AY31" s="131"/>
      <c r="AZ31" s="109">
        <f t="shared" si="34"/>
        <v>0</v>
      </c>
      <c r="BA31" s="109">
        <f t="shared" si="11"/>
        <v>180.70599999999999</v>
      </c>
      <c r="BB31" s="115">
        <f t="shared" si="12"/>
        <v>182.23870825576722</v>
      </c>
      <c r="BC31" s="140">
        <f t="shared" si="13"/>
        <v>7.0736197183098586</v>
      </c>
      <c r="BD31" s="141">
        <f t="shared" si="35"/>
        <v>7.2282399999999996</v>
      </c>
      <c r="BE31" s="128">
        <f t="shared" si="15"/>
        <v>0.86565768332045656</v>
      </c>
      <c r="BF31" s="141">
        <f t="shared" si="16"/>
        <v>14.301859718309858</v>
      </c>
      <c r="BG31" s="142">
        <v>0.91300000000000003</v>
      </c>
      <c r="BH31" s="16">
        <f t="shared" si="30"/>
        <v>4451.2074999999995</v>
      </c>
      <c r="BI31" s="16">
        <f t="shared" si="17"/>
        <v>182.25806451612902</v>
      </c>
      <c r="BJ31" s="16">
        <f t="shared" si="31"/>
        <v>4556.4516129032227</v>
      </c>
      <c r="BK31" s="17">
        <f t="shared" si="18"/>
        <v>1</v>
      </c>
      <c r="BL31" s="16">
        <f t="shared" si="32"/>
        <v>4556.4516129032227</v>
      </c>
      <c r="BM31" s="254"/>
      <c r="BN31" s="197">
        <v>35.241</v>
      </c>
      <c r="BO31" s="197"/>
      <c r="BP31" s="197">
        <v>274.84199999999998</v>
      </c>
      <c r="BQ31" s="230">
        <v>91.668999999999997</v>
      </c>
      <c r="BR31" s="230">
        <v>21.32</v>
      </c>
      <c r="BS31" s="259"/>
      <c r="BT31" s="199"/>
      <c r="BU31" s="200"/>
      <c r="BV31" s="200"/>
      <c r="BW31" s="200"/>
      <c r="BX31" s="200">
        <v>1.02</v>
      </c>
      <c r="BY31" s="208">
        <v>1.06</v>
      </c>
      <c r="BZ31" s="208">
        <v>1.29</v>
      </c>
      <c r="CA31" s="201"/>
      <c r="CB31" s="202"/>
      <c r="CC31" s="200">
        <v>43.76</v>
      </c>
      <c r="CD31" s="200"/>
      <c r="CE31" s="200">
        <v>37.369999999999997</v>
      </c>
      <c r="CF31" s="208">
        <v>37.549999999999997</v>
      </c>
      <c r="CG31" s="208">
        <v>31.15</v>
      </c>
      <c r="CH31" s="209"/>
      <c r="CI31" s="199"/>
      <c r="CJ31" s="197"/>
      <c r="CK31" s="197"/>
      <c r="CL31" s="230">
        <v>258.02999999999997</v>
      </c>
      <c r="CM31" s="198"/>
      <c r="CN31" s="202"/>
      <c r="CO31" s="208"/>
      <c r="CP31" s="208"/>
      <c r="CQ31" s="201"/>
      <c r="CR31" s="201">
        <v>0.4</v>
      </c>
      <c r="CS31" s="284"/>
      <c r="CT31" s="286">
        <f t="shared" si="19"/>
        <v>0</v>
      </c>
      <c r="CU31" s="24">
        <f t="shared" si="19"/>
        <v>35.241</v>
      </c>
      <c r="CV31" s="25">
        <f t="shared" si="19"/>
        <v>0</v>
      </c>
      <c r="CW31" s="24">
        <f t="shared" si="19"/>
        <v>272.03861159999997</v>
      </c>
      <c r="CX31" s="27">
        <f t="shared" si="19"/>
        <v>90.697308599999985</v>
      </c>
      <c r="CY31" s="24">
        <f t="shared" si="19"/>
        <v>21.044972000000001</v>
      </c>
      <c r="CZ31" s="280">
        <f t="shared" si="19"/>
        <v>0</v>
      </c>
      <c r="DA31" s="28">
        <f t="shared" si="20"/>
        <v>0</v>
      </c>
      <c r="DB31" s="24">
        <f t="shared" si="20"/>
        <v>0</v>
      </c>
      <c r="DC31" s="277">
        <f t="shared" si="20"/>
        <v>258.02999999999997</v>
      </c>
      <c r="DD31" s="280">
        <f t="shared" si="20"/>
        <v>0</v>
      </c>
      <c r="DE31" s="508">
        <f t="shared" si="33"/>
        <v>7.040724</v>
      </c>
      <c r="DG31" s="293">
        <f t="shared" si="21"/>
        <v>0</v>
      </c>
      <c r="DH31" s="294"/>
      <c r="DI31" s="294"/>
      <c r="DJ31" s="295">
        <f t="shared" si="22"/>
        <v>0</v>
      </c>
      <c r="DK31" s="296">
        <f t="shared" si="23"/>
        <v>0</v>
      </c>
    </row>
    <row r="32" spans="1:115" ht="16.5" customHeight="1" thickBot="1">
      <c r="A32" s="127">
        <v>26</v>
      </c>
      <c r="B32" s="103">
        <f>'[1]июль 20'!K31</f>
        <v>422.84500000000003</v>
      </c>
      <c r="C32" s="104">
        <f t="shared" si="0"/>
        <v>2.7018848514230984</v>
      </c>
      <c r="D32" s="143">
        <f t="shared" si="24"/>
        <v>411.42021500000004</v>
      </c>
      <c r="E32" s="104">
        <f t="shared" si="1"/>
        <v>37.672905792902831</v>
      </c>
      <c r="F32" s="128">
        <f t="shared" si="25"/>
        <v>2.170344210018226</v>
      </c>
      <c r="G32" s="106"/>
      <c r="H32" s="107">
        <f t="shared" si="2"/>
        <v>1.9838483207562598</v>
      </c>
      <c r="I32" s="103">
        <f>'[1]сентябрь 20'!AE31</f>
        <v>0</v>
      </c>
      <c r="J32" s="328">
        <f>'[1]июль 20'!AA31</f>
        <v>0</v>
      </c>
      <c r="K32" s="106"/>
      <c r="L32" s="328">
        <f>'[1]июль 20'!AI31</f>
        <v>35.353000000000002</v>
      </c>
      <c r="M32" s="103">
        <f t="shared" si="3"/>
        <v>0.18649588926196625</v>
      </c>
      <c r="N32" s="103">
        <f>'[1]июль 20'!W31</f>
        <v>0</v>
      </c>
      <c r="O32" s="103">
        <f>'[1]июль 20'!AM31</f>
        <v>7.0679999999999996</v>
      </c>
      <c r="P32" s="447">
        <f t="shared" si="26"/>
        <v>7.0397279999999993</v>
      </c>
      <c r="Q32" s="103">
        <f t="shared" si="27"/>
        <v>3.7136320355340792E-2</v>
      </c>
      <c r="R32" s="103">
        <f>'[1]июль 20'!S31</f>
        <v>264.33600000000001</v>
      </c>
      <c r="S32" s="108">
        <f t="shared" si="4"/>
        <v>1.9467647236850127</v>
      </c>
      <c r="T32" s="109">
        <f t="shared" si="28"/>
        <v>259.19000000000005</v>
      </c>
      <c r="U32" s="106">
        <v>7.0679999999999996</v>
      </c>
      <c r="V32" s="109">
        <f t="shared" si="5"/>
        <v>259.19</v>
      </c>
      <c r="W32" s="485">
        <f t="shared" si="6"/>
        <v>1.3672918716320832</v>
      </c>
      <c r="X32" s="495">
        <f t="shared" si="29"/>
        <v>1.404428191987424</v>
      </c>
      <c r="Y32" s="135">
        <v>189.56</v>
      </c>
      <c r="Z32" s="136">
        <v>189.56</v>
      </c>
      <c r="AA32" s="131">
        <v>0.54</v>
      </c>
      <c r="AB32" s="133">
        <v>663</v>
      </c>
      <c r="AC32" s="133">
        <v>1233</v>
      </c>
      <c r="AD32" s="144" t="s">
        <v>381</v>
      </c>
      <c r="AE32" s="131">
        <v>76.02</v>
      </c>
      <c r="AF32" s="133">
        <v>141</v>
      </c>
      <c r="AG32" s="134">
        <v>4</v>
      </c>
      <c r="AH32" s="131">
        <v>2.5</v>
      </c>
      <c r="AI32" s="115">
        <f t="shared" si="7"/>
        <v>13.18812330367764</v>
      </c>
      <c r="AJ32" s="131">
        <v>119.55</v>
      </c>
      <c r="AK32" s="115">
        <f t="shared" si="8"/>
        <v>630.65605638186469</v>
      </c>
      <c r="AL32" s="139">
        <v>17.78</v>
      </c>
      <c r="AM32" s="131"/>
      <c r="AN32" s="136">
        <v>8.48</v>
      </c>
      <c r="AO32" s="466">
        <f t="shared" si="9"/>
        <v>45.4955</v>
      </c>
      <c r="AP32" s="110">
        <f t="shared" si="10"/>
        <v>0.19</v>
      </c>
      <c r="AQ32" s="137" t="s">
        <v>382</v>
      </c>
      <c r="AR32" s="150">
        <v>8.44</v>
      </c>
      <c r="AS32" s="138">
        <v>9.14</v>
      </c>
      <c r="AT32" s="134"/>
      <c r="AU32" s="131">
        <v>8.39</v>
      </c>
      <c r="AV32" s="139">
        <v>239.45</v>
      </c>
      <c r="AW32" s="131">
        <v>4.09</v>
      </c>
      <c r="AX32" s="148"/>
      <c r="AY32" s="131"/>
      <c r="AZ32" s="109">
        <f t="shared" si="34"/>
        <v>0</v>
      </c>
      <c r="BA32" s="109">
        <f t="shared" si="11"/>
        <v>189.56450000000001</v>
      </c>
      <c r="BB32" s="115">
        <f t="shared" si="12"/>
        <v>177.99226303426724</v>
      </c>
      <c r="BC32" s="140">
        <f t="shared" si="13"/>
        <v>7.7699080985915492</v>
      </c>
      <c r="BD32" s="141">
        <f t="shared" si="35"/>
        <v>7.5825800000000001</v>
      </c>
      <c r="BE32" s="128">
        <f t="shared" si="15"/>
        <v>0.92975843825380067</v>
      </c>
      <c r="BF32" s="141">
        <f t="shared" si="16"/>
        <v>15.35248809859155</v>
      </c>
      <c r="BG32" s="142">
        <v>0.91300000000000003</v>
      </c>
      <c r="BH32" s="16">
        <f t="shared" si="30"/>
        <v>4640.7719999999999</v>
      </c>
      <c r="BI32" s="16">
        <f t="shared" si="17"/>
        <v>182.25806451612902</v>
      </c>
      <c r="BJ32" s="16">
        <f t="shared" si="31"/>
        <v>4738.7096774193515</v>
      </c>
      <c r="BK32" s="17">
        <f t="shared" si="18"/>
        <v>1</v>
      </c>
      <c r="BL32" s="16">
        <f t="shared" si="32"/>
        <v>4738.7096774193515</v>
      </c>
      <c r="BM32" s="254"/>
      <c r="BN32" s="197">
        <v>35.353000000000002</v>
      </c>
      <c r="BO32" s="197"/>
      <c r="BP32" s="197">
        <v>274.94299999999998</v>
      </c>
      <c r="BQ32" s="230">
        <v>91.614000000000004</v>
      </c>
      <c r="BR32" s="230">
        <v>20.934999999999999</v>
      </c>
      <c r="BS32" s="258"/>
      <c r="BT32" s="199"/>
      <c r="BU32" s="200"/>
      <c r="BV32" s="200"/>
      <c r="BW32" s="200"/>
      <c r="BX32" s="200">
        <v>3.23</v>
      </c>
      <c r="BY32" s="208">
        <v>2.2400000000000002</v>
      </c>
      <c r="BZ32" s="208">
        <v>2.35</v>
      </c>
      <c r="CA32" s="201"/>
      <c r="CB32" s="202"/>
      <c r="CC32" s="200">
        <v>43.91</v>
      </c>
      <c r="CD32" s="200"/>
      <c r="CE32" s="200">
        <v>37.24</v>
      </c>
      <c r="CF32" s="208">
        <v>37.4</v>
      </c>
      <c r="CG32" s="208">
        <v>34.020000000000003</v>
      </c>
      <c r="CH32" s="209"/>
      <c r="CI32" s="199"/>
      <c r="CJ32" s="197"/>
      <c r="CK32" s="197"/>
      <c r="CL32" s="230">
        <v>259.19</v>
      </c>
      <c r="CM32" s="198"/>
      <c r="CN32" s="202"/>
      <c r="CO32" s="208"/>
      <c r="CP32" s="208"/>
      <c r="CQ32" s="201"/>
      <c r="CR32" s="201">
        <v>0.4</v>
      </c>
      <c r="CS32" s="284"/>
      <c r="CT32" s="286">
        <f t="shared" si="19"/>
        <v>0</v>
      </c>
      <c r="CU32" s="24">
        <f t="shared" si="19"/>
        <v>35.353000000000002</v>
      </c>
      <c r="CV32" s="25">
        <f t="shared" si="19"/>
        <v>0</v>
      </c>
      <c r="CW32" s="24">
        <f t="shared" si="19"/>
        <v>266.06234109999997</v>
      </c>
      <c r="CX32" s="27">
        <f t="shared" si="19"/>
        <v>89.561846400000007</v>
      </c>
      <c r="CY32" s="24">
        <f t="shared" si="19"/>
        <v>20.443027499999999</v>
      </c>
      <c r="CZ32" s="280">
        <f t="shared" si="19"/>
        <v>0</v>
      </c>
      <c r="DA32" s="25">
        <f t="shared" si="20"/>
        <v>0</v>
      </c>
      <c r="DB32" s="24">
        <f t="shared" si="20"/>
        <v>0</v>
      </c>
      <c r="DC32" s="277">
        <f t="shared" si="20"/>
        <v>259.19</v>
      </c>
      <c r="DD32" s="280">
        <f t="shared" si="20"/>
        <v>0</v>
      </c>
      <c r="DE32" s="508">
        <f t="shared" si="33"/>
        <v>7.0397279999999993</v>
      </c>
      <c r="DG32" s="293">
        <f t="shared" si="21"/>
        <v>0</v>
      </c>
      <c r="DH32" s="294"/>
      <c r="DI32" s="294"/>
      <c r="DJ32" s="295">
        <f t="shared" si="22"/>
        <v>0</v>
      </c>
      <c r="DK32" s="296">
        <f t="shared" si="23"/>
        <v>0</v>
      </c>
    </row>
    <row r="33" spans="1:115" ht="16.5" customHeight="1" thickBot="1">
      <c r="A33" s="127">
        <v>27</v>
      </c>
      <c r="B33" s="103">
        <f>'[1]июль 20'!K32</f>
        <v>417.03199999999998</v>
      </c>
      <c r="C33" s="104">
        <f t="shared" si="0"/>
        <v>1.3237155182336129</v>
      </c>
      <c r="D33" s="143">
        <f t="shared" si="24"/>
        <v>411.51168269999999</v>
      </c>
      <c r="E33" s="104">
        <f t="shared" si="1"/>
        <v>37.876279853824173</v>
      </c>
      <c r="F33" s="128">
        <f t="shared" si="25"/>
        <v>2.1381284383792249</v>
      </c>
      <c r="G33" s="106"/>
      <c r="H33" s="107">
        <f t="shared" si="2"/>
        <v>1.9577773588238809</v>
      </c>
      <c r="I33" s="103">
        <f>'[1]сентябрь 20'!AE32</f>
        <v>0</v>
      </c>
      <c r="J33" s="328">
        <f>'[1]июль 20'!AA32</f>
        <v>0</v>
      </c>
      <c r="K33" s="106"/>
      <c r="L33" s="328">
        <f>'[1]июль 20'!AI32</f>
        <v>34.710999999999999</v>
      </c>
      <c r="M33" s="103">
        <f t="shared" si="3"/>
        <v>0.18035107955534424</v>
      </c>
      <c r="N33" s="103">
        <f>'[1]июль 20'!W32</f>
        <v>0</v>
      </c>
      <c r="O33" s="103">
        <f>'[1]июль 20'!AM32</f>
        <v>6.9580000000000002</v>
      </c>
      <c r="P33" s="447">
        <f t="shared" si="26"/>
        <v>6.9301680000000001</v>
      </c>
      <c r="Q33" s="103">
        <f t="shared" si="27"/>
        <v>3.6007700161329287E-2</v>
      </c>
      <c r="R33" s="103">
        <f>'[1]июль 20'!S32</f>
        <v>257.34399999999999</v>
      </c>
      <c r="S33" s="108">
        <f t="shared" si="4"/>
        <v>1.7190997264362129</v>
      </c>
      <c r="T33" s="109">
        <f t="shared" si="28"/>
        <v>252.92</v>
      </c>
      <c r="U33" s="131">
        <v>19.827999999999999</v>
      </c>
      <c r="V33" s="109">
        <f t="shared" si="5"/>
        <v>252.92</v>
      </c>
      <c r="W33" s="485">
        <f t="shared" si="6"/>
        <v>1.3141193005427001</v>
      </c>
      <c r="X33" s="495">
        <f t="shared" si="29"/>
        <v>1.3501270007040294</v>
      </c>
      <c r="Y33" s="135">
        <v>192.46</v>
      </c>
      <c r="Z33" s="136">
        <v>51.59</v>
      </c>
      <c r="AA33" s="131">
        <v>1.33</v>
      </c>
      <c r="AB33" s="133">
        <v>631</v>
      </c>
      <c r="AC33" s="133">
        <v>1229</v>
      </c>
      <c r="AD33" s="144" t="s">
        <v>318</v>
      </c>
      <c r="AE33" s="131">
        <v>76.19</v>
      </c>
      <c r="AF33" s="133">
        <v>139</v>
      </c>
      <c r="AG33" s="134">
        <v>4</v>
      </c>
      <c r="AH33" s="131">
        <v>3.25</v>
      </c>
      <c r="AI33" s="115">
        <f t="shared" si="7"/>
        <v>16.886318704585545</v>
      </c>
      <c r="AJ33" s="131">
        <v>98.15</v>
      </c>
      <c r="AK33" s="115">
        <f t="shared" si="8"/>
        <v>509.96682487848346</v>
      </c>
      <c r="AL33" s="139">
        <v>15.54</v>
      </c>
      <c r="AM33" s="131"/>
      <c r="AN33" s="136">
        <v>11.01</v>
      </c>
      <c r="AO33" s="466">
        <f t="shared" si="9"/>
        <v>47.186500000000002</v>
      </c>
      <c r="AP33" s="110">
        <f t="shared" si="10"/>
        <v>0.19</v>
      </c>
      <c r="AQ33" s="137" t="s">
        <v>385</v>
      </c>
      <c r="AR33" s="150">
        <v>9.2899999999999991</v>
      </c>
      <c r="AS33" s="138">
        <v>9.36</v>
      </c>
      <c r="AT33" s="134"/>
      <c r="AU33" s="131">
        <v>6.14</v>
      </c>
      <c r="AV33" s="139">
        <v>248.35</v>
      </c>
      <c r="AW33" s="131">
        <v>2.31</v>
      </c>
      <c r="AX33" s="116"/>
      <c r="AY33" s="131"/>
      <c r="AZ33" s="109">
        <f t="shared" si="34"/>
        <v>0</v>
      </c>
      <c r="BA33" s="109">
        <f t="shared" si="11"/>
        <v>192.46350000000001</v>
      </c>
      <c r="BB33" s="115">
        <f t="shared" si="12"/>
        <v>178.59354425273992</v>
      </c>
      <c r="BC33" s="140">
        <f t="shared" si="13"/>
        <v>4.6683457746478867</v>
      </c>
      <c r="BD33" s="141">
        <f t="shared" si="35"/>
        <v>7.6985400000000004</v>
      </c>
      <c r="BE33" s="128">
        <f t="shared" si="15"/>
        <v>0.94079904289386018</v>
      </c>
      <c r="BF33" s="141">
        <f t="shared" si="16"/>
        <v>12.366885774647887</v>
      </c>
      <c r="BG33" s="142">
        <v>0.91500000000000004</v>
      </c>
      <c r="BH33" s="16">
        <f t="shared" si="30"/>
        <v>4833.2354999999998</v>
      </c>
      <c r="BI33" s="16">
        <f t="shared" si="17"/>
        <v>182.25806451612902</v>
      </c>
      <c r="BJ33" s="16">
        <f t="shared" si="31"/>
        <v>4920.9677419354803</v>
      </c>
      <c r="BK33" s="17">
        <f t="shared" si="18"/>
        <v>1</v>
      </c>
      <c r="BL33" s="16">
        <f t="shared" si="32"/>
        <v>4920.9677419354803</v>
      </c>
      <c r="BM33" s="254"/>
      <c r="BN33" s="197">
        <v>34.710999999999999</v>
      </c>
      <c r="BO33" s="197"/>
      <c r="BP33" s="197">
        <v>271.05500000000001</v>
      </c>
      <c r="BQ33" s="230">
        <v>90.350999999999999</v>
      </c>
      <c r="BR33" s="230">
        <v>20.914999999999999</v>
      </c>
      <c r="BS33" s="258"/>
      <c r="BT33" s="199"/>
      <c r="BU33" s="200"/>
      <c r="BV33" s="200"/>
      <c r="BW33" s="200"/>
      <c r="BX33" s="200">
        <v>1.53</v>
      </c>
      <c r="BY33" s="208">
        <v>1.08</v>
      </c>
      <c r="BZ33" s="208">
        <v>1.9</v>
      </c>
      <c r="CA33" s="201"/>
      <c r="CB33" s="202"/>
      <c r="CC33" s="200">
        <v>43.76</v>
      </c>
      <c r="CD33" s="200"/>
      <c r="CE33" s="200">
        <v>37.4</v>
      </c>
      <c r="CF33" s="208">
        <v>38.28</v>
      </c>
      <c r="CG33" s="208">
        <v>32.54</v>
      </c>
      <c r="CH33" s="209"/>
      <c r="CI33" s="199"/>
      <c r="CJ33" s="197"/>
      <c r="CK33" s="197"/>
      <c r="CL33" s="230">
        <v>252.92</v>
      </c>
      <c r="CM33" s="198"/>
      <c r="CN33" s="202"/>
      <c r="CO33" s="208"/>
      <c r="CP33" s="208"/>
      <c r="CQ33" s="209"/>
      <c r="CR33" s="201">
        <v>0.4</v>
      </c>
      <c r="CS33" s="284"/>
      <c r="CT33" s="286">
        <f t="shared" si="19"/>
        <v>0</v>
      </c>
      <c r="CU33" s="24">
        <f t="shared" si="19"/>
        <v>34.710999999999999</v>
      </c>
      <c r="CV33" s="25">
        <f t="shared" si="19"/>
        <v>0</v>
      </c>
      <c r="CW33" s="24">
        <f t="shared" si="19"/>
        <v>266.90785850000003</v>
      </c>
      <c r="CX33" s="27">
        <f t="shared" si="19"/>
        <v>89.3752092</v>
      </c>
      <c r="CY33" s="24">
        <f t="shared" si="19"/>
        <v>20.517614999999999</v>
      </c>
      <c r="CZ33" s="280">
        <f t="shared" si="19"/>
        <v>0</v>
      </c>
      <c r="DA33" s="25">
        <f t="shared" si="20"/>
        <v>0</v>
      </c>
      <c r="DB33" s="24">
        <f t="shared" si="20"/>
        <v>0</v>
      </c>
      <c r="DC33" s="277">
        <f t="shared" si="20"/>
        <v>252.92</v>
      </c>
      <c r="DD33" s="280">
        <f t="shared" si="20"/>
        <v>0</v>
      </c>
      <c r="DE33" s="508">
        <f t="shared" si="33"/>
        <v>6.9301680000000001</v>
      </c>
      <c r="DG33" s="293">
        <f t="shared" si="21"/>
        <v>0</v>
      </c>
      <c r="DH33" s="294"/>
      <c r="DI33" s="294"/>
      <c r="DJ33" s="295">
        <f t="shared" si="22"/>
        <v>0</v>
      </c>
      <c r="DK33" s="296">
        <f t="shared" si="23"/>
        <v>0</v>
      </c>
    </row>
    <row r="34" spans="1:115" ht="16.5" customHeight="1" thickBot="1">
      <c r="A34" s="127">
        <v>28</v>
      </c>
      <c r="B34" s="103">
        <f>'[1]июль 20'!K33</f>
        <v>431.97899999999998</v>
      </c>
      <c r="C34" s="104">
        <f t="shared" si="0"/>
        <v>0.37916088513562002</v>
      </c>
      <c r="D34" s="143">
        <f t="shared" si="24"/>
        <v>430.34110459999999</v>
      </c>
      <c r="E34" s="104">
        <f t="shared" si="1"/>
        <v>37.627594142307842</v>
      </c>
      <c r="F34" s="128">
        <f t="shared" si="25"/>
        <v>2.4044693525091425</v>
      </c>
      <c r="G34" s="106"/>
      <c r="H34" s="107">
        <f t="shared" si="2"/>
        <v>2.2036876812748112</v>
      </c>
      <c r="I34" s="103">
        <f>'[1]сентябрь 20'!AE33</f>
        <v>0</v>
      </c>
      <c r="J34" s="328">
        <f>'[1]июль 20'!AA33</f>
        <v>0</v>
      </c>
      <c r="K34" s="106">
        <v>24.91</v>
      </c>
      <c r="L34" s="328">
        <f>'[1]июль 20'!AI33</f>
        <v>35.935000000000002</v>
      </c>
      <c r="M34" s="103">
        <f t="shared" si="3"/>
        <v>0.20078167123433099</v>
      </c>
      <c r="N34" s="103">
        <f>'[1]июль 20'!W33</f>
        <v>0</v>
      </c>
      <c r="O34" s="103">
        <f>'[1]июль 20'!AM33</f>
        <v>7.2119999999999997</v>
      </c>
      <c r="P34" s="447">
        <f t="shared" si="26"/>
        <v>7.1831519999999998</v>
      </c>
      <c r="Q34" s="103">
        <f t="shared" si="27"/>
        <v>4.0134834097404398E-2</v>
      </c>
      <c r="R34" s="103">
        <f>'[1]июль 20'!S33</f>
        <v>264.94200000000001</v>
      </c>
      <c r="S34" s="108">
        <f t="shared" si="4"/>
        <v>1.7294351216492587</v>
      </c>
      <c r="T34" s="109">
        <f t="shared" si="28"/>
        <v>260.36</v>
      </c>
      <c r="U34" s="149">
        <v>8.6020000000000003</v>
      </c>
      <c r="V34" s="109">
        <f t="shared" si="5"/>
        <v>260.36</v>
      </c>
      <c r="W34" s="485">
        <f t="shared" si="6"/>
        <v>1.4547242499671744</v>
      </c>
      <c r="X34" s="495">
        <f t="shared" si="29"/>
        <v>1.4948590840645788</v>
      </c>
      <c r="Y34" s="489">
        <v>97.79</v>
      </c>
      <c r="Z34" s="157">
        <v>88.71</v>
      </c>
      <c r="AA34" s="149">
        <v>0.97</v>
      </c>
      <c r="AB34" s="147">
        <v>669</v>
      </c>
      <c r="AC34" s="147">
        <v>1237</v>
      </c>
      <c r="AD34" s="144" t="s">
        <v>321</v>
      </c>
      <c r="AE34" s="149">
        <v>75.41</v>
      </c>
      <c r="AF34" s="147">
        <v>144</v>
      </c>
      <c r="AG34" s="155">
        <v>4</v>
      </c>
      <c r="AH34" s="149"/>
      <c r="AI34" s="115">
        <f t="shared" si="7"/>
        <v>0</v>
      </c>
      <c r="AJ34" s="149">
        <v>112.35</v>
      </c>
      <c r="AK34" s="115">
        <f t="shared" si="8"/>
        <v>627.73955094412372</v>
      </c>
      <c r="AL34" s="156">
        <v>17.84</v>
      </c>
      <c r="AM34" s="149"/>
      <c r="AN34" s="157">
        <v>11.47</v>
      </c>
      <c r="AO34" s="466">
        <f t="shared" si="9"/>
        <v>43.994500000000002</v>
      </c>
      <c r="AP34" s="110">
        <f t="shared" si="10"/>
        <v>0.19</v>
      </c>
      <c r="AQ34" s="158" t="s">
        <v>386</v>
      </c>
      <c r="AR34" s="404">
        <v>8.94</v>
      </c>
      <c r="AS34" s="159">
        <v>9</v>
      </c>
      <c r="AT34" s="155"/>
      <c r="AU34" s="149">
        <v>7.68</v>
      </c>
      <c r="AV34" s="156">
        <v>231.55</v>
      </c>
      <c r="AW34" s="131">
        <v>2.89</v>
      </c>
      <c r="AX34" s="148"/>
      <c r="AY34" s="149"/>
      <c r="AZ34" s="109">
        <f t="shared" si="34"/>
        <v>0</v>
      </c>
      <c r="BA34" s="109">
        <f t="shared" si="11"/>
        <v>178.97549999999998</v>
      </c>
      <c r="BB34" s="115">
        <f t="shared" si="12"/>
        <v>187.4582611385467</v>
      </c>
      <c r="BC34" s="140">
        <f t="shared" si="13"/>
        <v>6.6840338028169013</v>
      </c>
      <c r="BD34" s="141">
        <f t="shared" si="35"/>
        <v>7.1590199999999991</v>
      </c>
      <c r="BE34" s="128">
        <f t="shared" si="15"/>
        <v>0.83349547014373471</v>
      </c>
      <c r="BF34" s="141">
        <f t="shared" si="16"/>
        <v>13.8430538028169</v>
      </c>
      <c r="BG34" s="165">
        <v>0.91100000000000003</v>
      </c>
      <c r="BH34" s="16">
        <f t="shared" si="30"/>
        <v>5012.2109999999993</v>
      </c>
      <c r="BI34" s="16">
        <f t="shared" si="17"/>
        <v>182.25806451612902</v>
      </c>
      <c r="BJ34" s="16">
        <f t="shared" si="31"/>
        <v>5103.2258064516091</v>
      </c>
      <c r="BK34" s="17">
        <f t="shared" si="18"/>
        <v>1</v>
      </c>
      <c r="BL34" s="16">
        <f t="shared" si="32"/>
        <v>5103.2258064516091</v>
      </c>
      <c r="BM34" s="255"/>
      <c r="BN34" s="210">
        <v>35.935000000000002</v>
      </c>
      <c r="BO34" s="210"/>
      <c r="BP34" s="210">
        <v>280.875</v>
      </c>
      <c r="BQ34" s="233">
        <v>93.603999999999999</v>
      </c>
      <c r="BR34" s="233">
        <v>21.565000000000001</v>
      </c>
      <c r="BS34" s="260"/>
      <c r="BT34" s="212"/>
      <c r="BU34" s="213"/>
      <c r="BV34" s="213"/>
      <c r="BW34" s="213"/>
      <c r="BX34" s="213">
        <v>0.39</v>
      </c>
      <c r="BY34" s="235">
        <v>0.31</v>
      </c>
      <c r="BZ34" s="235">
        <v>1.17</v>
      </c>
      <c r="CA34" s="214"/>
      <c r="CB34" s="215"/>
      <c r="CC34" s="213">
        <v>43.99</v>
      </c>
      <c r="CD34" s="213"/>
      <c r="CE34" s="213">
        <v>37.17</v>
      </c>
      <c r="CF34" s="235">
        <v>37.409999999999997</v>
      </c>
      <c r="CG34" s="235">
        <v>33.93</v>
      </c>
      <c r="CH34" s="211"/>
      <c r="CI34" s="212"/>
      <c r="CJ34" s="210"/>
      <c r="CK34" s="210"/>
      <c r="CL34" s="233">
        <v>260.36</v>
      </c>
      <c r="CM34" s="198"/>
      <c r="CN34" s="202"/>
      <c r="CO34" s="208"/>
      <c r="CP34" s="208"/>
      <c r="CQ34" s="209"/>
      <c r="CR34" s="201">
        <v>0.4</v>
      </c>
      <c r="CS34" s="284"/>
      <c r="CT34" s="286">
        <f t="shared" si="19"/>
        <v>0</v>
      </c>
      <c r="CU34" s="24">
        <f t="shared" si="19"/>
        <v>35.935000000000002</v>
      </c>
      <c r="CV34" s="25">
        <f t="shared" si="19"/>
        <v>0</v>
      </c>
      <c r="CW34" s="24">
        <f t="shared" si="19"/>
        <v>279.77958749999999</v>
      </c>
      <c r="CX34" s="27">
        <f t="shared" si="19"/>
        <v>93.313827599999996</v>
      </c>
      <c r="CY34" s="24">
        <f t="shared" si="19"/>
        <v>21.312689500000001</v>
      </c>
      <c r="CZ34" s="280">
        <f t="shared" si="19"/>
        <v>0</v>
      </c>
      <c r="DA34" s="30">
        <f t="shared" si="20"/>
        <v>0</v>
      </c>
      <c r="DB34" s="29">
        <f t="shared" si="20"/>
        <v>0</v>
      </c>
      <c r="DC34" s="277">
        <f t="shared" si="20"/>
        <v>260.36</v>
      </c>
      <c r="DD34" s="280">
        <f t="shared" si="20"/>
        <v>0</v>
      </c>
      <c r="DE34" s="508">
        <f t="shared" si="33"/>
        <v>7.1831519999999998</v>
      </c>
      <c r="DG34" s="293">
        <f t="shared" si="21"/>
        <v>0</v>
      </c>
      <c r="DH34" s="294"/>
      <c r="DI34" s="294"/>
      <c r="DJ34" s="295">
        <f t="shared" si="22"/>
        <v>0</v>
      </c>
      <c r="DK34" s="296">
        <f t="shared" si="23"/>
        <v>0</v>
      </c>
    </row>
    <row r="35" spans="1:115" ht="16.5" customHeight="1" thickBot="1">
      <c r="A35" s="127">
        <v>29</v>
      </c>
      <c r="B35" s="103">
        <f>'[1]июль 20'!K34</f>
        <v>377.97899999999998</v>
      </c>
      <c r="C35" s="104">
        <f t="shared" si="0"/>
        <v>0.6801954076813792</v>
      </c>
      <c r="D35" s="143">
        <f t="shared" si="24"/>
        <v>375.40800419999999</v>
      </c>
      <c r="E35" s="104">
        <f t="shared" si="1"/>
        <v>37.79384621896984</v>
      </c>
      <c r="F35" s="128">
        <f t="shared" si="25"/>
        <v>2.1777806382373925</v>
      </c>
      <c r="G35" s="106"/>
      <c r="H35" s="107">
        <f t="shared" si="2"/>
        <v>1.9948312412620881</v>
      </c>
      <c r="I35" s="103">
        <f>'[1]сентябрь 20'!AE34</f>
        <v>0</v>
      </c>
      <c r="J35" s="328">
        <f>'[1]июль 20'!AA34</f>
        <v>0</v>
      </c>
      <c r="K35" s="106"/>
      <c r="L35" s="328">
        <f>'[1]июль 20'!AI34</f>
        <v>31.536999999999999</v>
      </c>
      <c r="M35" s="103">
        <f t="shared" si="3"/>
        <v>0.18294939697530468</v>
      </c>
      <c r="N35" s="103">
        <f>'[1]июль 20'!W34</f>
        <v>0</v>
      </c>
      <c r="O35" s="103">
        <f>'[1]июль 20'!AM34</f>
        <v>6.298</v>
      </c>
      <c r="P35" s="447">
        <f t="shared" si="26"/>
        <v>6.2728080000000004</v>
      </c>
      <c r="Q35" s="103">
        <f t="shared" si="27"/>
        <v>3.6389207627290712E-2</v>
      </c>
      <c r="R35" s="103">
        <f>'[1]июль 20'!S34</f>
        <v>233.90600000000001</v>
      </c>
      <c r="S35" s="108">
        <f t="shared" si="4"/>
        <v>1.6271493676947246</v>
      </c>
      <c r="T35" s="109">
        <f t="shared" si="28"/>
        <v>230.1</v>
      </c>
      <c r="U35" s="131">
        <v>6.298</v>
      </c>
      <c r="V35" s="109">
        <f t="shared" si="5"/>
        <v>230.1</v>
      </c>
      <c r="W35" s="485">
        <f t="shared" si="6"/>
        <v>1.3348338854050039</v>
      </c>
      <c r="X35" s="495">
        <f t="shared" si="29"/>
        <v>1.3712230930322946</v>
      </c>
      <c r="Y35" s="135">
        <v>89.05</v>
      </c>
      <c r="Z35" s="136">
        <v>172.38</v>
      </c>
      <c r="AA35" s="131">
        <v>0.36</v>
      </c>
      <c r="AB35" s="133">
        <v>688</v>
      </c>
      <c r="AC35" s="133">
        <v>1231</v>
      </c>
      <c r="AD35" s="144" t="s">
        <v>291</v>
      </c>
      <c r="AE35" s="131">
        <v>75.25</v>
      </c>
      <c r="AF35" s="133">
        <v>126</v>
      </c>
      <c r="AG35" s="134">
        <v>4</v>
      </c>
      <c r="AH35" s="166">
        <v>3.7</v>
      </c>
      <c r="AI35" s="115">
        <f t="shared" si="7"/>
        <v>21.464082468485508</v>
      </c>
      <c r="AJ35" s="166">
        <v>114.45</v>
      </c>
      <c r="AK35" s="115">
        <f t="shared" si="8"/>
        <v>663.93628068058536</v>
      </c>
      <c r="AL35" s="139">
        <v>18.88</v>
      </c>
      <c r="AM35" s="131"/>
      <c r="AN35" s="167">
        <v>12.88</v>
      </c>
      <c r="AO35" s="466">
        <f t="shared" si="9"/>
        <v>42.768999999999998</v>
      </c>
      <c r="AP35" s="110">
        <f t="shared" si="10"/>
        <v>0.19</v>
      </c>
      <c r="AQ35" s="168" t="s">
        <v>344</v>
      </c>
      <c r="AR35" s="405">
        <v>8.42</v>
      </c>
      <c r="AS35" s="169">
        <v>8.39</v>
      </c>
      <c r="AT35" s="170"/>
      <c r="AU35" s="166">
        <v>8.69</v>
      </c>
      <c r="AV35" s="171">
        <v>225.1</v>
      </c>
      <c r="AW35" s="131">
        <v>2.93</v>
      </c>
      <c r="AX35" s="116"/>
      <c r="AY35" s="131"/>
      <c r="AZ35" s="109">
        <f t="shared" si="34"/>
        <v>0</v>
      </c>
      <c r="BA35" s="109">
        <f t="shared" si="11"/>
        <v>172.381</v>
      </c>
      <c r="BB35" s="115">
        <f t="shared" si="12"/>
        <v>164.6009582436123</v>
      </c>
      <c r="BC35" s="140">
        <f t="shared" si="13"/>
        <v>7.7044193661971816</v>
      </c>
      <c r="BD35" s="141">
        <f t="shared" si="35"/>
        <v>6.8952400000000003</v>
      </c>
      <c r="BE35" s="128">
        <f t="shared" si="15"/>
        <v>0.91426328622749697</v>
      </c>
      <c r="BF35" s="141">
        <f t="shared" si="16"/>
        <v>14.599659366197182</v>
      </c>
      <c r="BG35" s="165">
        <v>0.91100000000000003</v>
      </c>
      <c r="BH35" s="16">
        <f t="shared" si="30"/>
        <v>5184.5919999999996</v>
      </c>
      <c r="BI35" s="16">
        <f t="shared" si="17"/>
        <v>182.25806451612902</v>
      </c>
      <c r="BJ35" s="16">
        <f t="shared" si="31"/>
        <v>5285.4838709677379</v>
      </c>
      <c r="BK35" s="17">
        <f t="shared" si="18"/>
        <v>1</v>
      </c>
      <c r="BL35" s="16">
        <f t="shared" si="32"/>
        <v>5285.4838709677379</v>
      </c>
      <c r="BM35" s="254"/>
      <c r="BN35" s="197">
        <v>31.536999999999999</v>
      </c>
      <c r="BO35" s="197"/>
      <c r="BP35" s="197">
        <v>245.68199999999999</v>
      </c>
      <c r="BQ35" s="230">
        <v>81.900999999999996</v>
      </c>
      <c r="BR35" s="230">
        <v>18.859000000000002</v>
      </c>
      <c r="BS35" s="259"/>
      <c r="BT35" s="199"/>
      <c r="BU35" s="200"/>
      <c r="BV35" s="200"/>
      <c r="BW35" s="200"/>
      <c r="BX35" s="200">
        <v>0.76</v>
      </c>
      <c r="BY35" s="208">
        <v>0.56000000000000005</v>
      </c>
      <c r="BZ35" s="208">
        <v>1.3</v>
      </c>
      <c r="CA35" s="201"/>
      <c r="CB35" s="202"/>
      <c r="CC35" s="200">
        <v>43.77</v>
      </c>
      <c r="CD35" s="200"/>
      <c r="CE35" s="200">
        <v>37.450000000000003</v>
      </c>
      <c r="CF35" s="208">
        <v>37.4</v>
      </c>
      <c r="CG35" s="208">
        <v>33.99</v>
      </c>
      <c r="CH35" s="209"/>
      <c r="CI35" s="199"/>
      <c r="CJ35" s="197"/>
      <c r="CK35" s="197"/>
      <c r="CL35" s="230">
        <v>230.1</v>
      </c>
      <c r="CM35" s="198"/>
      <c r="CN35" s="202"/>
      <c r="CO35" s="208"/>
      <c r="CP35" s="208"/>
      <c r="CQ35" s="209"/>
      <c r="CR35" s="201">
        <v>0.4</v>
      </c>
      <c r="CT35" s="286">
        <f t="shared" si="19"/>
        <v>0</v>
      </c>
      <c r="CU35" s="24">
        <f t="shared" si="19"/>
        <v>31.536999999999999</v>
      </c>
      <c r="CV35" s="24">
        <f t="shared" si="19"/>
        <v>0</v>
      </c>
      <c r="CW35" s="24">
        <f t="shared" si="19"/>
        <v>243.81481679999999</v>
      </c>
      <c r="CX35" s="27">
        <f t="shared" si="19"/>
        <v>81.442354399999999</v>
      </c>
      <c r="CY35" s="27">
        <f t="shared" si="19"/>
        <v>18.613833000000003</v>
      </c>
      <c r="CZ35" s="280">
        <f t="shared" si="19"/>
        <v>0</v>
      </c>
      <c r="DA35" s="237">
        <f t="shared" si="20"/>
        <v>0</v>
      </c>
      <c r="DB35" s="26">
        <f t="shared" si="20"/>
        <v>0</v>
      </c>
      <c r="DC35" s="277">
        <f t="shared" si="20"/>
        <v>230.1</v>
      </c>
      <c r="DD35" s="280">
        <f t="shared" si="20"/>
        <v>0</v>
      </c>
      <c r="DE35" s="508">
        <f t="shared" si="33"/>
        <v>6.2728080000000004</v>
      </c>
      <c r="DG35" s="293">
        <f t="shared" si="21"/>
        <v>0</v>
      </c>
      <c r="DH35" s="294"/>
      <c r="DI35" s="294"/>
      <c r="DJ35" s="295">
        <f t="shared" si="22"/>
        <v>0</v>
      </c>
      <c r="DK35" s="296">
        <f t="shared" si="23"/>
        <v>0</v>
      </c>
    </row>
    <row r="36" spans="1:115" ht="16.5" customHeight="1" thickBot="1">
      <c r="A36" s="127">
        <v>30</v>
      </c>
      <c r="B36" s="103">
        <f>'[1]июль 20'!K35</f>
        <v>426.11</v>
      </c>
      <c r="C36" s="104">
        <f t="shared" si="0"/>
        <v>0.66912475651826986</v>
      </c>
      <c r="D36" s="143">
        <f t="shared" si="24"/>
        <v>423.25879250000003</v>
      </c>
      <c r="E36" s="104">
        <f t="shared" si="1"/>
        <v>37.948754664288558</v>
      </c>
      <c r="F36" s="128">
        <f t="shared" si="25"/>
        <v>2.4127964913280793</v>
      </c>
      <c r="G36" s="106"/>
      <c r="H36" s="107">
        <f t="shared" si="2"/>
        <v>1.8312804372301155</v>
      </c>
      <c r="I36" s="103">
        <f>'[1]сентябрь 20'!AE35</f>
        <v>0</v>
      </c>
      <c r="J36" s="328">
        <f>'[1]июль 20'!AA35</f>
        <v>0</v>
      </c>
      <c r="K36" s="106"/>
      <c r="L36" s="328">
        <f>'[1]июль 20'!AI35</f>
        <v>102.011</v>
      </c>
      <c r="M36" s="103">
        <f t="shared" si="3"/>
        <v>0.58151605409796336</v>
      </c>
      <c r="N36" s="103">
        <f>'[1]июль 20'!W35</f>
        <v>0</v>
      </c>
      <c r="O36" s="103">
        <f>'[1]июль 20'!AM35</f>
        <v>7.1239999999999997</v>
      </c>
      <c r="P36" s="447">
        <f t="shared" si="26"/>
        <v>7.095504</v>
      </c>
      <c r="Q36" s="103">
        <f t="shared" si="27"/>
        <v>4.0448083911698893E-2</v>
      </c>
      <c r="R36" s="103">
        <f>'[1]июль 20'!S35</f>
        <v>264.15899999999999</v>
      </c>
      <c r="S36" s="108">
        <f t="shared" si="4"/>
        <v>1.6652849230955558</v>
      </c>
      <c r="T36" s="109">
        <f t="shared" si="28"/>
        <v>259.76</v>
      </c>
      <c r="U36" s="131">
        <v>48.393999999999998</v>
      </c>
      <c r="V36" s="109">
        <f t="shared" si="5"/>
        <v>259.76</v>
      </c>
      <c r="W36" s="485">
        <f t="shared" si="6"/>
        <v>1.4807678604511962</v>
      </c>
      <c r="X36" s="495">
        <f t="shared" si="29"/>
        <v>1.5212159443628952</v>
      </c>
      <c r="Y36" s="135">
        <v>139.27000000000001</v>
      </c>
      <c r="Z36" s="136">
        <v>131.05000000000001</v>
      </c>
      <c r="AA36" s="131">
        <v>1.1100000000000001</v>
      </c>
      <c r="AB36" s="133">
        <v>671</v>
      </c>
      <c r="AC36" s="133">
        <v>1234</v>
      </c>
      <c r="AD36" s="144" t="s">
        <v>288</v>
      </c>
      <c r="AE36" s="131">
        <v>75.67</v>
      </c>
      <c r="AF36" s="133">
        <v>142</v>
      </c>
      <c r="AG36" s="134">
        <v>4</v>
      </c>
      <c r="AH36" s="131">
        <v>3.3</v>
      </c>
      <c r="AI36" s="115">
        <f t="shared" si="7"/>
        <v>18.81172597585828</v>
      </c>
      <c r="AJ36" s="131">
        <v>106.75</v>
      </c>
      <c r="AK36" s="115">
        <f t="shared" si="8"/>
        <v>608.5308327039005</v>
      </c>
      <c r="AL36" s="139">
        <v>17.559999999999999</v>
      </c>
      <c r="AM36" s="131"/>
      <c r="AN36" s="136">
        <v>11.89</v>
      </c>
      <c r="AO36" s="466">
        <f t="shared" si="9"/>
        <v>43.9375</v>
      </c>
      <c r="AP36" s="110">
        <f t="shared" si="10"/>
        <v>0.19</v>
      </c>
      <c r="AQ36" s="137" t="s">
        <v>392</v>
      </c>
      <c r="AR36" s="150">
        <v>9.34</v>
      </c>
      <c r="AS36" s="138">
        <v>8.89</v>
      </c>
      <c r="AT36" s="134"/>
      <c r="AU36" s="131">
        <v>6.46</v>
      </c>
      <c r="AV36" s="139">
        <v>231.25</v>
      </c>
      <c r="AW36" s="131"/>
      <c r="AX36" s="116"/>
      <c r="AY36" s="131"/>
      <c r="AZ36" s="109">
        <f t="shared" si="34"/>
        <v>0</v>
      </c>
      <c r="BA36" s="109">
        <f t="shared" si="11"/>
        <v>175.42250000000001</v>
      </c>
      <c r="BB36" s="115">
        <f t="shared" si="12"/>
        <v>185.30793945318698</v>
      </c>
      <c r="BC36" s="140">
        <f t="shared" si="13"/>
        <v>5.3420105633802812</v>
      </c>
      <c r="BD36" s="141">
        <f t="shared" si="35"/>
        <v>7.0169000000000006</v>
      </c>
      <c r="BE36" s="128">
        <f t="shared" si="15"/>
        <v>0.82642893203551948</v>
      </c>
      <c r="BF36" s="141">
        <f t="shared" si="16"/>
        <v>12.358910563380281</v>
      </c>
      <c r="BG36" s="165">
        <v>0.90800000000000003</v>
      </c>
      <c r="BH36" s="16">
        <f t="shared" si="30"/>
        <v>5360.0144999999993</v>
      </c>
      <c r="BI36" s="16">
        <f t="shared" si="17"/>
        <v>182.25806451612902</v>
      </c>
      <c r="BJ36" s="16">
        <f t="shared" si="31"/>
        <v>5467.7419354838667</v>
      </c>
      <c r="BK36" s="17">
        <f t="shared" si="18"/>
        <v>1</v>
      </c>
      <c r="BL36" s="16">
        <f t="shared" si="32"/>
        <v>5467.7419354838667</v>
      </c>
      <c r="BM36" s="254">
        <v>123.70699999999999</v>
      </c>
      <c r="BN36" s="197">
        <v>20.986999999999998</v>
      </c>
      <c r="BO36" s="197">
        <v>81.024000000000001</v>
      </c>
      <c r="BP36" s="197"/>
      <c r="BQ36" s="230"/>
      <c r="BR36" s="230">
        <v>29.981999999999999</v>
      </c>
      <c r="BS36" s="258">
        <v>170.41</v>
      </c>
      <c r="BT36" s="199"/>
      <c r="BU36" s="200">
        <v>0.79</v>
      </c>
      <c r="BV36" s="200"/>
      <c r="BW36" s="200"/>
      <c r="BX36" s="200"/>
      <c r="BY36" s="208"/>
      <c r="BZ36" s="208">
        <v>1.76</v>
      </c>
      <c r="CA36" s="201">
        <v>0.79</v>
      </c>
      <c r="CB36" s="202">
        <v>37.49</v>
      </c>
      <c r="CC36" s="200">
        <v>44.26</v>
      </c>
      <c r="CD36" s="200">
        <v>41.62</v>
      </c>
      <c r="CE36" s="200"/>
      <c r="CF36" s="208"/>
      <c r="CG36" s="208">
        <v>28.11</v>
      </c>
      <c r="CH36" s="209">
        <v>37.49</v>
      </c>
      <c r="CI36" s="199"/>
      <c r="CJ36" s="197"/>
      <c r="CK36" s="197"/>
      <c r="CL36" s="230">
        <v>259.76</v>
      </c>
      <c r="CM36" s="198"/>
      <c r="CN36" s="202"/>
      <c r="CO36" s="208"/>
      <c r="CP36" s="208"/>
      <c r="CQ36" s="209"/>
      <c r="CR36" s="201">
        <v>0.4</v>
      </c>
      <c r="CT36" s="286">
        <f t="shared" si="19"/>
        <v>122.72971469999999</v>
      </c>
      <c r="CU36" s="27">
        <f t="shared" si="19"/>
        <v>20.986999999999998</v>
      </c>
      <c r="CV36" s="28">
        <f t="shared" si="19"/>
        <v>81.024000000000001</v>
      </c>
      <c r="CW36" s="27">
        <f t="shared" si="19"/>
        <v>0</v>
      </c>
      <c r="CX36" s="27">
        <f t="shared" si="19"/>
        <v>0</v>
      </c>
      <c r="CY36" s="29">
        <f t="shared" si="19"/>
        <v>29.454316799999997</v>
      </c>
      <c r="CZ36" s="281">
        <f t="shared" si="19"/>
        <v>169.063761</v>
      </c>
      <c r="DA36" s="25">
        <f t="shared" si="20"/>
        <v>0</v>
      </c>
      <c r="DB36" s="24">
        <f t="shared" si="20"/>
        <v>0</v>
      </c>
      <c r="DC36" s="277">
        <f t="shared" si="20"/>
        <v>259.76</v>
      </c>
      <c r="DD36" s="280">
        <f t="shared" si="20"/>
        <v>0</v>
      </c>
      <c r="DE36" s="508">
        <f t="shared" si="33"/>
        <v>7.095504</v>
      </c>
      <c r="DG36" s="293">
        <f t="shared" si="21"/>
        <v>0</v>
      </c>
      <c r="DH36" s="294"/>
      <c r="DI36" s="294"/>
      <c r="DJ36" s="295">
        <f t="shared" si="22"/>
        <v>0</v>
      </c>
      <c r="DK36" s="296">
        <f t="shared" si="23"/>
        <v>0</v>
      </c>
    </row>
    <row r="37" spans="1:115" ht="16.5" customHeight="1" thickBot="1">
      <c r="A37" s="172">
        <v>31</v>
      </c>
      <c r="B37" s="103">
        <f>'[1]июль 20'!K36</f>
        <v>405.52800000000002</v>
      </c>
      <c r="C37" s="104">
        <f t="shared" si="0"/>
        <v>0.55065618157069296</v>
      </c>
      <c r="D37" s="173">
        <f t="shared" si="24"/>
        <v>403.29493500000007</v>
      </c>
      <c r="E37" s="104">
        <f t="shared" si="1"/>
        <v>38.612796650292957</v>
      </c>
      <c r="F37" s="174">
        <f>IF(BA37=0,0,D37/BA37)</f>
        <v>1.988143628296771</v>
      </c>
      <c r="G37" s="106"/>
      <c r="H37" s="107">
        <f t="shared" si="2"/>
        <v>0.85085006162188814</v>
      </c>
      <c r="I37" s="103">
        <f>'[1]сентябрь 20'!AE36</f>
        <v>0</v>
      </c>
      <c r="J37" s="328">
        <f>'[1]июль 20'!AA36</f>
        <v>0</v>
      </c>
      <c r="K37" s="106">
        <v>2.71</v>
      </c>
      <c r="L37" s="328">
        <f>'[1]июль 20'!AI36</f>
        <v>230.7</v>
      </c>
      <c r="M37" s="103">
        <f t="shared" si="3"/>
        <v>1.1372935666748829</v>
      </c>
      <c r="N37" s="103">
        <f>'[1]июль 20'!W36</f>
        <v>0</v>
      </c>
      <c r="O37" s="103">
        <f>'[1]июль 20'!AM36</f>
        <v>6.7409999999999997</v>
      </c>
      <c r="P37" s="447">
        <f t="shared" si="26"/>
        <v>6.7140359999999992</v>
      </c>
      <c r="Q37" s="505">
        <f t="shared" si="27"/>
        <v>3.3098526004436767E-2</v>
      </c>
      <c r="R37" s="103">
        <f>'[1]июль 20'!S36</f>
        <v>253.428</v>
      </c>
      <c r="S37" s="108">
        <f t="shared" si="4"/>
        <v>1.7867007591899853</v>
      </c>
      <c r="T37" s="175">
        <f t="shared" si="28"/>
        <v>248.9</v>
      </c>
      <c r="U37" s="176">
        <v>9.8510000000000009</v>
      </c>
      <c r="V37" s="109">
        <f t="shared" si="5"/>
        <v>248.9</v>
      </c>
      <c r="W37" s="486">
        <f t="shared" si="6"/>
        <v>1.227015035740695</v>
      </c>
      <c r="X37" s="506">
        <f t="shared" si="29"/>
        <v>1.2601135617451318</v>
      </c>
      <c r="Y37" s="490">
        <v>89.69</v>
      </c>
      <c r="Z37" s="177">
        <v>202.85</v>
      </c>
      <c r="AA37" s="176">
        <v>0.56999999999999995</v>
      </c>
      <c r="AB37" s="178">
        <v>700</v>
      </c>
      <c r="AC37" s="178">
        <v>1228</v>
      </c>
      <c r="AD37" s="179" t="s">
        <v>302</v>
      </c>
      <c r="AE37" s="176">
        <v>75.22</v>
      </c>
      <c r="AF37" s="178">
        <v>135</v>
      </c>
      <c r="AG37" s="180">
        <v>4</v>
      </c>
      <c r="AH37" s="176"/>
      <c r="AI37" s="115">
        <f t="shared" si="7"/>
        <v>0</v>
      </c>
      <c r="AJ37" s="176">
        <v>132</v>
      </c>
      <c r="AK37" s="181">
        <f t="shared" si="8"/>
        <v>650.72713827951679</v>
      </c>
      <c r="AL37" s="182">
        <v>20.49</v>
      </c>
      <c r="AM37" s="176"/>
      <c r="AN37" s="177">
        <v>11.2</v>
      </c>
      <c r="AO37" s="466">
        <v>23.85</v>
      </c>
      <c r="AP37" s="227">
        <f t="shared" si="10"/>
        <v>0.10025220680958387</v>
      </c>
      <c r="AQ37" s="183" t="s">
        <v>324</v>
      </c>
      <c r="AR37" s="406">
        <v>9.25</v>
      </c>
      <c r="AS37" s="184">
        <v>7.39</v>
      </c>
      <c r="AT37" s="180"/>
      <c r="AU37" s="176">
        <v>9.39</v>
      </c>
      <c r="AV37" s="176">
        <v>237.9</v>
      </c>
      <c r="AW37" s="131"/>
      <c r="AX37" s="176"/>
      <c r="AY37" s="176"/>
      <c r="AZ37" s="185">
        <f t="shared" si="34"/>
        <v>0</v>
      </c>
      <c r="BA37" s="109">
        <f t="shared" si="11"/>
        <v>202.85000000000002</v>
      </c>
      <c r="BB37" s="115">
        <f t="shared" si="12"/>
        <v>180.73195240908811</v>
      </c>
      <c r="BC37" s="186">
        <f t="shared" si="13"/>
        <v>9.6016056338028157</v>
      </c>
      <c r="BD37" s="181">
        <f t="shared" si="35"/>
        <v>8.1140000000000008</v>
      </c>
      <c r="BE37" s="174">
        <f t="shared" si="15"/>
        <v>0.97983808418757035</v>
      </c>
      <c r="BF37" s="181">
        <f t="shared" si="16"/>
        <v>17.715605633802816</v>
      </c>
      <c r="BG37" s="187">
        <v>0.91100000000000003</v>
      </c>
      <c r="BH37" s="16">
        <f t="shared" si="30"/>
        <v>5562.8644999999997</v>
      </c>
      <c r="BI37" s="16">
        <f t="shared" si="17"/>
        <v>182.25806451612902</v>
      </c>
      <c r="BJ37" s="16">
        <f t="shared" si="31"/>
        <v>5649.9999999999955</v>
      </c>
      <c r="BK37" s="17">
        <f t="shared" si="18"/>
        <v>1</v>
      </c>
      <c r="BL37" s="16">
        <f t="shared" si="32"/>
        <v>5649.9999999999955</v>
      </c>
      <c r="BM37" s="256"/>
      <c r="BN37" s="257">
        <v>33.375999999999998</v>
      </c>
      <c r="BO37" s="257">
        <v>197.32400000000001</v>
      </c>
      <c r="BP37" s="257"/>
      <c r="BQ37" s="261"/>
      <c r="BR37" s="261">
        <v>40.601999999999997</v>
      </c>
      <c r="BS37" s="262">
        <v>134.226</v>
      </c>
      <c r="BT37" s="219"/>
      <c r="BU37" s="220"/>
      <c r="BV37" s="220"/>
      <c r="BW37" s="220"/>
      <c r="BX37" s="220"/>
      <c r="BY37" s="224"/>
      <c r="BZ37" s="224">
        <v>3.88</v>
      </c>
      <c r="CA37" s="221">
        <v>0.49</v>
      </c>
      <c r="CB37" s="222"/>
      <c r="CC37" s="220">
        <v>43.78</v>
      </c>
      <c r="CD37" s="220">
        <v>41.8</v>
      </c>
      <c r="CE37" s="220"/>
      <c r="CF37" s="224"/>
      <c r="CG37" s="224">
        <v>29.1</v>
      </c>
      <c r="CH37" s="221">
        <v>35.520000000000003</v>
      </c>
      <c r="CI37" s="219"/>
      <c r="CJ37" s="217"/>
      <c r="CK37" s="217"/>
      <c r="CL37" s="234">
        <v>248.9</v>
      </c>
      <c r="CM37" s="223"/>
      <c r="CN37" s="222"/>
      <c r="CO37" s="224"/>
      <c r="CP37" s="224"/>
      <c r="CQ37" s="218"/>
      <c r="CR37" s="221">
        <v>0.4</v>
      </c>
      <c r="CT37" s="287">
        <f t="shared" si="19"/>
        <v>0</v>
      </c>
      <c r="CU37" s="32">
        <f t="shared" si="19"/>
        <v>33.375999999999998</v>
      </c>
      <c r="CV37" s="30">
        <f t="shared" si="19"/>
        <v>197.32400000000001</v>
      </c>
      <c r="CW37" s="246">
        <f t="shared" si="19"/>
        <v>0</v>
      </c>
      <c r="CX37" s="27">
        <f t="shared" si="19"/>
        <v>0</v>
      </c>
      <c r="CY37" s="26">
        <f t="shared" si="19"/>
        <v>39.0266424</v>
      </c>
      <c r="CZ37" s="282">
        <f t="shared" si="19"/>
        <v>133.56829260000001</v>
      </c>
      <c r="DA37" s="30">
        <f t="shared" si="20"/>
        <v>0</v>
      </c>
      <c r="DB37" s="32">
        <f t="shared" si="20"/>
        <v>0</v>
      </c>
      <c r="DC37" s="246">
        <f t="shared" si="20"/>
        <v>248.9</v>
      </c>
      <c r="DD37" s="280">
        <f t="shared" si="20"/>
        <v>0</v>
      </c>
      <c r="DE37" s="508">
        <f t="shared" si="33"/>
        <v>6.7140359999999992</v>
      </c>
      <c r="DG37" s="293">
        <f t="shared" si="21"/>
        <v>0</v>
      </c>
      <c r="DH37" s="298"/>
      <c r="DI37" s="298"/>
      <c r="DJ37" s="295">
        <f t="shared" si="22"/>
        <v>0</v>
      </c>
      <c r="DK37" s="296">
        <f t="shared" si="23"/>
        <v>0</v>
      </c>
    </row>
    <row r="38" spans="1:115" ht="16.5" customHeight="1" thickBot="1">
      <c r="A38" s="55" t="s">
        <v>58</v>
      </c>
      <c r="B38" s="188">
        <f>SUM(B7:B37)</f>
        <v>12368.167999999998</v>
      </c>
      <c r="C38" s="326"/>
      <c r="D38" s="327">
        <f>SUM(D7:D37)</f>
        <v>12284.506611158815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0</v>
      </c>
      <c r="K38" s="188">
        <f>SUM(K7:K37)</f>
        <v>57.46</v>
      </c>
      <c r="L38" s="331">
        <f>SUM(L7:L37)</f>
        <v>1341.3880000000001</v>
      </c>
      <c r="M38" s="342"/>
      <c r="N38" s="188">
        <f>SUM(N7:N37)</f>
        <v>32.440000000000005</v>
      </c>
      <c r="O38" s="188">
        <f>SUM(O7:O37)</f>
        <v>85.77</v>
      </c>
      <c r="P38" s="483">
        <f>SUM(P7:P37)</f>
        <v>85.426919999999996</v>
      </c>
      <c r="Q38" s="340"/>
      <c r="R38" s="188">
        <f>SUM(R7:R37)</f>
        <v>7822.53</v>
      </c>
      <c r="S38" s="342"/>
      <c r="T38" s="341">
        <f>SUM(T7:T37)</f>
        <v>7704.5100002000008</v>
      </c>
      <c r="U38" s="194">
        <f>SUM(U7:U37)</f>
        <v>583.30999999999995</v>
      </c>
      <c r="V38" s="341">
        <f>SUM(V7:V37)</f>
        <v>7704.5100001999999</v>
      </c>
      <c r="W38" s="344"/>
      <c r="X38" s="344"/>
      <c r="Y38" s="194">
        <f>SUM(Y7:Y37)</f>
        <v>4868.5700000000006</v>
      </c>
      <c r="Z38" s="194">
        <f>SUM(Z7:Z37)</f>
        <v>4892.01</v>
      </c>
      <c r="AA38" s="345"/>
      <c r="AB38" s="346"/>
      <c r="AC38" s="347"/>
      <c r="AD38" s="348"/>
      <c r="AE38" s="345"/>
      <c r="AF38" s="345"/>
      <c r="AG38" s="347">
        <f>SUM(AG7:AG37)</f>
        <v>122</v>
      </c>
      <c r="AH38" s="194">
        <f>SUM(AH7:AH37)</f>
        <v>78.649999999999991</v>
      </c>
      <c r="AI38" s="349"/>
      <c r="AJ38" s="194">
        <f>SUM(AJ7:AJ37)</f>
        <v>3368.05</v>
      </c>
      <c r="AK38" s="343"/>
      <c r="AL38" s="338">
        <f>SUM(AL7:AL37)</f>
        <v>544.92999999999995</v>
      </c>
      <c r="AM38" s="343">
        <f>SUM(AM7:AM37)</f>
        <v>0</v>
      </c>
      <c r="AN38" s="337">
        <f>SUM(AN7:AN37)</f>
        <v>288.46999999999997</v>
      </c>
      <c r="AO38" s="395">
        <f>SUM(AO7:AO37)</f>
        <v>1328.8554999999999</v>
      </c>
      <c r="AP38" s="350"/>
      <c r="AQ38" s="351"/>
      <c r="AR38" s="343"/>
      <c r="AS38" s="351"/>
      <c r="AT38" s="351"/>
      <c r="AU38" s="352"/>
      <c r="AV38" s="337">
        <f>SUM(AV7:AV37)</f>
        <v>7106.3500000000013</v>
      </c>
      <c r="AW38" s="341">
        <f>SUM(AW7:AW37)</f>
        <v>73.84</v>
      </c>
      <c r="AX38" s="343">
        <f>SUM(AX7:AX36)</f>
        <v>0</v>
      </c>
      <c r="AY38" s="343">
        <f>SUM(AY7:AY37)</f>
        <v>0</v>
      </c>
      <c r="AZ38" s="340"/>
      <c r="BA38" s="252">
        <f>SUM(BA7:BA37)</f>
        <v>5562.8644999999997</v>
      </c>
      <c r="BB38" s="252">
        <f>SUM(BB7:BB37)</f>
        <v>5332.4964538909526</v>
      </c>
      <c r="BC38" s="351">
        <f>SUM(BC7:BC36)</f>
        <v>183.38053133802816</v>
      </c>
      <c r="BD38" s="351">
        <f>SUM(BD7:BD36)</f>
        <v>206.83446000000004</v>
      </c>
      <c r="BE38" s="340"/>
      <c r="BF38" s="351">
        <f>SUM(BF7:BF37)</f>
        <v>407.93059697183088</v>
      </c>
      <c r="BG38" s="353"/>
      <c r="BH38" s="16"/>
      <c r="BI38" s="16">
        <f t="shared" si="17"/>
        <v>0</v>
      </c>
      <c r="BJ38" s="16"/>
      <c r="BK38" s="17">
        <f>SUM(BK7:BK37)</f>
        <v>31</v>
      </c>
      <c r="BL38" s="33"/>
      <c r="BM38" s="228">
        <f t="shared" ref="BM38:BS38" si="36">SUM(BM7:BM37)</f>
        <v>336.21900010000002</v>
      </c>
      <c r="BN38" s="38">
        <f t="shared" si="36"/>
        <v>1063.0400000000002</v>
      </c>
      <c r="BO38" s="38">
        <f t="shared" si="36"/>
        <v>278.34800010000004</v>
      </c>
      <c r="BP38" s="38">
        <f t="shared" si="36"/>
        <v>7311.9489999999996</v>
      </c>
      <c r="BQ38" s="38">
        <f t="shared" si="36"/>
        <v>2499.598</v>
      </c>
      <c r="BR38" s="38">
        <f t="shared" si="36"/>
        <v>574.37800000000004</v>
      </c>
      <c r="BS38" s="38">
        <f t="shared" si="36"/>
        <v>304.63600009999999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1395.6000000000001</v>
      </c>
      <c r="CL38" s="39">
        <f>SUM(CL7:CL37)</f>
        <v>6308.9099999999989</v>
      </c>
      <c r="CM38" s="40">
        <f>SUM(CM7:CM37)</f>
        <v>9.9999999999999995E-8</v>
      </c>
      <c r="CN38" s="34"/>
      <c r="CO38" s="35"/>
      <c r="CP38" s="236"/>
      <c r="CQ38" s="36"/>
      <c r="CR38" s="36"/>
      <c r="CT38" s="189">
        <f t="shared" ref="CT38:DE38" si="37">SUM(CT7:CT37)</f>
        <v>329.46138839999998</v>
      </c>
      <c r="CU38" s="190">
        <f t="shared" si="37"/>
        <v>1063.0399999588133</v>
      </c>
      <c r="CV38" s="191">
        <f t="shared" si="37"/>
        <v>278.34800010000004</v>
      </c>
      <c r="CW38" s="192">
        <f t="shared" si="37"/>
        <v>7261.4047093999989</v>
      </c>
      <c r="CX38" s="192">
        <f t="shared" si="37"/>
        <v>2485.7646575999997</v>
      </c>
      <c r="CY38" s="192">
        <f t="shared" si="37"/>
        <v>563.85580230000005</v>
      </c>
      <c r="CZ38" s="278">
        <f t="shared" si="37"/>
        <v>302.63205370000003</v>
      </c>
      <c r="DA38" s="278">
        <f t="shared" si="37"/>
        <v>9.99999999E-8</v>
      </c>
      <c r="DB38" s="192">
        <f t="shared" si="37"/>
        <v>1395.5999999178</v>
      </c>
      <c r="DC38" s="192">
        <f t="shared" si="37"/>
        <v>6308.9099998287493</v>
      </c>
      <c r="DD38" s="498">
        <f t="shared" si="37"/>
        <v>9.99999999E-8</v>
      </c>
      <c r="DE38" s="500">
        <f t="shared" si="37"/>
        <v>85.426919999999996</v>
      </c>
      <c r="DF38" s="501"/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398.97316129032254</v>
      </c>
      <c r="C39" s="84">
        <f>(BM38*BU39+BN38*BV39+BP38*BX39+BS38*CA39+BO38*BW39+BR38*BZ39+BQ38*BY39)/B38</f>
        <v>0.67642506829780302</v>
      </c>
      <c r="D39" s="82"/>
      <c r="E39" s="354">
        <f>(BM38*CB39+BN38*CC39+BP38*CE39+BS38*CH39+BO38*CD39+BR38*CG39+BQ38*CF39)/B38</f>
        <v>37.797591762983821</v>
      </c>
      <c r="F39" s="355">
        <f>IF(BA38=0,0,D38/BA38)</f>
        <v>2.2083059206563123</v>
      </c>
      <c r="G39" s="354">
        <f>G38/AV2</f>
        <v>0</v>
      </c>
      <c r="H39" s="355">
        <f>IF(BA38=0,0,(CZ38+CW38+CY38+CT38+CX38)/BA38)</f>
        <v>1.9671733171642052</v>
      </c>
      <c r="I39" s="354">
        <f>I38/AV2</f>
        <v>0</v>
      </c>
      <c r="J39" s="354">
        <f>J38/AV2</f>
        <v>0</v>
      </c>
      <c r="K39" s="354">
        <f>K38/AV2</f>
        <v>1.8535483870967742</v>
      </c>
      <c r="L39" s="354">
        <f>L38/AV2</f>
        <v>43.270580645161296</v>
      </c>
      <c r="M39" s="355">
        <f>IF($BA$38=0,0,(CV38+CU38)/$BA$38)</f>
        <v>0.24113260354603522</v>
      </c>
      <c r="N39" s="354">
        <f>N38/AV2</f>
        <v>1.046451612903226</v>
      </c>
      <c r="O39" s="354">
        <f>O38/AV2</f>
        <v>2.7667741935483869</v>
      </c>
      <c r="P39" s="354"/>
      <c r="Q39" s="504">
        <f>IF(O38=0,0,P38/BA38)</f>
        <v>1.535664224789225E-2</v>
      </c>
      <c r="R39" s="356">
        <f>R38/AV2</f>
        <v>252.33967741935484</v>
      </c>
      <c r="S39" s="354">
        <f>(SUMPRODUCT(R7:R37,S7:S37))/R38</f>
        <v>1.5087190435830864</v>
      </c>
      <c r="T39" s="357"/>
      <c r="U39" s="354">
        <f>U38/AV2</f>
        <v>18.816451612903226</v>
      </c>
      <c r="V39" s="354">
        <f>V38/AV2:AV2</f>
        <v>248.5325806516129</v>
      </c>
      <c r="W39" s="358">
        <f>IF($BA$38=0,0,T38/$BA$38)</f>
        <v>1.3849896937450124</v>
      </c>
      <c r="X39" s="358">
        <f>Q39+W39</f>
        <v>1.4003463359929047</v>
      </c>
      <c r="Y39" s="354">
        <f>Y38/AV2</f>
        <v>157.05064516129033</v>
      </c>
      <c r="Z39" s="354">
        <f>Z38/AV2</f>
        <v>157.80677419354839</v>
      </c>
      <c r="AA39" s="354">
        <f>(SUMPRODUCT(AA7:AA37,BA7:BA37))/BA38</f>
        <v>0.69033000084758489</v>
      </c>
      <c r="AB39" s="359">
        <f>AVERAGE(AB7:AB37)</f>
        <v>658.9677419354839</v>
      </c>
      <c r="AC39" s="359">
        <f>AVERAGE(AC7:AC37)</f>
        <v>1220</v>
      </c>
      <c r="AD39" s="359"/>
      <c r="AE39" s="354">
        <f>(SUMPRODUCT(AE7:AE37,BA7:BA37))/BA38</f>
        <v>76.026862670302322</v>
      </c>
      <c r="AF39" s="360">
        <f>AVERAGE(AF7:AF37)</f>
        <v>133.09677419354838</v>
      </c>
      <c r="AG39" s="360">
        <f>AVERAGE(AG7:AG37)</f>
        <v>3.935483870967742</v>
      </c>
      <c r="AH39" s="354">
        <f>AH38/AV2</f>
        <v>2.537096774193548</v>
      </c>
      <c r="AI39" s="361">
        <f>IF(BA38=0,0,AH38/BA38*1000)</f>
        <v>14.138399380391162</v>
      </c>
      <c r="AJ39" s="361">
        <f>AJ38/AV2</f>
        <v>108.6467741935484</v>
      </c>
      <c r="AK39" s="361">
        <f>IF(BA38=0,0,AJ38/BA38*1000)</f>
        <v>605.45246068819404</v>
      </c>
      <c r="AL39" s="354">
        <f>AL38/AV2</f>
        <v>17.578387096774193</v>
      </c>
      <c r="AM39" s="359"/>
      <c r="AN39" s="354">
        <f>AN38/AV2</f>
        <v>9.3054838709677412</v>
      </c>
      <c r="AO39" s="354">
        <f>AO38/AV2</f>
        <v>42.8663064516129</v>
      </c>
      <c r="AP39" s="346">
        <f>IF(AO39=0,0,AO39/AV39)</f>
        <v>0.18699550402105156</v>
      </c>
      <c r="AQ39" s="361">
        <f>SUM(AQ8:AQ38)</f>
        <v>0</v>
      </c>
      <c r="AR39" s="354">
        <f>AVERAGE(AR7:AR37)</f>
        <v>8.4035483870967731</v>
      </c>
      <c r="AS39" s="354">
        <f>AVERAGE(AS7:AS37)</f>
        <v>8.6919354838709655</v>
      </c>
      <c r="AT39" s="362"/>
      <c r="AU39" s="354">
        <f>AVERAGE(AU7:AU37)</f>
        <v>7.3158064516129038</v>
      </c>
      <c r="AV39" s="363">
        <f>AV38/AV2</f>
        <v>229.23709677419359</v>
      </c>
      <c r="AW39" s="363">
        <f>AW38/AV2</f>
        <v>2.3819354838709677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179.44724193548387</v>
      </c>
      <c r="BB39" s="354">
        <f>BB38/AV2</f>
        <v>172.01601464164364</v>
      </c>
      <c r="BC39" s="362" t="e">
        <f>BC38/$AY$2</f>
        <v>#DIV/0!</v>
      </c>
      <c r="BD39" s="362" t="e">
        <f>BD38/$AY$2</f>
        <v>#DIV/0!</v>
      </c>
      <c r="BE39" s="355">
        <f>(BA38*AE39)/(D38*E39)</f>
        <v>0.91084337183012154</v>
      </c>
      <c r="BF39" s="354">
        <f>BF38/AV2</f>
        <v>13.159051515220352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2.0098839440930214</v>
      </c>
      <c r="BV39" s="42">
        <f t="shared" ref="BV39:CA39" si="38">(SUMPRODUCT(BN7:BN37,BV7:BV37))/BN38</f>
        <v>3.8744543949428044E-9</v>
      </c>
      <c r="BW39" s="42">
        <f t="shared" si="38"/>
        <v>3.5926250579876173E-17</v>
      </c>
      <c r="BX39" s="42">
        <f t="shared" si="38"/>
        <v>0.69125606045665799</v>
      </c>
      <c r="BY39" s="42">
        <f t="shared" si="38"/>
        <v>0.55342268636796799</v>
      </c>
      <c r="BZ39" s="46">
        <f t="shared" si="38"/>
        <v>1.8319290954737126</v>
      </c>
      <c r="CA39" s="240">
        <f t="shared" si="38"/>
        <v>0.65781667279710321</v>
      </c>
      <c r="CB39" s="41">
        <f t="shared" ref="CB39:CH39" si="39">(SUMPRODUCT(BM7:BM37,CB7:CB37))/BM38</f>
        <v>37.426793566863623</v>
      </c>
      <c r="CC39" s="42">
        <f t="shared" si="39"/>
        <v>43.716826864464174</v>
      </c>
      <c r="CD39" s="42">
        <f t="shared" si="39"/>
        <v>41.747603991497115</v>
      </c>
      <c r="CE39" s="42">
        <f t="shared" si="39"/>
        <v>37.32561881243975</v>
      </c>
      <c r="CF39" s="42">
        <f t="shared" si="39"/>
        <v>37.81250727516985</v>
      </c>
      <c r="CG39" s="46">
        <f t="shared" si="39"/>
        <v>31.712219078725159</v>
      </c>
      <c r="CH39" s="240">
        <f t="shared" si="39"/>
        <v>36.621996140764068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5.8899398108340485E-9</v>
      </c>
      <c r="CP39" s="46">
        <f>(SUMPRODUCT(CL7:CL37,CP7:CP37))/CL38</f>
        <v>2.7144150098828486E-9</v>
      </c>
      <c r="CQ39" s="44">
        <f>(SUMPRODUCT(CM7:CM37,CQ7:CQ37))/CM38</f>
        <v>9.9999999999999982E-8</v>
      </c>
      <c r="CR39" s="44">
        <f>(SUMPRODUCT(O7:O37,CR7:CR37))/O38</f>
        <v>0.4</v>
      </c>
      <c r="CT39" s="667">
        <f>CT38+CU38</f>
        <v>1392.5013883588133</v>
      </c>
      <c r="CU39" s="667"/>
      <c r="CV39" s="668">
        <f>CV38+CW38+CZ38+CY38+CX38</f>
        <v>10892.005223099997</v>
      </c>
      <c r="CW39" s="668"/>
      <c r="CX39" s="668"/>
      <c r="CY39" s="668"/>
      <c r="CZ39" s="668"/>
      <c r="DA39" s="669">
        <f>DA38+DB38+DD38+DC38</f>
        <v>7704.5099999465492</v>
      </c>
      <c r="DB39" s="668"/>
      <c r="DC39" s="668"/>
      <c r="DD39" s="667"/>
      <c r="DE39" s="502"/>
      <c r="DF39" s="499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38</v>
      </c>
      <c r="F40" s="366">
        <v>2.2200000000000002</v>
      </c>
      <c r="G40" s="366"/>
      <c r="H40" s="512">
        <v>1.9314</v>
      </c>
      <c r="I40" s="366"/>
      <c r="J40" s="408"/>
      <c r="K40" s="366"/>
      <c r="L40" s="366"/>
      <c r="M40" s="512">
        <v>0.28860000000000002</v>
      </c>
      <c r="N40" s="513">
        <v>34.629019999999997</v>
      </c>
      <c r="O40" s="366"/>
      <c r="P40" s="366"/>
      <c r="Q40" s="366"/>
      <c r="R40" s="367"/>
      <c r="S40" s="368"/>
      <c r="T40" s="367"/>
      <c r="U40" s="450">
        <v>21.6522504</v>
      </c>
      <c r="V40" s="367"/>
      <c r="W40" s="369">
        <v>1.32</v>
      </c>
      <c r="X40" s="484"/>
      <c r="Y40" s="370">
        <v>5650</v>
      </c>
      <c r="Z40" s="370">
        <v>5650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653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5650</v>
      </c>
      <c r="AW40" s="379">
        <v>39.549999999999997</v>
      </c>
      <c r="AX40" s="380"/>
      <c r="AY40" s="381"/>
      <c r="AZ40" s="382"/>
      <c r="BA40" s="365">
        <v>182.26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12284.50661145881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-1.1694079343687935E-2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1.5087190435830864</v>
      </c>
      <c r="T41" s="386"/>
      <c r="U41" s="388"/>
      <c r="V41" s="388"/>
      <c r="W41" s="385">
        <f>W39-W40</f>
        <v>6.4989693745012289E-2</v>
      </c>
      <c r="X41" s="385"/>
      <c r="Y41" s="385"/>
      <c r="Z41" s="385"/>
      <c r="AA41" s="385"/>
      <c r="AB41" s="385"/>
      <c r="AC41" s="389">
        <f>AC39-AC40</f>
        <v>-30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1456.3500000000013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182.25806451612902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  <c r="CU43" s="247"/>
      <c r="CW43" s="247"/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0.18699550402105156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U44" s="411"/>
      <c r="CV44" s="411"/>
      <c r="CW44" s="411">
        <v>12284.507</v>
      </c>
      <c r="CX44" s="411"/>
      <c r="CY44" s="411"/>
      <c r="CZ44" s="411"/>
      <c r="DB44" s="411"/>
      <c r="DC44" s="411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58.248770491803292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188.33333333333334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  <c r="DB46" s="13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-87.135499999995773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-1.5422212389379784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'[4]июль 20 '!$G$38</f>
        <v>1328.8554999999999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'[4]июль 20 '!$C$38</f>
        <v>1328.8600000000001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4.5000000002346496E-3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393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B51:BE52"/>
    <mergeCell ref="BF51:BF52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F58:BG58"/>
    <mergeCell ref="BF59:BG59"/>
    <mergeCell ref="BF60:BG60"/>
    <mergeCell ref="DG5:DK5"/>
    <mergeCell ref="CT39:CU39"/>
    <mergeCell ref="CV39:CZ39"/>
    <mergeCell ref="DA39:DD39"/>
    <mergeCell ref="CJ3:CM5"/>
    <mergeCell ref="CN3:CQ5"/>
    <mergeCell ref="CR3:CR6"/>
    <mergeCell ref="W4:W6"/>
    <mergeCell ref="AH5:AH6"/>
    <mergeCell ref="Q4:Q6"/>
    <mergeCell ref="O3:X3"/>
    <mergeCell ref="X4:X6"/>
    <mergeCell ref="P4:P6"/>
    <mergeCell ref="AN3:AN6"/>
    <mergeCell ref="F4:F6"/>
    <mergeCell ref="H4:H6"/>
    <mergeCell ref="I4:I6"/>
    <mergeCell ref="J4:J6"/>
    <mergeCell ref="K4:K6"/>
    <mergeCell ref="AJ5:AJ6"/>
    <mergeCell ref="M4:M6"/>
    <mergeCell ref="N4:N6"/>
    <mergeCell ref="O4:O6"/>
    <mergeCell ref="R4:R6"/>
    <mergeCell ref="S4:S6"/>
    <mergeCell ref="T4:T6"/>
    <mergeCell ref="AF3:AF6"/>
    <mergeCell ref="AG3:AG6"/>
    <mergeCell ref="AH3:AI4"/>
    <mergeCell ref="BG3:BG6"/>
    <mergeCell ref="BM3:BS5"/>
    <mergeCell ref="BU3:CA5"/>
    <mergeCell ref="CB3:CH5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L4:L6"/>
    <mergeCell ref="H3:N3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Y3:Y6"/>
    <mergeCell ref="U4:U6"/>
    <mergeCell ref="V4:V6"/>
    <mergeCell ref="A3:A6"/>
    <mergeCell ref="B3:F3"/>
    <mergeCell ref="G3:G6"/>
    <mergeCell ref="B4:B6"/>
    <mergeCell ref="C4:C6"/>
    <mergeCell ref="D4:D6"/>
    <mergeCell ref="E4:E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S88"/>
  <sheetViews>
    <sheetView showZeros="0" zoomScale="90" zoomScaleNormal="90" workbookViewId="0">
      <pane xSplit="1" ySplit="6" topLeftCell="BK22" activePane="bottomRight" state="frozen"/>
      <selection pane="topRight" activeCell="B1" sqref="B1"/>
      <selection pane="bottomLeft" activeCell="A7" sqref="A7"/>
      <selection pane="bottomRight" activeCell="W65" sqref="W65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hidden="1" customWidth="1"/>
    <col min="11" max="11" width="6.140625" customWidth="1"/>
    <col min="12" max="12" width="8" customWidth="1"/>
    <col min="13" max="13" width="7.28515625" customWidth="1"/>
    <col min="14" max="14" width="6.28515625" customWidth="1"/>
    <col min="15" max="15" width="6.7109375" customWidth="1"/>
    <col min="16" max="17" width="7.140625" customWidth="1"/>
    <col min="18" max="18" width="9" customWidth="1"/>
    <col min="19" max="19" width="5.140625" customWidth="1"/>
    <col min="20" max="20" width="8.85546875" hidden="1" customWidth="1"/>
    <col min="21" max="21" width="6.7109375" customWidth="1"/>
    <col min="22" max="22" width="7.85546875" hidden="1" customWidth="1"/>
    <col min="23" max="24" width="6.85546875" customWidth="1"/>
    <col min="25" max="26" width="8.42578125" customWidth="1"/>
    <col min="27" max="27" width="6.5703125" customWidth="1"/>
    <col min="28" max="28" width="4.85546875" customWidth="1"/>
    <col min="29" max="29" width="6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23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23" ht="18.75" customHeight="1" thickBot="1">
      <c r="A2" s="49"/>
      <c r="B2" s="49"/>
      <c r="C2" s="49"/>
      <c r="D2" s="49"/>
      <c r="E2" s="50"/>
      <c r="F2" s="50"/>
      <c r="G2" s="77"/>
      <c r="H2" s="78"/>
      <c r="I2" s="79"/>
      <c r="J2" s="80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323" t="s">
        <v>337</v>
      </c>
      <c r="BB2" s="323"/>
      <c r="BC2" s="323"/>
      <c r="BD2" s="323"/>
      <c r="BE2" s="323" t="s">
        <v>107</v>
      </c>
      <c r="BF2" s="324"/>
      <c r="BG2" s="49"/>
      <c r="BO2" s="2"/>
    </row>
    <row r="3" spans="1:123" ht="30.75" customHeight="1" thickBot="1">
      <c r="A3" s="629" t="s">
        <v>3</v>
      </c>
      <c r="B3" s="630" t="s">
        <v>75</v>
      </c>
      <c r="C3" s="631"/>
      <c r="D3" s="631"/>
      <c r="E3" s="631"/>
      <c r="F3" s="632"/>
      <c r="G3" s="633" t="s">
        <v>82</v>
      </c>
      <c r="H3" s="695" t="s">
        <v>4</v>
      </c>
      <c r="I3" s="696"/>
      <c r="J3" s="696"/>
      <c r="K3" s="696"/>
      <c r="L3" s="696"/>
      <c r="M3" s="696"/>
      <c r="N3" s="696"/>
      <c r="O3" s="698" t="s">
        <v>5</v>
      </c>
      <c r="P3" s="699"/>
      <c r="Q3" s="700"/>
      <c r="R3" s="700"/>
      <c r="S3" s="700"/>
      <c r="T3" s="700"/>
      <c r="U3" s="700"/>
      <c r="V3" s="700"/>
      <c r="W3" s="700"/>
      <c r="X3" s="701"/>
      <c r="Y3" s="697" t="s">
        <v>6</v>
      </c>
      <c r="Z3" s="645" t="s">
        <v>7</v>
      </c>
      <c r="AA3" s="633" t="s">
        <v>8</v>
      </c>
      <c r="AB3" s="633" t="s">
        <v>9</v>
      </c>
      <c r="AC3" s="633" t="s">
        <v>10</v>
      </c>
      <c r="AD3" s="633" t="s">
        <v>11</v>
      </c>
      <c r="AE3" s="633" t="s">
        <v>12</v>
      </c>
      <c r="AF3" s="633" t="s">
        <v>13</v>
      </c>
      <c r="AG3" s="633" t="s">
        <v>14</v>
      </c>
      <c r="AH3" s="647" t="s">
        <v>15</v>
      </c>
      <c r="AI3" s="647"/>
      <c r="AJ3" s="646" t="s">
        <v>16</v>
      </c>
      <c r="AK3" s="646"/>
      <c r="AL3" s="633" t="s">
        <v>17</v>
      </c>
      <c r="AM3" s="643"/>
      <c r="AN3" s="633" t="s">
        <v>18</v>
      </c>
      <c r="AO3" s="633" t="s">
        <v>19</v>
      </c>
      <c r="AP3" s="647" t="s">
        <v>86</v>
      </c>
      <c r="AQ3" s="633" t="s">
        <v>20</v>
      </c>
      <c r="AR3" s="633" t="s">
        <v>105</v>
      </c>
      <c r="AS3" s="633" t="s">
        <v>21</v>
      </c>
      <c r="AT3" s="70"/>
      <c r="AU3" s="633" t="s">
        <v>22</v>
      </c>
      <c r="AV3" s="646" t="s">
        <v>23</v>
      </c>
      <c r="AW3" s="646"/>
      <c r="AX3" s="646"/>
      <c r="AY3" s="646"/>
      <c r="AZ3" s="646"/>
      <c r="BA3" s="646"/>
      <c r="BB3" s="633" t="s">
        <v>24</v>
      </c>
      <c r="BC3" s="657" t="s">
        <v>25</v>
      </c>
      <c r="BD3" s="657"/>
      <c r="BE3" s="633" t="s">
        <v>26</v>
      </c>
      <c r="BF3" s="633" t="s">
        <v>25</v>
      </c>
      <c r="BG3" s="649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0"/>
      <c r="CR3" s="689" t="s">
        <v>398</v>
      </c>
      <c r="CS3" s="7"/>
      <c r="CT3" s="7"/>
      <c r="CU3" s="7"/>
      <c r="CV3" s="7"/>
    </row>
    <row r="4" spans="1:123" s="10" customFormat="1" ht="9.75" customHeight="1" thickBot="1">
      <c r="A4" s="629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100</v>
      </c>
      <c r="O4" s="641" t="s">
        <v>372</v>
      </c>
      <c r="P4" s="702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41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649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0"/>
      <c r="CR4" s="690"/>
      <c r="CS4" s="7"/>
      <c r="CT4" s="7"/>
      <c r="CU4" s="7"/>
      <c r="CV4" s="7"/>
    </row>
    <row r="5" spans="1:123" s="10" customFormat="1" ht="21" customHeight="1" thickBot="1">
      <c r="A5" s="629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644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649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703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23" s="10" customFormat="1" ht="127.5" customHeight="1" thickBot="1">
      <c r="A6" s="629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644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11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649"/>
      <c r="BH6" s="14" t="s">
        <v>54</v>
      </c>
      <c r="BI6" s="14" t="s">
        <v>55</v>
      </c>
      <c r="BJ6" s="14" t="s">
        <v>56</v>
      </c>
      <c r="BK6" s="3"/>
      <c r="BL6" s="4"/>
      <c r="BM6" s="226" t="s">
        <v>387</v>
      </c>
      <c r="BN6" s="523" t="s">
        <v>389</v>
      </c>
      <c r="BO6" s="232" t="s">
        <v>390</v>
      </c>
      <c r="BP6" s="396" t="s">
        <v>99</v>
      </c>
      <c r="BQ6" s="232" t="s">
        <v>296</v>
      </c>
      <c r="BR6" s="310" t="s">
        <v>147</v>
      </c>
      <c r="BS6" s="397" t="s">
        <v>388</v>
      </c>
      <c r="BT6" s="15"/>
      <c r="BU6" s="226" t="s">
        <v>387</v>
      </c>
      <c r="BV6" s="52"/>
      <c r="BW6" s="333"/>
      <c r="BX6" s="396" t="s">
        <v>99</v>
      </c>
      <c r="BY6" s="232" t="s">
        <v>296</v>
      </c>
      <c r="BZ6" s="310" t="s">
        <v>98</v>
      </c>
      <c r="CA6" s="397" t="s">
        <v>388</v>
      </c>
      <c r="CB6" s="226" t="s">
        <v>387</v>
      </c>
      <c r="CC6" s="481" t="s">
        <v>389</v>
      </c>
      <c r="CD6" s="232" t="s">
        <v>390</v>
      </c>
      <c r="CE6" s="396" t="s">
        <v>99</v>
      </c>
      <c r="CF6" s="232" t="s">
        <v>296</v>
      </c>
      <c r="CG6" s="310" t="s">
        <v>147</v>
      </c>
      <c r="CH6" s="397" t="s">
        <v>388</v>
      </c>
      <c r="CI6" s="53" t="s">
        <v>57</v>
      </c>
      <c r="CJ6" s="335" t="s">
        <v>108</v>
      </c>
      <c r="CK6" s="225" t="s">
        <v>84</v>
      </c>
      <c r="CL6" s="525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496" t="s">
        <v>102</v>
      </c>
      <c r="CR6" s="691"/>
      <c r="CS6"/>
      <c r="CT6" s="251" t="s">
        <v>387</v>
      </c>
      <c r="CU6" s="482" t="s">
        <v>391</v>
      </c>
      <c r="CV6" s="51" t="s">
        <v>390</v>
      </c>
      <c r="CW6" s="245" t="s">
        <v>99</v>
      </c>
      <c r="CX6" s="51" t="s">
        <v>296</v>
      </c>
      <c r="CY6" s="51" t="s">
        <v>147</v>
      </c>
      <c r="CZ6" s="229" t="s">
        <v>388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23" ht="16.5" customHeight="1" thickBot="1">
      <c r="A7" s="102">
        <v>1</v>
      </c>
      <c r="B7" s="103">
        <f>BM7+BN7+BO7+BP7+BQ7+BR7+BS7</f>
        <v>448.06700030000002</v>
      </c>
      <c r="C7" s="104">
        <f t="shared" ref="C7:C37" si="0">IF(B7=0,0,(BM7*BU7+BN7*BV7+BP7*BX7+BS7*CA7+BO7*BW7+BR7*BZ7+BQ7*BY7)/B7)</f>
        <v>0.93613730880104717</v>
      </c>
      <c r="D7" s="447">
        <f>B7*((100-C7)/100)</f>
        <v>443.87247794176596</v>
      </c>
      <c r="E7" s="104">
        <f t="shared" ref="E7:E37" si="1">IF(B7=0,0,(BM7*CB7+BN7*CC7+BP7*CE7+BS7*CH7+BO7*CD7+BR7*CG7+BQ7*CF7)/B7)</f>
        <v>38.223837190716672</v>
      </c>
      <c r="F7" s="103">
        <f>IF(BA7=0,0,D7/BA7)</f>
        <v>2.5525902889842826</v>
      </c>
      <c r="G7" s="106"/>
      <c r="H7" s="107">
        <f t="shared" ref="H7:H37" si="2">IF(BA7=0,0,(CZ7+CW7+CY7+CT7+CX7)/BA7)</f>
        <v>2.21770234169681</v>
      </c>
      <c r="I7" s="103">
        <f>'[1]сентябрь 20'!AE6</f>
        <v>0</v>
      </c>
      <c r="J7" s="328">
        <f>'[1]июль 20'!AA6</f>
        <v>0</v>
      </c>
      <c r="K7" s="106"/>
      <c r="L7" s="328">
        <f>BN7+BO7</f>
        <v>58.234000099999996</v>
      </c>
      <c r="M7" s="103">
        <f t="shared" ref="M7:M37" si="3">IF(BA7=0,0,(CV7+CU7)/BA7)</f>
        <v>0.33488794728747312</v>
      </c>
      <c r="N7" s="103">
        <f>'[1]июль 20'!W6</f>
        <v>5.43</v>
      </c>
      <c r="O7" s="103">
        <f>'[1]июль 20'!AM6</f>
        <v>0</v>
      </c>
      <c r="P7" s="447">
        <f>O7*((100-CR7)/100)</f>
        <v>0</v>
      </c>
      <c r="Q7" s="103">
        <f>IF(O7=0,0,P7/BA7)</f>
        <v>0</v>
      </c>
      <c r="R7" s="103">
        <v>278.08999999999997</v>
      </c>
      <c r="S7" s="108">
        <f t="shared" ref="S7:S37" si="4">IF(R7=0,0,(1-(V7/R7))*100)</f>
        <v>1.5038296235031723</v>
      </c>
      <c r="T7" s="109">
        <f>R7*((100-S7)/100)</f>
        <v>273.90800019999995</v>
      </c>
      <c r="U7" s="106">
        <v>16.510000000000002</v>
      </c>
      <c r="V7" s="109">
        <f t="shared" ref="V7:V37" si="5">CJ7+CK7+CM7+CL7</f>
        <v>273.9080002</v>
      </c>
      <c r="W7" s="110">
        <f t="shared" ref="W7:W37" si="6">IF(BA7=0,0,T7/BA7)</f>
        <v>1.5751706540303978</v>
      </c>
      <c r="X7" s="227">
        <f>Q7+W7</f>
        <v>1.5751706540303978</v>
      </c>
      <c r="Y7" s="136">
        <v>173.89</v>
      </c>
      <c r="Z7" s="111">
        <v>173.89</v>
      </c>
      <c r="AA7" s="106">
        <v>0.41</v>
      </c>
      <c r="AB7" s="112">
        <v>641</v>
      </c>
      <c r="AC7" s="238">
        <v>1220</v>
      </c>
      <c r="AD7" s="113" t="s">
        <v>340</v>
      </c>
      <c r="AE7" s="106">
        <v>76.180000000000007</v>
      </c>
      <c r="AF7" s="112">
        <v>137</v>
      </c>
      <c r="AG7" s="114">
        <v>4</v>
      </c>
      <c r="AH7" s="106">
        <v>1.5</v>
      </c>
      <c r="AI7" s="115">
        <f t="shared" ref="AI7:AI37" si="7">IF(BA7=0,0,AH7/BA7*1000)</f>
        <v>8.6260933573330405</v>
      </c>
      <c r="AJ7" s="106">
        <v>109.35</v>
      </c>
      <c r="AK7" s="115">
        <f t="shared" ref="AK7:AK37" si="8">IF(BA7=0,0,AJ7/BA7*1000)</f>
        <v>628.84220574957862</v>
      </c>
      <c r="AL7" s="106">
        <v>15.58</v>
      </c>
      <c r="AM7" s="116"/>
      <c r="AN7" s="117">
        <v>10.91</v>
      </c>
      <c r="AO7" s="466">
        <f t="shared" ref="AO7:AO36" si="9">AV7*0.19</f>
        <v>42.009</v>
      </c>
      <c r="AP7" s="110">
        <f t="shared" ref="AP7:AP37" si="10">IF(AO7=0,0,AO7/AV7)</f>
        <v>0.19</v>
      </c>
      <c r="AQ7" s="119" t="s">
        <v>341</v>
      </c>
      <c r="AR7" s="403">
        <v>8.35</v>
      </c>
      <c r="AS7" s="120">
        <v>8.1</v>
      </c>
      <c r="AT7" s="106"/>
      <c r="AU7" s="106">
        <v>7.39</v>
      </c>
      <c r="AV7" s="314">
        <v>221.1</v>
      </c>
      <c r="AW7" s="121">
        <v>5.71</v>
      </c>
      <c r="AX7" s="122"/>
      <c r="AY7" s="123"/>
      <c r="AZ7" s="124"/>
      <c r="BA7" s="109">
        <f t="shared" ref="BA7:BA37" si="11">AV7-AO7-AN7+AY7+AW7</f>
        <v>173.89100000000002</v>
      </c>
      <c r="BB7" s="115">
        <f t="shared" ref="BB7:BB37" si="12">IF(AE7=0,0,((D7*0.97)*(E7/100)*0.9)/(AE7/100))</f>
        <v>194.43111899894603</v>
      </c>
      <c r="BC7" s="125">
        <f t="shared" ref="BC7:BC37" si="13">(AJ7*AU7)/100*(55/71)</f>
        <v>6.2599024647887314</v>
      </c>
      <c r="BD7" s="115">
        <f t="shared" ref="BD7:BD23" si="14">BA7*$BD$6</f>
        <v>6.9556400000000007</v>
      </c>
      <c r="BE7" s="103">
        <f t="shared" ref="BE7:BE37" si="15">IF((D7*E7)=0,0,(BA7*AE7)/(D7*E7))</f>
        <v>0.78077441400120162</v>
      </c>
      <c r="BF7" s="115">
        <f t="shared" ref="BF7:BF37" si="16">BC7+BD7</f>
        <v>13.215542464788733</v>
      </c>
      <c r="BG7" s="126">
        <v>0.78100000000000003</v>
      </c>
      <c r="BH7" s="16">
        <f>BA7</f>
        <v>173.89100000000002</v>
      </c>
      <c r="BI7" s="16">
        <f t="shared" ref="BI7:BI38" si="17">IF(A7&lt;=$BG$43,$AV$43,0)</f>
        <v>182.25806451612902</v>
      </c>
      <c r="BJ7" s="16">
        <f>BI7</f>
        <v>182.25806451612902</v>
      </c>
      <c r="BK7" s="17">
        <f t="shared" ref="BK7:BK37" si="18">IF(BA7&lt;&gt;0,1,0)</f>
        <v>1</v>
      </c>
      <c r="BL7" s="16">
        <f>BI7*BK7</f>
        <v>182.25806451612902</v>
      </c>
      <c r="BM7" s="518">
        <v>9.9999999999999995E-8</v>
      </c>
      <c r="BN7" s="266">
        <f>DP7</f>
        <v>58.233999999999995</v>
      </c>
      <c r="BO7" s="432">
        <v>9.9999999999999995E-8</v>
      </c>
      <c r="BP7" s="431">
        <f>DN7</f>
        <v>273.529</v>
      </c>
      <c r="BQ7" s="336">
        <v>89.150999999999996</v>
      </c>
      <c r="BR7" s="336">
        <v>27.152999999999999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0.81</v>
      </c>
      <c r="BY7" s="336">
        <v>1.37</v>
      </c>
      <c r="BZ7" s="336">
        <v>2.79</v>
      </c>
      <c r="CA7" s="336">
        <v>9.9999999999999995E-8</v>
      </c>
      <c r="CB7" s="336">
        <v>9.9999999999999995E-8</v>
      </c>
      <c r="CC7" s="336">
        <v>43.54</v>
      </c>
      <c r="CD7" s="336">
        <v>9.9999999999999995E-8</v>
      </c>
      <c r="CE7" s="336">
        <v>37.04</v>
      </c>
      <c r="CF7" s="336">
        <v>39.74</v>
      </c>
      <c r="CG7" s="336">
        <v>33.770000000000003</v>
      </c>
      <c r="CH7" s="336">
        <v>9.9999999999999995E-8</v>
      </c>
      <c r="CI7" s="336">
        <v>9.9999999999999995E-8</v>
      </c>
      <c r="CJ7" s="336">
        <v>9.9999999999999995E-8</v>
      </c>
      <c r="CK7" s="518">
        <v>82.2</v>
      </c>
      <c r="CL7" s="266">
        <f>DS7</f>
        <v>191.708</v>
      </c>
      <c r="CM7" s="432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503">
        <v>9.9999999999999995E-8</v>
      </c>
      <c r="CS7" s="284"/>
      <c r="CT7" s="285">
        <f t="shared" ref="CT7:CZ37" si="19">BM7*((100-BU7)/100)</f>
        <v>9.99999999E-8</v>
      </c>
      <c r="CU7" s="22">
        <f t="shared" si="19"/>
        <v>58.233999941765994</v>
      </c>
      <c r="CV7" s="22">
        <f t="shared" si="19"/>
        <v>9.99999999E-8</v>
      </c>
      <c r="CW7" s="27">
        <f t="shared" si="19"/>
        <v>271.31341509999999</v>
      </c>
      <c r="CX7" s="27">
        <f t="shared" si="19"/>
        <v>87.929631299999997</v>
      </c>
      <c r="CY7" s="276">
        <f t="shared" si="19"/>
        <v>26.395431299999998</v>
      </c>
      <c r="CZ7" s="279">
        <f t="shared" si="19"/>
        <v>9.99999999E-8</v>
      </c>
      <c r="DA7" s="276">
        <f t="shared" ref="DA7:DD37" si="20">CJ7*((100-CN7)/100)</f>
        <v>9.99999999E-8</v>
      </c>
      <c r="DB7" s="21">
        <f t="shared" si="20"/>
        <v>82.1999999178</v>
      </c>
      <c r="DC7" s="21">
        <f t="shared" si="20"/>
        <v>191.70799980829202</v>
      </c>
      <c r="DD7" s="279">
        <f t="shared" si="20"/>
        <v>9.99999999E-8</v>
      </c>
      <c r="DE7" s="508">
        <f>P7</f>
        <v>0</v>
      </c>
      <c r="DF7" s="247"/>
      <c r="DG7" s="293">
        <f t="shared" ref="DG7:DG37" si="21">I7</f>
        <v>0</v>
      </c>
      <c r="DH7" s="294"/>
      <c r="DI7" s="294"/>
      <c r="DJ7" s="295">
        <f t="shared" ref="DJ7:DJ37" si="22">DG7*((100-DH7)/100)</f>
        <v>0</v>
      </c>
      <c r="DK7" s="296">
        <f t="shared" ref="DK7:DK37" si="23">IF(I7=0,0,(DJ7*DI7%)/(AE7/100))</f>
        <v>0</v>
      </c>
      <c r="DM7" s="336">
        <v>253.529</v>
      </c>
      <c r="DN7" s="247">
        <f>DM7+20</f>
        <v>273.529</v>
      </c>
      <c r="DO7" s="336">
        <v>41.186999999999998</v>
      </c>
      <c r="DP7" s="247">
        <f>DO7+17.047</f>
        <v>58.233999999999995</v>
      </c>
      <c r="DR7" s="336">
        <v>171.25</v>
      </c>
      <c r="DS7" s="247">
        <f>DR7+20.458</f>
        <v>191.708</v>
      </c>
    </row>
    <row r="8" spans="1:123" ht="16.5" customHeight="1" thickBot="1">
      <c r="A8" s="127">
        <v>2</v>
      </c>
      <c r="B8" s="103">
        <f t="shared" ref="B8:B37" si="24">BM8+BN8+BO8+BP8+BQ8+BR8+BS8</f>
        <v>394.15999999999997</v>
      </c>
      <c r="C8" s="104">
        <f t="shared" si="0"/>
        <v>0.50821176679521007</v>
      </c>
      <c r="D8" s="447">
        <f t="shared" ref="D8:D37" si="25">B8*((100-C8)/100)</f>
        <v>392.15683249999995</v>
      </c>
      <c r="E8" s="104">
        <f t="shared" si="1"/>
        <v>38.218581058453424</v>
      </c>
      <c r="F8" s="128">
        <f t="shared" ref="F8:F36" si="26">IF(BA8=0,0,D8/BA8)</f>
        <v>2.4593111195424497</v>
      </c>
      <c r="G8" s="106"/>
      <c r="H8" s="107">
        <f t="shared" si="2"/>
        <v>2.1409890535438798</v>
      </c>
      <c r="I8" s="103">
        <f>'[1]сентябрь 20'!AE7</f>
        <v>0</v>
      </c>
      <c r="J8" s="328">
        <f>'[1]июль 20'!AA7</f>
        <v>0</v>
      </c>
      <c r="K8" s="106"/>
      <c r="L8" s="328">
        <f t="shared" ref="L8:L37" si="27">BN8+BO8</f>
        <v>50.759</v>
      </c>
      <c r="M8" s="103">
        <f t="shared" si="3"/>
        <v>0.31832206599857016</v>
      </c>
      <c r="N8" s="103">
        <f>'[1]июль 20'!W7</f>
        <v>4.806</v>
      </c>
      <c r="O8" s="103">
        <f>'[1]июль 20'!AM7</f>
        <v>0</v>
      </c>
      <c r="P8" s="447">
        <f t="shared" ref="P8:P37" si="28">O8*((100-CR8)/100)</f>
        <v>0</v>
      </c>
      <c r="Q8" s="103">
        <f t="shared" ref="Q8:Q37" si="29">IF(O8=0,0,P8/BA8)</f>
        <v>0</v>
      </c>
      <c r="R8" s="103">
        <v>244.2</v>
      </c>
      <c r="S8" s="108">
        <f t="shared" si="4"/>
        <v>1.470925470925466</v>
      </c>
      <c r="T8" s="109">
        <f t="shared" ref="T8:T37" si="30">R8*((100-S8)/100)</f>
        <v>240.608</v>
      </c>
      <c r="U8" s="106">
        <v>40.69</v>
      </c>
      <c r="V8" s="109">
        <f t="shared" si="5"/>
        <v>240.608</v>
      </c>
      <c r="W8" s="485">
        <f t="shared" si="6"/>
        <v>1.5089114374945127</v>
      </c>
      <c r="X8" s="510">
        <f t="shared" ref="X8:X37" si="31">Q8+W8</f>
        <v>1.5089114374945127</v>
      </c>
      <c r="Y8" s="135"/>
      <c r="Z8" s="130">
        <v>129.12</v>
      </c>
      <c r="AA8" s="131">
        <v>0.7</v>
      </c>
      <c r="AB8" s="112">
        <v>663</v>
      </c>
      <c r="AC8" s="112">
        <v>1216</v>
      </c>
      <c r="AD8" s="132" t="s">
        <v>342</v>
      </c>
      <c r="AE8" s="131">
        <v>74.180000000000007</v>
      </c>
      <c r="AF8" s="133">
        <v>119</v>
      </c>
      <c r="AG8" s="134">
        <v>4</v>
      </c>
      <c r="AH8" s="131"/>
      <c r="AI8" s="115">
        <f t="shared" si="7"/>
        <v>0</v>
      </c>
      <c r="AJ8" s="131">
        <v>85.5</v>
      </c>
      <c r="AK8" s="115">
        <f t="shared" si="8"/>
        <v>536.19134819200042</v>
      </c>
      <c r="AL8" s="131">
        <v>15.91</v>
      </c>
      <c r="AM8" s="116"/>
      <c r="AN8" s="135">
        <v>8.27</v>
      </c>
      <c r="AO8" s="466">
        <f t="shared" si="9"/>
        <v>38.722000000000001</v>
      </c>
      <c r="AP8" s="110">
        <f t="shared" si="10"/>
        <v>0.19</v>
      </c>
      <c r="AQ8" s="137" t="s">
        <v>343</v>
      </c>
      <c r="AR8" s="150">
        <v>9.2899999999999991</v>
      </c>
      <c r="AS8" s="138">
        <v>8.32</v>
      </c>
      <c r="AT8" s="131"/>
      <c r="AU8" s="131">
        <v>5.93</v>
      </c>
      <c r="AV8" s="315">
        <v>203.8</v>
      </c>
      <c r="AW8" s="131">
        <v>2.65</v>
      </c>
      <c r="AX8" s="116"/>
      <c r="AY8" s="131"/>
      <c r="AZ8" s="109"/>
      <c r="BA8" s="109">
        <f t="shared" si="11"/>
        <v>159.458</v>
      </c>
      <c r="BB8" s="115">
        <f t="shared" si="12"/>
        <v>176.38504480763797</v>
      </c>
      <c r="BC8" s="140">
        <f t="shared" si="13"/>
        <v>3.9275809859154927</v>
      </c>
      <c r="BD8" s="141">
        <f t="shared" si="14"/>
        <v>6.3783200000000004</v>
      </c>
      <c r="BE8" s="128">
        <f t="shared" si="15"/>
        <v>0.78922129793836104</v>
      </c>
      <c r="BF8" s="141">
        <f t="shared" si="16"/>
        <v>10.305900985915493</v>
      </c>
      <c r="BG8" s="142">
        <v>0.78500000000000003</v>
      </c>
      <c r="BH8" s="16">
        <f t="shared" ref="BH8:BH37" si="32">BH7+BA8</f>
        <v>333.34900000000005</v>
      </c>
      <c r="BI8" s="16">
        <f t="shared" si="17"/>
        <v>182.25806451612902</v>
      </c>
      <c r="BJ8" s="16">
        <f t="shared" ref="BJ8:BJ37" si="33">BI8+BJ7</f>
        <v>364.51612903225805</v>
      </c>
      <c r="BK8" s="17">
        <f t="shared" si="18"/>
        <v>1</v>
      </c>
      <c r="BL8" s="16">
        <f t="shared" ref="BL8:BL37" si="34">BL7+BI8*BK8</f>
        <v>364.51612903225805</v>
      </c>
      <c r="BM8" s="249"/>
      <c r="BN8" s="266">
        <f t="shared" ref="BN8:BN37" si="35">DP8</f>
        <v>50.759</v>
      </c>
      <c r="BO8" s="313"/>
      <c r="BP8" s="266">
        <f t="shared" ref="BP8:BP35" si="36">DN8</f>
        <v>242.17699999999999</v>
      </c>
      <c r="BQ8" s="313">
        <v>77.263999999999996</v>
      </c>
      <c r="BR8" s="230">
        <v>23.96</v>
      </c>
      <c r="BS8" s="250"/>
      <c r="BT8" s="199"/>
      <c r="BU8" s="200"/>
      <c r="BV8" s="200"/>
      <c r="BW8" s="200"/>
      <c r="BX8" s="200">
        <v>0.51</v>
      </c>
      <c r="BY8" s="208">
        <v>0.47</v>
      </c>
      <c r="BZ8" s="208">
        <v>1.69</v>
      </c>
      <c r="CA8" s="198"/>
      <c r="CB8" s="202"/>
      <c r="CC8" s="200">
        <v>43.68</v>
      </c>
      <c r="CD8" s="200"/>
      <c r="CE8" s="200">
        <v>37.51</v>
      </c>
      <c r="CF8" s="197">
        <v>37.979999999999997</v>
      </c>
      <c r="CG8" s="197">
        <v>34.58</v>
      </c>
      <c r="CH8" s="197"/>
      <c r="CI8" s="203"/>
      <c r="CJ8" s="204"/>
      <c r="CK8" s="230">
        <v>71.400000000000006</v>
      </c>
      <c r="CL8" s="266">
        <f t="shared" ref="CL8:CL37" si="37">DS8</f>
        <v>169.208</v>
      </c>
      <c r="CM8" s="453"/>
      <c r="CN8" s="205"/>
      <c r="CO8" s="206"/>
      <c r="CP8" s="269"/>
      <c r="CQ8" s="207"/>
      <c r="CR8" s="207"/>
      <c r="CS8" s="284"/>
      <c r="CT8" s="286">
        <f t="shared" si="19"/>
        <v>0</v>
      </c>
      <c r="CU8" s="24">
        <f t="shared" si="19"/>
        <v>50.759</v>
      </c>
      <c r="CV8" s="25">
        <f t="shared" si="19"/>
        <v>0</v>
      </c>
      <c r="CW8" s="24">
        <f t="shared" si="19"/>
        <v>240.94189729999997</v>
      </c>
      <c r="CX8" s="27">
        <f t="shared" si="19"/>
        <v>76.900859199999999</v>
      </c>
      <c r="CY8" s="237">
        <f t="shared" si="19"/>
        <v>23.555076</v>
      </c>
      <c r="CZ8" s="280">
        <f t="shared" si="19"/>
        <v>0</v>
      </c>
      <c r="DA8" s="237">
        <f t="shared" si="20"/>
        <v>0</v>
      </c>
      <c r="DB8" s="26">
        <f t="shared" si="20"/>
        <v>71.400000000000006</v>
      </c>
      <c r="DC8" s="277">
        <f t="shared" si="20"/>
        <v>169.208</v>
      </c>
      <c r="DD8" s="280">
        <f t="shared" si="20"/>
        <v>0</v>
      </c>
      <c r="DE8" s="508">
        <f t="shared" ref="DE8:DE37" si="38">P8</f>
        <v>0</v>
      </c>
      <c r="DF8" s="247"/>
      <c r="DG8" s="293">
        <f t="shared" si="21"/>
        <v>0</v>
      </c>
      <c r="DH8" s="294"/>
      <c r="DI8" s="294"/>
      <c r="DJ8" s="295">
        <f t="shared" si="22"/>
        <v>0</v>
      </c>
      <c r="DK8" s="296">
        <f t="shared" si="23"/>
        <v>0</v>
      </c>
      <c r="DM8" s="197">
        <v>222.17699999999999</v>
      </c>
      <c r="DN8" s="247">
        <f t="shared" ref="DN8:DN34" si="39">DM8+20</f>
        <v>242.17699999999999</v>
      </c>
      <c r="DO8" s="195">
        <v>33.712000000000003</v>
      </c>
      <c r="DP8" s="247">
        <f t="shared" ref="DP8:DP37" si="40">DO8+17.047</f>
        <v>50.759</v>
      </c>
      <c r="DR8" s="197">
        <v>148.75</v>
      </c>
      <c r="DS8" s="247">
        <f t="shared" ref="DS8:DS36" si="41">DR8+20.458</f>
        <v>169.208</v>
      </c>
    </row>
    <row r="9" spans="1:123" ht="16.5" customHeight="1" thickBot="1">
      <c r="A9" s="127">
        <v>3</v>
      </c>
      <c r="B9" s="103">
        <f t="shared" si="24"/>
        <v>199.001</v>
      </c>
      <c r="C9" s="104">
        <f t="shared" si="0"/>
        <v>0.42129758141918883</v>
      </c>
      <c r="D9" s="448">
        <f t="shared" si="25"/>
        <v>198.16261360000001</v>
      </c>
      <c r="E9" s="104">
        <f t="shared" si="1"/>
        <v>38.206167305691928</v>
      </c>
      <c r="F9" s="128">
        <f t="shared" si="26"/>
        <v>2.7421848016661015</v>
      </c>
      <c r="G9" s="106"/>
      <c r="H9" s="107">
        <f t="shared" si="2"/>
        <v>2.3195706550242505</v>
      </c>
      <c r="I9" s="103">
        <f>'[1]сентябрь 20'!AE8</f>
        <v>0</v>
      </c>
      <c r="J9" s="328">
        <f>'[1]июль 20'!AA8</f>
        <v>0</v>
      </c>
      <c r="K9" s="106"/>
      <c r="L9" s="328">
        <f t="shared" si="27"/>
        <v>30.54</v>
      </c>
      <c r="M9" s="103">
        <f t="shared" si="3"/>
        <v>0.42261414664185032</v>
      </c>
      <c r="N9" s="103">
        <f>'[1]июль 20'!W8</f>
        <v>2.17</v>
      </c>
      <c r="O9" s="103">
        <f>'[1]июль 20'!AM8</f>
        <v>0</v>
      </c>
      <c r="P9" s="447">
        <f t="shared" si="28"/>
        <v>0</v>
      </c>
      <c r="Q9" s="103">
        <f t="shared" si="29"/>
        <v>0</v>
      </c>
      <c r="R9" s="103">
        <v>128.27000000000001</v>
      </c>
      <c r="S9" s="108">
        <f t="shared" si="4"/>
        <v>1.4906057534887385</v>
      </c>
      <c r="T9" s="109">
        <f t="shared" si="30"/>
        <v>126.358</v>
      </c>
      <c r="U9" s="106">
        <v>2.0299999999999998</v>
      </c>
      <c r="V9" s="109">
        <f t="shared" si="5"/>
        <v>126.358</v>
      </c>
      <c r="W9" s="485">
        <f t="shared" si="6"/>
        <v>1.7485487341640775</v>
      </c>
      <c r="X9" s="510">
        <f t="shared" si="31"/>
        <v>1.7485487341640775</v>
      </c>
      <c r="Y9" s="135">
        <v>72.260000000000005</v>
      </c>
      <c r="Z9" s="130">
        <v>36.67</v>
      </c>
      <c r="AA9" s="131">
        <v>1.1599999999999999</v>
      </c>
      <c r="AB9" s="112">
        <v>637</v>
      </c>
      <c r="AC9" s="112">
        <v>1158</v>
      </c>
      <c r="AD9" s="144" t="s">
        <v>345</v>
      </c>
      <c r="AE9" s="131">
        <v>76.67</v>
      </c>
      <c r="AF9" s="133">
        <v>56</v>
      </c>
      <c r="AG9" s="134">
        <v>2</v>
      </c>
      <c r="AH9" s="131"/>
      <c r="AI9" s="115">
        <f t="shared" si="7"/>
        <v>0</v>
      </c>
      <c r="AJ9" s="131">
        <v>44.65</v>
      </c>
      <c r="AK9" s="115">
        <f t="shared" si="8"/>
        <v>617.86907817808174</v>
      </c>
      <c r="AL9" s="131">
        <v>10.65</v>
      </c>
      <c r="AM9" s="116"/>
      <c r="AN9" s="135">
        <v>6.28</v>
      </c>
      <c r="AO9" s="466">
        <f t="shared" si="9"/>
        <v>18.1355</v>
      </c>
      <c r="AP9" s="110">
        <f t="shared" si="10"/>
        <v>0.19</v>
      </c>
      <c r="AQ9" s="137" t="s">
        <v>344</v>
      </c>
      <c r="AR9" s="150">
        <v>8.5</v>
      </c>
      <c r="AS9" s="131">
        <v>8.65</v>
      </c>
      <c r="AT9" s="131"/>
      <c r="AU9" s="131">
        <v>6.65</v>
      </c>
      <c r="AV9" s="315">
        <v>95.45</v>
      </c>
      <c r="AW9" s="131">
        <v>1.23</v>
      </c>
      <c r="AX9" s="116"/>
      <c r="AY9" s="131"/>
      <c r="AZ9" s="109"/>
      <c r="BA9" s="109">
        <f t="shared" si="11"/>
        <v>72.264500000000012</v>
      </c>
      <c r="BB9" s="115">
        <f t="shared" si="12"/>
        <v>86.207286485979736</v>
      </c>
      <c r="BC9" s="140">
        <f t="shared" si="13"/>
        <v>2.3001038732394368</v>
      </c>
      <c r="BD9" s="141">
        <f t="shared" si="14"/>
        <v>2.8905800000000004</v>
      </c>
      <c r="BE9" s="128">
        <f t="shared" si="15"/>
        <v>0.73180482847305628</v>
      </c>
      <c r="BF9" s="141">
        <f t="shared" si="16"/>
        <v>5.1906838732394371</v>
      </c>
      <c r="BG9" s="142">
        <v>0.77500000000000002</v>
      </c>
      <c r="BH9" s="16">
        <f t="shared" si="32"/>
        <v>405.61350000000004</v>
      </c>
      <c r="BI9" s="16">
        <f t="shared" si="17"/>
        <v>182.25806451612902</v>
      </c>
      <c r="BJ9" s="16">
        <f t="shared" si="33"/>
        <v>546.77419354838707</v>
      </c>
      <c r="BK9" s="17">
        <f t="shared" si="18"/>
        <v>1</v>
      </c>
      <c r="BL9" s="16">
        <f t="shared" si="34"/>
        <v>546.77419354838707</v>
      </c>
      <c r="BM9" s="249"/>
      <c r="BN9" s="266">
        <f t="shared" si="35"/>
        <v>30.54</v>
      </c>
      <c r="BO9" s="313"/>
      <c r="BP9" s="266">
        <f t="shared" si="36"/>
        <v>122.554</v>
      </c>
      <c r="BQ9" s="313">
        <v>35.103000000000002</v>
      </c>
      <c r="BR9" s="230">
        <v>10.804</v>
      </c>
      <c r="BS9" s="250"/>
      <c r="BT9" s="199"/>
      <c r="BU9" s="200"/>
      <c r="BV9" s="200"/>
      <c r="BW9" s="200"/>
      <c r="BX9" s="200">
        <v>0.51</v>
      </c>
      <c r="BY9" s="208">
        <v>0.18</v>
      </c>
      <c r="BZ9" s="208">
        <v>1.39</v>
      </c>
      <c r="CA9" s="201"/>
      <c r="CB9" s="202"/>
      <c r="CC9" s="200">
        <v>43.6</v>
      </c>
      <c r="CD9" s="200"/>
      <c r="CE9" s="200">
        <v>37.47</v>
      </c>
      <c r="CF9" s="200">
        <v>38.28</v>
      </c>
      <c r="CG9" s="200">
        <v>31.07</v>
      </c>
      <c r="CH9" s="200"/>
      <c r="CI9" s="203"/>
      <c r="CJ9" s="204"/>
      <c r="CK9" s="230">
        <v>32.4</v>
      </c>
      <c r="CL9" s="266">
        <f t="shared" si="37"/>
        <v>93.957999999999998</v>
      </c>
      <c r="CM9" s="453"/>
      <c r="CN9" s="202"/>
      <c r="CO9" s="208"/>
      <c r="CP9" s="208"/>
      <c r="CQ9" s="201"/>
      <c r="CR9" s="201"/>
      <c r="CS9" s="284"/>
      <c r="CT9" s="286">
        <f t="shared" si="19"/>
        <v>0</v>
      </c>
      <c r="CU9" s="27">
        <f t="shared" si="19"/>
        <v>30.54</v>
      </c>
      <c r="CV9" s="28">
        <f t="shared" si="19"/>
        <v>0</v>
      </c>
      <c r="CW9" s="27">
        <f t="shared" si="19"/>
        <v>121.92897459999999</v>
      </c>
      <c r="CX9" s="27">
        <f t="shared" si="19"/>
        <v>35.0398146</v>
      </c>
      <c r="CY9" s="237">
        <f t="shared" si="19"/>
        <v>10.6538244</v>
      </c>
      <c r="CZ9" s="281">
        <f t="shared" si="19"/>
        <v>0</v>
      </c>
      <c r="DA9" s="237">
        <f t="shared" si="20"/>
        <v>0</v>
      </c>
      <c r="DB9" s="26">
        <f t="shared" si="20"/>
        <v>32.4</v>
      </c>
      <c r="DC9" s="277">
        <f t="shared" si="20"/>
        <v>93.957999999999998</v>
      </c>
      <c r="DD9" s="280">
        <f t="shared" si="20"/>
        <v>0</v>
      </c>
      <c r="DE9" s="508">
        <f t="shared" si="38"/>
        <v>0</v>
      </c>
      <c r="DF9" s="247"/>
      <c r="DG9" s="293">
        <f t="shared" si="21"/>
        <v>0</v>
      </c>
      <c r="DH9" s="294"/>
      <c r="DI9" s="294"/>
      <c r="DJ9" s="295">
        <f t="shared" si="22"/>
        <v>0</v>
      </c>
      <c r="DK9" s="296">
        <f t="shared" si="23"/>
        <v>0</v>
      </c>
      <c r="DM9" s="197">
        <v>102.554</v>
      </c>
      <c r="DN9" s="247">
        <f t="shared" si="39"/>
        <v>122.554</v>
      </c>
      <c r="DO9" s="195">
        <v>13.493</v>
      </c>
      <c r="DP9" s="247">
        <f t="shared" si="40"/>
        <v>30.54</v>
      </c>
      <c r="DR9" s="197">
        <v>73.5</v>
      </c>
      <c r="DS9" s="247">
        <f t="shared" si="41"/>
        <v>93.957999999999998</v>
      </c>
    </row>
    <row r="10" spans="1:123" ht="16.5" customHeight="1" thickBot="1">
      <c r="A10" s="127">
        <v>4</v>
      </c>
      <c r="B10" s="103">
        <f t="shared" si="24"/>
        <v>402.64199999999994</v>
      </c>
      <c r="C10" s="104">
        <f t="shared" si="0"/>
        <v>0.28073273528345283</v>
      </c>
      <c r="D10" s="448">
        <f t="shared" si="25"/>
        <v>401.51165209999994</v>
      </c>
      <c r="E10" s="104">
        <f t="shared" si="1"/>
        <v>38.100489616085753</v>
      </c>
      <c r="F10" s="128">
        <f t="shared" si="26"/>
        <v>2.3932624143531966</v>
      </c>
      <c r="G10" s="106"/>
      <c r="H10" s="107">
        <f t="shared" si="2"/>
        <v>2.1099417473586959</v>
      </c>
      <c r="I10" s="103">
        <f>'[1]сентябрь 20'!AE9</f>
        <v>0</v>
      </c>
      <c r="J10" s="328">
        <f>'[1]июль 20'!AA9</f>
        <v>0</v>
      </c>
      <c r="K10" s="106"/>
      <c r="L10" s="328">
        <f t="shared" si="27"/>
        <v>47.531999999999996</v>
      </c>
      <c r="M10" s="103">
        <f t="shared" si="3"/>
        <v>0.28332066699450126</v>
      </c>
      <c r="N10" s="103">
        <f>'[1]июль 20'!W9</f>
        <v>4.8609999999999998</v>
      </c>
      <c r="O10" s="103">
        <f>'[1]июль 20'!AM9</f>
        <v>0</v>
      </c>
      <c r="P10" s="447">
        <f t="shared" si="28"/>
        <v>0</v>
      </c>
      <c r="Q10" s="103">
        <f t="shared" si="29"/>
        <v>0</v>
      </c>
      <c r="R10" s="103">
        <v>249.83</v>
      </c>
      <c r="S10" s="108">
        <f t="shared" si="4"/>
        <v>1.4697994636352685</v>
      </c>
      <c r="T10" s="109">
        <f t="shared" si="30"/>
        <v>246.15800000000002</v>
      </c>
      <c r="U10" s="106">
        <v>30.06</v>
      </c>
      <c r="V10" s="109">
        <f t="shared" si="5"/>
        <v>246.15800000000002</v>
      </c>
      <c r="W10" s="485">
        <f t="shared" si="6"/>
        <v>1.4672567690404876</v>
      </c>
      <c r="X10" s="509">
        <f t="shared" si="31"/>
        <v>1.4672567690404876</v>
      </c>
      <c r="Y10" s="135">
        <v>167.77</v>
      </c>
      <c r="Z10" s="130">
        <v>172.15</v>
      </c>
      <c r="AA10" s="131">
        <v>0.56999999999999995</v>
      </c>
      <c r="AB10" s="112">
        <v>606</v>
      </c>
      <c r="AC10" s="112">
        <v>1183</v>
      </c>
      <c r="AD10" s="144" t="s">
        <v>346</v>
      </c>
      <c r="AE10" s="131">
        <v>76.87</v>
      </c>
      <c r="AF10" s="133">
        <v>122</v>
      </c>
      <c r="AG10" s="134">
        <v>4</v>
      </c>
      <c r="AH10" s="131">
        <v>5</v>
      </c>
      <c r="AI10" s="115">
        <f t="shared" si="7"/>
        <v>29.803150192975398</v>
      </c>
      <c r="AJ10" s="131">
        <v>107.2</v>
      </c>
      <c r="AK10" s="115">
        <f t="shared" si="8"/>
        <v>638.97954013739241</v>
      </c>
      <c r="AL10" s="131">
        <v>17.95</v>
      </c>
      <c r="AM10" s="116"/>
      <c r="AN10" s="135">
        <v>5.21</v>
      </c>
      <c r="AO10" s="466">
        <f t="shared" si="9"/>
        <v>39.852499999999999</v>
      </c>
      <c r="AP10" s="110">
        <f t="shared" si="10"/>
        <v>0.19</v>
      </c>
      <c r="AQ10" s="137" t="s">
        <v>347</v>
      </c>
      <c r="AR10" s="150">
        <v>8.74</v>
      </c>
      <c r="AS10" s="138">
        <v>8.11</v>
      </c>
      <c r="AT10" s="131"/>
      <c r="AU10" s="131">
        <v>7.07</v>
      </c>
      <c r="AV10" s="315">
        <v>209.75</v>
      </c>
      <c r="AW10" s="131">
        <v>3.08</v>
      </c>
      <c r="AX10" s="116"/>
      <c r="AY10" s="131"/>
      <c r="AZ10" s="109"/>
      <c r="BA10" s="109">
        <f t="shared" si="11"/>
        <v>167.76750000000001</v>
      </c>
      <c r="BB10" s="115">
        <f t="shared" si="12"/>
        <v>173.73450154889616</v>
      </c>
      <c r="BC10" s="140">
        <f t="shared" si="13"/>
        <v>5.8710873239436614</v>
      </c>
      <c r="BD10" s="141">
        <f t="shared" si="14"/>
        <v>6.710700000000001</v>
      </c>
      <c r="BE10" s="128">
        <f t="shared" si="15"/>
        <v>0.84301636228990318</v>
      </c>
      <c r="BF10" s="141">
        <f t="shared" si="16"/>
        <v>12.581787323943662</v>
      </c>
      <c r="BG10" s="142">
        <v>0.79400000000000004</v>
      </c>
      <c r="BH10" s="16">
        <f t="shared" si="32"/>
        <v>573.38100000000009</v>
      </c>
      <c r="BI10" s="16">
        <f t="shared" si="17"/>
        <v>182.25806451612902</v>
      </c>
      <c r="BJ10" s="16">
        <f t="shared" si="33"/>
        <v>729.0322580645161</v>
      </c>
      <c r="BK10" s="17">
        <f t="shared" si="18"/>
        <v>1</v>
      </c>
      <c r="BL10" s="16">
        <f t="shared" si="34"/>
        <v>729.0322580645161</v>
      </c>
      <c r="BM10" s="249"/>
      <c r="BN10" s="266">
        <f t="shared" si="35"/>
        <v>47.531999999999996</v>
      </c>
      <c r="BO10" s="313"/>
      <c r="BP10" s="266">
        <f t="shared" si="36"/>
        <v>251.80099999999999</v>
      </c>
      <c r="BQ10" s="244">
        <v>79.337000000000003</v>
      </c>
      <c r="BR10" s="230">
        <v>23.972000000000001</v>
      </c>
      <c r="BS10" s="250"/>
      <c r="BT10" s="199"/>
      <c r="BU10" s="200"/>
      <c r="BV10" s="200"/>
      <c r="BW10" s="200"/>
      <c r="BX10" s="200">
        <v>0.19</v>
      </c>
      <c r="BY10" s="208">
        <v>0.16</v>
      </c>
      <c r="BZ10" s="208">
        <v>2.19</v>
      </c>
      <c r="CA10" s="201"/>
      <c r="CB10" s="202"/>
      <c r="CC10" s="200">
        <v>43.72</v>
      </c>
      <c r="CD10" s="200"/>
      <c r="CE10" s="200">
        <v>37.39</v>
      </c>
      <c r="CF10" s="200">
        <v>38.270000000000003</v>
      </c>
      <c r="CG10" s="200">
        <v>33.86</v>
      </c>
      <c r="CH10" s="200"/>
      <c r="CI10" s="203"/>
      <c r="CJ10" s="204"/>
      <c r="CK10" s="230">
        <v>73.2</v>
      </c>
      <c r="CL10" s="266">
        <f t="shared" si="37"/>
        <v>172.958</v>
      </c>
      <c r="CM10" s="453"/>
      <c r="CN10" s="202"/>
      <c r="CO10" s="208"/>
      <c r="CP10" s="208"/>
      <c r="CQ10" s="201"/>
      <c r="CR10" s="201"/>
      <c r="CS10" s="284"/>
      <c r="CT10" s="286">
        <f t="shared" si="19"/>
        <v>0</v>
      </c>
      <c r="CU10" s="29">
        <f t="shared" si="19"/>
        <v>47.531999999999996</v>
      </c>
      <c r="CV10" s="30">
        <f t="shared" si="19"/>
        <v>0</v>
      </c>
      <c r="CW10" s="29">
        <f t="shared" si="19"/>
        <v>251.32257809999999</v>
      </c>
      <c r="CX10" s="27">
        <f t="shared" si="19"/>
        <v>79.210060800000008</v>
      </c>
      <c r="CY10" s="24">
        <f t="shared" si="19"/>
        <v>23.447013200000001</v>
      </c>
      <c r="CZ10" s="282">
        <f t="shared" si="19"/>
        <v>0</v>
      </c>
      <c r="DA10" s="237">
        <f t="shared" si="20"/>
        <v>0</v>
      </c>
      <c r="DB10" s="26">
        <f t="shared" si="20"/>
        <v>73.2</v>
      </c>
      <c r="DC10" s="277">
        <f t="shared" si="20"/>
        <v>172.958</v>
      </c>
      <c r="DD10" s="280">
        <f t="shared" si="20"/>
        <v>0</v>
      </c>
      <c r="DE10" s="508">
        <f t="shared" si="38"/>
        <v>0</v>
      </c>
      <c r="DF10" s="247"/>
      <c r="DG10" s="293">
        <f t="shared" si="21"/>
        <v>0</v>
      </c>
      <c r="DH10" s="294"/>
      <c r="DI10" s="294"/>
      <c r="DJ10" s="295">
        <f t="shared" si="22"/>
        <v>0</v>
      </c>
      <c r="DK10" s="296">
        <f t="shared" si="23"/>
        <v>0</v>
      </c>
      <c r="DM10" s="195">
        <v>231.80099999999999</v>
      </c>
      <c r="DN10" s="247">
        <f t="shared" si="39"/>
        <v>251.80099999999999</v>
      </c>
      <c r="DO10" s="195">
        <v>30.484999999999999</v>
      </c>
      <c r="DP10" s="247">
        <f t="shared" si="40"/>
        <v>47.531999999999996</v>
      </c>
      <c r="DR10" s="197">
        <v>152.5</v>
      </c>
      <c r="DS10" s="247">
        <f t="shared" si="41"/>
        <v>172.958</v>
      </c>
    </row>
    <row r="11" spans="1:123" ht="16.5" customHeight="1" thickBot="1">
      <c r="A11" s="127">
        <v>5</v>
      </c>
      <c r="B11" s="103">
        <f t="shared" si="24"/>
        <v>427.03100000000001</v>
      </c>
      <c r="C11" s="104">
        <f t="shared" si="0"/>
        <v>0.57241244780823874</v>
      </c>
      <c r="D11" s="448">
        <f t="shared" si="25"/>
        <v>424.58662140000001</v>
      </c>
      <c r="E11" s="104">
        <f t="shared" si="1"/>
        <v>38.219788657029589</v>
      </c>
      <c r="F11" s="128">
        <f t="shared" si="26"/>
        <v>2.5310149797172636</v>
      </c>
      <c r="G11" s="106"/>
      <c r="H11" s="107">
        <f>IF(BA11=0,0,(CZ11+CW11+CY11+CT11+CX11)/BA11)</f>
        <v>2.217286801169573</v>
      </c>
      <c r="I11" s="103">
        <f>'[1]сентябрь 20'!AE10</f>
        <v>0</v>
      </c>
      <c r="J11" s="328">
        <f>'[1]июль 20'!AA10</f>
        <v>0</v>
      </c>
      <c r="K11" s="106"/>
      <c r="L11" s="328">
        <f t="shared" si="27"/>
        <v>52.629000000000005</v>
      </c>
      <c r="M11" s="103">
        <f t="shared" si="3"/>
        <v>0.31372817854769053</v>
      </c>
      <c r="N11" s="103">
        <f>'[1]июль 20'!W10</f>
        <v>5.4660000000000002</v>
      </c>
      <c r="O11" s="103">
        <f>'[1]июль 20'!AM10</f>
        <v>0</v>
      </c>
      <c r="P11" s="447">
        <f t="shared" si="28"/>
        <v>0</v>
      </c>
      <c r="Q11" s="103">
        <f t="shared" si="29"/>
        <v>0</v>
      </c>
      <c r="R11" s="103">
        <v>268.14999999999998</v>
      </c>
      <c r="S11" s="108">
        <f t="shared" si="4"/>
        <v>1.537199328733907</v>
      </c>
      <c r="T11" s="109">
        <f t="shared" si="30"/>
        <v>264.02800000000002</v>
      </c>
      <c r="U11" s="106"/>
      <c r="V11" s="109">
        <f t="shared" si="5"/>
        <v>264.02800000000002</v>
      </c>
      <c r="W11" s="485">
        <f t="shared" si="6"/>
        <v>1.5739045683100503</v>
      </c>
      <c r="X11" s="495">
        <f t="shared" si="31"/>
        <v>1.5739045683100503</v>
      </c>
      <c r="Y11" s="135">
        <v>167.75</v>
      </c>
      <c r="Z11" s="130">
        <v>167.49</v>
      </c>
      <c r="AA11" s="131">
        <v>0.25</v>
      </c>
      <c r="AB11" s="112">
        <v>606</v>
      </c>
      <c r="AC11" s="112">
        <v>1209</v>
      </c>
      <c r="AD11" s="144" t="s">
        <v>299</v>
      </c>
      <c r="AE11" s="131">
        <v>76.95</v>
      </c>
      <c r="AF11" s="133">
        <v>130</v>
      </c>
      <c r="AG11" s="134">
        <v>4</v>
      </c>
      <c r="AH11" s="131"/>
      <c r="AI11" s="115">
        <f t="shared" si="7"/>
        <v>0</v>
      </c>
      <c r="AJ11" s="131">
        <v>124</v>
      </c>
      <c r="AK11" s="115">
        <f t="shared" si="8"/>
        <v>739.17980846897376</v>
      </c>
      <c r="AL11" s="131">
        <v>15.47</v>
      </c>
      <c r="AM11" s="116"/>
      <c r="AN11" s="135">
        <v>6.29</v>
      </c>
      <c r="AO11" s="466">
        <f t="shared" si="9"/>
        <v>40.536499999999997</v>
      </c>
      <c r="AP11" s="110">
        <f t="shared" si="10"/>
        <v>0.19</v>
      </c>
      <c r="AQ11" s="137" t="s">
        <v>348</v>
      </c>
      <c r="AR11" s="150">
        <v>7.78</v>
      </c>
      <c r="AS11" s="138">
        <v>8.2899999999999991</v>
      </c>
      <c r="AT11" s="131"/>
      <c r="AU11" s="131">
        <v>9.4600000000000009</v>
      </c>
      <c r="AV11" s="315">
        <v>213.35</v>
      </c>
      <c r="AW11" s="131">
        <v>1.23</v>
      </c>
      <c r="AX11" s="145"/>
      <c r="AY11" s="131"/>
      <c r="AZ11" s="109"/>
      <c r="BA11" s="109">
        <f t="shared" si="11"/>
        <v>167.7535</v>
      </c>
      <c r="BB11" s="115">
        <f t="shared" si="12"/>
        <v>184.10272056625647</v>
      </c>
      <c r="BC11" s="140">
        <f t="shared" si="13"/>
        <v>9.0869295774647885</v>
      </c>
      <c r="BD11" s="141">
        <f t="shared" si="14"/>
        <v>6.71014</v>
      </c>
      <c r="BE11" s="128">
        <f t="shared" si="15"/>
        <v>0.79547333711070678</v>
      </c>
      <c r="BF11" s="141">
        <f t="shared" si="16"/>
        <v>15.797069577464789</v>
      </c>
      <c r="BG11" s="142">
        <v>0.79400000000000004</v>
      </c>
      <c r="BH11" s="16">
        <f t="shared" si="32"/>
        <v>741.13450000000012</v>
      </c>
      <c r="BI11" s="16">
        <f t="shared" si="17"/>
        <v>182.25806451612902</v>
      </c>
      <c r="BJ11" s="16">
        <f t="shared" si="33"/>
        <v>911.29032258064512</v>
      </c>
      <c r="BK11" s="17">
        <f t="shared" si="18"/>
        <v>1</v>
      </c>
      <c r="BL11" s="16">
        <f t="shared" si="34"/>
        <v>911.29032258064512</v>
      </c>
      <c r="BM11" s="249"/>
      <c r="BN11" s="266">
        <f t="shared" si="35"/>
        <v>52.629000000000005</v>
      </c>
      <c r="BO11" s="313"/>
      <c r="BP11" s="266">
        <f t="shared" si="36"/>
        <v>263.99</v>
      </c>
      <c r="BQ11" s="313">
        <v>84.688000000000002</v>
      </c>
      <c r="BR11" s="230">
        <v>25.724</v>
      </c>
      <c r="BS11" s="250"/>
      <c r="BT11" s="199"/>
      <c r="BU11" s="200"/>
      <c r="BV11" s="200"/>
      <c r="BW11" s="200"/>
      <c r="BX11" s="200">
        <v>0.61</v>
      </c>
      <c r="BY11" s="208">
        <v>0.35</v>
      </c>
      <c r="BZ11" s="208">
        <v>2.09</v>
      </c>
      <c r="CA11" s="201"/>
      <c r="CB11" s="202"/>
      <c r="CC11" s="200">
        <v>43.61</v>
      </c>
      <c r="CD11" s="200"/>
      <c r="CE11" s="200">
        <v>37.520000000000003</v>
      </c>
      <c r="CF11" s="200">
        <v>38.64</v>
      </c>
      <c r="CG11" s="200">
        <v>32.99</v>
      </c>
      <c r="CH11" s="200"/>
      <c r="CI11" s="203"/>
      <c r="CJ11" s="204"/>
      <c r="CK11" s="230">
        <v>78</v>
      </c>
      <c r="CL11" s="266">
        <f t="shared" si="37"/>
        <v>186.02799999999999</v>
      </c>
      <c r="CM11" s="453"/>
      <c r="CN11" s="202"/>
      <c r="CO11" s="208"/>
      <c r="CP11" s="208"/>
      <c r="CQ11" s="201"/>
      <c r="CR11" s="201"/>
      <c r="CS11" s="284"/>
      <c r="CT11" s="286">
        <f t="shared" si="19"/>
        <v>0</v>
      </c>
      <c r="CU11" s="24">
        <f t="shared" si="19"/>
        <v>52.629000000000005</v>
      </c>
      <c r="CV11" s="25">
        <f t="shared" si="19"/>
        <v>0</v>
      </c>
      <c r="CW11" s="24">
        <f t="shared" si="19"/>
        <v>262.379661</v>
      </c>
      <c r="CX11" s="27">
        <f t="shared" si="19"/>
        <v>84.391592000000003</v>
      </c>
      <c r="CY11" s="24">
        <f t="shared" si="19"/>
        <v>25.186368399999999</v>
      </c>
      <c r="CZ11" s="280">
        <f t="shared" si="19"/>
        <v>0</v>
      </c>
      <c r="DA11" s="237">
        <f t="shared" si="20"/>
        <v>0</v>
      </c>
      <c r="DB11" s="26">
        <f t="shared" si="20"/>
        <v>78</v>
      </c>
      <c r="DC11" s="277">
        <f t="shared" si="20"/>
        <v>186.02799999999999</v>
      </c>
      <c r="DD11" s="280">
        <f t="shared" si="20"/>
        <v>0</v>
      </c>
      <c r="DE11" s="508">
        <f t="shared" si="38"/>
        <v>0</v>
      </c>
      <c r="DF11" s="247"/>
      <c r="DG11" s="293">
        <f t="shared" si="21"/>
        <v>0</v>
      </c>
      <c r="DH11" s="294"/>
      <c r="DI11" s="294"/>
      <c r="DJ11" s="295">
        <f t="shared" si="22"/>
        <v>0</v>
      </c>
      <c r="DK11" s="296">
        <f t="shared" si="23"/>
        <v>0</v>
      </c>
      <c r="DM11" s="197">
        <v>243.99</v>
      </c>
      <c r="DN11" s="247">
        <f t="shared" si="39"/>
        <v>263.99</v>
      </c>
      <c r="DO11" s="195">
        <v>35.582000000000001</v>
      </c>
      <c r="DP11" s="247">
        <f t="shared" si="40"/>
        <v>52.629000000000005</v>
      </c>
      <c r="DR11" s="230">
        <v>165.57</v>
      </c>
      <c r="DS11" s="247">
        <f t="shared" si="41"/>
        <v>186.02799999999999</v>
      </c>
    </row>
    <row r="12" spans="1:123" ht="16.5" customHeight="1" thickBot="1">
      <c r="A12" s="127">
        <v>6</v>
      </c>
      <c r="B12" s="103">
        <f t="shared" si="24"/>
        <v>451.03099999999995</v>
      </c>
      <c r="C12" s="104">
        <f t="shared" si="0"/>
        <v>0.33793652764444132</v>
      </c>
      <c r="D12" s="448">
        <f t="shared" si="25"/>
        <v>449.50680149999994</v>
      </c>
      <c r="E12" s="104">
        <f t="shared" si="1"/>
        <v>37.910932884879308</v>
      </c>
      <c r="F12" s="128">
        <f t="shared" si="26"/>
        <v>2.5652754362186294</v>
      </c>
      <c r="G12" s="106"/>
      <c r="H12" s="107">
        <f t="shared" si="2"/>
        <v>2.1923373985247747</v>
      </c>
      <c r="I12" s="103">
        <f>'[1]сентябрь 20'!AE11</f>
        <v>0</v>
      </c>
      <c r="J12" s="328">
        <f>'[1]июль 20'!AA11</f>
        <v>0</v>
      </c>
      <c r="K12" s="493"/>
      <c r="L12" s="328">
        <f t="shared" si="27"/>
        <v>65.349000000000004</v>
      </c>
      <c r="M12" s="103">
        <f t="shared" si="3"/>
        <v>0.37293803769385508</v>
      </c>
      <c r="N12" s="103">
        <f>'[1]июль 20'!W11</f>
        <v>6.9080000000000004</v>
      </c>
      <c r="O12" s="103">
        <f>'[1]июль 20'!AM11</f>
        <v>0</v>
      </c>
      <c r="P12" s="447">
        <f t="shared" si="28"/>
        <v>0</v>
      </c>
      <c r="Q12" s="103">
        <f t="shared" si="29"/>
        <v>0</v>
      </c>
      <c r="R12" s="103">
        <v>288.86</v>
      </c>
      <c r="S12" s="108">
        <f t="shared" si="4"/>
        <v>1.6312400470816502</v>
      </c>
      <c r="T12" s="109">
        <f t="shared" si="30"/>
        <v>284.14799999999997</v>
      </c>
      <c r="U12" s="106">
        <v>21.82</v>
      </c>
      <c r="V12" s="109">
        <f t="shared" si="5"/>
        <v>284.14799999999997</v>
      </c>
      <c r="W12" s="485">
        <f t="shared" si="6"/>
        <v>1.6215947839237559</v>
      </c>
      <c r="X12" s="495">
        <f t="shared" si="31"/>
        <v>1.6215947839237559</v>
      </c>
      <c r="Y12" s="135">
        <v>175.23</v>
      </c>
      <c r="Z12" s="130">
        <v>175.23</v>
      </c>
      <c r="AA12" s="131">
        <v>0.31</v>
      </c>
      <c r="AB12" s="112">
        <v>616</v>
      </c>
      <c r="AC12" s="133">
        <v>1221</v>
      </c>
      <c r="AD12" s="144" t="s">
        <v>349</v>
      </c>
      <c r="AE12" s="131">
        <v>76.06</v>
      </c>
      <c r="AF12" s="133">
        <v>138</v>
      </c>
      <c r="AG12" s="134">
        <v>4</v>
      </c>
      <c r="AH12" s="131">
        <v>3.95</v>
      </c>
      <c r="AI12" s="115">
        <f t="shared" si="7"/>
        <v>22.542123810474951</v>
      </c>
      <c r="AJ12" s="131">
        <v>117.6</v>
      </c>
      <c r="AK12" s="115">
        <f t="shared" si="8"/>
        <v>671.1275342055327</v>
      </c>
      <c r="AL12" s="131">
        <v>18.399999999999999</v>
      </c>
      <c r="AM12" s="116"/>
      <c r="AN12" s="135">
        <v>7.89</v>
      </c>
      <c r="AO12" s="466">
        <f t="shared" si="9"/>
        <v>42.512500000000003</v>
      </c>
      <c r="AP12" s="110">
        <f t="shared" si="10"/>
        <v>0.19</v>
      </c>
      <c r="AQ12" s="137" t="s">
        <v>166</v>
      </c>
      <c r="AR12" s="150">
        <v>8.4700000000000006</v>
      </c>
      <c r="AS12" s="138">
        <v>7.99</v>
      </c>
      <c r="AT12" s="131"/>
      <c r="AU12" s="131">
        <v>7.36</v>
      </c>
      <c r="AV12" s="315">
        <v>223.75</v>
      </c>
      <c r="AW12" s="131">
        <v>1.88</v>
      </c>
      <c r="AX12" s="116"/>
      <c r="AY12" s="131"/>
      <c r="AZ12" s="109"/>
      <c r="BA12" s="109">
        <f t="shared" si="11"/>
        <v>175.22750000000002</v>
      </c>
      <c r="BB12" s="115">
        <f t="shared" si="12"/>
        <v>195.59541106661752</v>
      </c>
      <c r="BC12" s="140">
        <f t="shared" si="13"/>
        <v>6.7048563380281685</v>
      </c>
      <c r="BD12" s="141">
        <f t="shared" si="14"/>
        <v>7.009100000000001</v>
      </c>
      <c r="BE12" s="128">
        <f t="shared" si="15"/>
        <v>0.78209200648321453</v>
      </c>
      <c r="BF12" s="141">
        <f t="shared" si="16"/>
        <v>13.713956338028169</v>
      </c>
      <c r="BG12" s="142">
        <v>0.79200000000000004</v>
      </c>
      <c r="BH12" s="16">
        <f t="shared" si="32"/>
        <v>916.36200000000008</v>
      </c>
      <c r="BI12" s="16">
        <f t="shared" si="17"/>
        <v>182.25806451612902</v>
      </c>
      <c r="BJ12" s="16">
        <f t="shared" si="33"/>
        <v>1093.5483870967741</v>
      </c>
      <c r="BK12" s="17">
        <f t="shared" si="18"/>
        <v>1</v>
      </c>
      <c r="BL12" s="16">
        <f t="shared" si="34"/>
        <v>1093.5483870967741</v>
      </c>
      <c r="BM12" s="249"/>
      <c r="BN12" s="266">
        <f t="shared" si="35"/>
        <v>65.349000000000004</v>
      </c>
      <c r="BO12" s="444"/>
      <c r="BP12" s="266">
        <f t="shared" si="36"/>
        <v>268.411</v>
      </c>
      <c r="BQ12" s="313">
        <v>89.712999999999994</v>
      </c>
      <c r="BR12" s="230">
        <v>27.558</v>
      </c>
      <c r="BS12" s="250"/>
      <c r="BT12" s="199"/>
      <c r="BU12" s="200"/>
      <c r="BV12" s="200"/>
      <c r="BW12" s="200"/>
      <c r="BX12" s="200">
        <v>0.31</v>
      </c>
      <c r="BY12" s="208">
        <v>0.28000000000000003</v>
      </c>
      <c r="BZ12" s="208">
        <v>1.6</v>
      </c>
      <c r="CA12" s="201"/>
      <c r="CB12" s="202"/>
      <c r="CC12" s="200">
        <v>43.94</v>
      </c>
      <c r="CD12" s="200"/>
      <c r="CE12" s="200">
        <v>37.21</v>
      </c>
      <c r="CF12" s="200">
        <v>38.200000000000003</v>
      </c>
      <c r="CG12" s="200">
        <v>29.5</v>
      </c>
      <c r="CH12" s="200"/>
      <c r="CI12" s="203"/>
      <c r="CJ12" s="204"/>
      <c r="CK12" s="230">
        <v>82.8</v>
      </c>
      <c r="CL12" s="266">
        <f t="shared" si="37"/>
        <v>201.34799999999998</v>
      </c>
      <c r="CM12" s="453"/>
      <c r="CN12" s="202"/>
      <c r="CO12" s="202"/>
      <c r="CP12" s="270"/>
      <c r="CQ12" s="201"/>
      <c r="CR12" s="201"/>
      <c r="CS12" s="284"/>
      <c r="CT12" s="286">
        <f t="shared" si="19"/>
        <v>0</v>
      </c>
      <c r="CU12" s="24">
        <f t="shared" si="19"/>
        <v>65.349000000000004</v>
      </c>
      <c r="CV12" s="25">
        <f t="shared" si="19"/>
        <v>0</v>
      </c>
      <c r="CW12" s="24">
        <f t="shared" si="19"/>
        <v>267.5789259</v>
      </c>
      <c r="CX12" s="27">
        <f t="shared" si="19"/>
        <v>89.461803599999996</v>
      </c>
      <c r="CY12" s="30">
        <f t="shared" si="19"/>
        <v>27.117072000000004</v>
      </c>
      <c r="CZ12" s="280">
        <f t="shared" si="19"/>
        <v>0</v>
      </c>
      <c r="DA12" s="237">
        <f t="shared" si="20"/>
        <v>0</v>
      </c>
      <c r="DB12" s="26">
        <f t="shared" si="20"/>
        <v>82.8</v>
      </c>
      <c r="DC12" s="277">
        <f t="shared" si="20"/>
        <v>201.34799999999998</v>
      </c>
      <c r="DD12" s="280">
        <f t="shared" si="20"/>
        <v>0</v>
      </c>
      <c r="DE12" s="508">
        <f t="shared" si="38"/>
        <v>0</v>
      </c>
      <c r="DF12" s="247"/>
      <c r="DG12" s="293">
        <f t="shared" si="21"/>
        <v>0</v>
      </c>
      <c r="DH12" s="294"/>
      <c r="DI12" s="294"/>
      <c r="DJ12" s="295">
        <f t="shared" si="22"/>
        <v>0</v>
      </c>
      <c r="DK12" s="296">
        <f t="shared" si="23"/>
        <v>0</v>
      </c>
      <c r="DM12" s="197">
        <v>248.411</v>
      </c>
      <c r="DN12" s="247">
        <f t="shared" si="39"/>
        <v>268.411</v>
      </c>
      <c r="DO12" s="195">
        <v>48.302</v>
      </c>
      <c r="DP12" s="247">
        <f t="shared" si="40"/>
        <v>65.349000000000004</v>
      </c>
      <c r="DR12" s="230">
        <v>180.89</v>
      </c>
      <c r="DS12" s="247">
        <f t="shared" si="41"/>
        <v>201.34799999999998</v>
      </c>
    </row>
    <row r="13" spans="1:123" ht="16.5" customHeight="1" thickBot="1">
      <c r="A13" s="127">
        <v>7</v>
      </c>
      <c r="B13" s="103">
        <f t="shared" si="24"/>
        <v>445.42199999999997</v>
      </c>
      <c r="C13" s="104">
        <f t="shared" si="0"/>
        <v>0.4241280403751948</v>
      </c>
      <c r="D13" s="448">
        <f t="shared" si="25"/>
        <v>443.5328404</v>
      </c>
      <c r="E13" s="104">
        <f t="shared" si="1"/>
        <v>37.880684294893385</v>
      </c>
      <c r="F13" s="128">
        <f t="shared" si="26"/>
        <v>2.4372212811086746</v>
      </c>
      <c r="G13" s="106"/>
      <c r="H13" s="107">
        <f t="shared" si="2"/>
        <v>2.0819793079573361</v>
      </c>
      <c r="I13" s="103">
        <f>'[1]сентябрь 20'!AE12</f>
        <v>0</v>
      </c>
      <c r="J13" s="491">
        <f>'[1]июль 20'!AA12</f>
        <v>0</v>
      </c>
      <c r="K13" s="494"/>
      <c r="L13" s="328">
        <f t="shared" si="27"/>
        <v>64.647999999999996</v>
      </c>
      <c r="M13" s="103">
        <f t="shared" si="3"/>
        <v>0.35524197315133821</v>
      </c>
      <c r="N13" s="103">
        <f>'[1]июль 20'!W12</f>
        <v>2.7989999999999999</v>
      </c>
      <c r="O13" s="103">
        <f>'[1]июль 20'!AM12</f>
        <v>0</v>
      </c>
      <c r="P13" s="447">
        <f t="shared" si="28"/>
        <v>0</v>
      </c>
      <c r="Q13" s="103">
        <f t="shared" si="29"/>
        <v>0</v>
      </c>
      <c r="R13" s="103">
        <v>285.89999999999998</v>
      </c>
      <c r="S13" s="108">
        <f t="shared" si="4"/>
        <v>1.5501923749562829</v>
      </c>
      <c r="T13" s="109">
        <f t="shared" si="30"/>
        <v>281.46799999999996</v>
      </c>
      <c r="U13" s="106">
        <v>28.8</v>
      </c>
      <c r="V13" s="109">
        <f t="shared" si="5"/>
        <v>281.46799999999996</v>
      </c>
      <c r="W13" s="485">
        <f t="shared" si="6"/>
        <v>1.546671941884681</v>
      </c>
      <c r="X13" s="495">
        <f t="shared" si="31"/>
        <v>1.546671941884681</v>
      </c>
      <c r="Y13" s="135">
        <v>140.6</v>
      </c>
      <c r="Z13" s="130">
        <v>181.98</v>
      </c>
      <c r="AA13" s="131">
        <v>0.46</v>
      </c>
      <c r="AB13" s="146">
        <v>665</v>
      </c>
      <c r="AC13" s="147">
        <v>1214</v>
      </c>
      <c r="AD13" s="144" t="s">
        <v>349</v>
      </c>
      <c r="AE13" s="131">
        <v>74.61</v>
      </c>
      <c r="AF13" s="133">
        <v>136</v>
      </c>
      <c r="AG13" s="134">
        <v>4</v>
      </c>
      <c r="AH13" s="131">
        <v>4.8</v>
      </c>
      <c r="AI13" s="115">
        <f t="shared" si="7"/>
        <v>26.376090074347598</v>
      </c>
      <c r="AJ13" s="131">
        <v>122.6</v>
      </c>
      <c r="AK13" s="115">
        <f t="shared" si="8"/>
        <v>673.68930064896165</v>
      </c>
      <c r="AL13" s="131">
        <v>17.72</v>
      </c>
      <c r="AM13" s="116"/>
      <c r="AN13" s="135">
        <v>7.64</v>
      </c>
      <c r="AO13" s="466">
        <f t="shared" si="9"/>
        <v>44.137</v>
      </c>
      <c r="AP13" s="110">
        <f t="shared" si="10"/>
        <v>0.19</v>
      </c>
      <c r="AQ13" s="137" t="s">
        <v>164</v>
      </c>
      <c r="AR13" s="150">
        <v>8.42</v>
      </c>
      <c r="AS13" s="138">
        <v>7.7</v>
      </c>
      <c r="AT13" s="131"/>
      <c r="AU13" s="131">
        <v>9.7200000000000006</v>
      </c>
      <c r="AV13" s="315">
        <v>232.3</v>
      </c>
      <c r="AW13" s="131">
        <v>1.46</v>
      </c>
      <c r="AX13" s="148"/>
      <c r="AY13" s="149"/>
      <c r="AZ13" s="109"/>
      <c r="BA13" s="109">
        <f t="shared" si="11"/>
        <v>181.98300000000003</v>
      </c>
      <c r="BB13" s="115">
        <f t="shared" si="12"/>
        <v>196.58971865574719</v>
      </c>
      <c r="BC13" s="140">
        <f t="shared" si="13"/>
        <v>9.2312619718309854</v>
      </c>
      <c r="BD13" s="141">
        <f t="shared" si="14"/>
        <v>7.2793200000000011</v>
      </c>
      <c r="BE13" s="128">
        <f t="shared" si="15"/>
        <v>0.80813564456136677</v>
      </c>
      <c r="BF13" s="141">
        <f t="shared" si="16"/>
        <v>16.510581971830987</v>
      </c>
      <c r="BG13" s="142">
        <v>0.79400000000000004</v>
      </c>
      <c r="BH13" s="16">
        <f t="shared" si="32"/>
        <v>1098.345</v>
      </c>
      <c r="BI13" s="16">
        <f t="shared" si="17"/>
        <v>182.25806451612902</v>
      </c>
      <c r="BJ13" s="16">
        <f t="shared" si="33"/>
        <v>1275.8064516129032</v>
      </c>
      <c r="BK13" s="17">
        <f t="shared" si="18"/>
        <v>1</v>
      </c>
      <c r="BL13" s="16">
        <f t="shared" si="34"/>
        <v>1275.8064516129032</v>
      </c>
      <c r="BM13" s="249"/>
      <c r="BN13" s="266">
        <f t="shared" si="35"/>
        <v>64.647999999999996</v>
      </c>
      <c r="BO13" s="522"/>
      <c r="BP13" s="266">
        <f t="shared" si="36"/>
        <v>267.834</v>
      </c>
      <c r="BQ13" s="313">
        <v>88.305999999999997</v>
      </c>
      <c r="BR13" s="230">
        <v>24.634</v>
      </c>
      <c r="BS13" s="250"/>
      <c r="BT13" s="199"/>
      <c r="BU13" s="200"/>
      <c r="BV13" s="200"/>
      <c r="BW13" s="200"/>
      <c r="BX13" s="200">
        <v>0.43</v>
      </c>
      <c r="BY13" s="208">
        <v>0.28000000000000003</v>
      </c>
      <c r="BZ13" s="208">
        <v>1.99</v>
      </c>
      <c r="CA13" s="201"/>
      <c r="CB13" s="202"/>
      <c r="CC13" s="200">
        <v>43.92</v>
      </c>
      <c r="CD13" s="202"/>
      <c r="CE13" s="200">
        <v>37.42</v>
      </c>
      <c r="CF13" s="200">
        <v>37.44</v>
      </c>
      <c r="CG13" s="200">
        <v>28.62</v>
      </c>
      <c r="CH13" s="200"/>
      <c r="CI13" s="203"/>
      <c r="CJ13" s="204"/>
      <c r="CK13" s="230">
        <v>81.599999999999994</v>
      </c>
      <c r="CL13" s="266">
        <f t="shared" si="37"/>
        <v>199.86799999999999</v>
      </c>
      <c r="CM13" s="454"/>
      <c r="CN13" s="202"/>
      <c r="CO13" s="202"/>
      <c r="CP13" s="270"/>
      <c r="CQ13" s="201"/>
      <c r="CR13" s="201"/>
      <c r="CS13" s="284"/>
      <c r="CT13" s="286">
        <f t="shared" si="19"/>
        <v>0</v>
      </c>
      <c r="CU13" s="24">
        <f t="shared" si="19"/>
        <v>64.647999999999996</v>
      </c>
      <c r="CV13" s="25">
        <f t="shared" si="19"/>
        <v>0</v>
      </c>
      <c r="CW13" s="24">
        <f t="shared" si="19"/>
        <v>266.68231379999997</v>
      </c>
      <c r="CX13" s="27">
        <f t="shared" si="19"/>
        <v>88.058743199999995</v>
      </c>
      <c r="CY13" s="24">
        <f t="shared" si="19"/>
        <v>24.143783400000004</v>
      </c>
      <c r="CZ13" s="280">
        <f t="shared" si="19"/>
        <v>0</v>
      </c>
      <c r="DA13" s="237">
        <f t="shared" si="20"/>
        <v>0</v>
      </c>
      <c r="DB13" s="26">
        <f t="shared" si="20"/>
        <v>81.599999999999994</v>
      </c>
      <c r="DC13" s="277">
        <f t="shared" si="20"/>
        <v>199.86799999999999</v>
      </c>
      <c r="DD13" s="280">
        <f t="shared" si="20"/>
        <v>0</v>
      </c>
      <c r="DE13" s="508">
        <f t="shared" si="38"/>
        <v>0</v>
      </c>
      <c r="DF13" s="247"/>
      <c r="DG13" s="293">
        <f t="shared" si="21"/>
        <v>0</v>
      </c>
      <c r="DH13" s="294"/>
      <c r="DI13" s="294"/>
      <c r="DJ13" s="295">
        <f t="shared" si="22"/>
        <v>0</v>
      </c>
      <c r="DK13" s="296">
        <f t="shared" si="23"/>
        <v>0</v>
      </c>
      <c r="DM13" s="196">
        <v>247.834</v>
      </c>
      <c r="DN13" s="247">
        <f t="shared" si="39"/>
        <v>267.834</v>
      </c>
      <c r="DO13" s="195">
        <v>47.600999999999999</v>
      </c>
      <c r="DP13" s="247">
        <f t="shared" si="40"/>
        <v>64.647999999999996</v>
      </c>
      <c r="DR13" s="264">
        <v>179.41</v>
      </c>
      <c r="DS13" s="247">
        <f t="shared" si="41"/>
        <v>199.86799999999999</v>
      </c>
    </row>
    <row r="14" spans="1:123" ht="16.5" customHeight="1" thickBot="1">
      <c r="A14" s="127">
        <v>8</v>
      </c>
      <c r="B14" s="103">
        <f t="shared" si="24"/>
        <v>451.21800000000002</v>
      </c>
      <c r="C14" s="104">
        <f t="shared" si="0"/>
        <v>0.31932356421951252</v>
      </c>
      <c r="D14" s="448">
        <f>B14*((100-C14)/100)</f>
        <v>449.77715459999996</v>
      </c>
      <c r="E14" s="104">
        <f t="shared" si="1"/>
        <v>38.454145845245534</v>
      </c>
      <c r="F14" s="128">
        <f t="shared" si="26"/>
        <v>2.4061261145883481</v>
      </c>
      <c r="G14" s="106"/>
      <c r="H14" s="107">
        <f>IF(BA14=0,0,(CZ14+CW14+CY14+CT14+CX14)/BA14)</f>
        <v>2.0999580302787137</v>
      </c>
      <c r="I14" s="103">
        <f>'[1]сентябрь 20'!AE13</f>
        <v>0</v>
      </c>
      <c r="J14" s="328">
        <f>'[1]июль 20'!AA13</f>
        <v>0</v>
      </c>
      <c r="K14" s="106"/>
      <c r="L14" s="328">
        <f t="shared" si="27"/>
        <v>57.231999999999999</v>
      </c>
      <c r="M14" s="103">
        <f>IF(BA14=0,0,(CV14+CU14)/BA14)</f>
        <v>0.3061680843096346</v>
      </c>
      <c r="N14" s="103">
        <f>'[1]июль 20'!W13</f>
        <v>0</v>
      </c>
      <c r="O14" s="103">
        <f>'[1]июль 20'!AM13</f>
        <v>0</v>
      </c>
      <c r="P14" s="447">
        <f t="shared" si="28"/>
        <v>0</v>
      </c>
      <c r="Q14" s="103">
        <f t="shared" si="29"/>
        <v>0</v>
      </c>
      <c r="R14" s="103">
        <v>288.33</v>
      </c>
      <c r="S14" s="108">
        <f>IF(R14=0,0,(1-(V14/R14))*100)</f>
        <v>1.4885721222210546</v>
      </c>
      <c r="T14" s="109">
        <f>R14*((100-S14)/100)</f>
        <v>284.03800000000001</v>
      </c>
      <c r="U14" s="106">
        <v>19.93</v>
      </c>
      <c r="V14" s="109">
        <f>CJ14+CK14+CM14+CL14</f>
        <v>284.03800000000001</v>
      </c>
      <c r="W14" s="485">
        <f t="shared" si="6"/>
        <v>1.5194885786123147</v>
      </c>
      <c r="X14" s="495">
        <f t="shared" si="31"/>
        <v>1.5194885786123147</v>
      </c>
      <c r="Y14" s="135">
        <v>101.07</v>
      </c>
      <c r="Z14" s="130">
        <v>186.93</v>
      </c>
      <c r="AA14" s="131">
        <v>0.64</v>
      </c>
      <c r="AB14" s="146">
        <v>663</v>
      </c>
      <c r="AC14" s="147">
        <v>1219</v>
      </c>
      <c r="AD14" s="144" t="s">
        <v>350</v>
      </c>
      <c r="AE14" s="131">
        <v>74.64</v>
      </c>
      <c r="AF14" s="133">
        <v>138</v>
      </c>
      <c r="AG14" s="134">
        <v>4</v>
      </c>
      <c r="AH14" s="131">
        <v>2.6</v>
      </c>
      <c r="AI14" s="115">
        <f t="shared" si="7"/>
        <v>13.908949874284492</v>
      </c>
      <c r="AJ14" s="131">
        <v>112.7</v>
      </c>
      <c r="AK14" s="115">
        <f>IF(BA14=0,0,AJ14/BA14*1000)</f>
        <v>602.89948108917781</v>
      </c>
      <c r="AL14" s="131">
        <v>18.62</v>
      </c>
      <c r="AM14" s="116"/>
      <c r="AN14" s="135">
        <v>8.06</v>
      </c>
      <c r="AO14" s="466">
        <f t="shared" si="9"/>
        <v>45.22</v>
      </c>
      <c r="AP14" s="110">
        <f>IF(AO14=0,0,AO14/AV14)</f>
        <v>0.19</v>
      </c>
      <c r="AQ14" s="137" t="s">
        <v>351</v>
      </c>
      <c r="AR14" s="150">
        <v>8.66</v>
      </c>
      <c r="AS14" s="138">
        <v>8.16</v>
      </c>
      <c r="AT14" s="131"/>
      <c r="AU14" s="131">
        <v>7.15</v>
      </c>
      <c r="AV14" s="315">
        <v>238</v>
      </c>
      <c r="AW14" s="131">
        <v>2.21</v>
      </c>
      <c r="AX14" s="148"/>
      <c r="AY14" s="149"/>
      <c r="AZ14" s="109"/>
      <c r="BA14" s="109">
        <f>AV14-AO14-AN14+AY14+AW14</f>
        <v>186.93</v>
      </c>
      <c r="BB14" s="115">
        <f t="shared" si="12"/>
        <v>202.29408052840645</v>
      </c>
      <c r="BC14" s="140">
        <f>(AJ14*AU14)/100*(55/71)</f>
        <v>6.242151408450705</v>
      </c>
      <c r="BD14" s="141">
        <f>BA14*$BD$6</f>
        <v>7.4772000000000007</v>
      </c>
      <c r="BE14" s="128">
        <f t="shared" si="15"/>
        <v>0.80669631841790168</v>
      </c>
      <c r="BF14" s="141">
        <f>BC14+BD14</f>
        <v>13.719351408450706</v>
      </c>
      <c r="BG14" s="142">
        <v>0.79600000000000004</v>
      </c>
      <c r="BH14" s="16">
        <f>BH13+BA14</f>
        <v>1285.2750000000001</v>
      </c>
      <c r="BI14" s="16">
        <f>IF(A14&lt;=$BG$43,$AV$43,0)</f>
        <v>182.25806451612902</v>
      </c>
      <c r="BJ14" s="16">
        <f>BI14+BJ13</f>
        <v>1458.0645161290322</v>
      </c>
      <c r="BK14" s="17">
        <f>IF(BA14&lt;&gt;0,1,0)</f>
        <v>1</v>
      </c>
      <c r="BL14" s="16">
        <f>BL13+BI14*BK14</f>
        <v>1458.0645161290322</v>
      </c>
      <c r="BM14" s="249"/>
      <c r="BN14" s="266">
        <f t="shared" si="35"/>
        <v>57.231999999999999</v>
      </c>
      <c r="BO14" s="522"/>
      <c r="BP14" s="266">
        <f t="shared" si="36"/>
        <v>290.488</v>
      </c>
      <c r="BQ14" s="313">
        <v>89.707999999999998</v>
      </c>
      <c r="BR14" s="230">
        <v>13.79</v>
      </c>
      <c r="BS14" s="250"/>
      <c r="BT14" s="199"/>
      <c r="BU14" s="200"/>
      <c r="BV14" s="200"/>
      <c r="BW14" s="200"/>
      <c r="BX14" s="200">
        <v>0.35</v>
      </c>
      <c r="BY14" s="208">
        <v>0.13</v>
      </c>
      <c r="BZ14" s="208">
        <v>2.23</v>
      </c>
      <c r="CA14" s="201"/>
      <c r="CB14" s="202"/>
      <c r="CC14" s="200">
        <v>43.82</v>
      </c>
      <c r="CD14" s="202"/>
      <c r="CE14" s="200">
        <v>37.79</v>
      </c>
      <c r="CF14" s="200">
        <v>37.840000000000003</v>
      </c>
      <c r="CG14" s="200">
        <v>34.17</v>
      </c>
      <c r="CH14" s="200"/>
      <c r="CI14" s="203"/>
      <c r="CJ14" s="204"/>
      <c r="CK14" s="230">
        <v>82.8</v>
      </c>
      <c r="CL14" s="266">
        <f t="shared" si="37"/>
        <v>201.238</v>
      </c>
      <c r="CM14" s="454"/>
      <c r="CN14" s="202"/>
      <c r="CO14" s="202"/>
      <c r="CP14" s="270"/>
      <c r="CQ14" s="201"/>
      <c r="CR14" s="201"/>
      <c r="CS14" s="284"/>
      <c r="CT14" s="286">
        <f t="shared" si="19"/>
        <v>0</v>
      </c>
      <c r="CU14" s="27">
        <f t="shared" si="19"/>
        <v>57.231999999999999</v>
      </c>
      <c r="CV14" s="28">
        <f t="shared" si="19"/>
        <v>0</v>
      </c>
      <c r="CW14" s="27">
        <f t="shared" si="19"/>
        <v>289.47129200000001</v>
      </c>
      <c r="CX14" s="27">
        <f t="shared" si="19"/>
        <v>89.591379599999996</v>
      </c>
      <c r="CY14" s="24">
        <f t="shared" si="19"/>
        <v>13.482483</v>
      </c>
      <c r="CZ14" s="282">
        <f t="shared" si="19"/>
        <v>0</v>
      </c>
      <c r="DA14" s="237">
        <f t="shared" si="20"/>
        <v>0</v>
      </c>
      <c r="DB14" s="26">
        <f t="shared" si="20"/>
        <v>82.8</v>
      </c>
      <c r="DC14" s="277">
        <f t="shared" si="20"/>
        <v>201.238</v>
      </c>
      <c r="DD14" s="280">
        <f t="shared" si="20"/>
        <v>0</v>
      </c>
      <c r="DE14" s="508">
        <f t="shared" si="38"/>
        <v>0</v>
      </c>
      <c r="DF14" s="247"/>
      <c r="DG14" s="293">
        <f t="shared" si="21"/>
        <v>0</v>
      </c>
      <c r="DH14" s="294"/>
      <c r="DI14" s="294"/>
      <c r="DJ14" s="295">
        <f t="shared" si="22"/>
        <v>0</v>
      </c>
      <c r="DK14" s="296">
        <f t="shared" si="23"/>
        <v>0</v>
      </c>
      <c r="DM14" s="196">
        <v>270.488</v>
      </c>
      <c r="DN14" s="247">
        <f t="shared" si="39"/>
        <v>290.488</v>
      </c>
      <c r="DO14" s="195">
        <v>40.185000000000002</v>
      </c>
      <c r="DP14" s="247">
        <f t="shared" si="40"/>
        <v>57.231999999999999</v>
      </c>
      <c r="DR14" s="264">
        <v>180.78</v>
      </c>
      <c r="DS14" s="247">
        <f t="shared" si="41"/>
        <v>201.238</v>
      </c>
    </row>
    <row r="15" spans="1:123" ht="16.5" customHeight="1" thickBot="1">
      <c r="A15" s="253">
        <v>9</v>
      </c>
      <c r="B15" s="103">
        <f t="shared" si="24"/>
        <v>447.80899999999991</v>
      </c>
      <c r="C15" s="104">
        <f t="shared" si="0"/>
        <v>0.33585269612714352</v>
      </c>
      <c r="D15" s="448">
        <f t="shared" si="25"/>
        <v>446.30502139999987</v>
      </c>
      <c r="E15" s="104">
        <f t="shared" si="1"/>
        <v>38.024656918463009</v>
      </c>
      <c r="F15" s="128">
        <f t="shared" si="26"/>
        <v>2.4620601049246154</v>
      </c>
      <c r="G15" s="106"/>
      <c r="H15" s="107">
        <f t="shared" si="2"/>
        <v>2.1791884141598579</v>
      </c>
      <c r="I15" s="103">
        <f>'[1]сентябрь 20'!AE14</f>
        <v>0</v>
      </c>
      <c r="J15" s="328">
        <f>'[1]июль 20'!AA14</f>
        <v>0</v>
      </c>
      <c r="K15" s="106"/>
      <c r="L15" s="328">
        <f t="shared" si="27"/>
        <v>51.277000000000001</v>
      </c>
      <c r="M15" s="103">
        <f t="shared" si="3"/>
        <v>0.2828716907647581</v>
      </c>
      <c r="N15" s="103">
        <f>'[1]июль 20'!W14</f>
        <v>0</v>
      </c>
      <c r="O15" s="103">
        <f>'[1]июль 20'!AM14</f>
        <v>0</v>
      </c>
      <c r="P15" s="447">
        <f t="shared" si="28"/>
        <v>0</v>
      </c>
      <c r="Q15" s="103">
        <f t="shared" si="29"/>
        <v>0</v>
      </c>
      <c r="R15" s="103">
        <v>286.27999999999997</v>
      </c>
      <c r="S15" s="108">
        <f t="shared" si="4"/>
        <v>1.4503283498672581</v>
      </c>
      <c r="T15" s="109">
        <f t="shared" si="30"/>
        <v>282.12799999999999</v>
      </c>
      <c r="U15" s="106">
        <v>19.61</v>
      </c>
      <c r="V15" s="109">
        <f t="shared" si="5"/>
        <v>282.12799999999999</v>
      </c>
      <c r="W15" s="485">
        <f t="shared" si="6"/>
        <v>1.5563707777771645</v>
      </c>
      <c r="X15" s="495">
        <f t="shared" si="31"/>
        <v>1.5563707777771645</v>
      </c>
      <c r="Y15" s="135">
        <v>181.27</v>
      </c>
      <c r="Z15" s="130">
        <v>181.27</v>
      </c>
      <c r="AA15" s="131">
        <v>0.65</v>
      </c>
      <c r="AB15" s="112">
        <v>628</v>
      </c>
      <c r="AC15" s="133">
        <v>1208</v>
      </c>
      <c r="AD15" s="144" t="s">
        <v>352</v>
      </c>
      <c r="AE15" s="131">
        <v>76.180000000000007</v>
      </c>
      <c r="AF15" s="133">
        <v>137</v>
      </c>
      <c r="AG15" s="134">
        <v>4</v>
      </c>
      <c r="AH15" s="131">
        <v>1.35</v>
      </c>
      <c r="AI15" s="115">
        <f t="shared" si="7"/>
        <v>7.4473308214681717</v>
      </c>
      <c r="AJ15" s="131">
        <v>101.6</v>
      </c>
      <c r="AK15" s="115">
        <f t="shared" si="8"/>
        <v>560.48060108234529</v>
      </c>
      <c r="AL15" s="131">
        <v>17.93</v>
      </c>
      <c r="AM15" s="116"/>
      <c r="AN15" s="135">
        <v>9.2200000000000006</v>
      </c>
      <c r="AO15" s="466">
        <f t="shared" si="9"/>
        <v>44.137</v>
      </c>
      <c r="AP15" s="110">
        <f t="shared" si="10"/>
        <v>0.19</v>
      </c>
      <c r="AQ15" s="137" t="s">
        <v>353</v>
      </c>
      <c r="AR15" s="150">
        <v>8.3000000000000007</v>
      </c>
      <c r="AS15" s="138">
        <v>8.64</v>
      </c>
      <c r="AT15" s="131"/>
      <c r="AU15" s="131">
        <v>6.28</v>
      </c>
      <c r="AV15" s="315">
        <v>232.3</v>
      </c>
      <c r="AW15" s="131">
        <v>2.33</v>
      </c>
      <c r="AX15" s="116"/>
      <c r="AY15" s="131"/>
      <c r="AZ15" s="109"/>
      <c r="BA15" s="109">
        <f t="shared" si="11"/>
        <v>181.27300000000002</v>
      </c>
      <c r="BB15" s="115">
        <f t="shared" si="12"/>
        <v>194.47794321498495</v>
      </c>
      <c r="BC15" s="140">
        <f t="shared" si="13"/>
        <v>4.9426253521126764</v>
      </c>
      <c r="BD15" s="141">
        <f t="shared" si="14"/>
        <v>7.2509200000000007</v>
      </c>
      <c r="BE15" s="128">
        <f t="shared" si="15"/>
        <v>0.81372378987503802</v>
      </c>
      <c r="BF15" s="141">
        <f t="shared" si="16"/>
        <v>12.193545352112677</v>
      </c>
      <c r="BG15" s="142">
        <v>0.79800000000000004</v>
      </c>
      <c r="BH15" s="16">
        <f t="shared" si="32"/>
        <v>1466.5480000000002</v>
      </c>
      <c r="BI15" s="16">
        <f t="shared" si="17"/>
        <v>182.25806451612902</v>
      </c>
      <c r="BJ15" s="16">
        <f t="shared" si="33"/>
        <v>1640.3225806451612</v>
      </c>
      <c r="BK15" s="17">
        <f t="shared" si="18"/>
        <v>1</v>
      </c>
      <c r="BL15" s="16">
        <f t="shared" si="34"/>
        <v>1640.3225806451612</v>
      </c>
      <c r="BM15" s="249"/>
      <c r="BN15" s="266">
        <f t="shared" si="35"/>
        <v>51.277000000000001</v>
      </c>
      <c r="BO15" s="313"/>
      <c r="BP15" s="266">
        <f t="shared" si="36"/>
        <v>294.01799999999997</v>
      </c>
      <c r="BQ15" s="313">
        <v>89.034999999999997</v>
      </c>
      <c r="BR15" s="195">
        <v>13.478999999999999</v>
      </c>
      <c r="BS15" s="329"/>
      <c r="BT15" s="199"/>
      <c r="BU15" s="200"/>
      <c r="BV15" s="200"/>
      <c r="BW15" s="200"/>
      <c r="BX15" s="200">
        <v>0.38</v>
      </c>
      <c r="BY15" s="208">
        <v>0.18</v>
      </c>
      <c r="BZ15" s="208">
        <v>1.68</v>
      </c>
      <c r="CA15" s="330"/>
      <c r="CB15" s="202"/>
      <c r="CC15" s="200">
        <v>43.57</v>
      </c>
      <c r="CD15" s="200"/>
      <c r="CE15" s="200">
        <v>37.51</v>
      </c>
      <c r="CF15" s="200">
        <v>37.65</v>
      </c>
      <c r="CG15" s="200">
        <v>30.63</v>
      </c>
      <c r="CH15" s="200"/>
      <c r="CI15" s="203"/>
      <c r="CJ15" s="204"/>
      <c r="CK15" s="230">
        <v>82.2</v>
      </c>
      <c r="CL15" s="266">
        <f t="shared" si="37"/>
        <v>199.928</v>
      </c>
      <c r="CM15" s="454"/>
      <c r="CN15" s="202"/>
      <c r="CO15" s="208"/>
      <c r="CP15" s="208"/>
      <c r="CQ15" s="201"/>
      <c r="CR15" s="201"/>
      <c r="CS15" s="284"/>
      <c r="CT15" s="286">
        <f t="shared" si="19"/>
        <v>0</v>
      </c>
      <c r="CU15" s="29">
        <f t="shared" si="19"/>
        <v>51.277000000000001</v>
      </c>
      <c r="CV15" s="30">
        <f t="shared" si="19"/>
        <v>0</v>
      </c>
      <c r="CW15" s="29">
        <f t="shared" si="19"/>
        <v>292.90073159999997</v>
      </c>
      <c r="CX15" s="27">
        <f t="shared" si="19"/>
        <v>88.874736999999996</v>
      </c>
      <c r="CY15" s="24">
        <f t="shared" si="19"/>
        <v>13.252552799999998</v>
      </c>
      <c r="CZ15" s="283">
        <f t="shared" si="19"/>
        <v>0</v>
      </c>
      <c r="DA15" s="237">
        <f t="shared" si="20"/>
        <v>0</v>
      </c>
      <c r="DB15" s="24">
        <f t="shared" si="20"/>
        <v>82.2</v>
      </c>
      <c r="DC15" s="277">
        <f t="shared" si="20"/>
        <v>199.928</v>
      </c>
      <c r="DD15" s="280">
        <f t="shared" si="20"/>
        <v>0</v>
      </c>
      <c r="DE15" s="508">
        <f t="shared" si="38"/>
        <v>0</v>
      </c>
      <c r="DF15" s="247"/>
      <c r="DG15" s="293">
        <f t="shared" si="21"/>
        <v>0</v>
      </c>
      <c r="DH15" s="294"/>
      <c r="DI15" s="294"/>
      <c r="DJ15" s="295">
        <f t="shared" si="22"/>
        <v>0</v>
      </c>
      <c r="DK15" s="296">
        <f t="shared" si="23"/>
        <v>0</v>
      </c>
      <c r="DM15" s="197">
        <v>274.01799999999997</v>
      </c>
      <c r="DN15" s="247">
        <f t="shared" si="39"/>
        <v>294.01799999999997</v>
      </c>
      <c r="DO15" s="195">
        <v>34.229999999999997</v>
      </c>
      <c r="DP15" s="247">
        <f t="shared" si="40"/>
        <v>51.277000000000001</v>
      </c>
      <c r="DR15" s="266">
        <v>179.47</v>
      </c>
      <c r="DS15" s="247">
        <f t="shared" si="41"/>
        <v>199.928</v>
      </c>
    </row>
    <row r="16" spans="1:123" ht="16.5" customHeight="1" thickBot="1">
      <c r="A16" s="127">
        <v>10</v>
      </c>
      <c r="B16" s="103">
        <f t="shared" si="24"/>
        <v>447.81800000000004</v>
      </c>
      <c r="C16" s="104">
        <f t="shared" si="0"/>
        <v>0.44904876534663629</v>
      </c>
      <c r="D16" s="448">
        <f t="shared" si="25"/>
        <v>445.80707880000006</v>
      </c>
      <c r="E16" s="104">
        <f t="shared" si="1"/>
        <v>38.082002219651727</v>
      </c>
      <c r="F16" s="128">
        <f t="shared" si="26"/>
        <v>2.4101001965135738</v>
      </c>
      <c r="G16" s="106"/>
      <c r="H16" s="107">
        <f t="shared" si="2"/>
        <v>2.132775484188361</v>
      </c>
      <c r="I16" s="103">
        <f>'[1]сентябрь 20'!AE15</f>
        <v>0</v>
      </c>
      <c r="J16" s="328">
        <f>'[1]июль 20'!AA15</f>
        <v>0</v>
      </c>
      <c r="K16" s="106"/>
      <c r="L16" s="328">
        <f t="shared" si="27"/>
        <v>51.298000000000002</v>
      </c>
      <c r="M16" s="103">
        <f t="shared" si="3"/>
        <v>0.27732471232521239</v>
      </c>
      <c r="N16" s="103">
        <f>'[1]июль 20'!W15</f>
        <v>0</v>
      </c>
      <c r="O16" s="103">
        <f>'[1]июль 20'!AM15</f>
        <v>0</v>
      </c>
      <c r="P16" s="447">
        <f t="shared" si="28"/>
        <v>0</v>
      </c>
      <c r="Q16" s="103">
        <f t="shared" si="29"/>
        <v>0</v>
      </c>
      <c r="R16" s="103">
        <v>287.52</v>
      </c>
      <c r="S16" s="108">
        <f t="shared" si="4"/>
        <v>1.4892877017250949</v>
      </c>
      <c r="T16" s="109">
        <f t="shared" si="30"/>
        <v>283.238</v>
      </c>
      <c r="U16" s="106">
        <v>20.34</v>
      </c>
      <c r="V16" s="109">
        <f t="shared" si="5"/>
        <v>283.238</v>
      </c>
      <c r="W16" s="485">
        <f t="shared" si="6"/>
        <v>1.5312272772733539</v>
      </c>
      <c r="X16" s="495">
        <f t="shared" si="31"/>
        <v>1.5312272772733539</v>
      </c>
      <c r="Y16" s="135">
        <v>184.97</v>
      </c>
      <c r="Z16" s="130">
        <v>184.97</v>
      </c>
      <c r="AA16" s="131">
        <v>0.5</v>
      </c>
      <c r="AB16" s="112">
        <v>643</v>
      </c>
      <c r="AC16" s="133">
        <v>1221</v>
      </c>
      <c r="AD16" s="144" t="s">
        <v>360</v>
      </c>
      <c r="AE16" s="131">
        <v>76.739999999999995</v>
      </c>
      <c r="AF16" s="133">
        <v>137</v>
      </c>
      <c r="AG16" s="134">
        <v>4</v>
      </c>
      <c r="AH16" s="131">
        <v>4.2</v>
      </c>
      <c r="AI16" s="115">
        <f t="shared" si="7"/>
        <v>22.705832425550547</v>
      </c>
      <c r="AJ16" s="131">
        <v>106.15</v>
      </c>
      <c r="AK16" s="115">
        <f t="shared" si="8"/>
        <v>573.86288380290262</v>
      </c>
      <c r="AL16" s="139">
        <v>17.68</v>
      </c>
      <c r="AM16" s="131"/>
      <c r="AN16" s="136">
        <v>8.26</v>
      </c>
      <c r="AO16" s="466">
        <f t="shared" si="9"/>
        <v>44.735500000000002</v>
      </c>
      <c r="AP16" s="110">
        <f t="shared" si="10"/>
        <v>0.19000000000000003</v>
      </c>
      <c r="AQ16" s="137" t="s">
        <v>361</v>
      </c>
      <c r="AR16" s="150">
        <v>7.86</v>
      </c>
      <c r="AS16" s="138">
        <v>8.4700000000000006</v>
      </c>
      <c r="AT16" s="131"/>
      <c r="AU16" s="131">
        <v>7.29</v>
      </c>
      <c r="AV16" s="315">
        <v>235.45</v>
      </c>
      <c r="AW16" s="131">
        <v>2.52</v>
      </c>
      <c r="AX16" s="116"/>
      <c r="AY16" s="131"/>
      <c r="AZ16" s="109"/>
      <c r="BA16" s="109">
        <f t="shared" si="11"/>
        <v>184.97450000000001</v>
      </c>
      <c r="BB16" s="115">
        <f t="shared" si="12"/>
        <v>193.13419913369171</v>
      </c>
      <c r="BC16" s="140">
        <f t="shared" si="13"/>
        <v>5.9944848591549302</v>
      </c>
      <c r="BD16" s="141">
        <f t="shared" si="14"/>
        <v>7.3989800000000008</v>
      </c>
      <c r="BE16" s="128">
        <f t="shared" si="15"/>
        <v>0.83611674796247837</v>
      </c>
      <c r="BF16" s="141">
        <f t="shared" si="16"/>
        <v>13.393464859154932</v>
      </c>
      <c r="BG16" s="142">
        <v>0.80200000000000005</v>
      </c>
      <c r="BH16" s="16">
        <f t="shared" si="32"/>
        <v>1651.5225000000003</v>
      </c>
      <c r="BI16" s="16">
        <f t="shared" si="17"/>
        <v>182.25806451612902</v>
      </c>
      <c r="BJ16" s="16">
        <f t="shared" si="33"/>
        <v>1822.5806451612902</v>
      </c>
      <c r="BK16" s="17">
        <f t="shared" si="18"/>
        <v>1</v>
      </c>
      <c r="BL16" s="16">
        <f t="shared" si="34"/>
        <v>1822.5806451612902</v>
      </c>
      <c r="BM16" s="249"/>
      <c r="BN16" s="266">
        <f t="shared" si="35"/>
        <v>51.298000000000002</v>
      </c>
      <c r="BO16" s="244"/>
      <c r="BP16" s="266">
        <f t="shared" si="36"/>
        <v>293.995</v>
      </c>
      <c r="BQ16" s="313">
        <v>89.028000000000006</v>
      </c>
      <c r="BR16" s="230">
        <v>13.497</v>
      </c>
      <c r="BS16" s="250"/>
      <c r="BT16" s="199"/>
      <c r="BU16" s="200"/>
      <c r="BV16" s="200"/>
      <c r="BW16" s="200"/>
      <c r="BX16" s="200">
        <v>0.59</v>
      </c>
      <c r="BY16" s="208">
        <v>0.13</v>
      </c>
      <c r="BZ16" s="208">
        <v>1.19</v>
      </c>
      <c r="CA16" s="201"/>
      <c r="CB16" s="202"/>
      <c r="CC16" s="200">
        <v>43.69</v>
      </c>
      <c r="CD16" s="200"/>
      <c r="CE16" s="200">
        <v>37.32</v>
      </c>
      <c r="CF16" s="200">
        <v>38.33</v>
      </c>
      <c r="CG16" s="200">
        <v>31.73</v>
      </c>
      <c r="CH16" s="200"/>
      <c r="CI16" s="203"/>
      <c r="CJ16" s="204"/>
      <c r="CK16" s="230">
        <v>82.2</v>
      </c>
      <c r="CL16" s="266">
        <f t="shared" si="37"/>
        <v>201.03800000000001</v>
      </c>
      <c r="CM16" s="454"/>
      <c r="CN16" s="202"/>
      <c r="CO16" s="208"/>
      <c r="CP16" s="208"/>
      <c r="CQ16" s="201"/>
      <c r="CR16" s="201"/>
      <c r="CS16" s="284"/>
      <c r="CT16" s="286">
        <f t="shared" si="19"/>
        <v>0</v>
      </c>
      <c r="CU16" s="24">
        <f t="shared" si="19"/>
        <v>51.298000000000002</v>
      </c>
      <c r="CV16" s="25">
        <f t="shared" si="19"/>
        <v>0</v>
      </c>
      <c r="CW16" s="24">
        <f t="shared" si="19"/>
        <v>292.26042949999999</v>
      </c>
      <c r="CX16" s="27">
        <f t="shared" si="19"/>
        <v>88.912263600000003</v>
      </c>
      <c r="CY16" s="24">
        <f t="shared" si="19"/>
        <v>13.336385699999999</v>
      </c>
      <c r="CZ16" s="280">
        <f t="shared" si="19"/>
        <v>0</v>
      </c>
      <c r="DA16" s="237">
        <f t="shared" si="20"/>
        <v>0</v>
      </c>
      <c r="DB16" s="29">
        <f t="shared" si="20"/>
        <v>82.2</v>
      </c>
      <c r="DC16" s="277">
        <f t="shared" si="20"/>
        <v>201.03800000000001</v>
      </c>
      <c r="DD16" s="280">
        <f t="shared" si="20"/>
        <v>0</v>
      </c>
      <c r="DE16" s="508">
        <f t="shared" si="38"/>
        <v>0</v>
      </c>
      <c r="DF16" s="247"/>
      <c r="DG16" s="293">
        <f t="shared" si="21"/>
        <v>0</v>
      </c>
      <c r="DH16" s="294"/>
      <c r="DI16" s="294"/>
      <c r="DJ16" s="295">
        <f t="shared" si="22"/>
        <v>0</v>
      </c>
      <c r="DK16" s="296">
        <f t="shared" si="23"/>
        <v>0</v>
      </c>
      <c r="DM16" s="197">
        <v>273.995</v>
      </c>
      <c r="DN16" s="247">
        <f t="shared" si="39"/>
        <v>293.995</v>
      </c>
      <c r="DO16" s="195">
        <v>34.250999999999998</v>
      </c>
      <c r="DP16" s="247">
        <f t="shared" si="40"/>
        <v>51.298000000000002</v>
      </c>
      <c r="DR16" s="266">
        <v>180.58</v>
      </c>
      <c r="DS16" s="247">
        <f t="shared" si="41"/>
        <v>201.03800000000001</v>
      </c>
    </row>
    <row r="17" spans="1:123" ht="16.5" customHeight="1" thickBot="1">
      <c r="A17" s="127">
        <v>11</v>
      </c>
      <c r="B17" s="103">
        <f t="shared" si="24"/>
        <v>445.08799999999997</v>
      </c>
      <c r="C17" s="104">
        <f t="shared" si="0"/>
        <v>0.33107163077863255</v>
      </c>
      <c r="D17" s="448">
        <f t="shared" si="25"/>
        <v>443.61443989999998</v>
      </c>
      <c r="E17" s="104">
        <f t="shared" si="1"/>
        <v>37.348030726508021</v>
      </c>
      <c r="F17" s="128">
        <f t="shared" si="26"/>
        <v>2.484956530920905</v>
      </c>
      <c r="G17" s="106"/>
      <c r="H17" s="107">
        <f t="shared" si="2"/>
        <v>2.1990277834416312</v>
      </c>
      <c r="I17" s="103">
        <f>'[1]сентябрь 20'!AE16</f>
        <v>0</v>
      </c>
      <c r="J17" s="328">
        <f>'[1]июль 20'!AA16</f>
        <v>0</v>
      </c>
      <c r="K17" s="106"/>
      <c r="L17" s="328">
        <f t="shared" si="27"/>
        <v>51.043999999999997</v>
      </c>
      <c r="M17" s="103">
        <f t="shared" si="3"/>
        <v>0.28592874747927399</v>
      </c>
      <c r="N17" s="103">
        <f>'[1]июль 20'!W16</f>
        <v>0</v>
      </c>
      <c r="O17" s="507">
        <f>'[1]июль 20'!AM16</f>
        <v>0</v>
      </c>
      <c r="P17" s="447">
        <f t="shared" si="28"/>
        <v>0</v>
      </c>
      <c r="Q17" s="103">
        <f t="shared" si="29"/>
        <v>0</v>
      </c>
      <c r="R17" s="103">
        <v>285.72000000000003</v>
      </c>
      <c r="S17" s="108">
        <f t="shared" si="4"/>
        <v>1.449671006579889</v>
      </c>
      <c r="T17" s="109">
        <f t="shared" si="30"/>
        <v>281.57799999999997</v>
      </c>
      <c r="U17" s="106">
        <v>15.61</v>
      </c>
      <c r="V17" s="109">
        <f t="shared" si="5"/>
        <v>281.57799999999997</v>
      </c>
      <c r="W17" s="485">
        <f t="shared" si="6"/>
        <v>1.5772910598252294</v>
      </c>
      <c r="X17" s="495">
        <f t="shared" si="31"/>
        <v>1.5772910598252294</v>
      </c>
      <c r="Y17" s="135">
        <v>178.52</v>
      </c>
      <c r="Z17" s="130">
        <v>178.52</v>
      </c>
      <c r="AA17" s="131">
        <v>0.55000000000000004</v>
      </c>
      <c r="AB17" s="112">
        <v>679</v>
      </c>
      <c r="AC17" s="133">
        <v>1216</v>
      </c>
      <c r="AD17" s="144" t="s">
        <v>349</v>
      </c>
      <c r="AE17" s="131">
        <v>76.63</v>
      </c>
      <c r="AF17" s="133">
        <v>136</v>
      </c>
      <c r="AG17" s="134">
        <v>4</v>
      </c>
      <c r="AH17" s="131">
        <v>4.0999999999999996</v>
      </c>
      <c r="AI17" s="115">
        <f t="shared" si="7"/>
        <v>22.966614384942858</v>
      </c>
      <c r="AJ17" s="131">
        <v>101.5</v>
      </c>
      <c r="AK17" s="115">
        <f t="shared" si="8"/>
        <v>568.56374635895133</v>
      </c>
      <c r="AL17" s="139">
        <v>18.079999999999998</v>
      </c>
      <c r="AM17" s="131"/>
      <c r="AN17" s="136">
        <v>8.76</v>
      </c>
      <c r="AO17" s="466">
        <f t="shared" si="9"/>
        <v>43.51</v>
      </c>
      <c r="AP17" s="110">
        <f t="shared" si="10"/>
        <v>0.19</v>
      </c>
      <c r="AQ17" s="137" t="s">
        <v>362</v>
      </c>
      <c r="AR17" s="150">
        <v>8.3000000000000007</v>
      </c>
      <c r="AS17" s="138">
        <v>8.83</v>
      </c>
      <c r="AT17" s="131"/>
      <c r="AU17" s="131">
        <v>6.65</v>
      </c>
      <c r="AV17" s="315">
        <v>229</v>
      </c>
      <c r="AW17" s="131">
        <v>1.79</v>
      </c>
      <c r="AX17" s="116"/>
      <c r="AY17" s="131"/>
      <c r="AZ17" s="109"/>
      <c r="BA17" s="109">
        <f t="shared" si="11"/>
        <v>178.52</v>
      </c>
      <c r="BB17" s="115">
        <f t="shared" si="12"/>
        <v>188.75079947970963</v>
      </c>
      <c r="BC17" s="140">
        <f t="shared" si="13"/>
        <v>5.2286795774647894</v>
      </c>
      <c r="BD17" s="141">
        <f t="shared" si="14"/>
        <v>7.1408000000000005</v>
      </c>
      <c r="BE17" s="128">
        <f t="shared" si="15"/>
        <v>0.82568105899203559</v>
      </c>
      <c r="BF17" s="141">
        <f t="shared" si="16"/>
        <v>12.369479577464791</v>
      </c>
      <c r="BG17" s="142">
        <v>0.80500000000000005</v>
      </c>
      <c r="BH17" s="16">
        <f t="shared" si="32"/>
        <v>1830.0425000000002</v>
      </c>
      <c r="BI17" s="16">
        <f t="shared" si="17"/>
        <v>182.25806451612902</v>
      </c>
      <c r="BJ17" s="16">
        <f t="shared" si="33"/>
        <v>2004.8387096774193</v>
      </c>
      <c r="BK17" s="17">
        <f t="shared" si="18"/>
        <v>1</v>
      </c>
      <c r="BL17" s="16">
        <f t="shared" si="34"/>
        <v>2004.8387096774193</v>
      </c>
      <c r="BM17" s="249"/>
      <c r="BN17" s="266">
        <f t="shared" si="35"/>
        <v>51.043999999999997</v>
      </c>
      <c r="BO17" s="244"/>
      <c r="BP17" s="266">
        <f t="shared" si="36"/>
        <v>291.99700000000001</v>
      </c>
      <c r="BQ17" s="313">
        <v>88.409000000000006</v>
      </c>
      <c r="BR17" s="230">
        <v>13.638</v>
      </c>
      <c r="BS17" s="250"/>
      <c r="BT17" s="199"/>
      <c r="BU17" s="200"/>
      <c r="BV17" s="200"/>
      <c r="BW17" s="200"/>
      <c r="BX17" s="200">
        <v>0.42</v>
      </c>
      <c r="BY17" s="208">
        <v>0.15</v>
      </c>
      <c r="BZ17" s="208">
        <v>0.84</v>
      </c>
      <c r="CA17" s="201"/>
      <c r="CB17" s="202"/>
      <c r="CC17" s="200">
        <v>43.68</v>
      </c>
      <c r="CD17" s="200"/>
      <c r="CE17" s="200">
        <v>36.68</v>
      </c>
      <c r="CF17" s="208">
        <v>37.119999999999997</v>
      </c>
      <c r="CG17" s="208">
        <v>29.43</v>
      </c>
      <c r="CH17" s="201"/>
      <c r="CI17" s="199"/>
      <c r="CJ17" s="197"/>
      <c r="CK17" s="244">
        <v>81.599999999999994</v>
      </c>
      <c r="CL17" s="266">
        <f t="shared" si="37"/>
        <v>199.97800000000001</v>
      </c>
      <c r="CM17" s="454"/>
      <c r="CN17" s="231"/>
      <c r="CO17" s="208"/>
      <c r="CP17" s="208"/>
      <c r="CQ17" s="201"/>
      <c r="CR17" s="201"/>
      <c r="CS17" s="284"/>
      <c r="CT17" s="286">
        <f t="shared" si="19"/>
        <v>0</v>
      </c>
      <c r="CU17" s="24">
        <f t="shared" si="19"/>
        <v>51.043999999999997</v>
      </c>
      <c r="CV17" s="25">
        <f t="shared" si="19"/>
        <v>0</v>
      </c>
      <c r="CW17" s="24">
        <f t="shared" si="19"/>
        <v>290.77061259999999</v>
      </c>
      <c r="CX17" s="27">
        <f t="shared" si="19"/>
        <v>88.276386500000001</v>
      </c>
      <c r="CY17" s="27">
        <f t="shared" si="19"/>
        <v>13.523440799999999</v>
      </c>
      <c r="CZ17" s="280">
        <f t="shared" si="19"/>
        <v>0</v>
      </c>
      <c r="DA17" s="25">
        <f t="shared" si="20"/>
        <v>0</v>
      </c>
      <c r="DB17" s="26">
        <f t="shared" si="20"/>
        <v>81.599999999999994</v>
      </c>
      <c r="DC17" s="277">
        <f t="shared" si="20"/>
        <v>199.97800000000001</v>
      </c>
      <c r="DD17" s="280">
        <f t="shared" si="20"/>
        <v>0</v>
      </c>
      <c r="DE17" s="508">
        <f t="shared" si="38"/>
        <v>0</v>
      </c>
      <c r="DF17" s="247"/>
      <c r="DG17" s="293">
        <f t="shared" si="21"/>
        <v>0</v>
      </c>
      <c r="DH17" s="294"/>
      <c r="DI17" s="294"/>
      <c r="DJ17" s="295">
        <f t="shared" si="22"/>
        <v>0</v>
      </c>
      <c r="DK17" s="296">
        <f t="shared" si="23"/>
        <v>0</v>
      </c>
      <c r="DM17" s="197">
        <v>271.99700000000001</v>
      </c>
      <c r="DN17" s="247">
        <f t="shared" si="39"/>
        <v>291.99700000000001</v>
      </c>
      <c r="DO17" s="195">
        <v>33.997</v>
      </c>
      <c r="DP17" s="247">
        <f t="shared" si="40"/>
        <v>51.043999999999997</v>
      </c>
      <c r="DR17" s="266">
        <v>179.52</v>
      </c>
      <c r="DS17" s="247">
        <f t="shared" si="41"/>
        <v>199.97800000000001</v>
      </c>
    </row>
    <row r="18" spans="1:123" ht="16.5" customHeight="1" thickBot="1">
      <c r="A18" s="127">
        <v>12</v>
      </c>
      <c r="B18" s="103">
        <f t="shared" si="24"/>
        <v>439.00199999999995</v>
      </c>
      <c r="C18" s="104">
        <f t="shared" si="0"/>
        <v>0.21795463346408447</v>
      </c>
      <c r="D18" s="143">
        <f t="shared" si="25"/>
        <v>438.04517479999993</v>
      </c>
      <c r="E18" s="104">
        <f t="shared" si="1"/>
        <v>38.18062806092</v>
      </c>
      <c r="F18" s="128">
        <f t="shared" si="26"/>
        <v>2.3796715240278572</v>
      </c>
      <c r="G18" s="106"/>
      <c r="H18" s="107">
        <f t="shared" si="2"/>
        <v>2.1051302969393411</v>
      </c>
      <c r="I18" s="103">
        <f>'[1]сентябрь 20'!AE17</f>
        <v>0</v>
      </c>
      <c r="J18" s="328">
        <f>'[1]июль 20'!AA17</f>
        <v>0</v>
      </c>
      <c r="K18" s="106"/>
      <c r="L18" s="328">
        <f t="shared" si="27"/>
        <v>50.537000000000006</v>
      </c>
      <c r="M18" s="103">
        <f t="shared" si="3"/>
        <v>0.27454122708851686</v>
      </c>
      <c r="N18" s="103">
        <f>'[1]июль 20'!W17</f>
        <v>0</v>
      </c>
      <c r="O18" s="103">
        <f>'[1]июль 20'!AM17</f>
        <v>0</v>
      </c>
      <c r="P18" s="447">
        <f t="shared" si="28"/>
        <v>0</v>
      </c>
      <c r="Q18" s="103">
        <f t="shared" si="29"/>
        <v>0</v>
      </c>
      <c r="R18" s="103">
        <v>282.02</v>
      </c>
      <c r="S18" s="108">
        <f t="shared" si="4"/>
        <v>1.5183320331891292</v>
      </c>
      <c r="T18" s="109">
        <f t="shared" si="30"/>
        <v>277.738</v>
      </c>
      <c r="U18" s="106">
        <v>16.920000000000002</v>
      </c>
      <c r="V18" s="109">
        <f t="shared" si="5"/>
        <v>277.738</v>
      </c>
      <c r="W18" s="485">
        <f t="shared" si="6"/>
        <v>1.5088060496094047</v>
      </c>
      <c r="X18" s="495">
        <f t="shared" si="31"/>
        <v>1.5088060496094047</v>
      </c>
      <c r="Y18" s="135">
        <v>184.08</v>
      </c>
      <c r="Z18" s="130">
        <v>184.08</v>
      </c>
      <c r="AA18" s="131">
        <v>0.45</v>
      </c>
      <c r="AB18" s="112">
        <v>679</v>
      </c>
      <c r="AC18" s="133">
        <v>1223</v>
      </c>
      <c r="AD18" s="144" t="s">
        <v>363</v>
      </c>
      <c r="AE18" s="131">
        <v>76.77</v>
      </c>
      <c r="AF18" s="133">
        <v>134</v>
      </c>
      <c r="AG18" s="134">
        <v>4</v>
      </c>
      <c r="AH18" s="131">
        <v>3.3</v>
      </c>
      <c r="AI18" s="115">
        <f t="shared" si="7"/>
        <v>17.927183041971336</v>
      </c>
      <c r="AJ18" s="131">
        <v>104.8</v>
      </c>
      <c r="AK18" s="115">
        <f t="shared" si="8"/>
        <v>569.32387357533219</v>
      </c>
      <c r="AL18" s="139">
        <v>16.84</v>
      </c>
      <c r="AM18" s="131"/>
      <c r="AN18" s="136">
        <v>7.03</v>
      </c>
      <c r="AO18" s="466">
        <f t="shared" si="9"/>
        <v>44.231999999999999</v>
      </c>
      <c r="AP18" s="110">
        <f t="shared" si="10"/>
        <v>0.18999999999999997</v>
      </c>
      <c r="AQ18" s="137" t="s">
        <v>364</v>
      </c>
      <c r="AR18" s="150">
        <v>8.3699999999999992</v>
      </c>
      <c r="AS18" s="138">
        <v>8.86</v>
      </c>
      <c r="AT18" s="131"/>
      <c r="AU18" s="131">
        <v>6.96</v>
      </c>
      <c r="AV18" s="315">
        <v>232.8</v>
      </c>
      <c r="AW18" s="131">
        <v>2.54</v>
      </c>
      <c r="AX18" s="116"/>
      <c r="AY18" s="131"/>
      <c r="AZ18" s="109">
        <f t="shared" ref="AZ18:AZ37" si="42">IF(BA18=0,0,AY18/BA18*100)</f>
        <v>0</v>
      </c>
      <c r="BA18" s="109">
        <f t="shared" si="11"/>
        <v>184.078</v>
      </c>
      <c r="BB18" s="115">
        <f t="shared" si="12"/>
        <v>190.18868342475852</v>
      </c>
      <c r="BC18" s="140">
        <f t="shared" si="13"/>
        <v>5.6503436619718306</v>
      </c>
      <c r="BD18" s="141">
        <f t="shared" si="14"/>
        <v>7.3631200000000003</v>
      </c>
      <c r="BE18" s="128">
        <f t="shared" si="15"/>
        <v>0.84495087250328105</v>
      </c>
      <c r="BF18" s="141">
        <f t="shared" si="16"/>
        <v>13.01346366197183</v>
      </c>
      <c r="BG18" s="142">
        <v>0.80800000000000005</v>
      </c>
      <c r="BH18" s="16">
        <f t="shared" si="32"/>
        <v>2014.1205000000002</v>
      </c>
      <c r="BI18" s="16">
        <f t="shared" si="17"/>
        <v>182.25806451612902</v>
      </c>
      <c r="BJ18" s="16">
        <f t="shared" si="33"/>
        <v>2187.0967741935483</v>
      </c>
      <c r="BK18" s="17">
        <f t="shared" si="18"/>
        <v>1</v>
      </c>
      <c r="BL18" s="16">
        <f t="shared" si="34"/>
        <v>2187.0967741935483</v>
      </c>
      <c r="BM18" s="249"/>
      <c r="BN18" s="266">
        <f t="shared" si="35"/>
        <v>50.537000000000006</v>
      </c>
      <c r="BO18" s="244"/>
      <c r="BP18" s="266">
        <f t="shared" si="36"/>
        <v>288.00700000000001</v>
      </c>
      <c r="BQ18" s="313">
        <v>87.102000000000004</v>
      </c>
      <c r="BR18" s="230">
        <v>13.356</v>
      </c>
      <c r="BS18" s="250"/>
      <c r="BT18" s="199"/>
      <c r="BU18" s="200"/>
      <c r="BV18" s="200"/>
      <c r="BW18" s="200"/>
      <c r="BX18" s="200">
        <v>0.22</v>
      </c>
      <c r="BY18" s="208">
        <v>0.23</v>
      </c>
      <c r="BZ18" s="208">
        <v>0.92</v>
      </c>
      <c r="CA18" s="201"/>
      <c r="CB18" s="202"/>
      <c r="CC18" s="200">
        <v>43.89</v>
      </c>
      <c r="CD18" s="200"/>
      <c r="CE18" s="200">
        <v>37.43</v>
      </c>
      <c r="CF18" s="208">
        <v>38.31</v>
      </c>
      <c r="CG18" s="208">
        <v>31.92</v>
      </c>
      <c r="CH18" s="209"/>
      <c r="CI18" s="199"/>
      <c r="CJ18" s="197"/>
      <c r="CK18" s="230">
        <v>80.400000000000006</v>
      </c>
      <c r="CL18" s="266">
        <f t="shared" si="37"/>
        <v>197.33799999999999</v>
      </c>
      <c r="CM18" s="453"/>
      <c r="CN18" s="202"/>
      <c r="CO18" s="208"/>
      <c r="CP18" s="208"/>
      <c r="CQ18" s="201"/>
      <c r="CR18" s="201"/>
      <c r="CS18" s="284"/>
      <c r="CT18" s="286">
        <f t="shared" si="19"/>
        <v>0</v>
      </c>
      <c r="CU18" s="24">
        <f t="shared" si="19"/>
        <v>50.537000000000006</v>
      </c>
      <c r="CV18" s="25">
        <f t="shared" si="19"/>
        <v>0</v>
      </c>
      <c r="CW18" s="24">
        <f t="shared" si="19"/>
        <v>287.37338460000001</v>
      </c>
      <c r="CX18" s="27">
        <f t="shared" si="19"/>
        <v>86.901665399999999</v>
      </c>
      <c r="CY18" s="30">
        <f t="shared" si="19"/>
        <v>13.233124800000001</v>
      </c>
      <c r="CZ18" s="280">
        <f t="shared" si="19"/>
        <v>0</v>
      </c>
      <c r="DA18" s="30">
        <f t="shared" si="20"/>
        <v>0</v>
      </c>
      <c r="DB18" s="24">
        <f t="shared" si="20"/>
        <v>80.400000000000006</v>
      </c>
      <c r="DC18" s="277">
        <f t="shared" si="20"/>
        <v>197.33799999999999</v>
      </c>
      <c r="DD18" s="280">
        <f t="shared" si="20"/>
        <v>0</v>
      </c>
      <c r="DE18" s="508">
        <f t="shared" si="38"/>
        <v>0</v>
      </c>
      <c r="DF18" s="247"/>
      <c r="DG18" s="293">
        <f t="shared" si="21"/>
        <v>0</v>
      </c>
      <c r="DH18" s="294"/>
      <c r="DI18" s="294"/>
      <c r="DJ18" s="295">
        <f t="shared" si="22"/>
        <v>0</v>
      </c>
      <c r="DK18" s="296">
        <f t="shared" si="23"/>
        <v>0</v>
      </c>
      <c r="DM18" s="197">
        <v>268.00700000000001</v>
      </c>
      <c r="DN18" s="247">
        <f t="shared" si="39"/>
        <v>288.00700000000001</v>
      </c>
      <c r="DO18" s="195">
        <v>33.49</v>
      </c>
      <c r="DP18" s="247">
        <f t="shared" si="40"/>
        <v>50.537000000000006</v>
      </c>
      <c r="DR18" s="289">
        <v>176.88</v>
      </c>
      <c r="DS18" s="247">
        <f t="shared" si="41"/>
        <v>197.33799999999999</v>
      </c>
    </row>
    <row r="19" spans="1:123" ht="16.5" customHeight="1" thickBot="1">
      <c r="A19" s="127">
        <v>13</v>
      </c>
      <c r="B19" s="103">
        <f t="shared" si="24"/>
        <v>447.947</v>
      </c>
      <c r="C19" s="104">
        <f t="shared" si="0"/>
        <v>0.37725969813393101</v>
      </c>
      <c r="D19" s="143">
        <f t="shared" si="25"/>
        <v>446.25707650000004</v>
      </c>
      <c r="E19" s="104">
        <f t="shared" si="1"/>
        <v>38.285989391602136</v>
      </c>
      <c r="F19" s="128">
        <f t="shared" si="26"/>
        <v>2.320249550905598</v>
      </c>
      <c r="G19" s="106"/>
      <c r="H19" s="107">
        <f t="shared" si="2"/>
        <v>2.0534913755677047</v>
      </c>
      <c r="I19" s="103">
        <f>'[1]сентябрь 20'!AE18</f>
        <v>0</v>
      </c>
      <c r="J19" s="328">
        <f>'[1]июль 20'!AA18</f>
        <v>0</v>
      </c>
      <c r="K19" s="106">
        <v>29.84</v>
      </c>
      <c r="L19" s="328">
        <f t="shared" si="27"/>
        <v>51.305999999999997</v>
      </c>
      <c r="M19" s="103">
        <f t="shared" si="3"/>
        <v>0.26675817533789314</v>
      </c>
      <c r="N19" s="103">
        <f>'[1]июль 20'!W18</f>
        <v>0</v>
      </c>
      <c r="O19" s="103">
        <f>'[1]июль 20'!AM18</f>
        <v>0</v>
      </c>
      <c r="P19" s="447">
        <f t="shared" si="28"/>
        <v>0</v>
      </c>
      <c r="Q19" s="103">
        <f t="shared" si="29"/>
        <v>0</v>
      </c>
      <c r="R19" s="103">
        <v>286.68</v>
      </c>
      <c r="S19" s="108">
        <f t="shared" si="4"/>
        <v>1.3890051625505939</v>
      </c>
      <c r="T19" s="109">
        <f t="shared" si="30"/>
        <v>282.69799999999998</v>
      </c>
      <c r="U19" s="106">
        <v>27.86</v>
      </c>
      <c r="V19" s="109">
        <f t="shared" si="5"/>
        <v>282.69799999999998</v>
      </c>
      <c r="W19" s="485">
        <f t="shared" si="6"/>
        <v>1.4698476328630514</v>
      </c>
      <c r="X19" s="495">
        <f t="shared" si="31"/>
        <v>1.4698476328630514</v>
      </c>
      <c r="Y19" s="135">
        <v>192.33</v>
      </c>
      <c r="Z19" s="130">
        <v>153.22</v>
      </c>
      <c r="AA19" s="131">
        <v>0.87</v>
      </c>
      <c r="AB19" s="112">
        <v>684</v>
      </c>
      <c r="AC19" s="133">
        <v>1222</v>
      </c>
      <c r="AD19" s="144" t="s">
        <v>302</v>
      </c>
      <c r="AE19" s="131">
        <v>76.849999999999994</v>
      </c>
      <c r="AF19" s="133">
        <v>137</v>
      </c>
      <c r="AG19" s="134">
        <v>4</v>
      </c>
      <c r="AH19" s="131">
        <v>2.6</v>
      </c>
      <c r="AI19" s="115">
        <f t="shared" si="7"/>
        <v>13.518326431187818</v>
      </c>
      <c r="AJ19" s="131">
        <v>105.1</v>
      </c>
      <c r="AK19" s="115">
        <f t="shared" si="8"/>
        <v>546.45234919916902</v>
      </c>
      <c r="AL19" s="139">
        <v>17.399999999999999</v>
      </c>
      <c r="AM19" s="131"/>
      <c r="AN19" s="136">
        <v>10.56</v>
      </c>
      <c r="AO19" s="466">
        <f t="shared" si="9"/>
        <v>47.148499999999999</v>
      </c>
      <c r="AP19" s="110">
        <f t="shared" si="10"/>
        <v>0.19</v>
      </c>
      <c r="AQ19" s="137" t="s">
        <v>361</v>
      </c>
      <c r="AR19" s="150">
        <v>8.01</v>
      </c>
      <c r="AS19" s="138">
        <v>9.01</v>
      </c>
      <c r="AT19" s="134"/>
      <c r="AU19" s="131">
        <v>6.84</v>
      </c>
      <c r="AV19" s="315">
        <v>248.15</v>
      </c>
      <c r="AW19" s="131">
        <v>1.89</v>
      </c>
      <c r="AX19" s="116"/>
      <c r="AY19" s="131"/>
      <c r="AZ19" s="109">
        <f t="shared" si="42"/>
        <v>0</v>
      </c>
      <c r="BA19" s="109">
        <f t="shared" si="11"/>
        <v>192.33150000000001</v>
      </c>
      <c r="BB19" s="115">
        <f t="shared" si="12"/>
        <v>194.08651525454749</v>
      </c>
      <c r="BC19" s="140">
        <f t="shared" si="13"/>
        <v>5.5688197183098582</v>
      </c>
      <c r="BD19" s="141">
        <f t="shared" si="14"/>
        <v>7.6932600000000004</v>
      </c>
      <c r="BE19" s="128">
        <f t="shared" si="15"/>
        <v>0.86510595174419735</v>
      </c>
      <c r="BF19" s="141">
        <f t="shared" si="16"/>
        <v>13.26207971830986</v>
      </c>
      <c r="BG19" s="142">
        <v>0.81299999999999994</v>
      </c>
      <c r="BH19" s="16">
        <f t="shared" si="32"/>
        <v>2206.4520000000002</v>
      </c>
      <c r="BI19" s="16">
        <f t="shared" si="17"/>
        <v>182.25806451612902</v>
      </c>
      <c r="BJ19" s="16">
        <f t="shared" si="33"/>
        <v>2369.3548387096771</v>
      </c>
      <c r="BK19" s="17">
        <f t="shared" si="18"/>
        <v>1</v>
      </c>
      <c r="BL19" s="16">
        <f t="shared" si="34"/>
        <v>2369.3548387096771</v>
      </c>
      <c r="BM19" s="519"/>
      <c r="BN19" s="266">
        <f t="shared" si="35"/>
        <v>51.305999999999997</v>
      </c>
      <c r="BO19" s="313"/>
      <c r="BP19" s="266">
        <f t="shared" si="36"/>
        <v>294.05900000000003</v>
      </c>
      <c r="BQ19" s="313">
        <v>89.058000000000007</v>
      </c>
      <c r="BR19" s="230">
        <v>13.523999999999999</v>
      </c>
      <c r="BS19" s="258"/>
      <c r="BT19" s="199"/>
      <c r="BU19" s="200"/>
      <c r="BV19" s="200"/>
      <c r="BW19" s="200"/>
      <c r="BX19" s="200">
        <v>0.47</v>
      </c>
      <c r="BY19" s="208">
        <v>0.25</v>
      </c>
      <c r="BZ19" s="208">
        <v>0.63</v>
      </c>
      <c r="CA19" s="201"/>
      <c r="CB19" s="202"/>
      <c r="CC19" s="200">
        <v>43.47</v>
      </c>
      <c r="CD19" s="200"/>
      <c r="CE19" s="200">
        <v>37.65</v>
      </c>
      <c r="CF19" s="208">
        <v>38.72</v>
      </c>
      <c r="CG19" s="208">
        <v>29.59</v>
      </c>
      <c r="CH19" s="209"/>
      <c r="CI19" s="199"/>
      <c r="CJ19" s="197"/>
      <c r="CK19" s="230">
        <v>82.2</v>
      </c>
      <c r="CL19" s="266">
        <f t="shared" si="37"/>
        <v>200.49799999999999</v>
      </c>
      <c r="CM19" s="453"/>
      <c r="CN19" s="202"/>
      <c r="CO19" s="208"/>
      <c r="CP19" s="208"/>
      <c r="CQ19" s="201"/>
      <c r="CR19" s="201"/>
      <c r="CS19" s="284"/>
      <c r="CT19" s="286">
        <f t="shared" si="19"/>
        <v>0</v>
      </c>
      <c r="CU19" s="24">
        <f t="shared" si="19"/>
        <v>51.305999999999997</v>
      </c>
      <c r="CV19" s="25">
        <f t="shared" si="19"/>
        <v>0</v>
      </c>
      <c r="CW19" s="24">
        <f t="shared" si="19"/>
        <v>292.67692270000003</v>
      </c>
      <c r="CX19" s="27">
        <f t="shared" si="19"/>
        <v>88.835355000000007</v>
      </c>
      <c r="CY19" s="24">
        <f t="shared" si="19"/>
        <v>13.438798799999999</v>
      </c>
      <c r="CZ19" s="280">
        <f t="shared" si="19"/>
        <v>0</v>
      </c>
      <c r="DA19" s="237">
        <f t="shared" si="20"/>
        <v>0</v>
      </c>
      <c r="DB19" s="24">
        <f t="shared" si="20"/>
        <v>82.2</v>
      </c>
      <c r="DC19" s="277">
        <f t="shared" si="20"/>
        <v>200.49799999999999</v>
      </c>
      <c r="DD19" s="280">
        <f t="shared" si="20"/>
        <v>0</v>
      </c>
      <c r="DE19" s="508">
        <f t="shared" si="38"/>
        <v>0</v>
      </c>
      <c r="DG19" s="293">
        <f t="shared" si="21"/>
        <v>0</v>
      </c>
      <c r="DH19" s="294"/>
      <c r="DI19" s="294"/>
      <c r="DJ19" s="295">
        <f t="shared" si="22"/>
        <v>0</v>
      </c>
      <c r="DK19" s="296">
        <f t="shared" si="23"/>
        <v>0</v>
      </c>
      <c r="DM19" s="197">
        <v>274.05900000000003</v>
      </c>
      <c r="DN19" s="247">
        <f t="shared" si="39"/>
        <v>294.05900000000003</v>
      </c>
      <c r="DO19" s="197">
        <v>34.259</v>
      </c>
      <c r="DP19" s="247">
        <f t="shared" si="40"/>
        <v>51.305999999999997</v>
      </c>
      <c r="DR19" s="197">
        <v>180.04</v>
      </c>
      <c r="DS19" s="247">
        <f t="shared" si="41"/>
        <v>200.49799999999999</v>
      </c>
    </row>
    <row r="20" spans="1:123" ht="16.5" customHeight="1" thickBot="1">
      <c r="A20" s="127">
        <v>14</v>
      </c>
      <c r="B20" s="103">
        <f t="shared" si="24"/>
        <v>430.24199999999996</v>
      </c>
      <c r="C20" s="104">
        <f t="shared" si="0"/>
        <v>0.30872615876646164</v>
      </c>
      <c r="D20" s="143">
        <f t="shared" si="25"/>
        <v>428.91373039999996</v>
      </c>
      <c r="E20" s="104">
        <f t="shared" si="1"/>
        <v>38.233655291673067</v>
      </c>
      <c r="F20" s="128">
        <f t="shared" si="26"/>
        <v>2.2912609031734199</v>
      </c>
      <c r="G20" s="106"/>
      <c r="H20" s="107">
        <f t="shared" si="2"/>
        <v>2.0250686068842465</v>
      </c>
      <c r="I20" s="103">
        <f>'[1]сентябрь 20'!AE19</f>
        <v>0</v>
      </c>
      <c r="J20" s="328">
        <f>'[1]июль 20'!AA19</f>
        <v>0</v>
      </c>
      <c r="K20" s="106"/>
      <c r="L20" s="328">
        <f t="shared" si="27"/>
        <v>49.83</v>
      </c>
      <c r="M20" s="103">
        <f t="shared" si="3"/>
        <v>0.26619229628917357</v>
      </c>
      <c r="N20" s="103">
        <f>'[1]июль 20'!W19</f>
        <v>0</v>
      </c>
      <c r="O20" s="103">
        <f>'[1]июль 20'!AM19</f>
        <v>0</v>
      </c>
      <c r="P20" s="447">
        <f t="shared" si="28"/>
        <v>0</v>
      </c>
      <c r="Q20" s="103">
        <f t="shared" si="29"/>
        <v>0</v>
      </c>
      <c r="R20" s="103">
        <v>274.44</v>
      </c>
      <c r="S20" s="108">
        <f t="shared" si="4"/>
        <v>1.4072292668707242</v>
      </c>
      <c r="T20" s="109">
        <f t="shared" si="30"/>
        <v>270.57799999999997</v>
      </c>
      <c r="U20" s="106">
        <v>4.58</v>
      </c>
      <c r="V20" s="109">
        <f t="shared" si="5"/>
        <v>270.57799999999997</v>
      </c>
      <c r="W20" s="485">
        <f t="shared" si="6"/>
        <v>1.4454300450598436</v>
      </c>
      <c r="X20" s="495">
        <f t="shared" si="31"/>
        <v>1.4454300450598436</v>
      </c>
      <c r="Y20" s="135">
        <v>187.2</v>
      </c>
      <c r="Z20" s="130">
        <v>187.2</v>
      </c>
      <c r="AA20" s="131">
        <v>0.67</v>
      </c>
      <c r="AB20" s="112">
        <v>672</v>
      </c>
      <c r="AC20" s="133">
        <v>1212</v>
      </c>
      <c r="AD20" s="151" t="s">
        <v>365</v>
      </c>
      <c r="AE20" s="131">
        <v>77.010000000000005</v>
      </c>
      <c r="AF20" s="133">
        <v>131</v>
      </c>
      <c r="AG20" s="134">
        <v>4</v>
      </c>
      <c r="AH20" s="131">
        <v>2.9</v>
      </c>
      <c r="AI20" s="115">
        <f t="shared" si="7"/>
        <v>15.491825391101814</v>
      </c>
      <c r="AJ20" s="131">
        <v>107.8</v>
      </c>
      <c r="AK20" s="115">
        <f t="shared" si="8"/>
        <v>575.86854384854337</v>
      </c>
      <c r="AL20" s="139">
        <v>17.18</v>
      </c>
      <c r="AM20" s="131"/>
      <c r="AN20" s="136">
        <v>9.76</v>
      </c>
      <c r="AO20" s="466">
        <f t="shared" si="9"/>
        <v>45.514500000000005</v>
      </c>
      <c r="AP20" s="110">
        <f t="shared" si="10"/>
        <v>0.19</v>
      </c>
      <c r="AQ20" s="137" t="s">
        <v>361</v>
      </c>
      <c r="AR20" s="150">
        <v>8.33</v>
      </c>
      <c r="AS20" s="138">
        <v>8.8800000000000008</v>
      </c>
      <c r="AT20" s="131"/>
      <c r="AU20" s="131">
        <v>5.86</v>
      </c>
      <c r="AV20" s="315">
        <v>239.55</v>
      </c>
      <c r="AW20" s="131">
        <v>2.92</v>
      </c>
      <c r="AX20" s="148"/>
      <c r="AY20" s="131"/>
      <c r="AZ20" s="109">
        <f t="shared" si="42"/>
        <v>0</v>
      </c>
      <c r="BA20" s="109">
        <f t="shared" si="11"/>
        <v>187.19550000000001</v>
      </c>
      <c r="BB20" s="115">
        <f t="shared" si="12"/>
        <v>185.90149816641784</v>
      </c>
      <c r="BC20" s="140">
        <f t="shared" si="13"/>
        <v>4.8935126760563374</v>
      </c>
      <c r="BD20" s="141">
        <f t="shared" si="14"/>
        <v>7.4878200000000001</v>
      </c>
      <c r="BE20" s="128">
        <f t="shared" si="15"/>
        <v>0.87907667830469027</v>
      </c>
      <c r="BF20" s="141">
        <f t="shared" si="16"/>
        <v>12.381332676056338</v>
      </c>
      <c r="BG20" s="142">
        <v>0.81799999999999995</v>
      </c>
      <c r="BH20" s="16">
        <f t="shared" si="32"/>
        <v>2393.6475</v>
      </c>
      <c r="BI20" s="16">
        <f t="shared" si="17"/>
        <v>182.25806451612902</v>
      </c>
      <c r="BJ20" s="16">
        <f t="shared" si="33"/>
        <v>2551.6129032258059</v>
      </c>
      <c r="BK20" s="17">
        <f t="shared" si="18"/>
        <v>1</v>
      </c>
      <c r="BL20" s="16">
        <f t="shared" si="34"/>
        <v>2551.6129032258059</v>
      </c>
      <c r="BM20" s="519"/>
      <c r="BN20" s="266">
        <f t="shared" si="35"/>
        <v>49.83</v>
      </c>
      <c r="BO20" s="313"/>
      <c r="BP20" s="266">
        <f t="shared" si="36"/>
        <v>282.00799999999998</v>
      </c>
      <c r="BQ20" s="313">
        <v>85.152000000000001</v>
      </c>
      <c r="BR20" s="230">
        <v>13.252000000000001</v>
      </c>
      <c r="BS20" s="259"/>
      <c r="BT20" s="199"/>
      <c r="BU20" s="200"/>
      <c r="BV20" s="200"/>
      <c r="BW20" s="200"/>
      <c r="BX20" s="200">
        <v>0.38</v>
      </c>
      <c r="BY20" s="208">
        <v>0.18</v>
      </c>
      <c r="BZ20" s="208">
        <v>0.78</v>
      </c>
      <c r="CA20" s="201"/>
      <c r="CB20" s="202"/>
      <c r="CC20" s="200">
        <v>43.9</v>
      </c>
      <c r="CD20" s="200"/>
      <c r="CE20" s="200">
        <v>37.71</v>
      </c>
      <c r="CF20" s="208">
        <v>37.770000000000003</v>
      </c>
      <c r="CG20" s="208">
        <v>31.05</v>
      </c>
      <c r="CH20" s="209"/>
      <c r="CI20" s="199"/>
      <c r="CJ20" s="197"/>
      <c r="CK20" s="230">
        <v>78.599999999999994</v>
      </c>
      <c r="CL20" s="266">
        <f t="shared" si="37"/>
        <v>191.97800000000001</v>
      </c>
      <c r="CM20" s="453"/>
      <c r="CN20" s="202"/>
      <c r="CO20" s="208"/>
      <c r="CP20" s="208"/>
      <c r="CQ20" s="201"/>
      <c r="CR20" s="201"/>
      <c r="CS20" s="284"/>
      <c r="CT20" s="286">
        <f t="shared" si="19"/>
        <v>0</v>
      </c>
      <c r="CU20" s="24">
        <f t="shared" si="19"/>
        <v>49.83</v>
      </c>
      <c r="CV20" s="25">
        <f t="shared" si="19"/>
        <v>0</v>
      </c>
      <c r="CW20" s="24">
        <f t="shared" si="19"/>
        <v>280.93636959999998</v>
      </c>
      <c r="CX20" s="27">
        <f t="shared" si="19"/>
        <v>84.998726399999995</v>
      </c>
      <c r="CY20" s="30">
        <f t="shared" si="19"/>
        <v>13.148634400000001</v>
      </c>
      <c r="CZ20" s="280">
        <f t="shared" si="19"/>
        <v>0</v>
      </c>
      <c r="DA20" s="237">
        <f t="shared" si="20"/>
        <v>0</v>
      </c>
      <c r="DB20" s="29">
        <f t="shared" si="20"/>
        <v>78.599999999999994</v>
      </c>
      <c r="DC20" s="277">
        <f t="shared" si="20"/>
        <v>191.97800000000001</v>
      </c>
      <c r="DD20" s="280">
        <f t="shared" si="20"/>
        <v>0</v>
      </c>
      <c r="DE20" s="508">
        <f t="shared" si="38"/>
        <v>0</v>
      </c>
      <c r="DG20" s="293">
        <f t="shared" si="21"/>
        <v>0</v>
      </c>
      <c r="DH20" s="294"/>
      <c r="DI20" s="294"/>
      <c r="DJ20" s="295">
        <f t="shared" si="22"/>
        <v>0</v>
      </c>
      <c r="DK20" s="296">
        <f t="shared" si="23"/>
        <v>0</v>
      </c>
      <c r="DM20" s="197">
        <v>262.00799999999998</v>
      </c>
      <c r="DN20" s="247">
        <f t="shared" si="39"/>
        <v>282.00799999999998</v>
      </c>
      <c r="DO20" s="197">
        <v>32.783000000000001</v>
      </c>
      <c r="DP20" s="247">
        <f t="shared" si="40"/>
        <v>49.83</v>
      </c>
      <c r="DR20" s="197">
        <v>171.52</v>
      </c>
      <c r="DS20" s="247">
        <f t="shared" si="41"/>
        <v>191.97800000000001</v>
      </c>
    </row>
    <row r="21" spans="1:123" ht="16.5" customHeight="1" thickBot="1">
      <c r="A21" s="127">
        <v>15</v>
      </c>
      <c r="B21" s="103">
        <f t="shared" si="24"/>
        <v>469.12799999999999</v>
      </c>
      <c r="C21" s="104">
        <f t="shared" si="0"/>
        <v>0.4055577795399124</v>
      </c>
      <c r="D21" s="143">
        <f t="shared" si="25"/>
        <v>467.22541489999992</v>
      </c>
      <c r="E21" s="104">
        <f t="shared" si="1"/>
        <v>37.481904405620647</v>
      </c>
      <c r="F21" s="128">
        <f t="shared" si="26"/>
        <v>2.5422321940523052</v>
      </c>
      <c r="G21" s="106"/>
      <c r="H21" s="107">
        <f t="shared" si="2"/>
        <v>2.2533465093818612</v>
      </c>
      <c r="I21" s="103">
        <f>'[1]сентябрь 20'!AE20</f>
        <v>0</v>
      </c>
      <c r="J21" s="328">
        <f>'[1]июль 20'!AA20</f>
        <v>0</v>
      </c>
      <c r="K21" s="106"/>
      <c r="L21" s="328">
        <f t="shared" si="27"/>
        <v>53.093000000000004</v>
      </c>
      <c r="M21" s="103">
        <f t="shared" si="3"/>
        <v>0.28888568467044468</v>
      </c>
      <c r="N21" s="103">
        <f>'[1]июль 20'!W20</f>
        <v>0</v>
      </c>
      <c r="O21" s="103">
        <f>'[1]июль 20'!AM20</f>
        <v>0</v>
      </c>
      <c r="P21" s="447">
        <f t="shared" si="28"/>
        <v>0</v>
      </c>
      <c r="Q21" s="103">
        <f t="shared" si="29"/>
        <v>0</v>
      </c>
      <c r="R21" s="103">
        <v>297.93</v>
      </c>
      <c r="S21" s="108">
        <f t="shared" si="4"/>
        <v>1.3869029637834429</v>
      </c>
      <c r="T21" s="109">
        <f t="shared" si="30"/>
        <v>293.798</v>
      </c>
      <c r="U21" s="106">
        <v>4.3</v>
      </c>
      <c r="V21" s="109">
        <f t="shared" si="5"/>
        <v>293.798</v>
      </c>
      <c r="W21" s="485">
        <f t="shared" si="6"/>
        <v>1.5985918366791723</v>
      </c>
      <c r="X21" s="495">
        <f t="shared" si="31"/>
        <v>1.5985918366791723</v>
      </c>
      <c r="Y21" s="135">
        <v>183.79</v>
      </c>
      <c r="Z21" s="130">
        <v>136.08000000000001</v>
      </c>
      <c r="AA21" s="131">
        <v>0.84</v>
      </c>
      <c r="AB21" s="112">
        <v>634</v>
      </c>
      <c r="AC21" s="133">
        <v>1217</v>
      </c>
      <c r="AD21" s="151" t="s">
        <v>366</v>
      </c>
      <c r="AE21" s="131">
        <v>76.13</v>
      </c>
      <c r="AF21" s="133">
        <v>144</v>
      </c>
      <c r="AG21" s="134">
        <v>4</v>
      </c>
      <c r="AH21" s="131">
        <v>3.5</v>
      </c>
      <c r="AI21" s="115">
        <f t="shared" si="7"/>
        <v>19.04393981026795</v>
      </c>
      <c r="AJ21" s="131">
        <v>97.5</v>
      </c>
      <c r="AK21" s="115">
        <f t="shared" si="8"/>
        <v>530.50975185746427</v>
      </c>
      <c r="AL21" s="139">
        <v>20.77</v>
      </c>
      <c r="AM21" s="131"/>
      <c r="AN21" s="136">
        <v>9.52</v>
      </c>
      <c r="AO21" s="466">
        <f t="shared" si="9"/>
        <v>44.7545</v>
      </c>
      <c r="AP21" s="110">
        <f t="shared" si="10"/>
        <v>0.19</v>
      </c>
      <c r="AQ21" s="137" t="s">
        <v>367</v>
      </c>
      <c r="AR21" s="150">
        <v>8.1</v>
      </c>
      <c r="AS21" s="138">
        <v>8.92</v>
      </c>
      <c r="AT21" s="131"/>
      <c r="AU21" s="131">
        <v>7.26</v>
      </c>
      <c r="AV21" s="315">
        <v>235.55</v>
      </c>
      <c r="AW21" s="131">
        <v>2.5099999999999998</v>
      </c>
      <c r="AX21" s="116"/>
      <c r="AY21" s="131"/>
      <c r="AZ21" s="109">
        <f t="shared" si="42"/>
        <v>0</v>
      </c>
      <c r="BA21" s="109">
        <f t="shared" si="11"/>
        <v>183.78549999999998</v>
      </c>
      <c r="BB21" s="115">
        <f t="shared" si="12"/>
        <v>200.81979572230586</v>
      </c>
      <c r="BC21" s="140">
        <f t="shared" si="13"/>
        <v>5.4833450704225353</v>
      </c>
      <c r="BD21" s="141">
        <f t="shared" si="14"/>
        <v>7.3514199999999992</v>
      </c>
      <c r="BE21" s="128">
        <f t="shared" si="15"/>
        <v>0.79894883332051281</v>
      </c>
      <c r="BF21" s="141">
        <f t="shared" si="16"/>
        <v>12.834765070422534</v>
      </c>
      <c r="BG21" s="142">
        <v>0.81599999999999995</v>
      </c>
      <c r="BH21" s="16">
        <f t="shared" si="32"/>
        <v>2577.433</v>
      </c>
      <c r="BI21" s="16">
        <f t="shared" si="17"/>
        <v>182.25806451612902</v>
      </c>
      <c r="BJ21" s="16">
        <f t="shared" si="33"/>
        <v>2733.8709677419347</v>
      </c>
      <c r="BK21" s="17">
        <f t="shared" si="18"/>
        <v>1</v>
      </c>
      <c r="BL21" s="16">
        <f t="shared" si="34"/>
        <v>2733.8709677419347</v>
      </c>
      <c r="BM21" s="519"/>
      <c r="BN21" s="266">
        <f t="shared" si="35"/>
        <v>53.093000000000004</v>
      </c>
      <c r="BO21" s="313"/>
      <c r="BP21" s="266">
        <f t="shared" si="36"/>
        <v>308.02699999999999</v>
      </c>
      <c r="BQ21" s="313">
        <v>93.603999999999999</v>
      </c>
      <c r="BR21" s="230">
        <v>14.404</v>
      </c>
      <c r="BS21" s="259"/>
      <c r="BT21" s="199"/>
      <c r="BU21" s="200"/>
      <c r="BV21" s="200"/>
      <c r="BW21" s="200"/>
      <c r="BX21" s="200">
        <v>0.53</v>
      </c>
      <c r="BY21" s="208">
        <v>0.15</v>
      </c>
      <c r="BZ21" s="208">
        <v>0.9</v>
      </c>
      <c r="CA21" s="201"/>
      <c r="CB21" s="202"/>
      <c r="CC21" s="200">
        <v>43.35</v>
      </c>
      <c r="CD21" s="200"/>
      <c r="CE21" s="200">
        <v>37.1</v>
      </c>
      <c r="CF21" s="208">
        <v>36.5</v>
      </c>
      <c r="CG21" s="208">
        <v>30.4</v>
      </c>
      <c r="CH21" s="209"/>
      <c r="CI21" s="199"/>
      <c r="CJ21" s="197"/>
      <c r="CK21" s="230">
        <v>86.4</v>
      </c>
      <c r="CL21" s="266">
        <f t="shared" si="37"/>
        <v>207.398</v>
      </c>
      <c r="CM21" s="453"/>
      <c r="CN21" s="202"/>
      <c r="CO21" s="208"/>
      <c r="CP21" s="208"/>
      <c r="CQ21" s="201"/>
      <c r="CR21" s="201"/>
      <c r="CS21" s="284"/>
      <c r="CT21" s="286">
        <f t="shared" si="19"/>
        <v>0</v>
      </c>
      <c r="CU21" s="27">
        <f t="shared" si="19"/>
        <v>53.093000000000004</v>
      </c>
      <c r="CV21" s="28">
        <f t="shared" si="19"/>
        <v>0</v>
      </c>
      <c r="CW21" s="27">
        <f t="shared" si="19"/>
        <v>306.39445690000002</v>
      </c>
      <c r="CX21" s="27">
        <f t="shared" si="19"/>
        <v>93.463594000000001</v>
      </c>
      <c r="CY21" s="24">
        <f t="shared" si="19"/>
        <v>14.274364</v>
      </c>
      <c r="CZ21" s="281">
        <f t="shared" si="19"/>
        <v>0</v>
      </c>
      <c r="DA21" s="237">
        <f t="shared" si="20"/>
        <v>0</v>
      </c>
      <c r="DB21" s="24">
        <f t="shared" si="20"/>
        <v>86.4</v>
      </c>
      <c r="DC21" s="277">
        <f t="shared" si="20"/>
        <v>207.398</v>
      </c>
      <c r="DD21" s="280">
        <f t="shared" si="20"/>
        <v>0</v>
      </c>
      <c r="DE21" s="508">
        <f t="shared" si="38"/>
        <v>0</v>
      </c>
      <c r="DG21" s="293">
        <f t="shared" si="21"/>
        <v>0</v>
      </c>
      <c r="DH21" s="294"/>
      <c r="DI21" s="294"/>
      <c r="DJ21" s="295">
        <f t="shared" si="22"/>
        <v>0</v>
      </c>
      <c r="DK21" s="296">
        <f t="shared" si="23"/>
        <v>0</v>
      </c>
      <c r="DM21" s="197">
        <v>288.02699999999999</v>
      </c>
      <c r="DN21" s="247">
        <f t="shared" si="39"/>
        <v>308.02699999999999</v>
      </c>
      <c r="DO21" s="197">
        <v>36.045999999999999</v>
      </c>
      <c r="DP21" s="247">
        <f t="shared" si="40"/>
        <v>53.093000000000004</v>
      </c>
      <c r="DR21" s="197">
        <v>186.94</v>
      </c>
      <c r="DS21" s="247">
        <f t="shared" si="41"/>
        <v>207.398</v>
      </c>
    </row>
    <row r="22" spans="1:123" ht="16.5" customHeight="1" thickBot="1">
      <c r="A22" s="127">
        <v>16</v>
      </c>
      <c r="B22" s="103">
        <f t="shared" si="24"/>
        <v>433.279</v>
      </c>
      <c r="C22" s="104">
        <f t="shared" si="0"/>
        <v>0.20512141137696493</v>
      </c>
      <c r="D22" s="143">
        <f t="shared" si="25"/>
        <v>432.39025200000003</v>
      </c>
      <c r="E22" s="104">
        <f t="shared" si="1"/>
        <v>38.214895690767378</v>
      </c>
      <c r="F22" s="128">
        <f t="shared" si="26"/>
        <v>2.4671500579142869</v>
      </c>
      <c r="G22" s="106"/>
      <c r="H22" s="107">
        <f t="shared" si="2"/>
        <v>2.1815384773392523</v>
      </c>
      <c r="I22" s="103">
        <f>'[1]сентябрь 20'!AE21</f>
        <v>0</v>
      </c>
      <c r="J22" s="328">
        <f>'[1]июль 20'!AA21</f>
        <v>0</v>
      </c>
      <c r="K22" s="106"/>
      <c r="L22" s="328">
        <f t="shared" si="27"/>
        <v>50.055999999999997</v>
      </c>
      <c r="M22" s="103">
        <f t="shared" si="3"/>
        <v>0.28561158057503461</v>
      </c>
      <c r="N22" s="103">
        <f>'[1]июль 20'!W21</f>
        <v>0</v>
      </c>
      <c r="O22" s="103">
        <f>'[1]июль 20'!AM21</f>
        <v>0</v>
      </c>
      <c r="P22" s="447">
        <f t="shared" si="28"/>
        <v>0</v>
      </c>
      <c r="Q22" s="103">
        <f t="shared" si="29"/>
        <v>0</v>
      </c>
      <c r="R22" s="103">
        <v>272.39999999999998</v>
      </c>
      <c r="S22" s="108">
        <f t="shared" si="4"/>
        <v>1.3883994126284827</v>
      </c>
      <c r="T22" s="109">
        <f t="shared" si="30"/>
        <v>268.61799999999999</v>
      </c>
      <c r="U22" s="106">
        <v>3.15</v>
      </c>
      <c r="V22" s="109">
        <f t="shared" si="5"/>
        <v>268.61799999999999</v>
      </c>
      <c r="W22" s="485">
        <f t="shared" si="6"/>
        <v>1.5326916164077165</v>
      </c>
      <c r="X22" s="495">
        <f t="shared" si="31"/>
        <v>1.5326916164077165</v>
      </c>
      <c r="Y22" s="135">
        <v>175.26</v>
      </c>
      <c r="Z22" s="129">
        <v>175.26</v>
      </c>
      <c r="AA22" s="131">
        <v>0.78</v>
      </c>
      <c r="AB22" s="112">
        <v>670</v>
      </c>
      <c r="AC22" s="152">
        <v>1218</v>
      </c>
      <c r="AD22" s="144" t="s">
        <v>309</v>
      </c>
      <c r="AE22" s="131">
        <v>76.47</v>
      </c>
      <c r="AF22" s="133">
        <v>132</v>
      </c>
      <c r="AG22" s="134">
        <v>4</v>
      </c>
      <c r="AH22" s="131">
        <v>2.1</v>
      </c>
      <c r="AI22" s="115">
        <f t="shared" si="7"/>
        <v>11.982266245955985</v>
      </c>
      <c r="AJ22" s="131">
        <v>104.25</v>
      </c>
      <c r="AK22" s="115">
        <f t="shared" si="8"/>
        <v>594.83393149567212</v>
      </c>
      <c r="AL22" s="139">
        <v>17.72</v>
      </c>
      <c r="AM22" s="131"/>
      <c r="AN22" s="136">
        <v>9.42</v>
      </c>
      <c r="AO22" s="466">
        <f t="shared" si="9"/>
        <v>42.731000000000002</v>
      </c>
      <c r="AP22" s="110">
        <f t="shared" si="10"/>
        <v>0.19</v>
      </c>
      <c r="AQ22" s="137" t="s">
        <v>367</v>
      </c>
      <c r="AR22" s="150">
        <v>8.3000000000000007</v>
      </c>
      <c r="AS22" s="138">
        <v>8.86</v>
      </c>
      <c r="AT22" s="134"/>
      <c r="AU22" s="131">
        <v>5.39</v>
      </c>
      <c r="AV22" s="315">
        <v>224.9</v>
      </c>
      <c r="AW22" s="131">
        <v>2.5099999999999998</v>
      </c>
      <c r="AX22" s="116"/>
      <c r="AY22" s="131"/>
      <c r="AZ22" s="109">
        <f t="shared" si="42"/>
        <v>0</v>
      </c>
      <c r="BA22" s="109">
        <f t="shared" si="11"/>
        <v>175.25900000000001</v>
      </c>
      <c r="BB22" s="115">
        <f t="shared" si="12"/>
        <v>188.63910466710178</v>
      </c>
      <c r="BC22" s="140">
        <f t="shared" si="13"/>
        <v>4.3528045774647879</v>
      </c>
      <c r="BD22" s="141">
        <f t="shared" si="14"/>
        <v>7.0103600000000004</v>
      </c>
      <c r="BE22" s="128">
        <f t="shared" si="15"/>
        <v>0.81107842019292098</v>
      </c>
      <c r="BF22" s="141">
        <f t="shared" si="16"/>
        <v>11.363164577464788</v>
      </c>
      <c r="BG22" s="142">
        <v>0.81599999999999995</v>
      </c>
      <c r="BH22" s="16">
        <f t="shared" si="32"/>
        <v>2752.692</v>
      </c>
      <c r="BI22" s="16">
        <f t="shared" si="17"/>
        <v>182.25806451612902</v>
      </c>
      <c r="BJ22" s="16">
        <f t="shared" si="33"/>
        <v>2916.1290322580635</v>
      </c>
      <c r="BK22" s="17">
        <f t="shared" si="18"/>
        <v>1</v>
      </c>
      <c r="BL22" s="16">
        <f t="shared" si="34"/>
        <v>2916.1290322580635</v>
      </c>
      <c r="BM22" s="519"/>
      <c r="BN22" s="266">
        <f t="shared" si="35"/>
        <v>50.055999999999997</v>
      </c>
      <c r="BO22" s="313"/>
      <c r="BP22" s="266">
        <f t="shared" si="36"/>
        <v>284.036</v>
      </c>
      <c r="BQ22" s="313">
        <v>85.778999999999996</v>
      </c>
      <c r="BR22" s="230">
        <v>13.407999999999999</v>
      </c>
      <c r="BS22" s="258"/>
      <c r="BT22" s="199"/>
      <c r="BU22" s="200"/>
      <c r="BV22" s="200"/>
      <c r="BW22" s="200"/>
      <c r="BX22" s="200">
        <v>0.16</v>
      </c>
      <c r="BY22" s="208">
        <v>0.4</v>
      </c>
      <c r="BZ22" s="208">
        <v>0.68</v>
      </c>
      <c r="CA22" s="201"/>
      <c r="CB22" s="202"/>
      <c r="CC22" s="200">
        <v>43.79</v>
      </c>
      <c r="CD22" s="200"/>
      <c r="CE22" s="200">
        <v>37.43</v>
      </c>
      <c r="CF22" s="208">
        <v>38.21</v>
      </c>
      <c r="CG22" s="208">
        <v>34.06</v>
      </c>
      <c r="CH22" s="201"/>
      <c r="CI22" s="199"/>
      <c r="CJ22" s="197"/>
      <c r="CK22" s="230">
        <v>79.2</v>
      </c>
      <c r="CL22" s="266">
        <f t="shared" si="37"/>
        <v>189.41800000000001</v>
      </c>
      <c r="CM22" s="453"/>
      <c r="CN22" s="202"/>
      <c r="CO22" s="200"/>
      <c r="CP22" s="208"/>
      <c r="CQ22" s="201"/>
      <c r="CR22" s="201"/>
      <c r="CS22" s="284"/>
      <c r="CT22" s="286">
        <f t="shared" si="19"/>
        <v>0</v>
      </c>
      <c r="CU22" s="29">
        <f t="shared" si="19"/>
        <v>50.055999999999997</v>
      </c>
      <c r="CV22" s="30">
        <f t="shared" si="19"/>
        <v>0</v>
      </c>
      <c r="CW22" s="29">
        <f t="shared" si="19"/>
        <v>283.58154240000005</v>
      </c>
      <c r="CX22" s="27">
        <f t="shared" si="19"/>
        <v>85.435884000000001</v>
      </c>
      <c r="CY22" s="24">
        <f t="shared" si="19"/>
        <v>13.3168256</v>
      </c>
      <c r="CZ22" s="282">
        <f t="shared" si="19"/>
        <v>0</v>
      </c>
      <c r="DA22" s="237">
        <f t="shared" si="20"/>
        <v>0</v>
      </c>
      <c r="DB22" s="24">
        <f t="shared" si="20"/>
        <v>79.2</v>
      </c>
      <c r="DC22" s="277">
        <f t="shared" si="20"/>
        <v>189.41800000000001</v>
      </c>
      <c r="DD22" s="280">
        <f t="shared" si="20"/>
        <v>0</v>
      </c>
      <c r="DE22" s="508">
        <f t="shared" si="38"/>
        <v>0</v>
      </c>
      <c r="DG22" s="293">
        <f t="shared" si="21"/>
        <v>0</v>
      </c>
      <c r="DH22" s="294"/>
      <c r="DI22" s="294"/>
      <c r="DJ22" s="295">
        <f t="shared" si="22"/>
        <v>0</v>
      </c>
      <c r="DK22" s="296">
        <f t="shared" si="23"/>
        <v>0</v>
      </c>
      <c r="DM22" s="197">
        <v>264.036</v>
      </c>
      <c r="DN22" s="247">
        <f t="shared" si="39"/>
        <v>284.036</v>
      </c>
      <c r="DO22" s="197">
        <v>33.009</v>
      </c>
      <c r="DP22" s="247">
        <f t="shared" si="40"/>
        <v>50.055999999999997</v>
      </c>
      <c r="DR22" s="197">
        <v>168.96</v>
      </c>
      <c r="DS22" s="247">
        <f t="shared" si="41"/>
        <v>189.41800000000001</v>
      </c>
    </row>
    <row r="23" spans="1:123" ht="16.5" customHeight="1" thickBot="1">
      <c r="A23" s="127">
        <v>17</v>
      </c>
      <c r="B23" s="103">
        <f t="shared" si="24"/>
        <v>430.279</v>
      </c>
      <c r="C23" s="104">
        <f t="shared" si="0"/>
        <v>0.31110261016689172</v>
      </c>
      <c r="D23" s="143">
        <f t="shared" si="25"/>
        <v>428.94039079999993</v>
      </c>
      <c r="E23" s="104">
        <f t="shared" si="1"/>
        <v>37.92392863700065</v>
      </c>
      <c r="F23" s="128">
        <f t="shared" si="26"/>
        <v>2.3541830469776923</v>
      </c>
      <c r="G23" s="106"/>
      <c r="H23" s="107">
        <f t="shared" si="2"/>
        <v>2.0808787471151762</v>
      </c>
      <c r="I23" s="103">
        <f>'[1]сентябрь 20'!AE22</f>
        <v>0</v>
      </c>
      <c r="J23" s="328">
        <f>'[1]июль 20'!AA22</f>
        <v>0</v>
      </c>
      <c r="K23" s="106"/>
      <c r="L23" s="328">
        <f t="shared" si="27"/>
        <v>49.796999999999997</v>
      </c>
      <c r="M23" s="103">
        <f t="shared" si="3"/>
        <v>0.27330429986251636</v>
      </c>
      <c r="N23" s="103">
        <f>'[1]июль 20'!W22</f>
        <v>0</v>
      </c>
      <c r="O23" s="103">
        <f>'[1]июль 20'!AM22</f>
        <v>0</v>
      </c>
      <c r="P23" s="447">
        <f t="shared" si="28"/>
        <v>0</v>
      </c>
      <c r="Q23" s="103">
        <f t="shared" si="29"/>
        <v>0</v>
      </c>
      <c r="R23" s="103">
        <v>269.52</v>
      </c>
      <c r="S23" s="108">
        <f t="shared" si="4"/>
        <v>1.4477589789254952</v>
      </c>
      <c r="T23" s="109">
        <f t="shared" si="30"/>
        <v>265.61799999999999</v>
      </c>
      <c r="U23" s="106">
        <v>34.520000000000003</v>
      </c>
      <c r="V23" s="109">
        <f t="shared" si="5"/>
        <v>265.61799999999999</v>
      </c>
      <c r="W23" s="485">
        <f t="shared" si="6"/>
        <v>1.4578095371384194</v>
      </c>
      <c r="X23" s="495">
        <f t="shared" si="31"/>
        <v>1.4578095371384194</v>
      </c>
      <c r="Y23" s="135">
        <v>182.2</v>
      </c>
      <c r="Z23" s="129">
        <v>131.22999999999999</v>
      </c>
      <c r="AA23" s="131">
        <v>0.99</v>
      </c>
      <c r="AB23" s="112">
        <v>685</v>
      </c>
      <c r="AC23" s="133">
        <v>1227</v>
      </c>
      <c r="AD23" s="144" t="s">
        <v>304</v>
      </c>
      <c r="AE23" s="131">
        <v>76.260000000000005</v>
      </c>
      <c r="AF23" s="133">
        <v>131</v>
      </c>
      <c r="AG23" s="134">
        <v>4</v>
      </c>
      <c r="AH23" s="131">
        <v>2.2999999999999998</v>
      </c>
      <c r="AI23" s="115">
        <f t="shared" si="7"/>
        <v>12.623248181291798</v>
      </c>
      <c r="AJ23" s="131">
        <v>110.75</v>
      </c>
      <c r="AK23" s="115">
        <f t="shared" si="8"/>
        <v>607.83684177307236</v>
      </c>
      <c r="AL23" s="139">
        <v>16.399999999999999</v>
      </c>
      <c r="AM23" s="131"/>
      <c r="AN23" s="136">
        <v>10.71</v>
      </c>
      <c r="AO23" s="466">
        <f t="shared" si="9"/>
        <v>44.716499999999996</v>
      </c>
      <c r="AP23" s="110">
        <f t="shared" si="10"/>
        <v>0.19</v>
      </c>
      <c r="AQ23" s="137" t="s">
        <v>368</v>
      </c>
      <c r="AR23" s="150">
        <v>7.58</v>
      </c>
      <c r="AS23" s="138">
        <v>9.26</v>
      </c>
      <c r="AT23" s="134"/>
      <c r="AU23" s="131">
        <v>7.02</v>
      </c>
      <c r="AV23" s="315">
        <v>235.35</v>
      </c>
      <c r="AW23" s="131">
        <v>2.2799999999999998</v>
      </c>
      <c r="AX23" s="116"/>
      <c r="AY23" s="131"/>
      <c r="AZ23" s="109">
        <f t="shared" si="42"/>
        <v>0</v>
      </c>
      <c r="BA23" s="109">
        <f t="shared" si="11"/>
        <v>182.20349999999999</v>
      </c>
      <c r="BB23" s="115">
        <f t="shared" si="12"/>
        <v>186.22059355373219</v>
      </c>
      <c r="BC23" s="140">
        <f t="shared" si="13"/>
        <v>6.0226161971830976</v>
      </c>
      <c r="BD23" s="141">
        <f t="shared" si="14"/>
        <v>7.2881399999999994</v>
      </c>
      <c r="BE23" s="128">
        <f t="shared" si="15"/>
        <v>0.85416791163918004</v>
      </c>
      <c r="BF23" s="141">
        <f t="shared" si="16"/>
        <v>13.310756197183096</v>
      </c>
      <c r="BG23" s="142">
        <v>0.81799999999999995</v>
      </c>
      <c r="BH23" s="16">
        <f t="shared" si="32"/>
        <v>2934.8955000000001</v>
      </c>
      <c r="BI23" s="16">
        <f t="shared" si="17"/>
        <v>182.25806451612902</v>
      </c>
      <c r="BJ23" s="16">
        <f t="shared" si="33"/>
        <v>3098.3870967741923</v>
      </c>
      <c r="BK23" s="17">
        <f t="shared" si="18"/>
        <v>1</v>
      </c>
      <c r="BL23" s="16">
        <f t="shared" si="34"/>
        <v>3098.3870967741923</v>
      </c>
      <c r="BM23" s="519"/>
      <c r="BN23" s="266">
        <f t="shared" si="35"/>
        <v>49.796999999999997</v>
      </c>
      <c r="BO23" s="313"/>
      <c r="BP23" s="266">
        <f t="shared" si="36"/>
        <v>282.00200000000001</v>
      </c>
      <c r="BQ23" s="313">
        <v>85.123000000000005</v>
      </c>
      <c r="BR23" s="230">
        <v>13.356999999999999</v>
      </c>
      <c r="BS23" s="258"/>
      <c r="BT23" s="199"/>
      <c r="BU23" s="200"/>
      <c r="BV23" s="200"/>
      <c r="BW23" s="200"/>
      <c r="BX23" s="200">
        <v>0.3</v>
      </c>
      <c r="BY23" s="208">
        <v>0.37</v>
      </c>
      <c r="BZ23" s="208">
        <v>1.33</v>
      </c>
      <c r="CA23" s="201"/>
      <c r="CB23" s="202"/>
      <c r="CC23" s="200">
        <v>43.18</v>
      </c>
      <c r="CD23" s="200"/>
      <c r="CE23" s="200">
        <v>37.49</v>
      </c>
      <c r="CF23" s="208">
        <v>37.369999999999997</v>
      </c>
      <c r="CG23" s="208">
        <v>31.02</v>
      </c>
      <c r="CH23" s="209"/>
      <c r="CI23" s="199"/>
      <c r="CJ23" s="197"/>
      <c r="CK23" s="230">
        <v>78.599999999999994</v>
      </c>
      <c r="CL23" s="266">
        <f t="shared" si="37"/>
        <v>187.018</v>
      </c>
      <c r="CM23" s="453"/>
      <c r="CN23" s="202"/>
      <c r="CO23" s="208"/>
      <c r="CP23" s="208"/>
      <c r="CQ23" s="201"/>
      <c r="CR23" s="201"/>
      <c r="CS23" s="284"/>
      <c r="CT23" s="286">
        <f t="shared" si="19"/>
        <v>0</v>
      </c>
      <c r="CU23" s="24">
        <f t="shared" si="19"/>
        <v>49.796999999999997</v>
      </c>
      <c r="CV23" s="25">
        <f t="shared" si="19"/>
        <v>0</v>
      </c>
      <c r="CW23" s="24">
        <f t="shared" si="19"/>
        <v>281.15599400000002</v>
      </c>
      <c r="CX23" s="27">
        <f t="shared" si="19"/>
        <v>84.808044899999999</v>
      </c>
      <c r="CY23" s="24">
        <f t="shared" si="19"/>
        <v>13.1793519</v>
      </c>
      <c r="CZ23" s="280">
        <f t="shared" si="19"/>
        <v>0</v>
      </c>
      <c r="DA23" s="237">
        <f t="shared" si="20"/>
        <v>0</v>
      </c>
      <c r="DB23" s="29">
        <f t="shared" si="20"/>
        <v>78.599999999999994</v>
      </c>
      <c r="DC23" s="277">
        <f t="shared" si="20"/>
        <v>187.018</v>
      </c>
      <c r="DD23" s="280">
        <f t="shared" si="20"/>
        <v>0</v>
      </c>
      <c r="DE23" s="508">
        <f t="shared" si="38"/>
        <v>0</v>
      </c>
      <c r="DG23" s="293">
        <f t="shared" si="21"/>
        <v>0</v>
      </c>
      <c r="DH23" s="294"/>
      <c r="DI23" s="294"/>
      <c r="DJ23" s="295">
        <f t="shared" si="22"/>
        <v>0</v>
      </c>
      <c r="DK23" s="296">
        <f t="shared" si="23"/>
        <v>0</v>
      </c>
      <c r="DM23" s="197">
        <v>262.00200000000001</v>
      </c>
      <c r="DN23" s="247">
        <f t="shared" si="39"/>
        <v>282.00200000000001</v>
      </c>
      <c r="DO23" s="197">
        <v>32.75</v>
      </c>
      <c r="DP23" s="247">
        <f t="shared" si="40"/>
        <v>49.796999999999997</v>
      </c>
      <c r="DR23" s="197">
        <v>166.56</v>
      </c>
      <c r="DS23" s="247">
        <f t="shared" si="41"/>
        <v>187.018</v>
      </c>
    </row>
    <row r="24" spans="1:123" ht="16.5" customHeight="1" thickBot="1">
      <c r="A24" s="127">
        <v>18</v>
      </c>
      <c r="B24" s="103">
        <f t="shared" si="24"/>
        <v>435.92400000000004</v>
      </c>
      <c r="C24" s="104">
        <f t="shared" si="0"/>
        <v>0.3517349813270203</v>
      </c>
      <c r="D24" s="143">
        <f t="shared" si="25"/>
        <v>434.39070280000004</v>
      </c>
      <c r="E24" s="104">
        <f t="shared" si="1"/>
        <v>37.991908360172872</v>
      </c>
      <c r="F24" s="128">
        <f t="shared" si="26"/>
        <v>2.2965044318620378</v>
      </c>
      <c r="G24" s="106"/>
      <c r="H24" s="107">
        <f t="shared" si="2"/>
        <v>2.0306825839399849</v>
      </c>
      <c r="I24" s="103">
        <f>'[1]сентябрь 20'!AE23</f>
        <v>0</v>
      </c>
      <c r="J24" s="328">
        <f>'[1]июль 20'!AA23</f>
        <v>0</v>
      </c>
      <c r="K24" s="106"/>
      <c r="L24" s="328">
        <f t="shared" si="27"/>
        <v>50.281000000000006</v>
      </c>
      <c r="M24" s="103">
        <f t="shared" si="3"/>
        <v>0.26582184792205255</v>
      </c>
      <c r="N24" s="103">
        <f>'[1]июль 20'!W23</f>
        <v>0</v>
      </c>
      <c r="O24" s="103">
        <f>'[1]июль 20'!AM23</f>
        <v>0</v>
      </c>
      <c r="P24" s="447">
        <f t="shared" si="28"/>
        <v>0</v>
      </c>
      <c r="Q24" s="103">
        <f t="shared" si="29"/>
        <v>0</v>
      </c>
      <c r="R24" s="103">
        <v>273.25</v>
      </c>
      <c r="S24" s="108">
        <f t="shared" si="4"/>
        <v>1.4938700823421747</v>
      </c>
      <c r="T24" s="109">
        <f t="shared" si="30"/>
        <v>269.16800000000001</v>
      </c>
      <c r="U24" s="106">
        <v>35.28</v>
      </c>
      <c r="V24" s="109">
        <f t="shared" si="5"/>
        <v>269.16800000000001</v>
      </c>
      <c r="W24" s="485">
        <f t="shared" si="6"/>
        <v>1.4230173457465649</v>
      </c>
      <c r="X24" s="495">
        <f t="shared" si="31"/>
        <v>1.4230173457465649</v>
      </c>
      <c r="Y24" s="135">
        <v>189.15</v>
      </c>
      <c r="Z24" s="129">
        <v>189.15</v>
      </c>
      <c r="AA24" s="131">
        <v>0.76</v>
      </c>
      <c r="AB24" s="133">
        <v>668</v>
      </c>
      <c r="AC24" s="133">
        <v>1230</v>
      </c>
      <c r="AD24" s="144" t="s">
        <v>318</v>
      </c>
      <c r="AE24" s="131">
        <v>75.92</v>
      </c>
      <c r="AF24" s="133">
        <v>133</v>
      </c>
      <c r="AG24" s="134">
        <v>4</v>
      </c>
      <c r="AH24" s="131">
        <v>3.8</v>
      </c>
      <c r="AI24" s="115">
        <f t="shared" si="7"/>
        <v>20.089557130999772</v>
      </c>
      <c r="AJ24" s="131">
        <v>108.45</v>
      </c>
      <c r="AK24" s="115">
        <f t="shared" si="8"/>
        <v>573.3453870676118</v>
      </c>
      <c r="AL24" s="139">
        <v>16.78</v>
      </c>
      <c r="AM24" s="131"/>
      <c r="AN24" s="136">
        <v>9.36</v>
      </c>
      <c r="AO24" s="466">
        <f t="shared" si="9"/>
        <v>45.847000000000001</v>
      </c>
      <c r="AP24" s="110">
        <f t="shared" si="10"/>
        <v>0.19</v>
      </c>
      <c r="AQ24" s="137" t="s">
        <v>369</v>
      </c>
      <c r="AR24" s="150">
        <v>8.25</v>
      </c>
      <c r="AS24" s="138">
        <v>9.0299999999999994</v>
      </c>
      <c r="AT24" s="134"/>
      <c r="AU24" s="131">
        <v>5.96</v>
      </c>
      <c r="AV24" s="315">
        <v>241.3</v>
      </c>
      <c r="AW24" s="131">
        <v>3.06</v>
      </c>
      <c r="AX24" s="116"/>
      <c r="AY24" s="131"/>
      <c r="AZ24" s="109">
        <f t="shared" si="42"/>
        <v>0</v>
      </c>
      <c r="BA24" s="109">
        <f t="shared" si="11"/>
        <v>189.15300000000002</v>
      </c>
      <c r="BB24" s="115">
        <f t="shared" si="12"/>
        <v>189.77092515912838</v>
      </c>
      <c r="BC24" s="140">
        <f t="shared" si="13"/>
        <v>5.0070295774647882</v>
      </c>
      <c r="BD24" s="141"/>
      <c r="BE24" s="128">
        <f t="shared" si="15"/>
        <v>0.87015736926788601</v>
      </c>
      <c r="BF24" s="141">
        <f t="shared" si="16"/>
        <v>5.0070295774647882</v>
      </c>
      <c r="BG24" s="142">
        <v>0.82099999999999995</v>
      </c>
      <c r="BH24" s="16">
        <f t="shared" si="32"/>
        <v>3124.0484999999999</v>
      </c>
      <c r="BI24" s="16">
        <f t="shared" si="17"/>
        <v>182.25806451612902</v>
      </c>
      <c r="BJ24" s="16">
        <f t="shared" si="33"/>
        <v>3280.6451612903211</v>
      </c>
      <c r="BK24" s="17">
        <f t="shared" si="18"/>
        <v>1</v>
      </c>
      <c r="BL24" s="16">
        <f t="shared" si="34"/>
        <v>3280.6451612903211</v>
      </c>
      <c r="BM24" s="519"/>
      <c r="BN24" s="266">
        <f t="shared" si="35"/>
        <v>50.281000000000006</v>
      </c>
      <c r="BO24" s="313"/>
      <c r="BP24" s="266">
        <f t="shared" si="36"/>
        <v>285.93700000000001</v>
      </c>
      <c r="BQ24" s="313">
        <v>86.409000000000006</v>
      </c>
      <c r="BR24" s="230">
        <v>13.297000000000001</v>
      </c>
      <c r="BS24" s="258"/>
      <c r="BT24" s="199"/>
      <c r="BU24" s="200"/>
      <c r="BV24" s="200"/>
      <c r="BW24" s="200"/>
      <c r="BX24" s="200">
        <v>0.41</v>
      </c>
      <c r="BY24" s="208">
        <v>0.27</v>
      </c>
      <c r="BZ24" s="208">
        <v>0.96</v>
      </c>
      <c r="CA24" s="201"/>
      <c r="CB24" s="202"/>
      <c r="CC24" s="200">
        <v>43.84</v>
      </c>
      <c r="CD24" s="200"/>
      <c r="CE24" s="200">
        <v>37.159999999999997</v>
      </c>
      <c r="CF24" s="208">
        <v>38.17</v>
      </c>
      <c r="CG24" s="208">
        <v>32.61</v>
      </c>
      <c r="CH24" s="209"/>
      <c r="CI24" s="199"/>
      <c r="CJ24" s="197"/>
      <c r="CK24" s="230">
        <v>79.8</v>
      </c>
      <c r="CL24" s="266">
        <f t="shared" si="37"/>
        <v>189.36799999999999</v>
      </c>
      <c r="CM24" s="453"/>
      <c r="CN24" s="202"/>
      <c r="CO24" s="208"/>
      <c r="CP24" s="208"/>
      <c r="CQ24" s="201"/>
      <c r="CR24" s="201"/>
      <c r="CS24" s="284"/>
      <c r="CT24" s="286">
        <f t="shared" si="19"/>
        <v>0</v>
      </c>
      <c r="CU24" s="29">
        <f t="shared" si="19"/>
        <v>50.281000000000006</v>
      </c>
      <c r="CV24" s="30">
        <f t="shared" si="19"/>
        <v>0</v>
      </c>
      <c r="CW24" s="29">
        <f t="shared" si="19"/>
        <v>284.76465830000001</v>
      </c>
      <c r="CX24" s="27">
        <f t="shared" si="19"/>
        <v>86.175695700000006</v>
      </c>
      <c r="CY24" s="27">
        <f t="shared" si="19"/>
        <v>13.169348800000002</v>
      </c>
      <c r="CZ24" s="282">
        <f t="shared" si="19"/>
        <v>0</v>
      </c>
      <c r="DA24" s="25">
        <f t="shared" si="20"/>
        <v>0</v>
      </c>
      <c r="DB24" s="26">
        <f t="shared" si="20"/>
        <v>79.8</v>
      </c>
      <c r="DC24" s="277">
        <f t="shared" si="20"/>
        <v>189.36799999999999</v>
      </c>
      <c r="DD24" s="280">
        <f t="shared" si="20"/>
        <v>0</v>
      </c>
      <c r="DE24" s="508">
        <f t="shared" si="38"/>
        <v>0</v>
      </c>
      <c r="DG24" s="293">
        <f t="shared" si="21"/>
        <v>0</v>
      </c>
      <c r="DH24" s="294"/>
      <c r="DI24" s="294"/>
      <c r="DJ24" s="295">
        <f t="shared" si="22"/>
        <v>0</v>
      </c>
      <c r="DK24" s="296">
        <f t="shared" si="23"/>
        <v>0</v>
      </c>
      <c r="DM24" s="197">
        <v>265.93700000000001</v>
      </c>
      <c r="DN24" s="247">
        <f t="shared" si="39"/>
        <v>285.93700000000001</v>
      </c>
      <c r="DO24" s="197">
        <v>33.234000000000002</v>
      </c>
      <c r="DP24" s="247">
        <f t="shared" si="40"/>
        <v>50.281000000000006</v>
      </c>
      <c r="DR24" s="197">
        <v>168.91</v>
      </c>
      <c r="DS24" s="247">
        <f t="shared" si="41"/>
        <v>189.36799999999999</v>
      </c>
    </row>
    <row r="25" spans="1:123" ht="16.5" customHeight="1" thickBot="1">
      <c r="A25" s="127">
        <v>19</v>
      </c>
      <c r="B25" s="103">
        <f t="shared" si="24"/>
        <v>447.66800000000001</v>
      </c>
      <c r="C25" s="104">
        <f t="shared" si="0"/>
        <v>0.25677555688590653</v>
      </c>
      <c r="D25" s="143">
        <f t="shared" si="25"/>
        <v>446.51849799999997</v>
      </c>
      <c r="E25" s="104">
        <f t="shared" si="1"/>
        <v>38.01014615742023</v>
      </c>
      <c r="F25" s="128">
        <f t="shared" si="26"/>
        <v>2.3761980171675186</v>
      </c>
      <c r="G25" s="106"/>
      <c r="H25" s="107">
        <f t="shared" si="2"/>
        <v>2.1038219708056389</v>
      </c>
      <c r="I25" s="103">
        <f>'[1]сентябрь 20'!AE24</f>
        <v>0</v>
      </c>
      <c r="J25" s="328">
        <f>'[1]июль 20'!AA24</f>
        <v>0</v>
      </c>
      <c r="K25" s="106"/>
      <c r="L25" s="328">
        <f t="shared" si="27"/>
        <v>51.183000000000007</v>
      </c>
      <c r="M25" s="103">
        <f t="shared" si="3"/>
        <v>0.27237604636188023</v>
      </c>
      <c r="N25" s="103">
        <f>'[1]июль 20'!W24</f>
        <v>0</v>
      </c>
      <c r="O25" s="103">
        <f>'[1]июль 20'!AM24</f>
        <v>2.8069999999999999</v>
      </c>
      <c r="P25" s="447">
        <f t="shared" si="28"/>
        <v>2.7957719999999999</v>
      </c>
      <c r="Q25" s="103">
        <f t="shared" si="29"/>
        <v>1.4878012697365269E-2</v>
      </c>
      <c r="R25" s="103">
        <v>280.2</v>
      </c>
      <c r="S25" s="108">
        <f t="shared" si="4"/>
        <v>1.374732334047124</v>
      </c>
      <c r="T25" s="109">
        <f t="shared" si="30"/>
        <v>276.34799999999996</v>
      </c>
      <c r="U25" s="106">
        <v>35.337000000000003</v>
      </c>
      <c r="V25" s="109">
        <f t="shared" si="5"/>
        <v>276.34799999999996</v>
      </c>
      <c r="W25" s="485">
        <f t="shared" si="6"/>
        <v>1.4706167215679593</v>
      </c>
      <c r="X25" s="495">
        <f t="shared" si="31"/>
        <v>1.4854947342653246</v>
      </c>
      <c r="Y25" s="135">
        <v>187.91</v>
      </c>
      <c r="Z25" s="129">
        <v>187.91</v>
      </c>
      <c r="AA25" s="131">
        <v>0.69</v>
      </c>
      <c r="AB25" s="133">
        <v>667</v>
      </c>
      <c r="AC25" s="133">
        <v>1220</v>
      </c>
      <c r="AD25" s="144" t="s">
        <v>370</v>
      </c>
      <c r="AE25" s="131">
        <v>76.12</v>
      </c>
      <c r="AF25" s="133">
        <v>138</v>
      </c>
      <c r="AG25" s="134">
        <v>4</v>
      </c>
      <c r="AH25" s="131">
        <v>3.5</v>
      </c>
      <c r="AI25" s="115">
        <f t="shared" si="7"/>
        <v>18.625640588995967</v>
      </c>
      <c r="AJ25" s="131">
        <v>117.55</v>
      </c>
      <c r="AK25" s="115">
        <f t="shared" si="8"/>
        <v>625.5554432104218</v>
      </c>
      <c r="AL25" s="139">
        <v>18.190000000000001</v>
      </c>
      <c r="AM25" s="131"/>
      <c r="AN25" s="136">
        <v>10.35</v>
      </c>
      <c r="AO25" s="466">
        <f t="shared" si="9"/>
        <v>45.847000000000001</v>
      </c>
      <c r="AP25" s="110">
        <f t="shared" si="10"/>
        <v>0.19</v>
      </c>
      <c r="AQ25" s="137" t="s">
        <v>371</v>
      </c>
      <c r="AR25" s="150">
        <v>7.93</v>
      </c>
      <c r="AS25" s="138">
        <v>9.11</v>
      </c>
      <c r="AT25" s="153"/>
      <c r="AU25" s="131">
        <v>7.47</v>
      </c>
      <c r="AV25" s="315">
        <v>241.3</v>
      </c>
      <c r="AW25" s="131">
        <v>2.81</v>
      </c>
      <c r="AX25" s="148"/>
      <c r="AY25" s="131"/>
      <c r="AZ25" s="109">
        <f t="shared" si="42"/>
        <v>0</v>
      </c>
      <c r="BA25" s="109">
        <f t="shared" si="11"/>
        <v>187.91300000000001</v>
      </c>
      <c r="BB25" s="115">
        <f t="shared" si="12"/>
        <v>194.65002276482312</v>
      </c>
      <c r="BC25" s="140">
        <f t="shared" si="13"/>
        <v>6.8021714788732384</v>
      </c>
      <c r="BD25" s="141">
        <f t="shared" ref="BD25:BD37" si="43">BA25*$BD$6</f>
        <v>7.5165200000000008</v>
      </c>
      <c r="BE25" s="128">
        <f t="shared" si="15"/>
        <v>0.84278463814105709</v>
      </c>
      <c r="BF25" s="141">
        <f t="shared" si="16"/>
        <v>14.318691478873239</v>
      </c>
      <c r="BG25" s="142">
        <v>0.82199999999999995</v>
      </c>
      <c r="BH25" s="16">
        <f t="shared" si="32"/>
        <v>3311.9614999999999</v>
      </c>
      <c r="BI25" s="16">
        <f t="shared" si="17"/>
        <v>182.25806451612902</v>
      </c>
      <c r="BJ25" s="16">
        <f t="shared" si="33"/>
        <v>3462.9032258064499</v>
      </c>
      <c r="BK25" s="17">
        <f t="shared" si="18"/>
        <v>1</v>
      </c>
      <c r="BL25" s="16">
        <f t="shared" si="34"/>
        <v>3462.9032258064499</v>
      </c>
      <c r="BM25" s="519"/>
      <c r="BN25" s="266">
        <f t="shared" si="35"/>
        <v>51.183000000000007</v>
      </c>
      <c r="BO25" s="313"/>
      <c r="BP25" s="266">
        <f t="shared" si="36"/>
        <v>293.56</v>
      </c>
      <c r="BQ25" s="313">
        <v>89.015000000000001</v>
      </c>
      <c r="BR25" s="230">
        <v>13.91</v>
      </c>
      <c r="BS25" s="258"/>
      <c r="BT25" s="199"/>
      <c r="BU25" s="200"/>
      <c r="BV25" s="200"/>
      <c r="BW25" s="200"/>
      <c r="BX25" s="200">
        <v>0.25</v>
      </c>
      <c r="BY25" s="208">
        <v>0.32</v>
      </c>
      <c r="BZ25" s="208">
        <v>0.94</v>
      </c>
      <c r="CA25" s="201"/>
      <c r="CB25" s="202"/>
      <c r="CC25" s="200">
        <v>43.77</v>
      </c>
      <c r="CD25" s="200"/>
      <c r="CE25" s="200">
        <v>37.299999999999997</v>
      </c>
      <c r="CF25" s="208">
        <v>37.520000000000003</v>
      </c>
      <c r="CG25" s="208">
        <v>34.94</v>
      </c>
      <c r="CH25" s="201"/>
      <c r="CI25" s="199"/>
      <c r="CJ25" s="197"/>
      <c r="CK25" s="230"/>
      <c r="CL25" s="266">
        <f t="shared" si="37"/>
        <v>276.34799999999996</v>
      </c>
      <c r="CM25" s="453"/>
      <c r="CN25" s="202"/>
      <c r="CO25" s="208"/>
      <c r="CP25" s="208"/>
      <c r="CQ25" s="201"/>
      <c r="CR25" s="201">
        <v>0.4</v>
      </c>
      <c r="CS25" s="284"/>
      <c r="CT25" s="286">
        <f t="shared" si="19"/>
        <v>0</v>
      </c>
      <c r="CU25" s="24">
        <f t="shared" si="19"/>
        <v>51.183000000000007</v>
      </c>
      <c r="CV25" s="25">
        <f t="shared" si="19"/>
        <v>0</v>
      </c>
      <c r="CW25" s="24">
        <f t="shared" si="19"/>
        <v>292.8261</v>
      </c>
      <c r="CX25" s="27">
        <f t="shared" si="19"/>
        <v>88.730152000000004</v>
      </c>
      <c r="CY25" s="30">
        <f t="shared" si="19"/>
        <v>13.779246000000001</v>
      </c>
      <c r="CZ25" s="280">
        <f t="shared" si="19"/>
        <v>0</v>
      </c>
      <c r="DA25" s="25">
        <f t="shared" si="20"/>
        <v>0</v>
      </c>
      <c r="DB25" s="26">
        <f t="shared" si="20"/>
        <v>0</v>
      </c>
      <c r="DC25" s="277">
        <f t="shared" si="20"/>
        <v>276.34799999999996</v>
      </c>
      <c r="DD25" s="280">
        <f t="shared" si="20"/>
        <v>0</v>
      </c>
      <c r="DE25" s="508">
        <f t="shared" si="38"/>
        <v>2.7957719999999999</v>
      </c>
      <c r="DG25" s="293">
        <f t="shared" si="21"/>
        <v>0</v>
      </c>
      <c r="DH25" s="294"/>
      <c r="DI25" s="294"/>
      <c r="DJ25" s="295">
        <f t="shared" si="22"/>
        <v>0</v>
      </c>
      <c r="DK25" s="296">
        <f t="shared" si="23"/>
        <v>0</v>
      </c>
      <c r="DM25" s="197">
        <v>273.56</v>
      </c>
      <c r="DN25" s="247">
        <f t="shared" si="39"/>
        <v>293.56</v>
      </c>
      <c r="DO25" s="197">
        <v>34.136000000000003</v>
      </c>
      <c r="DP25" s="247">
        <f t="shared" si="40"/>
        <v>51.183000000000007</v>
      </c>
      <c r="DR25" s="197">
        <v>255.89</v>
      </c>
      <c r="DS25" s="247">
        <f t="shared" si="41"/>
        <v>276.34799999999996</v>
      </c>
    </row>
    <row r="26" spans="1:123" ht="16.5" customHeight="1" thickBot="1">
      <c r="A26" s="127">
        <v>20</v>
      </c>
      <c r="B26" s="103">
        <f t="shared" si="24"/>
        <v>466.18700000000001</v>
      </c>
      <c r="C26" s="104">
        <f t="shared" si="0"/>
        <v>1.0396761599958813</v>
      </c>
      <c r="D26" s="143">
        <f t="shared" si="25"/>
        <v>461.34016490000005</v>
      </c>
      <c r="E26" s="104">
        <f t="shared" si="1"/>
        <v>37.940053883956438</v>
      </c>
      <c r="F26" s="128">
        <f t="shared" si="26"/>
        <v>2.3024872727907928</v>
      </c>
      <c r="G26" s="106"/>
      <c r="H26" s="107">
        <f t="shared" si="2"/>
        <v>2.0389146107623044</v>
      </c>
      <c r="I26" s="103">
        <f>'[1]сентябрь 20'!AE25</f>
        <v>0</v>
      </c>
      <c r="J26" s="328">
        <f>'[1]июль 20'!AA25</f>
        <v>0</v>
      </c>
      <c r="K26" s="106"/>
      <c r="L26" s="328">
        <f t="shared" si="27"/>
        <v>52.811000000000007</v>
      </c>
      <c r="M26" s="103">
        <f t="shared" si="3"/>
        <v>0.26357266202848789</v>
      </c>
      <c r="N26" s="103">
        <f>'[1]июль 20'!W25</f>
        <v>0</v>
      </c>
      <c r="O26" s="103">
        <f>'[1]июль 20'!AM25</f>
        <v>7.1479999999999997</v>
      </c>
      <c r="P26" s="447">
        <f t="shared" si="28"/>
        <v>7.119408</v>
      </c>
      <c r="Q26" s="103">
        <f t="shared" si="29"/>
        <v>3.5532016409969752E-2</v>
      </c>
      <c r="R26" s="103">
        <v>290</v>
      </c>
      <c r="S26" s="108">
        <f t="shared" si="4"/>
        <v>1.1834482758620757</v>
      </c>
      <c r="T26" s="109">
        <f t="shared" si="30"/>
        <v>286.56799999999998</v>
      </c>
      <c r="U26" s="106">
        <v>7.1479999999999997</v>
      </c>
      <c r="V26" s="109">
        <f t="shared" si="5"/>
        <v>286.56799999999998</v>
      </c>
      <c r="W26" s="485">
        <f t="shared" si="6"/>
        <v>1.4302226924727746</v>
      </c>
      <c r="X26" s="495">
        <f t="shared" si="31"/>
        <v>1.4657547088827443</v>
      </c>
      <c r="Y26" s="135">
        <v>200.37</v>
      </c>
      <c r="Z26" s="154">
        <v>145.96</v>
      </c>
      <c r="AA26" s="149">
        <v>0.85</v>
      </c>
      <c r="AB26" s="147">
        <v>673</v>
      </c>
      <c r="AC26" s="147">
        <v>1224</v>
      </c>
      <c r="AD26" s="144" t="s">
        <v>373</v>
      </c>
      <c r="AE26" s="149">
        <v>76.459999999999994</v>
      </c>
      <c r="AF26" s="147">
        <v>143</v>
      </c>
      <c r="AG26" s="155">
        <v>4</v>
      </c>
      <c r="AH26" s="149"/>
      <c r="AI26" s="115">
        <f t="shared" si="7"/>
        <v>0</v>
      </c>
      <c r="AJ26" s="149">
        <v>118.7</v>
      </c>
      <c r="AK26" s="115">
        <f t="shared" si="8"/>
        <v>592.4158789415369</v>
      </c>
      <c r="AL26" s="156">
        <v>17.57</v>
      </c>
      <c r="AM26" s="149"/>
      <c r="AN26" s="157">
        <v>6.48</v>
      </c>
      <c r="AO26" s="466">
        <f t="shared" si="9"/>
        <v>47.804000000000002</v>
      </c>
      <c r="AP26" s="110">
        <f t="shared" si="10"/>
        <v>0.19</v>
      </c>
      <c r="AQ26" s="158" t="s">
        <v>374</v>
      </c>
      <c r="AR26" s="404">
        <v>7.86</v>
      </c>
      <c r="AS26" s="159">
        <v>8.64</v>
      </c>
      <c r="AT26" s="155"/>
      <c r="AU26" s="149">
        <v>7.43</v>
      </c>
      <c r="AV26" s="315">
        <v>251.6</v>
      </c>
      <c r="AW26" s="131">
        <v>3.05</v>
      </c>
      <c r="AX26" s="148"/>
      <c r="AY26" s="149"/>
      <c r="AZ26" s="160">
        <f t="shared" si="42"/>
        <v>0</v>
      </c>
      <c r="BA26" s="109">
        <f t="shared" si="11"/>
        <v>200.36600000000001</v>
      </c>
      <c r="BB26" s="115">
        <f t="shared" si="12"/>
        <v>199.84770251525836</v>
      </c>
      <c r="BC26" s="140">
        <f t="shared" si="13"/>
        <v>6.8319373239436612</v>
      </c>
      <c r="BD26" s="140">
        <f t="shared" si="43"/>
        <v>8.01464</v>
      </c>
      <c r="BE26" s="161">
        <f t="shared" si="15"/>
        <v>0.87526409259893745</v>
      </c>
      <c r="BF26" s="140">
        <f t="shared" si="16"/>
        <v>14.846577323943661</v>
      </c>
      <c r="BG26" s="162">
        <v>0.82499999999999996</v>
      </c>
      <c r="BH26" s="16">
        <f t="shared" si="32"/>
        <v>3512.3274999999999</v>
      </c>
      <c r="BI26" s="16">
        <f t="shared" si="17"/>
        <v>182.25806451612902</v>
      </c>
      <c r="BJ26" s="16">
        <f t="shared" si="33"/>
        <v>3645.1612903225787</v>
      </c>
      <c r="BK26" s="17">
        <f t="shared" si="18"/>
        <v>1</v>
      </c>
      <c r="BL26" s="16">
        <f t="shared" si="34"/>
        <v>3645.1612903225787</v>
      </c>
      <c r="BM26" s="519"/>
      <c r="BN26" s="266">
        <f t="shared" si="35"/>
        <v>52.811000000000007</v>
      </c>
      <c r="BO26" s="313"/>
      <c r="BP26" s="266">
        <f t="shared" si="36"/>
        <v>306</v>
      </c>
      <c r="BQ26" s="313">
        <v>92.966999999999999</v>
      </c>
      <c r="BR26" s="230">
        <v>14.409000000000001</v>
      </c>
      <c r="BS26" s="258"/>
      <c r="BT26" s="199"/>
      <c r="BU26" s="200"/>
      <c r="BV26" s="200"/>
      <c r="BW26" s="200"/>
      <c r="BX26" s="200">
        <v>1.19</v>
      </c>
      <c r="BY26" s="208">
        <v>0.92</v>
      </c>
      <c r="BZ26" s="208">
        <v>2.4300000000000002</v>
      </c>
      <c r="CA26" s="201"/>
      <c r="CB26" s="202"/>
      <c r="CC26" s="200">
        <v>43.63</v>
      </c>
      <c r="CD26" s="200"/>
      <c r="CE26" s="200">
        <v>37.19</v>
      </c>
      <c r="CF26" s="208">
        <v>38.26</v>
      </c>
      <c r="CG26" s="208">
        <v>30.95</v>
      </c>
      <c r="CH26" s="209"/>
      <c r="CI26" s="199"/>
      <c r="CJ26" s="197"/>
      <c r="CK26" s="230"/>
      <c r="CL26" s="266">
        <f t="shared" si="37"/>
        <v>286.56799999999998</v>
      </c>
      <c r="CM26" s="453"/>
      <c r="CN26" s="202"/>
      <c r="CO26" s="208"/>
      <c r="CP26" s="208"/>
      <c r="CQ26" s="201"/>
      <c r="CR26" s="201">
        <v>0.4</v>
      </c>
      <c r="CS26" s="284"/>
      <c r="CT26" s="286">
        <f t="shared" si="19"/>
        <v>0</v>
      </c>
      <c r="CU26" s="24">
        <f t="shared" si="19"/>
        <v>52.811000000000007</v>
      </c>
      <c r="CV26" s="25">
        <f t="shared" si="19"/>
        <v>0</v>
      </c>
      <c r="CW26" s="24">
        <f t="shared" si="19"/>
        <v>302.35859999999997</v>
      </c>
      <c r="CX26" s="27">
        <f t="shared" si="19"/>
        <v>92.111703599999998</v>
      </c>
      <c r="CY26" s="24">
        <f t="shared" si="19"/>
        <v>14.058861299999998</v>
      </c>
      <c r="CZ26" s="280">
        <f t="shared" si="19"/>
        <v>0</v>
      </c>
      <c r="DA26" s="30">
        <f t="shared" si="20"/>
        <v>0</v>
      </c>
      <c r="DB26" s="26">
        <f t="shared" si="20"/>
        <v>0</v>
      </c>
      <c r="DC26" s="277">
        <f t="shared" si="20"/>
        <v>286.56799999999998</v>
      </c>
      <c r="DD26" s="280">
        <f t="shared" si="20"/>
        <v>0</v>
      </c>
      <c r="DE26" s="508">
        <f t="shared" si="38"/>
        <v>7.119408</v>
      </c>
      <c r="DG26" s="293">
        <f t="shared" si="21"/>
        <v>0</v>
      </c>
      <c r="DH26" s="294"/>
      <c r="DI26" s="294"/>
      <c r="DJ26" s="295">
        <f t="shared" si="22"/>
        <v>0</v>
      </c>
      <c r="DK26" s="296">
        <f t="shared" si="23"/>
        <v>0</v>
      </c>
      <c r="DM26" s="197">
        <v>286</v>
      </c>
      <c r="DN26" s="247">
        <f t="shared" si="39"/>
        <v>306</v>
      </c>
      <c r="DO26" s="197">
        <v>35.764000000000003</v>
      </c>
      <c r="DP26" s="247">
        <f t="shared" si="40"/>
        <v>52.811000000000007</v>
      </c>
      <c r="DR26" s="197">
        <v>266.11</v>
      </c>
      <c r="DS26" s="247">
        <f t="shared" si="41"/>
        <v>286.56799999999998</v>
      </c>
    </row>
    <row r="27" spans="1:123" ht="16.5" customHeight="1" thickBot="1">
      <c r="A27" s="127">
        <v>21</v>
      </c>
      <c r="B27" s="103">
        <f t="shared" si="24"/>
        <v>457.46499999999997</v>
      </c>
      <c r="C27" s="104">
        <f t="shared" si="0"/>
        <v>1.1204259998032637</v>
      </c>
      <c r="D27" s="143">
        <f t="shared" si="25"/>
        <v>452.33944319999995</v>
      </c>
      <c r="E27" s="104">
        <f t="shared" si="1"/>
        <v>37.653843244838406</v>
      </c>
      <c r="F27" s="128">
        <f t="shared" si="26"/>
        <v>2.368362334646648</v>
      </c>
      <c r="G27" s="106"/>
      <c r="H27" s="107">
        <f t="shared" si="2"/>
        <v>2.0955767540610233</v>
      </c>
      <c r="I27" s="103">
        <f>'[1]сентябрь 20'!AE26</f>
        <v>0</v>
      </c>
      <c r="J27" s="328">
        <f>'[1]июль 20'!AA26</f>
        <v>0</v>
      </c>
      <c r="K27" s="106"/>
      <c r="L27" s="328">
        <f t="shared" si="27"/>
        <v>52.099999999999994</v>
      </c>
      <c r="M27" s="103">
        <f t="shared" si="3"/>
        <v>0.27278558058562508</v>
      </c>
      <c r="N27" s="103">
        <f>'[1]июль 20'!W26</f>
        <v>0</v>
      </c>
      <c r="O27" s="103">
        <f>'[1]июль 20'!AM26</f>
        <v>7.0339999999999998</v>
      </c>
      <c r="P27" s="447">
        <f t="shared" si="28"/>
        <v>7.0058639999999999</v>
      </c>
      <c r="Q27" s="103">
        <f t="shared" si="29"/>
        <v>3.6681356597772163E-2</v>
      </c>
      <c r="R27" s="103">
        <v>282.54000000000002</v>
      </c>
      <c r="S27" s="108">
        <f t="shared" si="4"/>
        <v>1.519076944857356</v>
      </c>
      <c r="T27" s="109">
        <f t="shared" si="30"/>
        <v>278.24800000000005</v>
      </c>
      <c r="U27" s="106">
        <v>34.503999999999998</v>
      </c>
      <c r="V27" s="109">
        <f t="shared" si="5"/>
        <v>278.24800000000005</v>
      </c>
      <c r="W27" s="485">
        <f t="shared" si="6"/>
        <v>1.4568530177886567</v>
      </c>
      <c r="X27" s="495">
        <f t="shared" si="31"/>
        <v>1.4935343743864289</v>
      </c>
      <c r="Y27" s="487">
        <v>190.99</v>
      </c>
      <c r="Z27" s="129">
        <v>96.37</v>
      </c>
      <c r="AA27" s="131">
        <v>0.98</v>
      </c>
      <c r="AB27" s="133">
        <v>675</v>
      </c>
      <c r="AC27" s="133">
        <v>1228</v>
      </c>
      <c r="AD27" s="144" t="s">
        <v>375</v>
      </c>
      <c r="AE27" s="131">
        <v>75.92</v>
      </c>
      <c r="AF27" s="133">
        <v>140</v>
      </c>
      <c r="AG27" s="134">
        <v>4</v>
      </c>
      <c r="AH27" s="131">
        <v>3.8</v>
      </c>
      <c r="AI27" s="115">
        <f t="shared" si="7"/>
        <v>19.896069217377644</v>
      </c>
      <c r="AJ27" s="131">
        <v>115.8</v>
      </c>
      <c r="AK27" s="115">
        <f t="shared" si="8"/>
        <v>606.30653036113983</v>
      </c>
      <c r="AL27" s="139">
        <v>18.61</v>
      </c>
      <c r="AM27" s="131"/>
      <c r="AN27" s="136">
        <v>11.2</v>
      </c>
      <c r="AO27" s="466">
        <f t="shared" si="9"/>
        <v>46.787500000000001</v>
      </c>
      <c r="AP27" s="110">
        <f t="shared" si="10"/>
        <v>0.19</v>
      </c>
      <c r="AQ27" s="137" t="s">
        <v>376</v>
      </c>
      <c r="AR27" s="150">
        <v>8.56</v>
      </c>
      <c r="AS27" s="138">
        <v>8.66</v>
      </c>
      <c r="AT27" s="134"/>
      <c r="AU27" s="131">
        <v>6.59</v>
      </c>
      <c r="AV27" s="139">
        <v>246.25</v>
      </c>
      <c r="AW27" s="131">
        <v>2.73</v>
      </c>
      <c r="AX27" s="148"/>
      <c r="AY27" s="131"/>
      <c r="AZ27" s="109">
        <f t="shared" si="42"/>
        <v>0</v>
      </c>
      <c r="BA27" s="109">
        <f t="shared" si="11"/>
        <v>190.99250000000001</v>
      </c>
      <c r="BB27" s="115">
        <f t="shared" si="12"/>
        <v>195.85371496010373</v>
      </c>
      <c r="BC27" s="140">
        <f t="shared" si="13"/>
        <v>5.9115084507042246</v>
      </c>
      <c r="BD27" s="141">
        <f t="shared" si="43"/>
        <v>7.6397000000000004</v>
      </c>
      <c r="BE27" s="128">
        <f t="shared" si="15"/>
        <v>0.85133157945952131</v>
      </c>
      <c r="BF27" s="141">
        <f t="shared" si="16"/>
        <v>13.551208450704225</v>
      </c>
      <c r="BG27" s="142">
        <v>0.82699999999999996</v>
      </c>
      <c r="BH27" s="16">
        <f t="shared" si="32"/>
        <v>3703.3199999999997</v>
      </c>
      <c r="BI27" s="16">
        <f t="shared" si="17"/>
        <v>182.25806451612902</v>
      </c>
      <c r="BJ27" s="16">
        <f t="shared" si="33"/>
        <v>3827.4193548387075</v>
      </c>
      <c r="BK27" s="17">
        <f t="shared" si="18"/>
        <v>1</v>
      </c>
      <c r="BL27" s="16">
        <f t="shared" si="34"/>
        <v>3827.4193548387075</v>
      </c>
      <c r="BM27" s="519"/>
      <c r="BN27" s="266">
        <f t="shared" si="35"/>
        <v>52.099999999999994</v>
      </c>
      <c r="BO27" s="313"/>
      <c r="BP27" s="266">
        <f t="shared" si="36"/>
        <v>300.27100000000002</v>
      </c>
      <c r="BQ27" s="313">
        <v>91.054000000000002</v>
      </c>
      <c r="BR27" s="230">
        <v>14.04</v>
      </c>
      <c r="BS27" s="258"/>
      <c r="BT27" s="199"/>
      <c r="BU27" s="200"/>
      <c r="BV27" s="200"/>
      <c r="BW27" s="200"/>
      <c r="BX27" s="200">
        <v>1.32</v>
      </c>
      <c r="BY27" s="208">
        <v>0.94</v>
      </c>
      <c r="BZ27" s="208">
        <v>2.1800000000000002</v>
      </c>
      <c r="CA27" s="201"/>
      <c r="CB27" s="202"/>
      <c r="CC27" s="200">
        <v>43.61</v>
      </c>
      <c r="CD27" s="200"/>
      <c r="CE27" s="200">
        <v>37</v>
      </c>
      <c r="CF27" s="208">
        <v>37.299999999999997</v>
      </c>
      <c r="CG27" s="208">
        <v>31.83</v>
      </c>
      <c r="CH27" s="209"/>
      <c r="CI27" s="199"/>
      <c r="CJ27" s="197"/>
      <c r="CK27" s="230"/>
      <c r="CL27" s="266">
        <f t="shared" si="37"/>
        <v>278.24800000000005</v>
      </c>
      <c r="CM27" s="453"/>
      <c r="CN27" s="202"/>
      <c r="CO27" s="208"/>
      <c r="CP27" s="208"/>
      <c r="CQ27" s="201"/>
      <c r="CR27" s="201">
        <v>0.4</v>
      </c>
      <c r="CS27" s="284"/>
      <c r="CT27" s="286">
        <f t="shared" si="19"/>
        <v>0</v>
      </c>
      <c r="CU27" s="24">
        <f t="shared" si="19"/>
        <v>52.099999999999994</v>
      </c>
      <c r="CV27" s="25">
        <f t="shared" si="19"/>
        <v>0</v>
      </c>
      <c r="CW27" s="24">
        <f t="shared" si="19"/>
        <v>296.30742280000004</v>
      </c>
      <c r="CX27" s="27">
        <f t="shared" si="19"/>
        <v>90.198092400000007</v>
      </c>
      <c r="CY27" s="29">
        <f t="shared" si="19"/>
        <v>13.733927999999999</v>
      </c>
      <c r="CZ27" s="280">
        <f t="shared" si="19"/>
        <v>0</v>
      </c>
      <c r="DA27" s="237">
        <f t="shared" si="20"/>
        <v>0</v>
      </c>
      <c r="DB27" s="26">
        <f t="shared" si="20"/>
        <v>0</v>
      </c>
      <c r="DC27" s="277">
        <f t="shared" si="20"/>
        <v>278.24800000000005</v>
      </c>
      <c r="DD27" s="280">
        <f t="shared" si="20"/>
        <v>0</v>
      </c>
      <c r="DE27" s="508">
        <f t="shared" si="38"/>
        <v>7.0058639999999999</v>
      </c>
      <c r="DG27" s="293">
        <f t="shared" si="21"/>
        <v>0</v>
      </c>
      <c r="DH27" s="294"/>
      <c r="DI27" s="294"/>
      <c r="DJ27" s="295">
        <f t="shared" si="22"/>
        <v>0</v>
      </c>
      <c r="DK27" s="296">
        <f t="shared" si="23"/>
        <v>0</v>
      </c>
      <c r="DM27" s="197">
        <v>280.27100000000002</v>
      </c>
      <c r="DN27" s="247">
        <f t="shared" si="39"/>
        <v>300.27100000000002</v>
      </c>
      <c r="DO27" s="197">
        <v>35.052999999999997</v>
      </c>
      <c r="DP27" s="247">
        <f t="shared" si="40"/>
        <v>52.099999999999994</v>
      </c>
      <c r="DR27" s="197">
        <v>257.79000000000002</v>
      </c>
      <c r="DS27" s="247">
        <f t="shared" si="41"/>
        <v>278.24800000000005</v>
      </c>
    </row>
    <row r="28" spans="1:123" ht="16.5" customHeight="1" thickBot="1">
      <c r="A28" s="127">
        <v>22</v>
      </c>
      <c r="B28" s="103">
        <f t="shared" si="24"/>
        <v>443.31799999999998</v>
      </c>
      <c r="C28" s="104">
        <f t="shared" si="0"/>
        <v>0.59400874767097211</v>
      </c>
      <c r="D28" s="143">
        <f t="shared" si="25"/>
        <v>440.68465229999998</v>
      </c>
      <c r="E28" s="104">
        <f t="shared" si="1"/>
        <v>37.498783401531185</v>
      </c>
      <c r="F28" s="128">
        <f t="shared" si="26"/>
        <v>2.3936333344196585</v>
      </c>
      <c r="G28" s="106"/>
      <c r="H28" s="107">
        <f t="shared" si="2"/>
        <v>2.1173103266035516</v>
      </c>
      <c r="I28" s="103">
        <f>'[1]сентябрь 20'!AE27</f>
        <v>0</v>
      </c>
      <c r="J28" s="328">
        <f>'[1]июль 20'!AA27</f>
        <v>0</v>
      </c>
      <c r="K28" s="106"/>
      <c r="L28" s="328">
        <f t="shared" si="27"/>
        <v>50.873000000000005</v>
      </c>
      <c r="M28" s="103">
        <f t="shared" si="3"/>
        <v>0.27632300781610702</v>
      </c>
      <c r="N28" s="103">
        <f>'[1]июль 20'!W27</f>
        <v>0</v>
      </c>
      <c r="O28" s="103">
        <f>'[1]июль 20'!AM27</f>
        <v>6.6520000000000001</v>
      </c>
      <c r="P28" s="447">
        <f t="shared" si="28"/>
        <v>6.6253919999999997</v>
      </c>
      <c r="Q28" s="103">
        <f t="shared" si="29"/>
        <v>3.5986638204956907E-2</v>
      </c>
      <c r="R28" s="103">
        <v>273.8</v>
      </c>
      <c r="S28" s="108">
        <f t="shared" si="4"/>
        <v>1.2461650840029148</v>
      </c>
      <c r="T28" s="109">
        <f t="shared" si="30"/>
        <v>270.38800000000003</v>
      </c>
      <c r="U28" s="106">
        <v>6.6520000000000001</v>
      </c>
      <c r="V28" s="109">
        <f t="shared" si="5"/>
        <v>270.38800000000003</v>
      </c>
      <c r="W28" s="485">
        <f t="shared" si="6"/>
        <v>1.4686459504527263</v>
      </c>
      <c r="X28" s="495">
        <f t="shared" si="31"/>
        <v>1.5046325886576832</v>
      </c>
      <c r="Y28" s="487">
        <v>90.36</v>
      </c>
      <c r="Z28" s="136">
        <v>137.41</v>
      </c>
      <c r="AA28" s="131">
        <v>0.79</v>
      </c>
      <c r="AB28" s="133">
        <v>678</v>
      </c>
      <c r="AC28" s="133">
        <v>1238</v>
      </c>
      <c r="AD28" s="144" t="s">
        <v>370</v>
      </c>
      <c r="AE28" s="131">
        <v>75.430000000000007</v>
      </c>
      <c r="AF28" s="133">
        <v>136</v>
      </c>
      <c r="AG28" s="134">
        <v>4</v>
      </c>
      <c r="AH28" s="131">
        <v>3.6</v>
      </c>
      <c r="AI28" s="115">
        <f t="shared" si="7"/>
        <v>19.553846404536493</v>
      </c>
      <c r="AJ28" s="131">
        <v>110.75</v>
      </c>
      <c r="AK28" s="115">
        <f t="shared" si="8"/>
        <v>601.55235813956017</v>
      </c>
      <c r="AL28" s="139">
        <v>18.02</v>
      </c>
      <c r="AM28" s="131"/>
      <c r="AN28" s="136">
        <v>10.91</v>
      </c>
      <c r="AO28" s="466">
        <f t="shared" si="9"/>
        <v>45.162999999999997</v>
      </c>
      <c r="AP28" s="110">
        <f t="shared" si="10"/>
        <v>0.19</v>
      </c>
      <c r="AQ28" s="137" t="s">
        <v>367</v>
      </c>
      <c r="AR28" s="150">
        <v>8.93</v>
      </c>
      <c r="AS28" s="138">
        <v>8.92</v>
      </c>
      <c r="AT28" s="134"/>
      <c r="AU28" s="131">
        <v>7.29</v>
      </c>
      <c r="AV28" s="139">
        <v>237.7</v>
      </c>
      <c r="AW28" s="131">
        <v>2.48</v>
      </c>
      <c r="AX28" s="148"/>
      <c r="AY28" s="131"/>
      <c r="AZ28" s="109">
        <f t="shared" si="42"/>
        <v>0</v>
      </c>
      <c r="BA28" s="109">
        <f t="shared" si="11"/>
        <v>184.10699999999997</v>
      </c>
      <c r="BB28" s="115">
        <f t="shared" si="12"/>
        <v>191.25607527117492</v>
      </c>
      <c r="BC28" s="140">
        <f t="shared" si="13"/>
        <v>6.2542552816901402</v>
      </c>
      <c r="BD28" s="141">
        <f t="shared" si="43"/>
        <v>7.364279999999999</v>
      </c>
      <c r="BE28" s="128">
        <f t="shared" si="15"/>
        <v>0.84036761066080279</v>
      </c>
      <c r="BF28" s="141">
        <f t="shared" si="16"/>
        <v>13.618535281690139</v>
      </c>
      <c r="BG28" s="142">
        <v>0.82699999999999996</v>
      </c>
      <c r="BH28" s="16">
        <f t="shared" si="32"/>
        <v>3887.4269999999997</v>
      </c>
      <c r="BI28" s="16">
        <f t="shared" si="17"/>
        <v>182.25806451612902</v>
      </c>
      <c r="BJ28" s="16">
        <f t="shared" si="33"/>
        <v>4009.6774193548363</v>
      </c>
      <c r="BK28" s="17">
        <f t="shared" si="18"/>
        <v>1</v>
      </c>
      <c r="BL28" s="16">
        <f t="shared" si="34"/>
        <v>4009.6774193548363</v>
      </c>
      <c r="BM28" s="519"/>
      <c r="BN28" s="266">
        <f t="shared" si="35"/>
        <v>50.873000000000005</v>
      </c>
      <c r="BO28" s="313"/>
      <c r="BP28" s="266">
        <f t="shared" si="36"/>
        <v>290.89999999999998</v>
      </c>
      <c r="BQ28" s="313">
        <v>88.081000000000003</v>
      </c>
      <c r="BR28" s="230">
        <v>13.464</v>
      </c>
      <c r="BS28" s="258"/>
      <c r="BT28" s="199"/>
      <c r="BU28" s="200"/>
      <c r="BV28" s="200"/>
      <c r="BW28" s="200"/>
      <c r="BX28" s="200">
        <v>0.61</v>
      </c>
      <c r="BY28" s="208">
        <v>0.56999999999999995</v>
      </c>
      <c r="BZ28" s="208">
        <v>2.65</v>
      </c>
      <c r="CA28" s="201"/>
      <c r="CB28" s="202"/>
      <c r="CC28" s="200">
        <v>43.75</v>
      </c>
      <c r="CD28" s="200"/>
      <c r="CE28" s="200">
        <v>37.15</v>
      </c>
      <c r="CF28" s="208">
        <v>36.11</v>
      </c>
      <c r="CG28" s="208">
        <v>30.5</v>
      </c>
      <c r="CH28" s="209"/>
      <c r="CI28" s="199"/>
      <c r="CJ28" s="197"/>
      <c r="CK28" s="230"/>
      <c r="CL28" s="266">
        <f t="shared" si="37"/>
        <v>270.38800000000003</v>
      </c>
      <c r="CM28" s="453"/>
      <c r="CN28" s="202"/>
      <c r="CO28" s="208"/>
      <c r="CP28" s="208"/>
      <c r="CQ28" s="201"/>
      <c r="CR28" s="201">
        <v>0.4</v>
      </c>
      <c r="CS28" s="284"/>
      <c r="CT28" s="286">
        <f t="shared" si="19"/>
        <v>0</v>
      </c>
      <c r="CU28" s="29">
        <f t="shared" si="19"/>
        <v>50.873000000000005</v>
      </c>
      <c r="CV28" s="30">
        <f t="shared" si="19"/>
        <v>0</v>
      </c>
      <c r="CW28" s="29">
        <f t="shared" si="19"/>
        <v>289.12550999999996</v>
      </c>
      <c r="CX28" s="27">
        <f t="shared" si="19"/>
        <v>87.578938300000004</v>
      </c>
      <c r="CY28" s="24">
        <f t="shared" si="19"/>
        <v>13.107203999999999</v>
      </c>
      <c r="CZ28" s="282">
        <f t="shared" si="19"/>
        <v>0</v>
      </c>
      <c r="DA28" s="25">
        <f t="shared" si="20"/>
        <v>0</v>
      </c>
      <c r="DB28" s="24">
        <f t="shared" si="20"/>
        <v>0</v>
      </c>
      <c r="DC28" s="277">
        <f t="shared" si="20"/>
        <v>270.38800000000003</v>
      </c>
      <c r="DD28" s="280">
        <f t="shared" si="20"/>
        <v>0</v>
      </c>
      <c r="DE28" s="508">
        <f t="shared" si="38"/>
        <v>6.6253919999999997</v>
      </c>
      <c r="DG28" s="293">
        <f>I28</f>
        <v>0</v>
      </c>
      <c r="DH28" s="297"/>
      <c r="DI28" s="294"/>
      <c r="DJ28" s="295">
        <f t="shared" si="22"/>
        <v>0</v>
      </c>
      <c r="DK28" s="296">
        <f t="shared" si="23"/>
        <v>0</v>
      </c>
      <c r="DM28" s="197">
        <v>270.89999999999998</v>
      </c>
      <c r="DN28" s="247">
        <f t="shared" si="39"/>
        <v>290.89999999999998</v>
      </c>
      <c r="DO28" s="197">
        <v>33.826000000000001</v>
      </c>
      <c r="DP28" s="247">
        <f t="shared" si="40"/>
        <v>50.873000000000005</v>
      </c>
      <c r="DR28" s="197">
        <v>249.93</v>
      </c>
      <c r="DS28" s="247">
        <f t="shared" si="41"/>
        <v>270.38800000000003</v>
      </c>
    </row>
    <row r="29" spans="1:123" ht="16.5" customHeight="1" thickBot="1">
      <c r="A29" s="127">
        <v>23</v>
      </c>
      <c r="B29" s="103">
        <f t="shared" si="24"/>
        <v>460.07</v>
      </c>
      <c r="C29" s="104">
        <f t="shared" si="0"/>
        <v>0.69758467189775464</v>
      </c>
      <c r="D29" s="143">
        <f t="shared" si="25"/>
        <v>456.86062219999997</v>
      </c>
      <c r="E29" s="104">
        <f t="shared" si="1"/>
        <v>37.684968678679333</v>
      </c>
      <c r="F29" s="128">
        <f t="shared" si="26"/>
        <v>2.3508135020054897</v>
      </c>
      <c r="G29" s="106"/>
      <c r="H29" s="107">
        <f t="shared" si="2"/>
        <v>2.0804132015035388</v>
      </c>
      <c r="I29" s="103">
        <f>'[1]сентябрь 20'!AE28</f>
        <v>0</v>
      </c>
      <c r="J29" s="328">
        <f>'[1]июль 20'!AA28</f>
        <v>0</v>
      </c>
      <c r="K29" s="106"/>
      <c r="L29" s="328">
        <f t="shared" si="27"/>
        <v>52.55</v>
      </c>
      <c r="M29" s="103">
        <f t="shared" si="3"/>
        <v>0.27040030050195141</v>
      </c>
      <c r="N29" s="103">
        <f>'[1]июль 20'!W28</f>
        <v>0</v>
      </c>
      <c r="O29" s="103">
        <f>'[1]июль 20'!AM28</f>
        <v>7.056</v>
      </c>
      <c r="P29" s="447">
        <f t="shared" si="28"/>
        <v>7.0277760000000002</v>
      </c>
      <c r="Q29" s="103">
        <f t="shared" si="29"/>
        <v>3.616199319239586E-2</v>
      </c>
      <c r="R29" s="103">
        <v>282.47000000000003</v>
      </c>
      <c r="S29" s="108">
        <f t="shared" si="4"/>
        <v>1.5796367755867791</v>
      </c>
      <c r="T29" s="109">
        <f t="shared" si="30"/>
        <v>278.00800000000004</v>
      </c>
      <c r="U29" s="106">
        <v>7.056</v>
      </c>
      <c r="V29" s="109">
        <f t="shared" si="5"/>
        <v>278.00800000000004</v>
      </c>
      <c r="W29" s="485">
        <f t="shared" si="6"/>
        <v>1.4305127829104951</v>
      </c>
      <c r="X29" s="495">
        <f t="shared" si="31"/>
        <v>1.4666747761028909</v>
      </c>
      <c r="Y29" s="487">
        <v>194.34</v>
      </c>
      <c r="Z29" s="136">
        <v>194.34</v>
      </c>
      <c r="AA29" s="131">
        <v>0.62</v>
      </c>
      <c r="AB29" s="133">
        <v>648</v>
      </c>
      <c r="AC29" s="133">
        <v>1233</v>
      </c>
      <c r="AD29" s="144" t="s">
        <v>377</v>
      </c>
      <c r="AE29" s="131">
        <v>76.3</v>
      </c>
      <c r="AF29" s="133">
        <v>141</v>
      </c>
      <c r="AG29" s="134">
        <v>4</v>
      </c>
      <c r="AH29" s="131">
        <v>3.55</v>
      </c>
      <c r="AI29" s="115">
        <f t="shared" si="7"/>
        <v>18.266813830293575</v>
      </c>
      <c r="AJ29" s="131">
        <v>120.15</v>
      </c>
      <c r="AK29" s="115">
        <f t="shared" si="8"/>
        <v>618.24160048162639</v>
      </c>
      <c r="AL29" s="139">
        <v>21.42</v>
      </c>
      <c r="AM29" s="131"/>
      <c r="AN29" s="136">
        <v>8.5399999999999991</v>
      </c>
      <c r="AO29" s="466">
        <f t="shared" si="9"/>
        <v>46.958500000000001</v>
      </c>
      <c r="AP29" s="110">
        <f t="shared" si="10"/>
        <v>0.19</v>
      </c>
      <c r="AQ29" s="137" t="s">
        <v>378</v>
      </c>
      <c r="AR29" s="150">
        <v>7.72</v>
      </c>
      <c r="AS29" s="138">
        <v>9.42</v>
      </c>
      <c r="AT29" s="134"/>
      <c r="AU29" s="131">
        <v>8.1199999999999992</v>
      </c>
      <c r="AV29" s="139">
        <v>247.15</v>
      </c>
      <c r="AW29" s="131">
        <v>2.69</v>
      </c>
      <c r="AX29" s="148"/>
      <c r="AY29" s="131"/>
      <c r="AZ29" s="109">
        <f t="shared" si="42"/>
        <v>0</v>
      </c>
      <c r="BA29" s="109">
        <f t="shared" si="11"/>
        <v>194.34150000000002</v>
      </c>
      <c r="BB29" s="115">
        <f t="shared" si="12"/>
        <v>196.9888257127991</v>
      </c>
      <c r="BC29" s="140">
        <f t="shared" si="13"/>
        <v>7.5576042253521116</v>
      </c>
      <c r="BD29" s="141">
        <f t="shared" si="43"/>
        <v>7.7736600000000013</v>
      </c>
      <c r="BE29" s="128">
        <f t="shared" si="15"/>
        <v>0.86126778453594555</v>
      </c>
      <c r="BF29" s="141">
        <f t="shared" si="16"/>
        <v>15.331264225352113</v>
      </c>
      <c r="BG29" s="142">
        <v>0.82899999999999996</v>
      </c>
      <c r="BH29" s="16">
        <f t="shared" si="32"/>
        <v>4081.7684999999997</v>
      </c>
      <c r="BI29" s="16">
        <f t="shared" si="17"/>
        <v>182.25806451612902</v>
      </c>
      <c r="BJ29" s="16">
        <f t="shared" si="33"/>
        <v>4191.9354838709651</v>
      </c>
      <c r="BK29" s="17">
        <f t="shared" si="18"/>
        <v>1</v>
      </c>
      <c r="BL29" s="16">
        <f t="shared" si="34"/>
        <v>4191.9354838709651</v>
      </c>
      <c r="BM29" s="519"/>
      <c r="BN29" s="266">
        <f t="shared" si="35"/>
        <v>52.55</v>
      </c>
      <c r="BO29" s="313"/>
      <c r="BP29" s="266">
        <f t="shared" si="36"/>
        <v>302.03899999999999</v>
      </c>
      <c r="BQ29" s="313">
        <v>91.566000000000003</v>
      </c>
      <c r="BR29" s="230">
        <v>13.914999999999999</v>
      </c>
      <c r="BS29" s="258"/>
      <c r="BT29" s="199"/>
      <c r="BU29" s="200"/>
      <c r="BV29" s="200"/>
      <c r="BW29" s="200"/>
      <c r="BX29" s="200">
        <v>0.75</v>
      </c>
      <c r="BY29" s="208">
        <v>0.68</v>
      </c>
      <c r="BZ29" s="208">
        <v>2.31</v>
      </c>
      <c r="CA29" s="201"/>
      <c r="CB29" s="202"/>
      <c r="CC29" s="200">
        <v>43.48</v>
      </c>
      <c r="CD29" s="200"/>
      <c r="CE29" s="200">
        <v>37.21</v>
      </c>
      <c r="CF29" s="208">
        <v>37.15</v>
      </c>
      <c r="CG29" s="208">
        <v>29.63</v>
      </c>
      <c r="CH29" s="201"/>
      <c r="CI29" s="199"/>
      <c r="CJ29" s="197"/>
      <c r="CK29" s="230"/>
      <c r="CL29" s="266">
        <f t="shared" si="37"/>
        <v>278.00800000000004</v>
      </c>
      <c r="CM29" s="453"/>
      <c r="CN29" s="202"/>
      <c r="CO29" s="208"/>
      <c r="CP29" s="208"/>
      <c r="CQ29" s="201"/>
      <c r="CR29" s="201">
        <v>0.4</v>
      </c>
      <c r="CS29" s="284"/>
      <c r="CT29" s="286">
        <f t="shared" si="19"/>
        <v>0</v>
      </c>
      <c r="CU29" s="24">
        <f t="shared" si="19"/>
        <v>52.55</v>
      </c>
      <c r="CV29" s="25">
        <f t="shared" si="19"/>
        <v>0</v>
      </c>
      <c r="CW29" s="24">
        <f t="shared" si="19"/>
        <v>299.7737075</v>
      </c>
      <c r="CX29" s="27">
        <f t="shared" si="19"/>
        <v>90.943351199999995</v>
      </c>
      <c r="CY29" s="29">
        <f t="shared" si="19"/>
        <v>13.593563499999998</v>
      </c>
      <c r="CZ29" s="280">
        <f t="shared" si="19"/>
        <v>0</v>
      </c>
      <c r="DA29" s="30">
        <f t="shared" si="20"/>
        <v>0</v>
      </c>
      <c r="DB29" s="29">
        <f t="shared" si="20"/>
        <v>0</v>
      </c>
      <c r="DC29" s="277">
        <f t="shared" si="20"/>
        <v>278.00800000000004</v>
      </c>
      <c r="DD29" s="280">
        <f t="shared" si="20"/>
        <v>0</v>
      </c>
      <c r="DE29" s="508">
        <f t="shared" si="38"/>
        <v>7.0277760000000002</v>
      </c>
      <c r="DG29" s="293">
        <f t="shared" si="21"/>
        <v>0</v>
      </c>
      <c r="DH29" s="294"/>
      <c r="DI29" s="294"/>
      <c r="DJ29" s="295">
        <f t="shared" si="22"/>
        <v>0</v>
      </c>
      <c r="DK29" s="296">
        <f t="shared" si="23"/>
        <v>0</v>
      </c>
      <c r="DM29" s="197">
        <v>282.03899999999999</v>
      </c>
      <c r="DN29" s="247">
        <f t="shared" si="39"/>
        <v>302.03899999999999</v>
      </c>
      <c r="DO29" s="197">
        <v>35.503</v>
      </c>
      <c r="DP29" s="247">
        <f t="shared" si="40"/>
        <v>52.55</v>
      </c>
      <c r="DR29" s="230">
        <v>257.55</v>
      </c>
      <c r="DS29" s="247">
        <f t="shared" si="41"/>
        <v>278.00800000000004</v>
      </c>
    </row>
    <row r="30" spans="1:123" ht="16.5" customHeight="1" thickBot="1">
      <c r="A30" s="127">
        <v>24</v>
      </c>
      <c r="B30" s="103">
        <f t="shared" si="24"/>
        <v>432.95500000000004</v>
      </c>
      <c r="C30" s="104">
        <f t="shared" si="0"/>
        <v>2.1250872954464093</v>
      </c>
      <c r="D30" s="143">
        <f t="shared" si="25"/>
        <v>423.75432830000005</v>
      </c>
      <c r="E30" s="104">
        <f t="shared" si="1"/>
        <v>38.119813190747315</v>
      </c>
      <c r="F30" s="128">
        <f t="shared" si="26"/>
        <v>2.2452582659100426</v>
      </c>
      <c r="G30" s="106"/>
      <c r="H30" s="107">
        <f t="shared" si="2"/>
        <v>1.9799681470649013</v>
      </c>
      <c r="I30" s="103">
        <f>'[1]сентябрь 20'!AE29</f>
        <v>0</v>
      </c>
      <c r="J30" s="328">
        <f>'[1]июль 20'!AA29</f>
        <v>0</v>
      </c>
      <c r="K30" s="106"/>
      <c r="L30" s="328">
        <f t="shared" si="27"/>
        <v>50.069000000000003</v>
      </c>
      <c r="M30" s="103">
        <f t="shared" si="3"/>
        <v>0.26529011884514103</v>
      </c>
      <c r="N30" s="103">
        <f>'[1]июль 20'!W29</f>
        <v>0</v>
      </c>
      <c r="O30" s="103">
        <f>'[1]июль 20'!AM29</f>
        <v>6.6029999999999998</v>
      </c>
      <c r="P30" s="447">
        <f t="shared" si="28"/>
        <v>6.5765880000000001</v>
      </c>
      <c r="Q30" s="103">
        <f t="shared" si="29"/>
        <v>3.4845988777797203E-2</v>
      </c>
      <c r="R30" s="103">
        <v>263.95</v>
      </c>
      <c r="S30" s="108">
        <f t="shared" si="4"/>
        <v>1.1903769653343388</v>
      </c>
      <c r="T30" s="109">
        <f t="shared" si="30"/>
        <v>260.80799999999999</v>
      </c>
      <c r="U30" s="163">
        <v>43.493000000000002</v>
      </c>
      <c r="V30" s="109">
        <f t="shared" si="5"/>
        <v>260.80799999999999</v>
      </c>
      <c r="W30" s="485">
        <f t="shared" si="6"/>
        <v>1.3818886999093958</v>
      </c>
      <c r="X30" s="495">
        <f t="shared" si="31"/>
        <v>1.416734688687193</v>
      </c>
      <c r="Y30" s="488">
        <v>188.73</v>
      </c>
      <c r="Z30" s="157">
        <v>188.73</v>
      </c>
      <c r="AA30" s="149">
        <v>0.57999999999999996</v>
      </c>
      <c r="AB30" s="147">
        <v>652</v>
      </c>
      <c r="AC30" s="147">
        <v>1228</v>
      </c>
      <c r="AD30" s="144" t="s">
        <v>352</v>
      </c>
      <c r="AE30" s="149">
        <v>76.42</v>
      </c>
      <c r="AF30" s="147">
        <v>132</v>
      </c>
      <c r="AG30" s="155">
        <v>4</v>
      </c>
      <c r="AH30" s="149"/>
      <c r="AI30" s="115">
        <f t="shared" si="7"/>
        <v>0</v>
      </c>
      <c r="AJ30" s="131">
        <v>116.35</v>
      </c>
      <c r="AK30" s="115">
        <f t="shared" si="8"/>
        <v>616.4793650289032</v>
      </c>
      <c r="AL30" s="139">
        <v>17.78</v>
      </c>
      <c r="AM30" s="131"/>
      <c r="AN30" s="157">
        <v>8.1199999999999992</v>
      </c>
      <c r="AO30" s="466">
        <f t="shared" si="9"/>
        <v>45.657000000000004</v>
      </c>
      <c r="AP30" s="110">
        <f t="shared" si="10"/>
        <v>0.19</v>
      </c>
      <c r="AQ30" s="158" t="s">
        <v>379</v>
      </c>
      <c r="AR30" s="404">
        <v>7.58</v>
      </c>
      <c r="AS30" s="159">
        <v>9.58</v>
      </c>
      <c r="AT30" s="155"/>
      <c r="AU30" s="149">
        <v>8.89</v>
      </c>
      <c r="AV30" s="156">
        <v>240.3</v>
      </c>
      <c r="AW30" s="131">
        <v>2.21</v>
      </c>
      <c r="AX30" s="164"/>
      <c r="AY30" s="149"/>
      <c r="AZ30" s="109">
        <f t="shared" si="42"/>
        <v>0</v>
      </c>
      <c r="BA30" s="109">
        <f t="shared" si="11"/>
        <v>188.733</v>
      </c>
      <c r="BB30" s="115">
        <f t="shared" si="12"/>
        <v>184.5321837569177</v>
      </c>
      <c r="BC30" s="140">
        <f t="shared" si="13"/>
        <v>8.0125820422535217</v>
      </c>
      <c r="BD30" s="141">
        <f t="shared" si="43"/>
        <v>7.5493200000000007</v>
      </c>
      <c r="BE30" s="128">
        <f t="shared" si="15"/>
        <v>0.89287356625574732</v>
      </c>
      <c r="BF30" s="141">
        <f t="shared" si="16"/>
        <v>15.561902042253521</v>
      </c>
      <c r="BG30" s="162">
        <v>0.83099999999999996</v>
      </c>
      <c r="BH30" s="16">
        <f t="shared" si="32"/>
        <v>4270.5014999999994</v>
      </c>
      <c r="BI30" s="16">
        <f t="shared" si="17"/>
        <v>182.25806451612902</v>
      </c>
      <c r="BJ30" s="16">
        <f t="shared" si="33"/>
        <v>4374.1935483870939</v>
      </c>
      <c r="BK30" s="17">
        <f t="shared" si="18"/>
        <v>1</v>
      </c>
      <c r="BL30" s="16">
        <f t="shared" si="34"/>
        <v>4374.1935483870939</v>
      </c>
      <c r="BM30" s="520">
        <v>212.512</v>
      </c>
      <c r="BN30" s="266">
        <f t="shared" si="35"/>
        <v>50.069000000000003</v>
      </c>
      <c r="BO30" s="516"/>
      <c r="BP30" s="266">
        <f t="shared" si="36"/>
        <v>66.912000000000006</v>
      </c>
      <c r="BQ30" s="516">
        <v>85.807000000000002</v>
      </c>
      <c r="BR30" s="233">
        <v>17.655000000000001</v>
      </c>
      <c r="BS30" s="260"/>
      <c r="BT30" s="212"/>
      <c r="BU30" s="213">
        <v>2.72</v>
      </c>
      <c r="BV30" s="213"/>
      <c r="BW30" s="213"/>
      <c r="BX30" s="213">
        <v>2.72</v>
      </c>
      <c r="BY30" s="235">
        <v>1.47</v>
      </c>
      <c r="BZ30" s="235">
        <v>1.92</v>
      </c>
      <c r="CA30" s="214"/>
      <c r="CB30" s="215">
        <v>37.39</v>
      </c>
      <c r="CC30" s="213">
        <v>43.56</v>
      </c>
      <c r="CD30" s="216"/>
      <c r="CE30" s="213">
        <v>37.39</v>
      </c>
      <c r="CF30" s="235">
        <v>38.11</v>
      </c>
      <c r="CG30" s="235">
        <v>34.29</v>
      </c>
      <c r="CH30" s="214"/>
      <c r="CI30" s="212"/>
      <c r="CJ30" s="210"/>
      <c r="CK30" s="233"/>
      <c r="CL30" s="266">
        <f t="shared" si="37"/>
        <v>260.80799999999999</v>
      </c>
      <c r="CM30" s="453"/>
      <c r="CN30" s="202"/>
      <c r="CO30" s="208"/>
      <c r="CP30" s="208"/>
      <c r="CQ30" s="201"/>
      <c r="CR30" s="201">
        <v>0.4</v>
      </c>
      <c r="CS30" s="284"/>
      <c r="CT30" s="480">
        <f t="shared" si="19"/>
        <v>206.73167359999999</v>
      </c>
      <c r="CU30" s="24">
        <f t="shared" si="19"/>
        <v>50.069000000000003</v>
      </c>
      <c r="CV30" s="25">
        <f t="shared" si="19"/>
        <v>0</v>
      </c>
      <c r="CW30" s="24">
        <f t="shared" si="19"/>
        <v>65.091993600000009</v>
      </c>
      <c r="CX30" s="27">
        <f t="shared" si="19"/>
        <v>84.545637100000008</v>
      </c>
      <c r="CY30" s="24">
        <f t="shared" si="19"/>
        <v>17.316024000000002</v>
      </c>
      <c r="CZ30" s="280">
        <f t="shared" si="19"/>
        <v>0</v>
      </c>
      <c r="DA30" s="25">
        <f t="shared" si="20"/>
        <v>0</v>
      </c>
      <c r="DB30" s="26">
        <f t="shared" si="20"/>
        <v>0</v>
      </c>
      <c r="DC30" s="277">
        <f t="shared" si="20"/>
        <v>260.80799999999999</v>
      </c>
      <c r="DD30" s="280">
        <f t="shared" si="20"/>
        <v>0</v>
      </c>
      <c r="DE30" s="508">
        <f t="shared" si="38"/>
        <v>6.5765880000000001</v>
      </c>
      <c r="DG30" s="293">
        <f t="shared" si="21"/>
        <v>0</v>
      </c>
      <c r="DH30" s="294"/>
      <c r="DI30" s="294"/>
      <c r="DJ30" s="295">
        <f t="shared" si="22"/>
        <v>0</v>
      </c>
      <c r="DK30" s="296">
        <f t="shared" si="23"/>
        <v>0</v>
      </c>
      <c r="DM30" s="210">
        <v>46.911999999999999</v>
      </c>
      <c r="DN30" s="247">
        <f t="shared" si="39"/>
        <v>66.912000000000006</v>
      </c>
      <c r="DO30" s="210">
        <v>33.021999999999998</v>
      </c>
      <c r="DP30" s="247">
        <f t="shared" si="40"/>
        <v>50.069000000000003</v>
      </c>
      <c r="DR30" s="233">
        <v>240.35</v>
      </c>
      <c r="DS30" s="247">
        <f t="shared" si="41"/>
        <v>260.80799999999999</v>
      </c>
    </row>
    <row r="31" spans="1:123" ht="16.5" customHeight="1" thickBot="1">
      <c r="A31" s="127">
        <v>25</v>
      </c>
      <c r="B31" s="103">
        <f t="shared" si="24"/>
        <v>460.11899999999997</v>
      </c>
      <c r="C31" s="104">
        <f t="shared" si="0"/>
        <v>0.9245668620509041</v>
      </c>
      <c r="D31" s="143">
        <f t="shared" si="25"/>
        <v>455.86489219999993</v>
      </c>
      <c r="E31" s="104">
        <f t="shared" si="1"/>
        <v>37.843812948389441</v>
      </c>
      <c r="F31" s="128">
        <f t="shared" si="26"/>
        <v>2.5226881907628962</v>
      </c>
      <c r="G31" s="106"/>
      <c r="H31" s="107">
        <f t="shared" si="2"/>
        <v>2.2333342124777267</v>
      </c>
      <c r="I31" s="103">
        <f>'[1]сентябрь 20'!AE30</f>
        <v>0</v>
      </c>
      <c r="J31" s="328">
        <f>'[1]июль 20'!AA30</f>
        <v>0</v>
      </c>
      <c r="K31" s="106"/>
      <c r="L31" s="328">
        <f t="shared" si="27"/>
        <v>52.287999999999997</v>
      </c>
      <c r="M31" s="103">
        <f t="shared" si="3"/>
        <v>0.2893539782851704</v>
      </c>
      <c r="N31" s="103">
        <f>'[1]июль 20'!W30</f>
        <v>0</v>
      </c>
      <c r="O31" s="103">
        <f>'[1]июль 20'!AM30</f>
        <v>7.069</v>
      </c>
      <c r="P31" s="447">
        <f t="shared" si="28"/>
        <v>7.040724</v>
      </c>
      <c r="Q31" s="103">
        <f t="shared" si="29"/>
        <v>3.8962314477659847E-2</v>
      </c>
      <c r="R31" s="103">
        <v>283.04000000000002</v>
      </c>
      <c r="S31" s="108">
        <f t="shared" si="4"/>
        <v>1.6082532504239966</v>
      </c>
      <c r="T31" s="109">
        <f t="shared" si="30"/>
        <v>278.48799999999994</v>
      </c>
      <c r="U31" s="106">
        <v>7.069</v>
      </c>
      <c r="V31" s="109">
        <f t="shared" si="5"/>
        <v>278.48799999999994</v>
      </c>
      <c r="W31" s="485">
        <f t="shared" si="6"/>
        <v>1.5411109758392083</v>
      </c>
      <c r="X31" s="495">
        <f t="shared" si="31"/>
        <v>1.5800732903168682</v>
      </c>
      <c r="Y31" s="135">
        <v>180.71</v>
      </c>
      <c r="Z31" s="136">
        <v>180.71</v>
      </c>
      <c r="AA31" s="131">
        <v>0.62</v>
      </c>
      <c r="AB31" s="133">
        <v>674</v>
      </c>
      <c r="AC31" s="133">
        <v>1223</v>
      </c>
      <c r="AD31" s="144" t="s">
        <v>349</v>
      </c>
      <c r="AE31" s="131">
        <v>75.53</v>
      </c>
      <c r="AF31" s="133">
        <v>141</v>
      </c>
      <c r="AG31" s="134">
        <v>4</v>
      </c>
      <c r="AH31" s="131">
        <v>3.45</v>
      </c>
      <c r="AI31" s="115">
        <f t="shared" si="7"/>
        <v>19.091784445452838</v>
      </c>
      <c r="AJ31" s="131">
        <v>114</v>
      </c>
      <c r="AK31" s="115">
        <f t="shared" si="8"/>
        <v>630.8589642845285</v>
      </c>
      <c r="AL31" s="139">
        <v>18.170000000000002</v>
      </c>
      <c r="AM31" s="131"/>
      <c r="AN31" s="136">
        <v>12.79</v>
      </c>
      <c r="AO31" s="466">
        <f t="shared" si="9"/>
        <v>44.954000000000001</v>
      </c>
      <c r="AP31" s="110">
        <f t="shared" si="10"/>
        <v>0.19</v>
      </c>
      <c r="AQ31" s="137" t="s">
        <v>380</v>
      </c>
      <c r="AR31" s="150">
        <v>8.64</v>
      </c>
      <c r="AS31" s="138">
        <v>8.8699999999999992</v>
      </c>
      <c r="AT31" s="134"/>
      <c r="AU31" s="131">
        <v>8.01</v>
      </c>
      <c r="AV31" s="139">
        <v>236.6</v>
      </c>
      <c r="AW31" s="131">
        <v>1.85</v>
      </c>
      <c r="AX31" s="148"/>
      <c r="AY31" s="131"/>
      <c r="AZ31" s="109">
        <f t="shared" si="42"/>
        <v>0</v>
      </c>
      <c r="BA31" s="109">
        <f t="shared" si="11"/>
        <v>180.70599999999999</v>
      </c>
      <c r="BB31" s="115">
        <f t="shared" si="12"/>
        <v>199.40029345908764</v>
      </c>
      <c r="BC31" s="140">
        <f t="shared" si="13"/>
        <v>7.0736197183098586</v>
      </c>
      <c r="BD31" s="141">
        <f t="shared" si="43"/>
        <v>7.2282399999999996</v>
      </c>
      <c r="BE31" s="128">
        <f t="shared" si="15"/>
        <v>0.79115399111670792</v>
      </c>
      <c r="BF31" s="141">
        <f t="shared" si="16"/>
        <v>14.301859718309858</v>
      </c>
      <c r="BG31" s="142">
        <v>0.83</v>
      </c>
      <c r="BH31" s="16">
        <f t="shared" si="32"/>
        <v>4451.2074999999995</v>
      </c>
      <c r="BI31" s="16">
        <f t="shared" si="17"/>
        <v>182.25806451612902</v>
      </c>
      <c r="BJ31" s="16">
        <f t="shared" si="33"/>
        <v>4556.4516129032227</v>
      </c>
      <c r="BK31" s="17">
        <f t="shared" si="18"/>
        <v>1</v>
      </c>
      <c r="BL31" s="16">
        <f t="shared" si="34"/>
        <v>4556.4516129032227</v>
      </c>
      <c r="BM31" s="519"/>
      <c r="BN31" s="266">
        <f t="shared" si="35"/>
        <v>52.287999999999997</v>
      </c>
      <c r="BO31" s="313"/>
      <c r="BP31" s="266">
        <f t="shared" si="36"/>
        <v>294.84199999999998</v>
      </c>
      <c r="BQ31" s="313">
        <v>91.668999999999997</v>
      </c>
      <c r="BR31" s="230">
        <v>21.32</v>
      </c>
      <c r="BS31" s="259"/>
      <c r="BT31" s="199"/>
      <c r="BU31" s="200"/>
      <c r="BV31" s="200"/>
      <c r="BW31" s="200"/>
      <c r="BX31" s="200">
        <v>1.02</v>
      </c>
      <c r="BY31" s="208">
        <v>1.06</v>
      </c>
      <c r="BZ31" s="208">
        <v>1.29</v>
      </c>
      <c r="CA31" s="201"/>
      <c r="CB31" s="202"/>
      <c r="CC31" s="200">
        <v>43.76</v>
      </c>
      <c r="CD31" s="200"/>
      <c r="CE31" s="200">
        <v>37.369999999999997</v>
      </c>
      <c r="CF31" s="208">
        <v>37.549999999999997</v>
      </c>
      <c r="CG31" s="208">
        <v>31.15</v>
      </c>
      <c r="CH31" s="209"/>
      <c r="CI31" s="199"/>
      <c r="CJ31" s="197"/>
      <c r="CK31" s="230"/>
      <c r="CL31" s="266">
        <f t="shared" si="37"/>
        <v>278.48799999999994</v>
      </c>
      <c r="CM31" s="453"/>
      <c r="CN31" s="202"/>
      <c r="CO31" s="208"/>
      <c r="CP31" s="208"/>
      <c r="CQ31" s="201"/>
      <c r="CR31" s="201">
        <v>0.4</v>
      </c>
      <c r="CS31" s="284"/>
      <c r="CT31" s="286">
        <f t="shared" si="19"/>
        <v>0</v>
      </c>
      <c r="CU31" s="24">
        <f t="shared" si="19"/>
        <v>52.287999999999997</v>
      </c>
      <c r="CV31" s="25">
        <f t="shared" si="19"/>
        <v>0</v>
      </c>
      <c r="CW31" s="24">
        <f t="shared" si="19"/>
        <v>291.83461160000002</v>
      </c>
      <c r="CX31" s="27">
        <f t="shared" si="19"/>
        <v>90.697308599999985</v>
      </c>
      <c r="CY31" s="24">
        <f t="shared" si="19"/>
        <v>21.044972000000001</v>
      </c>
      <c r="CZ31" s="280">
        <f t="shared" si="19"/>
        <v>0</v>
      </c>
      <c r="DA31" s="28">
        <f t="shared" si="20"/>
        <v>0</v>
      </c>
      <c r="DB31" s="24">
        <f t="shared" si="20"/>
        <v>0</v>
      </c>
      <c r="DC31" s="277">
        <f t="shared" si="20"/>
        <v>278.48799999999994</v>
      </c>
      <c r="DD31" s="280">
        <f t="shared" si="20"/>
        <v>0</v>
      </c>
      <c r="DE31" s="508">
        <f t="shared" si="38"/>
        <v>7.040724</v>
      </c>
      <c r="DG31" s="293">
        <f t="shared" si="21"/>
        <v>0</v>
      </c>
      <c r="DH31" s="294"/>
      <c r="DI31" s="294"/>
      <c r="DJ31" s="295">
        <f t="shared" si="22"/>
        <v>0</v>
      </c>
      <c r="DK31" s="296">
        <f t="shared" si="23"/>
        <v>0</v>
      </c>
      <c r="DM31" s="197">
        <v>274.84199999999998</v>
      </c>
      <c r="DN31" s="247">
        <f t="shared" si="39"/>
        <v>294.84199999999998</v>
      </c>
      <c r="DO31" s="197">
        <v>35.241</v>
      </c>
      <c r="DP31" s="247">
        <f t="shared" si="40"/>
        <v>52.287999999999997</v>
      </c>
      <c r="DR31" s="230">
        <v>258.02999999999997</v>
      </c>
      <c r="DS31" s="247">
        <f t="shared" si="41"/>
        <v>278.48799999999994</v>
      </c>
    </row>
    <row r="32" spans="1:123" ht="16.5" customHeight="1" thickBot="1">
      <c r="A32" s="127">
        <v>26</v>
      </c>
      <c r="B32" s="103">
        <f t="shared" si="24"/>
        <v>459.892</v>
      </c>
      <c r="C32" s="104">
        <f t="shared" si="0"/>
        <v>2.6246999295486768</v>
      </c>
      <c r="D32" s="143">
        <f t="shared" si="25"/>
        <v>447.821215</v>
      </c>
      <c r="E32" s="104">
        <f t="shared" si="1"/>
        <v>37.885272237829753</v>
      </c>
      <c r="F32" s="128">
        <f t="shared" si="26"/>
        <v>2.3623685605690938</v>
      </c>
      <c r="G32" s="106"/>
      <c r="H32" s="107">
        <f t="shared" si="2"/>
        <v>2.0859454961240109</v>
      </c>
      <c r="I32" s="103">
        <f>'[1]сентябрь 20'!AE31</f>
        <v>0</v>
      </c>
      <c r="J32" s="328">
        <f>'[1]июль 20'!AA31</f>
        <v>0</v>
      </c>
      <c r="K32" s="106"/>
      <c r="L32" s="328">
        <f t="shared" si="27"/>
        <v>52.400000000000006</v>
      </c>
      <c r="M32" s="103">
        <f t="shared" si="3"/>
        <v>0.27642306444508336</v>
      </c>
      <c r="N32" s="103">
        <f>'[1]июль 20'!W31</f>
        <v>0</v>
      </c>
      <c r="O32" s="103">
        <f>'[1]июль 20'!AM31</f>
        <v>7.0679999999999996</v>
      </c>
      <c r="P32" s="447">
        <f t="shared" si="28"/>
        <v>7.0397279999999993</v>
      </c>
      <c r="Q32" s="103">
        <f t="shared" si="29"/>
        <v>3.7136320355340792E-2</v>
      </c>
      <c r="R32" s="103">
        <v>285.22000000000003</v>
      </c>
      <c r="S32" s="108">
        <f t="shared" si="4"/>
        <v>1.9535796928686677</v>
      </c>
      <c r="T32" s="109">
        <f t="shared" si="30"/>
        <v>279.64800000000002</v>
      </c>
      <c r="U32" s="106">
        <v>7.0679999999999996</v>
      </c>
      <c r="V32" s="109">
        <f t="shared" si="5"/>
        <v>279.64800000000002</v>
      </c>
      <c r="W32" s="485">
        <f t="shared" si="6"/>
        <v>1.475212922250738</v>
      </c>
      <c r="X32" s="495">
        <f t="shared" si="31"/>
        <v>1.5123492426060787</v>
      </c>
      <c r="Y32" s="135">
        <v>189.56</v>
      </c>
      <c r="Z32" s="136">
        <v>189.56</v>
      </c>
      <c r="AA32" s="131">
        <v>0.54</v>
      </c>
      <c r="AB32" s="133">
        <v>663</v>
      </c>
      <c r="AC32" s="133">
        <v>1233</v>
      </c>
      <c r="AD32" s="144" t="s">
        <v>381</v>
      </c>
      <c r="AE32" s="131">
        <v>76.02</v>
      </c>
      <c r="AF32" s="133">
        <v>141</v>
      </c>
      <c r="AG32" s="134">
        <v>4</v>
      </c>
      <c r="AH32" s="131">
        <v>2.5</v>
      </c>
      <c r="AI32" s="115">
        <f t="shared" si="7"/>
        <v>13.18812330367764</v>
      </c>
      <c r="AJ32" s="131">
        <v>119.55</v>
      </c>
      <c r="AK32" s="115">
        <f t="shared" si="8"/>
        <v>630.65605638186469</v>
      </c>
      <c r="AL32" s="139">
        <v>17.78</v>
      </c>
      <c r="AM32" s="131"/>
      <c r="AN32" s="136">
        <v>8.48</v>
      </c>
      <c r="AO32" s="466">
        <f t="shared" si="9"/>
        <v>45.4955</v>
      </c>
      <c r="AP32" s="110">
        <f t="shared" si="10"/>
        <v>0.19</v>
      </c>
      <c r="AQ32" s="137" t="s">
        <v>382</v>
      </c>
      <c r="AR32" s="150">
        <v>8.44</v>
      </c>
      <c r="AS32" s="138">
        <v>9.14</v>
      </c>
      <c r="AT32" s="134"/>
      <c r="AU32" s="131">
        <v>8.39</v>
      </c>
      <c r="AV32" s="139">
        <v>239.45</v>
      </c>
      <c r="AW32" s="131">
        <v>4.09</v>
      </c>
      <c r="AX32" s="148"/>
      <c r="AY32" s="131"/>
      <c r="AZ32" s="109">
        <f t="shared" si="42"/>
        <v>0</v>
      </c>
      <c r="BA32" s="109">
        <f t="shared" si="11"/>
        <v>189.56450000000001</v>
      </c>
      <c r="BB32" s="115">
        <f t="shared" si="12"/>
        <v>194.83252310370366</v>
      </c>
      <c r="BC32" s="140">
        <f t="shared" si="13"/>
        <v>7.7699080985915492</v>
      </c>
      <c r="BD32" s="141">
        <f t="shared" si="43"/>
        <v>7.5825800000000001</v>
      </c>
      <c r="BE32" s="128">
        <f t="shared" si="15"/>
        <v>0.84939519266972996</v>
      </c>
      <c r="BF32" s="141">
        <f t="shared" si="16"/>
        <v>15.35248809859155</v>
      </c>
      <c r="BG32" s="142">
        <v>0.83099999999999996</v>
      </c>
      <c r="BH32" s="16">
        <f t="shared" si="32"/>
        <v>4640.7719999999999</v>
      </c>
      <c r="BI32" s="16">
        <f t="shared" si="17"/>
        <v>182.25806451612902</v>
      </c>
      <c r="BJ32" s="16">
        <f t="shared" si="33"/>
        <v>4738.7096774193515</v>
      </c>
      <c r="BK32" s="17">
        <f t="shared" si="18"/>
        <v>1</v>
      </c>
      <c r="BL32" s="16">
        <f t="shared" si="34"/>
        <v>4738.7096774193515</v>
      </c>
      <c r="BM32" s="519"/>
      <c r="BN32" s="266">
        <f t="shared" si="35"/>
        <v>52.400000000000006</v>
      </c>
      <c r="BO32" s="313"/>
      <c r="BP32" s="266">
        <f t="shared" si="36"/>
        <v>294.94299999999998</v>
      </c>
      <c r="BQ32" s="313">
        <v>91.614000000000004</v>
      </c>
      <c r="BR32" s="230">
        <v>20.934999999999999</v>
      </c>
      <c r="BS32" s="258"/>
      <c r="BT32" s="199"/>
      <c r="BU32" s="200"/>
      <c r="BV32" s="200"/>
      <c r="BW32" s="200"/>
      <c r="BX32" s="200">
        <v>3.23</v>
      </c>
      <c r="BY32" s="208">
        <v>2.2400000000000002</v>
      </c>
      <c r="BZ32" s="208">
        <v>2.35</v>
      </c>
      <c r="CA32" s="201"/>
      <c r="CB32" s="202"/>
      <c r="CC32" s="200">
        <v>43.91</v>
      </c>
      <c r="CD32" s="200"/>
      <c r="CE32" s="200">
        <v>37.24</v>
      </c>
      <c r="CF32" s="208">
        <v>37.4</v>
      </c>
      <c r="CG32" s="208">
        <v>34.020000000000003</v>
      </c>
      <c r="CH32" s="209"/>
      <c r="CI32" s="199"/>
      <c r="CJ32" s="197"/>
      <c r="CK32" s="230"/>
      <c r="CL32" s="266">
        <f t="shared" si="37"/>
        <v>279.64800000000002</v>
      </c>
      <c r="CM32" s="453"/>
      <c r="CN32" s="202"/>
      <c r="CO32" s="208"/>
      <c r="CP32" s="208"/>
      <c r="CQ32" s="201"/>
      <c r="CR32" s="201">
        <v>0.4</v>
      </c>
      <c r="CS32" s="284"/>
      <c r="CT32" s="286">
        <f t="shared" si="19"/>
        <v>0</v>
      </c>
      <c r="CU32" s="24">
        <f t="shared" si="19"/>
        <v>52.400000000000006</v>
      </c>
      <c r="CV32" s="25">
        <f t="shared" si="19"/>
        <v>0</v>
      </c>
      <c r="CW32" s="24">
        <f t="shared" si="19"/>
        <v>285.41634110000001</v>
      </c>
      <c r="CX32" s="27">
        <f t="shared" si="19"/>
        <v>89.561846400000007</v>
      </c>
      <c r="CY32" s="24">
        <f t="shared" si="19"/>
        <v>20.443027499999999</v>
      </c>
      <c r="CZ32" s="280">
        <f t="shared" si="19"/>
        <v>0</v>
      </c>
      <c r="DA32" s="25">
        <f t="shared" si="20"/>
        <v>0</v>
      </c>
      <c r="DB32" s="24">
        <f t="shared" si="20"/>
        <v>0</v>
      </c>
      <c r="DC32" s="277">
        <f t="shared" si="20"/>
        <v>279.64800000000002</v>
      </c>
      <c r="DD32" s="280">
        <f t="shared" si="20"/>
        <v>0</v>
      </c>
      <c r="DE32" s="508">
        <f t="shared" si="38"/>
        <v>7.0397279999999993</v>
      </c>
      <c r="DG32" s="293">
        <f t="shared" si="21"/>
        <v>0</v>
      </c>
      <c r="DH32" s="294"/>
      <c r="DI32" s="294"/>
      <c r="DJ32" s="295">
        <f t="shared" si="22"/>
        <v>0</v>
      </c>
      <c r="DK32" s="296">
        <f t="shared" si="23"/>
        <v>0</v>
      </c>
      <c r="DM32" s="197">
        <v>274.94299999999998</v>
      </c>
      <c r="DN32" s="247">
        <f t="shared" si="39"/>
        <v>294.94299999999998</v>
      </c>
      <c r="DO32" s="197">
        <v>35.353000000000002</v>
      </c>
      <c r="DP32" s="247">
        <f t="shared" si="40"/>
        <v>52.400000000000006</v>
      </c>
      <c r="DR32" s="230">
        <v>259.19</v>
      </c>
      <c r="DS32" s="247">
        <f t="shared" si="41"/>
        <v>279.64800000000002</v>
      </c>
    </row>
    <row r="33" spans="1:123" ht="16.5" customHeight="1" thickBot="1">
      <c r="A33" s="127">
        <v>27</v>
      </c>
      <c r="B33" s="103">
        <f t="shared" si="24"/>
        <v>454.07900000000001</v>
      </c>
      <c r="C33" s="104">
        <f t="shared" si="0"/>
        <v>1.2831065299210052</v>
      </c>
      <c r="D33" s="143">
        <f t="shared" si="25"/>
        <v>448.25268270000004</v>
      </c>
      <c r="E33" s="104">
        <f t="shared" si="1"/>
        <v>38.076188196327074</v>
      </c>
      <c r="F33" s="128">
        <f t="shared" si="26"/>
        <v>2.3290269723869721</v>
      </c>
      <c r="G33" s="106"/>
      <c r="H33" s="107">
        <f t="shared" si="2"/>
        <v>2.0601032543832987</v>
      </c>
      <c r="I33" s="103">
        <f>'[1]сентябрь 20'!AE32</f>
        <v>0</v>
      </c>
      <c r="J33" s="328">
        <f>'[1]июль 20'!AA32</f>
        <v>0</v>
      </c>
      <c r="K33" s="106"/>
      <c r="L33" s="328">
        <f t="shared" si="27"/>
        <v>51.757999999999996</v>
      </c>
      <c r="M33" s="103">
        <f t="shared" si="3"/>
        <v>0.26892371800367337</v>
      </c>
      <c r="N33" s="103">
        <f>'[1]июль 20'!W32</f>
        <v>0</v>
      </c>
      <c r="O33" s="103">
        <f>'[1]июль 20'!AM32</f>
        <v>6.9580000000000002</v>
      </c>
      <c r="P33" s="447">
        <f t="shared" si="28"/>
        <v>6.9301680000000001</v>
      </c>
      <c r="Q33" s="103">
        <f t="shared" si="29"/>
        <v>3.6007700161329287E-2</v>
      </c>
      <c r="R33" s="103">
        <v>278.14999999999998</v>
      </c>
      <c r="S33" s="108">
        <f t="shared" si="4"/>
        <v>1.7156210677691908</v>
      </c>
      <c r="T33" s="109">
        <f t="shared" si="30"/>
        <v>273.37799999999999</v>
      </c>
      <c r="U33" s="131">
        <v>19.827999999999999</v>
      </c>
      <c r="V33" s="109">
        <f t="shared" si="5"/>
        <v>273.37799999999999</v>
      </c>
      <c r="W33" s="485">
        <f t="shared" si="6"/>
        <v>1.4204147799452882</v>
      </c>
      <c r="X33" s="495">
        <f t="shared" si="31"/>
        <v>1.4564224801066175</v>
      </c>
      <c r="Y33" s="135">
        <v>192.46</v>
      </c>
      <c r="Z33" s="136">
        <v>51.59</v>
      </c>
      <c r="AA33" s="131">
        <v>1.33</v>
      </c>
      <c r="AB33" s="133">
        <v>631</v>
      </c>
      <c r="AC33" s="133">
        <v>1229</v>
      </c>
      <c r="AD33" s="144" t="s">
        <v>318</v>
      </c>
      <c r="AE33" s="131">
        <v>76.19</v>
      </c>
      <c r="AF33" s="133">
        <v>139</v>
      </c>
      <c r="AG33" s="134">
        <v>4</v>
      </c>
      <c r="AH33" s="131">
        <v>3.25</v>
      </c>
      <c r="AI33" s="115">
        <f t="shared" si="7"/>
        <v>16.886318704585545</v>
      </c>
      <c r="AJ33" s="131">
        <v>98.15</v>
      </c>
      <c r="AK33" s="115">
        <f t="shared" si="8"/>
        <v>509.96682487848346</v>
      </c>
      <c r="AL33" s="139">
        <v>15.54</v>
      </c>
      <c r="AM33" s="131"/>
      <c r="AN33" s="136">
        <v>11.01</v>
      </c>
      <c r="AO33" s="466">
        <f t="shared" si="9"/>
        <v>47.186500000000002</v>
      </c>
      <c r="AP33" s="110">
        <f t="shared" si="10"/>
        <v>0.19</v>
      </c>
      <c r="AQ33" s="137" t="s">
        <v>385</v>
      </c>
      <c r="AR33" s="150">
        <v>9.2899999999999991</v>
      </c>
      <c r="AS33" s="138">
        <v>9.36</v>
      </c>
      <c r="AT33" s="134"/>
      <c r="AU33" s="131">
        <v>6.14</v>
      </c>
      <c r="AV33" s="139">
        <v>248.35</v>
      </c>
      <c r="AW33" s="131">
        <v>2.31</v>
      </c>
      <c r="AX33" s="116"/>
      <c r="AY33" s="131"/>
      <c r="AZ33" s="109">
        <f t="shared" si="42"/>
        <v>0</v>
      </c>
      <c r="BA33" s="109">
        <f t="shared" si="11"/>
        <v>192.46350000000001</v>
      </c>
      <c r="BB33" s="115">
        <f t="shared" si="12"/>
        <v>195.56567542633536</v>
      </c>
      <c r="BC33" s="140">
        <f t="shared" si="13"/>
        <v>4.6683457746478867</v>
      </c>
      <c r="BD33" s="141">
        <f t="shared" si="43"/>
        <v>7.6985400000000004</v>
      </c>
      <c r="BE33" s="128">
        <f t="shared" si="15"/>
        <v>0.85915197098730733</v>
      </c>
      <c r="BF33" s="141">
        <f t="shared" si="16"/>
        <v>12.366885774647887</v>
      </c>
      <c r="BG33" s="142">
        <v>0.83199999999999996</v>
      </c>
      <c r="BH33" s="16">
        <f t="shared" si="32"/>
        <v>4833.2354999999998</v>
      </c>
      <c r="BI33" s="16">
        <f t="shared" si="17"/>
        <v>182.25806451612902</v>
      </c>
      <c r="BJ33" s="16">
        <f t="shared" si="33"/>
        <v>4920.9677419354803</v>
      </c>
      <c r="BK33" s="17">
        <f t="shared" si="18"/>
        <v>1</v>
      </c>
      <c r="BL33" s="16">
        <f t="shared" si="34"/>
        <v>4920.9677419354803</v>
      </c>
      <c r="BM33" s="519"/>
      <c r="BN33" s="266">
        <f t="shared" si="35"/>
        <v>51.757999999999996</v>
      </c>
      <c r="BO33" s="313"/>
      <c r="BP33" s="266">
        <f t="shared" si="36"/>
        <v>291.05500000000001</v>
      </c>
      <c r="BQ33" s="313">
        <v>90.350999999999999</v>
      </c>
      <c r="BR33" s="230">
        <v>20.914999999999999</v>
      </c>
      <c r="BS33" s="258"/>
      <c r="BT33" s="199"/>
      <c r="BU33" s="200"/>
      <c r="BV33" s="200"/>
      <c r="BW33" s="200"/>
      <c r="BX33" s="200">
        <v>1.53</v>
      </c>
      <c r="BY33" s="208">
        <v>1.08</v>
      </c>
      <c r="BZ33" s="208">
        <v>1.9</v>
      </c>
      <c r="CA33" s="201"/>
      <c r="CB33" s="202"/>
      <c r="CC33" s="200">
        <v>43.76</v>
      </c>
      <c r="CD33" s="200"/>
      <c r="CE33" s="200">
        <v>37.4</v>
      </c>
      <c r="CF33" s="208">
        <v>38.28</v>
      </c>
      <c r="CG33" s="208">
        <v>32.54</v>
      </c>
      <c r="CH33" s="209"/>
      <c r="CI33" s="199"/>
      <c r="CJ33" s="197"/>
      <c r="CK33" s="230"/>
      <c r="CL33" s="266">
        <f t="shared" si="37"/>
        <v>273.37799999999999</v>
      </c>
      <c r="CM33" s="453"/>
      <c r="CN33" s="202"/>
      <c r="CO33" s="208"/>
      <c r="CP33" s="208"/>
      <c r="CQ33" s="209"/>
      <c r="CR33" s="201">
        <v>0.4</v>
      </c>
      <c r="CS33" s="284"/>
      <c r="CT33" s="286">
        <f t="shared" si="19"/>
        <v>0</v>
      </c>
      <c r="CU33" s="24">
        <f t="shared" si="19"/>
        <v>51.757999999999996</v>
      </c>
      <c r="CV33" s="25">
        <f t="shared" si="19"/>
        <v>0</v>
      </c>
      <c r="CW33" s="24">
        <f t="shared" si="19"/>
        <v>286.60185849999999</v>
      </c>
      <c r="CX33" s="27">
        <f t="shared" si="19"/>
        <v>89.3752092</v>
      </c>
      <c r="CY33" s="24">
        <f t="shared" si="19"/>
        <v>20.517614999999999</v>
      </c>
      <c r="CZ33" s="280">
        <f t="shared" si="19"/>
        <v>0</v>
      </c>
      <c r="DA33" s="25">
        <f t="shared" si="20"/>
        <v>0</v>
      </c>
      <c r="DB33" s="24">
        <f t="shared" si="20"/>
        <v>0</v>
      </c>
      <c r="DC33" s="277">
        <f t="shared" si="20"/>
        <v>273.37799999999999</v>
      </c>
      <c r="DD33" s="280">
        <f t="shared" si="20"/>
        <v>0</v>
      </c>
      <c r="DE33" s="508">
        <f t="shared" si="38"/>
        <v>6.9301680000000001</v>
      </c>
      <c r="DG33" s="293">
        <f t="shared" si="21"/>
        <v>0</v>
      </c>
      <c r="DH33" s="294"/>
      <c r="DI33" s="294"/>
      <c r="DJ33" s="295">
        <f t="shared" si="22"/>
        <v>0</v>
      </c>
      <c r="DK33" s="296">
        <f t="shared" si="23"/>
        <v>0</v>
      </c>
      <c r="DM33" s="197">
        <v>271.05500000000001</v>
      </c>
      <c r="DN33" s="247">
        <f t="shared" si="39"/>
        <v>291.05500000000001</v>
      </c>
      <c r="DO33" s="197">
        <v>34.710999999999999</v>
      </c>
      <c r="DP33" s="247">
        <f t="shared" si="40"/>
        <v>51.757999999999996</v>
      </c>
      <c r="DR33" s="230">
        <v>252.92</v>
      </c>
      <c r="DS33" s="247">
        <f t="shared" si="41"/>
        <v>273.37799999999999</v>
      </c>
    </row>
    <row r="34" spans="1:123" ht="16.5" customHeight="1" thickBot="1">
      <c r="A34" s="127">
        <v>28</v>
      </c>
      <c r="B34" s="103">
        <f t="shared" si="24"/>
        <v>469.02599999999995</v>
      </c>
      <c r="C34" s="104">
        <f t="shared" si="0"/>
        <v>0.36584227740040004</v>
      </c>
      <c r="D34" s="143">
        <f t="shared" si="25"/>
        <v>467.31010459999993</v>
      </c>
      <c r="E34" s="104">
        <f t="shared" si="1"/>
        <v>37.839326647136836</v>
      </c>
      <c r="F34" s="128">
        <f t="shared" si="26"/>
        <v>2.6110283508077918</v>
      </c>
      <c r="G34" s="106"/>
      <c r="H34" s="107">
        <f t="shared" si="2"/>
        <v>2.3149990060092023</v>
      </c>
      <c r="I34" s="103">
        <f>'[1]сентябрь 20'!AE33</f>
        <v>0</v>
      </c>
      <c r="J34" s="328">
        <f>'[1]июль 20'!AA33</f>
        <v>0</v>
      </c>
      <c r="K34" s="106">
        <v>24.91</v>
      </c>
      <c r="L34" s="328">
        <f t="shared" si="27"/>
        <v>52.981999999999999</v>
      </c>
      <c r="M34" s="103">
        <f t="shared" si="3"/>
        <v>0.29602934479858978</v>
      </c>
      <c r="N34" s="103">
        <f>'[1]июль 20'!W33</f>
        <v>0</v>
      </c>
      <c r="O34" s="103">
        <f>'[1]июль 20'!AM33</f>
        <v>7.2119999999999997</v>
      </c>
      <c r="P34" s="447">
        <f t="shared" si="28"/>
        <v>7.1831519999999998</v>
      </c>
      <c r="Q34" s="103">
        <f t="shared" si="29"/>
        <v>4.0134834097404398E-2</v>
      </c>
      <c r="R34" s="103">
        <v>285.75</v>
      </c>
      <c r="S34" s="108">
        <f t="shared" si="4"/>
        <v>1.7259842519685042</v>
      </c>
      <c r="T34" s="109">
        <f t="shared" si="30"/>
        <v>280.81800000000004</v>
      </c>
      <c r="U34" s="149">
        <v>8.6020000000000003</v>
      </c>
      <c r="V34" s="109">
        <f t="shared" si="5"/>
        <v>280.81799999999998</v>
      </c>
      <c r="W34" s="485">
        <f t="shared" si="6"/>
        <v>1.5690303980153713</v>
      </c>
      <c r="X34" s="495">
        <f t="shared" si="31"/>
        <v>1.6091652321127756</v>
      </c>
      <c r="Y34" s="489">
        <v>97.79</v>
      </c>
      <c r="Z34" s="157">
        <v>88.71</v>
      </c>
      <c r="AA34" s="149">
        <v>0.97</v>
      </c>
      <c r="AB34" s="147">
        <v>669</v>
      </c>
      <c r="AC34" s="147">
        <v>1237</v>
      </c>
      <c r="AD34" s="144" t="s">
        <v>321</v>
      </c>
      <c r="AE34" s="149">
        <v>75.41</v>
      </c>
      <c r="AF34" s="147">
        <v>144</v>
      </c>
      <c r="AG34" s="155">
        <v>4</v>
      </c>
      <c r="AH34" s="149"/>
      <c r="AI34" s="115">
        <f t="shared" si="7"/>
        <v>0</v>
      </c>
      <c r="AJ34" s="149">
        <v>112.35</v>
      </c>
      <c r="AK34" s="115">
        <f t="shared" si="8"/>
        <v>627.73955094412372</v>
      </c>
      <c r="AL34" s="156">
        <v>17.84</v>
      </c>
      <c r="AM34" s="149"/>
      <c r="AN34" s="157">
        <v>11.47</v>
      </c>
      <c r="AO34" s="466">
        <f t="shared" si="9"/>
        <v>43.994500000000002</v>
      </c>
      <c r="AP34" s="110">
        <f t="shared" si="10"/>
        <v>0.19</v>
      </c>
      <c r="AQ34" s="158" t="s">
        <v>386</v>
      </c>
      <c r="AR34" s="404">
        <v>8.94</v>
      </c>
      <c r="AS34" s="159">
        <v>9</v>
      </c>
      <c r="AT34" s="155"/>
      <c r="AU34" s="149">
        <v>7.68</v>
      </c>
      <c r="AV34" s="156">
        <v>231.55</v>
      </c>
      <c r="AW34" s="131">
        <v>2.89</v>
      </c>
      <c r="AX34" s="148"/>
      <c r="AY34" s="149"/>
      <c r="AZ34" s="109">
        <f t="shared" si="42"/>
        <v>0</v>
      </c>
      <c r="BA34" s="109">
        <f t="shared" si="11"/>
        <v>178.97549999999998</v>
      </c>
      <c r="BB34" s="115">
        <f t="shared" si="12"/>
        <v>204.7075564566604</v>
      </c>
      <c r="BC34" s="140">
        <f t="shared" si="13"/>
        <v>6.6840338028169013</v>
      </c>
      <c r="BD34" s="141">
        <f t="shared" si="43"/>
        <v>7.1590199999999991</v>
      </c>
      <c r="BE34" s="128">
        <f t="shared" si="15"/>
        <v>0.76326254977831998</v>
      </c>
      <c r="BF34" s="141">
        <f t="shared" si="16"/>
        <v>13.8430538028169</v>
      </c>
      <c r="BG34" s="165">
        <v>0.82899999999999996</v>
      </c>
      <c r="BH34" s="16">
        <f t="shared" si="32"/>
        <v>5012.2109999999993</v>
      </c>
      <c r="BI34" s="16">
        <f t="shared" si="17"/>
        <v>182.25806451612902</v>
      </c>
      <c r="BJ34" s="16">
        <f t="shared" si="33"/>
        <v>5103.2258064516091</v>
      </c>
      <c r="BK34" s="17">
        <f t="shared" si="18"/>
        <v>1</v>
      </c>
      <c r="BL34" s="16">
        <f t="shared" si="34"/>
        <v>5103.2258064516091</v>
      </c>
      <c r="BM34" s="520"/>
      <c r="BN34" s="266">
        <f t="shared" si="35"/>
        <v>52.981999999999999</v>
      </c>
      <c r="BO34" s="516"/>
      <c r="BP34" s="266">
        <f t="shared" si="36"/>
        <v>300.875</v>
      </c>
      <c r="BQ34" s="516">
        <v>93.603999999999999</v>
      </c>
      <c r="BR34" s="233">
        <v>21.565000000000001</v>
      </c>
      <c r="BS34" s="260"/>
      <c r="BT34" s="212"/>
      <c r="BU34" s="213"/>
      <c r="BV34" s="213"/>
      <c r="BW34" s="213"/>
      <c r="BX34" s="213">
        <v>0.39</v>
      </c>
      <c r="BY34" s="235">
        <v>0.31</v>
      </c>
      <c r="BZ34" s="235">
        <v>1.17</v>
      </c>
      <c r="CA34" s="214"/>
      <c r="CB34" s="215"/>
      <c r="CC34" s="213">
        <v>43.99</v>
      </c>
      <c r="CD34" s="213"/>
      <c r="CE34" s="213">
        <v>37.17</v>
      </c>
      <c r="CF34" s="235">
        <v>37.409999999999997</v>
      </c>
      <c r="CG34" s="235">
        <v>33.93</v>
      </c>
      <c r="CH34" s="211"/>
      <c r="CI34" s="212"/>
      <c r="CJ34" s="210"/>
      <c r="CK34" s="233"/>
      <c r="CL34" s="266">
        <f t="shared" si="37"/>
        <v>280.81799999999998</v>
      </c>
      <c r="CM34" s="453"/>
      <c r="CN34" s="202"/>
      <c r="CO34" s="208"/>
      <c r="CP34" s="208"/>
      <c r="CQ34" s="209"/>
      <c r="CR34" s="201">
        <v>0.4</v>
      </c>
      <c r="CS34" s="284"/>
      <c r="CT34" s="286">
        <f t="shared" si="19"/>
        <v>0</v>
      </c>
      <c r="CU34" s="24">
        <f t="shared" si="19"/>
        <v>52.981999999999999</v>
      </c>
      <c r="CV34" s="25">
        <f t="shared" si="19"/>
        <v>0</v>
      </c>
      <c r="CW34" s="24">
        <f t="shared" si="19"/>
        <v>299.70158750000002</v>
      </c>
      <c r="CX34" s="27">
        <f t="shared" si="19"/>
        <v>93.313827599999996</v>
      </c>
      <c r="CY34" s="24">
        <f t="shared" si="19"/>
        <v>21.312689500000001</v>
      </c>
      <c r="CZ34" s="280">
        <f t="shared" si="19"/>
        <v>0</v>
      </c>
      <c r="DA34" s="30">
        <f t="shared" si="20"/>
        <v>0</v>
      </c>
      <c r="DB34" s="29">
        <f t="shared" si="20"/>
        <v>0</v>
      </c>
      <c r="DC34" s="277">
        <f t="shared" si="20"/>
        <v>280.81799999999998</v>
      </c>
      <c r="DD34" s="280">
        <f t="shared" si="20"/>
        <v>0</v>
      </c>
      <c r="DE34" s="508">
        <f t="shared" si="38"/>
        <v>7.1831519999999998</v>
      </c>
      <c r="DG34" s="293">
        <f t="shared" si="21"/>
        <v>0</v>
      </c>
      <c r="DH34" s="294"/>
      <c r="DI34" s="294"/>
      <c r="DJ34" s="295">
        <f t="shared" si="22"/>
        <v>0</v>
      </c>
      <c r="DK34" s="296">
        <f t="shared" si="23"/>
        <v>0</v>
      </c>
      <c r="DM34" s="210">
        <v>280.875</v>
      </c>
      <c r="DN34" s="247">
        <f t="shared" si="39"/>
        <v>300.875</v>
      </c>
      <c r="DO34" s="210">
        <v>35.935000000000002</v>
      </c>
      <c r="DP34" s="247">
        <f t="shared" si="40"/>
        <v>52.981999999999999</v>
      </c>
      <c r="DR34" s="233">
        <v>260.36</v>
      </c>
      <c r="DS34" s="247">
        <f t="shared" si="41"/>
        <v>280.81799999999998</v>
      </c>
    </row>
    <row r="35" spans="1:123" ht="16.5" customHeight="1" thickBot="1">
      <c r="A35" s="127">
        <v>29</v>
      </c>
      <c r="B35" s="103">
        <f t="shared" si="24"/>
        <v>413.625</v>
      </c>
      <c r="C35" s="104">
        <f t="shared" si="0"/>
        <v>0.65575054699304924</v>
      </c>
      <c r="D35" s="143">
        <f t="shared" si="25"/>
        <v>410.91265179999999</v>
      </c>
      <c r="E35" s="104">
        <f t="shared" si="1"/>
        <v>38.024684049561806</v>
      </c>
      <c r="F35" s="128">
        <f t="shared" si="26"/>
        <v>2.3837467690754779</v>
      </c>
      <c r="G35" s="106"/>
      <c r="H35" s="107">
        <f t="shared" si="2"/>
        <v>2.1019059629541537</v>
      </c>
      <c r="I35" s="103">
        <f>'[1]сентябрь 20'!AE34</f>
        <v>0</v>
      </c>
      <c r="J35" s="328">
        <f>'[1]июль 20'!AA34</f>
        <v>0</v>
      </c>
      <c r="K35" s="106"/>
      <c r="L35" s="328">
        <f t="shared" si="27"/>
        <v>48.584000000000003</v>
      </c>
      <c r="M35" s="103">
        <f t="shared" si="3"/>
        <v>0.28184080612132428</v>
      </c>
      <c r="N35" s="103">
        <f>'[1]июль 20'!W34</f>
        <v>0</v>
      </c>
      <c r="O35" s="103">
        <f>'[1]июль 20'!AM34</f>
        <v>6.298</v>
      </c>
      <c r="P35" s="447">
        <f t="shared" si="28"/>
        <v>6.2728080000000004</v>
      </c>
      <c r="Q35" s="103">
        <f t="shared" si="29"/>
        <v>3.6389207627290712E-2</v>
      </c>
      <c r="R35" s="103">
        <v>254.7</v>
      </c>
      <c r="S35" s="108">
        <f t="shared" si="4"/>
        <v>1.6262269336474233</v>
      </c>
      <c r="T35" s="109">
        <f t="shared" si="30"/>
        <v>250.55800000000002</v>
      </c>
      <c r="U35" s="131">
        <v>6.298</v>
      </c>
      <c r="V35" s="109">
        <f t="shared" si="5"/>
        <v>250.55799999999999</v>
      </c>
      <c r="W35" s="485">
        <f t="shared" si="6"/>
        <v>1.4535128581456194</v>
      </c>
      <c r="X35" s="495">
        <f t="shared" si="31"/>
        <v>1.4899020657729101</v>
      </c>
      <c r="Y35" s="135">
        <v>89.05</v>
      </c>
      <c r="Z35" s="136">
        <v>172.38</v>
      </c>
      <c r="AA35" s="131">
        <v>0.36</v>
      </c>
      <c r="AB35" s="133">
        <v>688</v>
      </c>
      <c r="AC35" s="133">
        <v>1231</v>
      </c>
      <c r="AD35" s="144" t="s">
        <v>291</v>
      </c>
      <c r="AE35" s="131">
        <v>75.25</v>
      </c>
      <c r="AF35" s="133">
        <v>126</v>
      </c>
      <c r="AG35" s="134">
        <v>4</v>
      </c>
      <c r="AH35" s="166">
        <v>3.7</v>
      </c>
      <c r="AI35" s="115">
        <f t="shared" si="7"/>
        <v>21.464082468485508</v>
      </c>
      <c r="AJ35" s="166">
        <v>114.45</v>
      </c>
      <c r="AK35" s="115">
        <f t="shared" si="8"/>
        <v>663.93628068058536</v>
      </c>
      <c r="AL35" s="139">
        <v>18.88</v>
      </c>
      <c r="AM35" s="131"/>
      <c r="AN35" s="167">
        <v>12.88</v>
      </c>
      <c r="AO35" s="466">
        <f t="shared" si="9"/>
        <v>42.768999999999998</v>
      </c>
      <c r="AP35" s="110">
        <f t="shared" si="10"/>
        <v>0.19</v>
      </c>
      <c r="AQ35" s="168" t="s">
        <v>344</v>
      </c>
      <c r="AR35" s="405">
        <v>8.42</v>
      </c>
      <c r="AS35" s="169">
        <v>8.39</v>
      </c>
      <c r="AT35" s="170"/>
      <c r="AU35" s="166">
        <v>8.69</v>
      </c>
      <c r="AV35" s="171">
        <v>225.1</v>
      </c>
      <c r="AW35" s="131">
        <v>2.93</v>
      </c>
      <c r="AX35" s="116"/>
      <c r="AY35" s="131"/>
      <c r="AZ35" s="109">
        <f t="shared" si="42"/>
        <v>0</v>
      </c>
      <c r="BA35" s="109">
        <f t="shared" si="11"/>
        <v>172.381</v>
      </c>
      <c r="BB35" s="115">
        <f t="shared" si="12"/>
        <v>181.26871946267713</v>
      </c>
      <c r="BC35" s="140">
        <f t="shared" si="13"/>
        <v>7.7044193661971816</v>
      </c>
      <c r="BD35" s="141">
        <f t="shared" si="43"/>
        <v>6.8952400000000003</v>
      </c>
      <c r="BE35" s="128">
        <f t="shared" si="15"/>
        <v>0.83019626025981441</v>
      </c>
      <c r="BF35" s="141">
        <f t="shared" si="16"/>
        <v>14.599659366197182</v>
      </c>
      <c r="BG35" s="165">
        <v>0.82899999999999996</v>
      </c>
      <c r="BH35" s="16">
        <f t="shared" si="32"/>
        <v>5184.5919999999996</v>
      </c>
      <c r="BI35" s="16">
        <f t="shared" si="17"/>
        <v>182.25806451612902</v>
      </c>
      <c r="BJ35" s="16">
        <f t="shared" si="33"/>
        <v>5285.4838709677379</v>
      </c>
      <c r="BK35" s="17">
        <f t="shared" si="18"/>
        <v>1</v>
      </c>
      <c r="BL35" s="16">
        <f t="shared" si="34"/>
        <v>5285.4838709677379</v>
      </c>
      <c r="BM35" s="519"/>
      <c r="BN35" s="266">
        <f t="shared" si="35"/>
        <v>48.584000000000003</v>
      </c>
      <c r="BO35" s="313"/>
      <c r="BP35" s="266">
        <f t="shared" si="36"/>
        <v>264.28100000000001</v>
      </c>
      <c r="BQ35" s="313">
        <v>81.900999999999996</v>
      </c>
      <c r="BR35" s="230">
        <v>18.859000000000002</v>
      </c>
      <c r="BS35" s="259"/>
      <c r="BT35" s="199"/>
      <c r="BU35" s="200"/>
      <c r="BV35" s="200"/>
      <c r="BW35" s="200"/>
      <c r="BX35" s="200">
        <v>0.76</v>
      </c>
      <c r="BY35" s="208">
        <v>0.56000000000000005</v>
      </c>
      <c r="BZ35" s="208">
        <v>1.3</v>
      </c>
      <c r="CA35" s="201"/>
      <c r="CB35" s="202"/>
      <c r="CC35" s="200">
        <v>43.77</v>
      </c>
      <c r="CD35" s="200"/>
      <c r="CE35" s="200">
        <v>37.450000000000003</v>
      </c>
      <c r="CF35" s="208">
        <v>37.4</v>
      </c>
      <c r="CG35" s="208">
        <v>33.99</v>
      </c>
      <c r="CH35" s="209"/>
      <c r="CI35" s="199"/>
      <c r="CJ35" s="197"/>
      <c r="CK35" s="230"/>
      <c r="CL35" s="266">
        <f t="shared" si="37"/>
        <v>250.55799999999999</v>
      </c>
      <c r="CM35" s="453"/>
      <c r="CN35" s="202"/>
      <c r="CO35" s="208"/>
      <c r="CP35" s="208"/>
      <c r="CQ35" s="209"/>
      <c r="CR35" s="201">
        <v>0.4</v>
      </c>
      <c r="CT35" s="286">
        <f t="shared" si="19"/>
        <v>0</v>
      </c>
      <c r="CU35" s="24">
        <f t="shared" si="19"/>
        <v>48.584000000000003</v>
      </c>
      <c r="CV35" s="24">
        <f t="shared" si="19"/>
        <v>0</v>
      </c>
      <c r="CW35" s="24">
        <f t="shared" si="19"/>
        <v>262.27246439999999</v>
      </c>
      <c r="CX35" s="27">
        <f t="shared" si="19"/>
        <v>81.442354399999999</v>
      </c>
      <c r="CY35" s="27">
        <f t="shared" si="19"/>
        <v>18.613833000000003</v>
      </c>
      <c r="CZ35" s="280">
        <f t="shared" si="19"/>
        <v>0</v>
      </c>
      <c r="DA35" s="237">
        <f t="shared" si="20"/>
        <v>0</v>
      </c>
      <c r="DB35" s="26">
        <f t="shared" si="20"/>
        <v>0</v>
      </c>
      <c r="DC35" s="277">
        <f t="shared" si="20"/>
        <v>250.55799999999999</v>
      </c>
      <c r="DD35" s="280">
        <f t="shared" si="20"/>
        <v>0</v>
      </c>
      <c r="DE35" s="508">
        <f t="shared" si="38"/>
        <v>6.2728080000000004</v>
      </c>
      <c r="DG35" s="293">
        <f t="shared" si="21"/>
        <v>0</v>
      </c>
      <c r="DH35" s="294"/>
      <c r="DI35" s="294"/>
      <c r="DJ35" s="295">
        <f t="shared" si="22"/>
        <v>0</v>
      </c>
      <c r="DK35" s="296">
        <f t="shared" si="23"/>
        <v>0</v>
      </c>
      <c r="DM35" s="197">
        <v>245.68100000000001</v>
      </c>
      <c r="DN35" s="247">
        <f>DM35+18.6</f>
        <v>264.28100000000001</v>
      </c>
      <c r="DO35" s="197">
        <v>31.536999999999999</v>
      </c>
      <c r="DP35" s="247">
        <f t="shared" si="40"/>
        <v>48.584000000000003</v>
      </c>
      <c r="DR35" s="230">
        <v>230.1</v>
      </c>
      <c r="DS35" s="247">
        <f t="shared" si="41"/>
        <v>250.55799999999999</v>
      </c>
    </row>
    <row r="36" spans="1:123" ht="16.5" customHeight="1" thickBot="1">
      <c r="A36" s="127">
        <v>30</v>
      </c>
      <c r="B36" s="103">
        <f t="shared" si="24"/>
        <v>465.15699999999993</v>
      </c>
      <c r="C36" s="104">
        <f t="shared" si="0"/>
        <v>0.65031967701227777</v>
      </c>
      <c r="D36" s="143">
        <f t="shared" si="25"/>
        <v>462.13199249999991</v>
      </c>
      <c r="E36" s="104">
        <f t="shared" si="1"/>
        <v>38.158350986871106</v>
      </c>
      <c r="F36" s="128">
        <f t="shared" si="26"/>
        <v>2.6343940629052707</v>
      </c>
      <c r="G36" s="106"/>
      <c r="H36" s="107">
        <f t="shared" si="2"/>
        <v>1.9557011928344423</v>
      </c>
      <c r="I36" s="103">
        <f>'[1]сентябрь 20'!AE35</f>
        <v>0</v>
      </c>
      <c r="J36" s="328">
        <f>'[1]июль 20'!AA35</f>
        <v>0</v>
      </c>
      <c r="K36" s="106"/>
      <c r="L36" s="328">
        <f t="shared" si="27"/>
        <v>119.05799999999999</v>
      </c>
      <c r="M36" s="103">
        <f t="shared" si="3"/>
        <v>0.6786928700708289</v>
      </c>
      <c r="N36" s="103">
        <f>'[1]июль 20'!W35</f>
        <v>0</v>
      </c>
      <c r="O36" s="103">
        <f>'[1]июль 20'!AM35</f>
        <v>7.1239999999999997</v>
      </c>
      <c r="P36" s="447">
        <f t="shared" si="28"/>
        <v>7.095504</v>
      </c>
      <c r="Q36" s="103">
        <f t="shared" si="29"/>
        <v>4.0448083911698893E-2</v>
      </c>
      <c r="R36" s="103">
        <v>284.97000000000003</v>
      </c>
      <c r="S36" s="108">
        <f t="shared" si="4"/>
        <v>1.6675439519949653</v>
      </c>
      <c r="T36" s="109">
        <f t="shared" si="30"/>
        <v>280.21799999999996</v>
      </c>
      <c r="U36" s="131">
        <v>48.393999999999998</v>
      </c>
      <c r="V36" s="109">
        <f t="shared" si="5"/>
        <v>280.21799999999996</v>
      </c>
      <c r="W36" s="485">
        <f t="shared" si="6"/>
        <v>1.5973891604554715</v>
      </c>
      <c r="X36" s="495">
        <f t="shared" si="31"/>
        <v>1.6378372443671705</v>
      </c>
      <c r="Y36" s="135">
        <v>139.27000000000001</v>
      </c>
      <c r="Z36" s="136">
        <v>131.05000000000001</v>
      </c>
      <c r="AA36" s="131">
        <v>1.1100000000000001</v>
      </c>
      <c r="AB36" s="133">
        <v>671</v>
      </c>
      <c r="AC36" s="133">
        <v>1234</v>
      </c>
      <c r="AD36" s="144" t="s">
        <v>288</v>
      </c>
      <c r="AE36" s="131">
        <v>75.67</v>
      </c>
      <c r="AF36" s="133">
        <v>142</v>
      </c>
      <c r="AG36" s="134">
        <v>4</v>
      </c>
      <c r="AH36" s="131">
        <v>3.3</v>
      </c>
      <c r="AI36" s="115">
        <f t="shared" si="7"/>
        <v>18.81172597585828</v>
      </c>
      <c r="AJ36" s="131">
        <v>106.75</v>
      </c>
      <c r="AK36" s="115">
        <f t="shared" si="8"/>
        <v>608.5308327039005</v>
      </c>
      <c r="AL36" s="139">
        <v>17.559999999999999</v>
      </c>
      <c r="AM36" s="131"/>
      <c r="AN36" s="136">
        <v>11.89</v>
      </c>
      <c r="AO36" s="466">
        <f t="shared" si="9"/>
        <v>43.9375</v>
      </c>
      <c r="AP36" s="110">
        <f t="shared" si="10"/>
        <v>0.19</v>
      </c>
      <c r="AQ36" s="137" t="s">
        <v>392</v>
      </c>
      <c r="AR36" s="150">
        <v>9.34</v>
      </c>
      <c r="AS36" s="138">
        <v>8.89</v>
      </c>
      <c r="AT36" s="134"/>
      <c r="AU36" s="131">
        <v>6.46</v>
      </c>
      <c r="AV36" s="139">
        <v>231.25</v>
      </c>
      <c r="AW36" s="131"/>
      <c r="AX36" s="116"/>
      <c r="AY36" s="131"/>
      <c r="AZ36" s="109">
        <f t="shared" si="42"/>
        <v>0</v>
      </c>
      <c r="BA36" s="109">
        <f t="shared" si="11"/>
        <v>175.42250000000001</v>
      </c>
      <c r="BB36" s="115">
        <f t="shared" si="12"/>
        <v>203.44458882018355</v>
      </c>
      <c r="BC36" s="140">
        <f t="shared" si="13"/>
        <v>5.3420105633802812</v>
      </c>
      <c r="BD36" s="141">
        <f t="shared" si="43"/>
        <v>7.0169000000000006</v>
      </c>
      <c r="BE36" s="128">
        <f t="shared" si="15"/>
        <v>0.75275456274414676</v>
      </c>
      <c r="BF36" s="141">
        <f t="shared" si="16"/>
        <v>12.358910563380281</v>
      </c>
      <c r="BG36" s="165">
        <v>0.82599999999999996</v>
      </c>
      <c r="BH36" s="16">
        <f t="shared" si="32"/>
        <v>5360.0144999999993</v>
      </c>
      <c r="BI36" s="16">
        <f t="shared" si="17"/>
        <v>182.25806451612902</v>
      </c>
      <c r="BJ36" s="16">
        <f t="shared" si="33"/>
        <v>5467.7419354838667</v>
      </c>
      <c r="BK36" s="17">
        <f t="shared" si="18"/>
        <v>1</v>
      </c>
      <c r="BL36" s="16">
        <f t="shared" si="34"/>
        <v>5467.7419354838667</v>
      </c>
      <c r="BM36" s="519">
        <v>123.70699999999999</v>
      </c>
      <c r="BN36" s="266">
        <f t="shared" si="35"/>
        <v>38.033999999999999</v>
      </c>
      <c r="BO36" s="196">
        <v>81.024000000000001</v>
      </c>
      <c r="BP36" s="517"/>
      <c r="BQ36" s="230"/>
      <c r="BR36" s="230">
        <v>29.981999999999999</v>
      </c>
      <c r="BS36" s="258">
        <v>192.41</v>
      </c>
      <c r="BT36" s="199"/>
      <c r="BU36" s="200">
        <v>0.79</v>
      </c>
      <c r="BV36" s="200"/>
      <c r="BW36" s="200"/>
      <c r="BX36" s="200"/>
      <c r="BY36" s="208"/>
      <c r="BZ36" s="208">
        <v>1.76</v>
      </c>
      <c r="CA36" s="201">
        <v>0.79</v>
      </c>
      <c r="CB36" s="202">
        <v>37.49</v>
      </c>
      <c r="CC36" s="200">
        <v>44.26</v>
      </c>
      <c r="CD36" s="200">
        <v>41.62</v>
      </c>
      <c r="CE36" s="200"/>
      <c r="CF36" s="208"/>
      <c r="CG36" s="208">
        <v>28.11</v>
      </c>
      <c r="CH36" s="209">
        <v>37.49</v>
      </c>
      <c r="CI36" s="199"/>
      <c r="CJ36" s="197"/>
      <c r="CK36" s="230"/>
      <c r="CL36" s="266">
        <f t="shared" si="37"/>
        <v>280.21799999999996</v>
      </c>
      <c r="CM36" s="453"/>
      <c r="CN36" s="202"/>
      <c r="CO36" s="208"/>
      <c r="CP36" s="208"/>
      <c r="CQ36" s="209"/>
      <c r="CR36" s="201">
        <v>0.4</v>
      </c>
      <c r="CT36" s="286">
        <f t="shared" si="19"/>
        <v>122.72971469999999</v>
      </c>
      <c r="CU36" s="27">
        <f t="shared" si="19"/>
        <v>38.033999999999999</v>
      </c>
      <c r="CV36" s="28">
        <f t="shared" si="19"/>
        <v>81.024000000000001</v>
      </c>
      <c r="CW36" s="27">
        <f t="shared" si="19"/>
        <v>0</v>
      </c>
      <c r="CX36" s="27">
        <f t="shared" si="19"/>
        <v>0</v>
      </c>
      <c r="CY36" s="29">
        <f t="shared" si="19"/>
        <v>29.454316799999997</v>
      </c>
      <c r="CZ36" s="281">
        <f t="shared" si="19"/>
        <v>190.889961</v>
      </c>
      <c r="DA36" s="25">
        <f t="shared" si="20"/>
        <v>0</v>
      </c>
      <c r="DB36" s="24">
        <f t="shared" si="20"/>
        <v>0</v>
      </c>
      <c r="DC36" s="277">
        <f t="shared" si="20"/>
        <v>280.21799999999996</v>
      </c>
      <c r="DD36" s="280">
        <f t="shared" si="20"/>
        <v>0</v>
      </c>
      <c r="DE36" s="508">
        <f t="shared" si="38"/>
        <v>7.095504</v>
      </c>
      <c r="DG36" s="293">
        <f t="shared" si="21"/>
        <v>0</v>
      </c>
      <c r="DH36" s="294"/>
      <c r="DI36" s="294"/>
      <c r="DJ36" s="295">
        <f t="shared" si="22"/>
        <v>0</v>
      </c>
      <c r="DK36" s="296">
        <f t="shared" si="23"/>
        <v>0</v>
      </c>
      <c r="DO36" s="197">
        <v>20.986999999999998</v>
      </c>
      <c r="DP36" s="247">
        <f t="shared" si="40"/>
        <v>38.033999999999999</v>
      </c>
      <c r="DR36" s="230">
        <v>259.76</v>
      </c>
      <c r="DS36" s="247">
        <f t="shared" si="41"/>
        <v>280.21799999999996</v>
      </c>
    </row>
    <row r="37" spans="1:123" ht="16.5" customHeight="1" thickBot="1">
      <c r="A37" s="172">
        <v>31</v>
      </c>
      <c r="B37" s="103">
        <f t="shared" si="24"/>
        <v>422.57499999999999</v>
      </c>
      <c r="C37" s="104">
        <f t="shared" si="0"/>
        <v>0.52844228835118023</v>
      </c>
      <c r="D37" s="173">
        <f t="shared" si="25"/>
        <v>420.34193499999998</v>
      </c>
      <c r="E37" s="104">
        <f t="shared" si="1"/>
        <v>38.821245601372539</v>
      </c>
      <c r="F37" s="174">
        <f>IF(BA37=0,0,D37/BA37)</f>
        <v>2.0721810944047321</v>
      </c>
      <c r="G37" s="106"/>
      <c r="H37" s="107">
        <f t="shared" si="2"/>
        <v>0.85085006162188814</v>
      </c>
      <c r="I37" s="103">
        <f>'[1]сентябрь 20'!AE36</f>
        <v>0</v>
      </c>
      <c r="J37" s="328">
        <f>'[1]июль 20'!AA36</f>
        <v>0</v>
      </c>
      <c r="K37" s="106">
        <v>2.71</v>
      </c>
      <c r="L37" s="328">
        <f t="shared" si="27"/>
        <v>247.74700000000001</v>
      </c>
      <c r="M37" s="103">
        <f t="shared" si="3"/>
        <v>1.2213310327828444</v>
      </c>
      <c r="N37" s="103">
        <f>'[1]июль 20'!W36</f>
        <v>0</v>
      </c>
      <c r="O37" s="103">
        <f>'[1]июль 20'!AM36</f>
        <v>6.7409999999999997</v>
      </c>
      <c r="P37" s="447">
        <f t="shared" si="28"/>
        <v>6.7140359999999992</v>
      </c>
      <c r="Q37" s="505">
        <f t="shared" si="29"/>
        <v>3.3098526004436767E-2</v>
      </c>
      <c r="R37" s="103">
        <v>274.27999999999997</v>
      </c>
      <c r="S37" s="108">
        <f t="shared" si="4"/>
        <v>1.7875893247775831</v>
      </c>
      <c r="T37" s="175">
        <f t="shared" si="30"/>
        <v>269.37700000000001</v>
      </c>
      <c r="U37" s="176">
        <v>9.8510000000000009</v>
      </c>
      <c r="V37" s="109">
        <f t="shared" si="5"/>
        <v>269.37700000000001</v>
      </c>
      <c r="W37" s="486">
        <f t="shared" si="6"/>
        <v>1.3279615479418287</v>
      </c>
      <c r="X37" s="506">
        <f t="shared" si="31"/>
        <v>1.3610600739462655</v>
      </c>
      <c r="Y37" s="490">
        <v>89.69</v>
      </c>
      <c r="Z37" s="177">
        <v>202.85</v>
      </c>
      <c r="AA37" s="176">
        <v>0.56999999999999995</v>
      </c>
      <c r="AB37" s="178">
        <v>700</v>
      </c>
      <c r="AC37" s="178">
        <v>1228</v>
      </c>
      <c r="AD37" s="179" t="s">
        <v>302</v>
      </c>
      <c r="AE37" s="176">
        <v>75.22</v>
      </c>
      <c r="AF37" s="178">
        <v>135</v>
      </c>
      <c r="AG37" s="180">
        <v>4</v>
      </c>
      <c r="AH37" s="176"/>
      <c r="AI37" s="115">
        <f t="shared" si="7"/>
        <v>0</v>
      </c>
      <c r="AJ37" s="176">
        <v>132</v>
      </c>
      <c r="AK37" s="181">
        <f t="shared" si="8"/>
        <v>650.72713827951679</v>
      </c>
      <c r="AL37" s="182">
        <v>20.49</v>
      </c>
      <c r="AM37" s="176"/>
      <c r="AN37" s="177">
        <v>11.2</v>
      </c>
      <c r="AO37" s="466">
        <v>23.85</v>
      </c>
      <c r="AP37" s="227">
        <f t="shared" si="10"/>
        <v>0.10025220680958387</v>
      </c>
      <c r="AQ37" s="183" t="s">
        <v>324</v>
      </c>
      <c r="AR37" s="406">
        <v>9.25</v>
      </c>
      <c r="AS37" s="184">
        <v>7.39</v>
      </c>
      <c r="AT37" s="180"/>
      <c r="AU37" s="176">
        <v>9.39</v>
      </c>
      <c r="AV37" s="176">
        <v>237.9</v>
      </c>
      <c r="AW37" s="131"/>
      <c r="AX37" s="176"/>
      <c r="AY37" s="176"/>
      <c r="AZ37" s="185">
        <f t="shared" si="42"/>
        <v>0</v>
      </c>
      <c r="BA37" s="109">
        <f t="shared" si="11"/>
        <v>202.85000000000002</v>
      </c>
      <c r="BB37" s="115">
        <f t="shared" si="12"/>
        <v>189.38827988968217</v>
      </c>
      <c r="BC37" s="186">
        <f t="shared" si="13"/>
        <v>9.6016056338028157</v>
      </c>
      <c r="BD37" s="181">
        <f t="shared" si="43"/>
        <v>8.1140000000000008</v>
      </c>
      <c r="BE37" s="174">
        <f t="shared" si="15"/>
        <v>0.93505284541975375</v>
      </c>
      <c r="BF37" s="181">
        <f t="shared" si="16"/>
        <v>17.715605633802816</v>
      </c>
      <c r="BG37" s="187">
        <v>0.83</v>
      </c>
      <c r="BH37" s="16">
        <f t="shared" si="32"/>
        <v>5562.8644999999997</v>
      </c>
      <c r="BI37" s="16">
        <f t="shared" si="17"/>
        <v>182.25806451612902</v>
      </c>
      <c r="BJ37" s="16">
        <f t="shared" si="33"/>
        <v>5649.9999999999955</v>
      </c>
      <c r="BK37" s="17">
        <f t="shared" si="18"/>
        <v>1</v>
      </c>
      <c r="BL37" s="16">
        <f t="shared" si="34"/>
        <v>5649.9999999999955</v>
      </c>
      <c r="BM37" s="521"/>
      <c r="BN37" s="266">
        <f t="shared" si="35"/>
        <v>50.423000000000002</v>
      </c>
      <c r="BO37" s="430">
        <v>197.32400000000001</v>
      </c>
      <c r="BP37" s="257"/>
      <c r="BQ37" s="261"/>
      <c r="BR37" s="261">
        <v>40.601999999999997</v>
      </c>
      <c r="BS37" s="262">
        <v>134.226</v>
      </c>
      <c r="BT37" s="219"/>
      <c r="BU37" s="220"/>
      <c r="BV37" s="220"/>
      <c r="BW37" s="220"/>
      <c r="BX37" s="220"/>
      <c r="BY37" s="224"/>
      <c r="BZ37" s="224">
        <v>3.88</v>
      </c>
      <c r="CA37" s="221">
        <v>0.49</v>
      </c>
      <c r="CB37" s="222"/>
      <c r="CC37" s="220">
        <v>43.78</v>
      </c>
      <c r="CD37" s="220">
        <v>41.8</v>
      </c>
      <c r="CE37" s="220"/>
      <c r="CF37" s="224"/>
      <c r="CG37" s="224">
        <v>29.1</v>
      </c>
      <c r="CH37" s="221">
        <v>35.520000000000003</v>
      </c>
      <c r="CI37" s="219"/>
      <c r="CJ37" s="217"/>
      <c r="CK37" s="234"/>
      <c r="CL37" s="266">
        <f t="shared" si="37"/>
        <v>269.37700000000001</v>
      </c>
      <c r="CM37" s="524"/>
      <c r="CN37" s="222"/>
      <c r="CO37" s="224"/>
      <c r="CP37" s="224"/>
      <c r="CQ37" s="218"/>
      <c r="CR37" s="221">
        <v>0.4</v>
      </c>
      <c r="CT37" s="287">
        <f t="shared" si="19"/>
        <v>0</v>
      </c>
      <c r="CU37" s="32">
        <f t="shared" si="19"/>
        <v>50.423000000000002</v>
      </c>
      <c r="CV37" s="30">
        <f t="shared" si="19"/>
        <v>197.32400000000001</v>
      </c>
      <c r="CW37" s="246">
        <f t="shared" si="19"/>
        <v>0</v>
      </c>
      <c r="CX37" s="27">
        <f t="shared" si="19"/>
        <v>0</v>
      </c>
      <c r="CY37" s="26">
        <f t="shared" si="19"/>
        <v>39.0266424</v>
      </c>
      <c r="CZ37" s="282">
        <f t="shared" si="19"/>
        <v>133.56829260000001</v>
      </c>
      <c r="DA37" s="30">
        <f t="shared" si="20"/>
        <v>0</v>
      </c>
      <c r="DB37" s="32">
        <f t="shared" si="20"/>
        <v>0</v>
      </c>
      <c r="DC37" s="246">
        <f t="shared" si="20"/>
        <v>269.37700000000001</v>
      </c>
      <c r="DD37" s="280">
        <f t="shared" si="20"/>
        <v>0</v>
      </c>
      <c r="DE37" s="508">
        <f t="shared" si="38"/>
        <v>6.7140359999999992</v>
      </c>
      <c r="DG37" s="293">
        <f t="shared" si="21"/>
        <v>0</v>
      </c>
      <c r="DH37" s="298"/>
      <c r="DI37" s="298"/>
      <c r="DJ37" s="295">
        <f t="shared" si="22"/>
        <v>0</v>
      </c>
      <c r="DK37" s="296">
        <f t="shared" si="23"/>
        <v>0</v>
      </c>
      <c r="DO37" s="257">
        <v>33.375999999999998</v>
      </c>
      <c r="DP37" s="247">
        <f t="shared" si="40"/>
        <v>50.423000000000002</v>
      </c>
      <c r="DR37" s="234">
        <v>248.9</v>
      </c>
      <c r="DS37" s="247">
        <f>DR37+20.477</f>
        <v>269.37700000000001</v>
      </c>
    </row>
    <row r="38" spans="1:123" ht="16.5" customHeight="1" thickBot="1">
      <c r="A38" s="55" t="s">
        <v>58</v>
      </c>
      <c r="B38" s="188">
        <f>SUM(B7:B37)</f>
        <v>13497.224000299999</v>
      </c>
      <c r="C38" s="326"/>
      <c r="D38" s="327">
        <f>SUM(D7:D37)</f>
        <v>13409.129459041766</v>
      </c>
      <c r="E38" s="339"/>
      <c r="F38" s="340"/>
      <c r="G38" s="341">
        <f>SUM(G7:G37)</f>
        <v>0</v>
      </c>
      <c r="H38" s="342"/>
      <c r="I38" s="188">
        <f>SUM(I7:I37)</f>
        <v>0</v>
      </c>
      <c r="J38" s="188">
        <f>SUM(J7:J37)</f>
        <v>0</v>
      </c>
      <c r="K38" s="188">
        <f>SUM(K7:K37)</f>
        <v>57.46</v>
      </c>
      <c r="L38" s="331">
        <f>SUM(L7:L37)</f>
        <v>1869.8450001000001</v>
      </c>
      <c r="M38" s="342"/>
      <c r="N38" s="188">
        <f>SUM(N7:N37)</f>
        <v>32.440000000000005</v>
      </c>
      <c r="O38" s="188">
        <f>SUM(O7:O37)</f>
        <v>85.77</v>
      </c>
      <c r="P38" s="483">
        <f>SUM(P7:P37)</f>
        <v>85.426919999999996</v>
      </c>
      <c r="Q38" s="340"/>
      <c r="R38" s="188">
        <f>SUM(R7:R37)</f>
        <v>8466.4599999999991</v>
      </c>
      <c r="S38" s="342"/>
      <c r="T38" s="341">
        <f>SUM(T7:T37)</f>
        <v>8338.7270002000005</v>
      </c>
      <c r="U38" s="194">
        <f>SUM(U7:U37)</f>
        <v>583.30999999999995</v>
      </c>
      <c r="V38" s="341">
        <f>SUM(V7:V37)</f>
        <v>8338.7270002000005</v>
      </c>
      <c r="W38" s="344"/>
      <c r="X38" s="344"/>
      <c r="Y38" s="194">
        <f>SUM(Y7:Y37)</f>
        <v>4868.5700000000006</v>
      </c>
      <c r="Z38" s="194">
        <f>SUM(Z7:Z37)</f>
        <v>4892.01</v>
      </c>
      <c r="AA38" s="345"/>
      <c r="AB38" s="346"/>
      <c r="AC38" s="347"/>
      <c r="AD38" s="348"/>
      <c r="AE38" s="345"/>
      <c r="AF38" s="345"/>
      <c r="AG38" s="347">
        <f>SUM(AG7:AG37)</f>
        <v>122</v>
      </c>
      <c r="AH38" s="194">
        <f>SUM(AH7:AH37)</f>
        <v>78.649999999999991</v>
      </c>
      <c r="AI38" s="349"/>
      <c r="AJ38" s="194">
        <f>SUM(AJ7:AJ37)</f>
        <v>3368.05</v>
      </c>
      <c r="AK38" s="343"/>
      <c r="AL38" s="338">
        <f>SUM(AL7:AL37)</f>
        <v>544.92999999999995</v>
      </c>
      <c r="AM38" s="343">
        <f>SUM(AM7:AM37)</f>
        <v>0</v>
      </c>
      <c r="AN38" s="337">
        <f>SUM(AN7:AN37)</f>
        <v>288.46999999999997</v>
      </c>
      <c r="AO38" s="395">
        <f>SUM(AO7:AO37)</f>
        <v>1328.8554999999999</v>
      </c>
      <c r="AP38" s="350"/>
      <c r="AQ38" s="351"/>
      <c r="AR38" s="343"/>
      <c r="AS38" s="351"/>
      <c r="AT38" s="351"/>
      <c r="AU38" s="352"/>
      <c r="AV38" s="337">
        <f>SUM(AV7:AV37)</f>
        <v>7106.3500000000013</v>
      </c>
      <c r="AW38" s="341">
        <f>SUM(AW7:AW37)</f>
        <v>73.84</v>
      </c>
      <c r="AX38" s="343">
        <f>SUM(AX7:AX36)</f>
        <v>0</v>
      </c>
      <c r="AY38" s="343">
        <f>SUM(AY7:AY37)</f>
        <v>0</v>
      </c>
      <c r="AZ38" s="340"/>
      <c r="BA38" s="252">
        <f>SUM(BA7:BA37)</f>
        <v>5562.8644999999997</v>
      </c>
      <c r="BB38" s="252">
        <f>SUM(BB7:BB37)</f>
        <v>5853.0661020342732</v>
      </c>
      <c r="BC38" s="351">
        <f>SUM(BC7:BC36)</f>
        <v>183.38053133802816</v>
      </c>
      <c r="BD38" s="351">
        <f>SUM(BD7:BD36)</f>
        <v>206.83446000000004</v>
      </c>
      <c r="BE38" s="340"/>
      <c r="BF38" s="351">
        <f>SUM(BF7:BF37)</f>
        <v>407.93059697183088</v>
      </c>
      <c r="BG38" s="353"/>
      <c r="BH38" s="16"/>
      <c r="BI38" s="16">
        <f t="shared" si="17"/>
        <v>0</v>
      </c>
      <c r="BJ38" s="16"/>
      <c r="BK38" s="17">
        <f>SUM(BK7:BK37)</f>
        <v>31</v>
      </c>
      <c r="BL38" s="33"/>
      <c r="BM38" s="228">
        <f t="shared" ref="BM38:BS38" si="44">SUM(BM7:BM37)</f>
        <v>336.21900010000002</v>
      </c>
      <c r="BN38" s="38">
        <f t="shared" si="44"/>
        <v>1591.4970000000003</v>
      </c>
      <c r="BO38" s="38">
        <f t="shared" si="44"/>
        <v>278.34800010000004</v>
      </c>
      <c r="BP38" s="38">
        <f t="shared" si="44"/>
        <v>7890.5479999999998</v>
      </c>
      <c r="BQ38" s="38">
        <f t="shared" si="44"/>
        <v>2499.598</v>
      </c>
      <c r="BR38" s="38">
        <f t="shared" si="44"/>
        <v>574.37800000000004</v>
      </c>
      <c r="BS38" s="38">
        <f t="shared" si="44"/>
        <v>326.63600009999999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1395.6000000000001</v>
      </c>
      <c r="CL38" s="39">
        <f>SUM(CL7:CL37)</f>
        <v>6943.1270000000004</v>
      </c>
      <c r="CM38" s="40">
        <f>SUM(CM7:CM37)</f>
        <v>9.9999999999999995E-8</v>
      </c>
      <c r="CN38" s="34"/>
      <c r="CO38" s="35"/>
      <c r="CP38" s="236"/>
      <c r="CQ38" s="36"/>
      <c r="CR38" s="36"/>
      <c r="CT38" s="189">
        <f t="shared" ref="CT38:DE38" si="45">SUM(CT7:CT37)</f>
        <v>329.46138839999998</v>
      </c>
      <c r="CU38" s="190">
        <f t="shared" si="45"/>
        <v>1591.4969999417663</v>
      </c>
      <c r="CV38" s="191">
        <f t="shared" si="45"/>
        <v>278.34800010000004</v>
      </c>
      <c r="CW38" s="192">
        <f t="shared" si="45"/>
        <v>7835.7443569999996</v>
      </c>
      <c r="CX38" s="192">
        <f t="shared" si="45"/>
        <v>2485.7646575999997</v>
      </c>
      <c r="CY38" s="192">
        <f t="shared" si="45"/>
        <v>563.85580230000005</v>
      </c>
      <c r="CZ38" s="278">
        <f t="shared" si="45"/>
        <v>324.4582537</v>
      </c>
      <c r="DA38" s="278">
        <f t="shared" si="45"/>
        <v>9.99999999E-8</v>
      </c>
      <c r="DB38" s="192">
        <f t="shared" si="45"/>
        <v>1395.5999999178</v>
      </c>
      <c r="DC38" s="192">
        <f t="shared" si="45"/>
        <v>6943.1269998082935</v>
      </c>
      <c r="DD38" s="498">
        <f t="shared" si="45"/>
        <v>9.99999999E-8</v>
      </c>
      <c r="DE38" s="500">
        <f t="shared" si="45"/>
        <v>85.426919999999996</v>
      </c>
      <c r="DF38" s="501"/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23" ht="16.5" customHeight="1" thickBot="1">
      <c r="A39" s="56" t="s">
        <v>59</v>
      </c>
      <c r="B39" s="84">
        <f>B38/AV2</f>
        <v>435.39432259032253</v>
      </c>
      <c r="C39" s="84">
        <f>(BM38*BU39+BN38*BV39+BP38*BX39+BS38*CA39+BO38*BW39+BR38*BZ39+BQ38*BY39)/B38</f>
        <v>0.65268636911024036</v>
      </c>
      <c r="D39" s="82"/>
      <c r="E39" s="354">
        <f>(BM38*CB39+BN38*CC39+BP38*CE39+BS38*CH39+BO38*CD39+BR38*CG39+BQ38*CF39)/B38</f>
        <v>38.008979683422112</v>
      </c>
      <c r="F39" s="355">
        <f>IF(BA38=0,0,D38/BA38)</f>
        <v>2.4104720614787158</v>
      </c>
      <c r="G39" s="354">
        <f>G38/AV2</f>
        <v>0</v>
      </c>
      <c r="H39" s="355">
        <f>IF(BA38=0,0,(CZ38+CW38+CY38+CT38+CX38)/BA38)</f>
        <v>2.0743421773081114</v>
      </c>
      <c r="I39" s="354">
        <f>I38/AV2</f>
        <v>0</v>
      </c>
      <c r="J39" s="354">
        <f>J38/AV2</f>
        <v>0</v>
      </c>
      <c r="K39" s="354">
        <f>K38/AV2</f>
        <v>1.8535483870967742</v>
      </c>
      <c r="L39" s="354">
        <f>L38/AV2</f>
        <v>60.3175806483871</v>
      </c>
      <c r="M39" s="355">
        <f>IF($BA$38=0,0,(CV38+CU38)/$BA$38)</f>
        <v>0.33612988417060424</v>
      </c>
      <c r="N39" s="354">
        <f>N38/AV2</f>
        <v>1.046451612903226</v>
      </c>
      <c r="O39" s="354">
        <f>O38/AV2</f>
        <v>2.7667741935483869</v>
      </c>
      <c r="P39" s="354"/>
      <c r="Q39" s="504">
        <f>IF(O38=0,0,P38/BA38)</f>
        <v>1.535664224789225E-2</v>
      </c>
      <c r="R39" s="356">
        <f>R38/AV2</f>
        <v>273.11161290322576</v>
      </c>
      <c r="S39" s="354">
        <f>(SUMPRODUCT(R7:R37,S7:S37))/R38</f>
        <v>1.508694304349163</v>
      </c>
      <c r="T39" s="357"/>
      <c r="U39" s="354">
        <f>U38/AV2</f>
        <v>18.816451612903226</v>
      </c>
      <c r="V39" s="354">
        <f>V38/AV2:AV2</f>
        <v>268.99119355483873</v>
      </c>
      <c r="W39" s="358">
        <f>IF($BA$38=0,0,T38/$BA$38)</f>
        <v>1.4989987622743643</v>
      </c>
      <c r="X39" s="358">
        <f>Q39+W39</f>
        <v>1.5143554045222567</v>
      </c>
      <c r="Y39" s="354">
        <f>Y38/AV2</f>
        <v>157.05064516129033</v>
      </c>
      <c r="Z39" s="354">
        <f>Z38/AV2</f>
        <v>157.80677419354839</v>
      </c>
      <c r="AA39" s="354">
        <f>(SUMPRODUCT(AA7:AA37,BA7:BA37))/BA38</f>
        <v>0.69033000084758489</v>
      </c>
      <c r="AB39" s="359">
        <f>AVERAGE(AB7:AB37)</f>
        <v>658.9677419354839</v>
      </c>
      <c r="AC39" s="359">
        <f>AVERAGE(AC7:AC37)</f>
        <v>1220</v>
      </c>
      <c r="AD39" s="359"/>
      <c r="AE39" s="354">
        <f>(SUMPRODUCT(AE7:AE37,BA7:BA37))/BA38</f>
        <v>76.026862670302322</v>
      </c>
      <c r="AF39" s="360">
        <f>AVERAGE(AF7:AF37)</f>
        <v>133.09677419354838</v>
      </c>
      <c r="AG39" s="360">
        <f>AVERAGE(AG7:AG37)</f>
        <v>3.935483870967742</v>
      </c>
      <c r="AH39" s="354">
        <f>AH38/AV2</f>
        <v>2.537096774193548</v>
      </c>
      <c r="AI39" s="361">
        <f>IF(BA38=0,0,AH38/BA38*1000)</f>
        <v>14.138399380391162</v>
      </c>
      <c r="AJ39" s="361">
        <f>AJ38/AV2</f>
        <v>108.6467741935484</v>
      </c>
      <c r="AK39" s="361">
        <f>IF(BA38=0,0,AJ38/BA38*1000)</f>
        <v>605.45246068819404</v>
      </c>
      <c r="AL39" s="354">
        <f>AL38/AV2</f>
        <v>17.578387096774193</v>
      </c>
      <c r="AM39" s="359"/>
      <c r="AN39" s="354">
        <f>AN38/AV2</f>
        <v>9.3054838709677412</v>
      </c>
      <c r="AO39" s="354">
        <f>AO38/AV2</f>
        <v>42.8663064516129</v>
      </c>
      <c r="AP39" s="346">
        <f>IF(AO39=0,0,AO39/AV39)</f>
        <v>0.18699550402105156</v>
      </c>
      <c r="AQ39" s="361">
        <f>SUM(AQ8:AQ38)</f>
        <v>0</v>
      </c>
      <c r="AR39" s="354">
        <f>AVERAGE(AR7:AR37)</f>
        <v>8.4035483870967731</v>
      </c>
      <c r="AS39" s="354">
        <f>AVERAGE(AS7:AS37)</f>
        <v>8.6919354838709655</v>
      </c>
      <c r="AT39" s="362"/>
      <c r="AU39" s="354">
        <f>AVERAGE(AU7:AU37)</f>
        <v>7.3158064516129038</v>
      </c>
      <c r="AV39" s="363">
        <f>AV38/AV2</f>
        <v>229.23709677419359</v>
      </c>
      <c r="AW39" s="363">
        <f>AW38/AV2</f>
        <v>2.3819354838709677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179.44724193548387</v>
      </c>
      <c r="BB39" s="354">
        <f>BB38/AV2</f>
        <v>188.80858393658946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0.82981017455942363</v>
      </c>
      <c r="BF39" s="354">
        <f>BF38/AV2</f>
        <v>13.159051515220352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2.0098839440930214</v>
      </c>
      <c r="BV39" s="42">
        <f t="shared" ref="BV39:CA39" si="46">(SUMPRODUCT(BN7:BN37,BV7:BV37))/BN38</f>
        <v>3.6590706737116051E-9</v>
      </c>
      <c r="BW39" s="42">
        <f t="shared" si="46"/>
        <v>3.5926250579876173E-17</v>
      </c>
      <c r="BX39" s="42">
        <f t="shared" si="46"/>
        <v>0.69454799590598792</v>
      </c>
      <c r="BY39" s="42">
        <f t="shared" si="46"/>
        <v>0.55342268636796799</v>
      </c>
      <c r="BZ39" s="46">
        <f t="shared" si="46"/>
        <v>1.8319290954737126</v>
      </c>
      <c r="CA39" s="240">
        <f t="shared" si="46"/>
        <v>0.66671965102844777</v>
      </c>
      <c r="CB39" s="41">
        <f t="shared" ref="CB39:CH39" si="47">(SUMPRODUCT(BM7:BM37,CB7:CB37))/BM38</f>
        <v>37.426793566863623</v>
      </c>
      <c r="CC39" s="42">
        <f t="shared" si="47"/>
        <v>43.716809375072636</v>
      </c>
      <c r="CD39" s="42">
        <f t="shared" si="47"/>
        <v>41.747603991497115</v>
      </c>
      <c r="CE39" s="42">
        <f t="shared" si="47"/>
        <v>37.326248278319831</v>
      </c>
      <c r="CF39" s="42">
        <f t="shared" si="47"/>
        <v>37.81250727516985</v>
      </c>
      <c r="CG39" s="46">
        <f t="shared" si="47"/>
        <v>31.712219078725159</v>
      </c>
      <c r="CH39" s="240">
        <f t="shared" si="47"/>
        <v>36.680459031864075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5.8899398108340485E-9</v>
      </c>
      <c r="CP39" s="46">
        <f>(SUMPRODUCT(CL7:CL37,CP7:CP37))/CL38</f>
        <v>2.7611190174110308E-9</v>
      </c>
      <c r="CQ39" s="44">
        <f>(SUMPRODUCT(CM7:CM37,CQ7:CQ37))/CM38</f>
        <v>9.9999999999999982E-8</v>
      </c>
      <c r="CR39" s="44">
        <f>(SUMPRODUCT(O7:O37,CR7:CR37))/O38</f>
        <v>0.4</v>
      </c>
      <c r="CT39" s="667">
        <f>CT38+CU38</f>
        <v>1920.9583883417663</v>
      </c>
      <c r="CU39" s="667"/>
      <c r="CV39" s="668">
        <f>CV38+CW38+CZ38+CY38+CX38</f>
        <v>11488.171070699998</v>
      </c>
      <c r="CW39" s="668"/>
      <c r="CX39" s="668"/>
      <c r="CY39" s="668"/>
      <c r="CZ39" s="668"/>
      <c r="DA39" s="669">
        <f>DA38+DB38+DD38+DC38</f>
        <v>8338.7269999260934</v>
      </c>
      <c r="DB39" s="668"/>
      <c r="DC39" s="668"/>
      <c r="DD39" s="667"/>
      <c r="DE39" s="502"/>
      <c r="DF39" s="499"/>
      <c r="DG39" s="302"/>
      <c r="DH39" s="303"/>
      <c r="DI39" s="303"/>
      <c r="DJ39" s="304"/>
      <c r="DK39" s="305"/>
    </row>
    <row r="40" spans="1:123" ht="16.5" customHeight="1" thickBot="1">
      <c r="A40" s="57" t="s">
        <v>60</v>
      </c>
      <c r="B40" s="85"/>
      <c r="C40" s="86"/>
      <c r="D40" s="87"/>
      <c r="E40" s="365">
        <v>38</v>
      </c>
      <c r="F40" s="366">
        <v>2.2200000000000002</v>
      </c>
      <c r="G40" s="366"/>
      <c r="H40" s="512">
        <v>1.9314</v>
      </c>
      <c r="I40" s="366"/>
      <c r="J40" s="408"/>
      <c r="K40" s="366"/>
      <c r="L40" s="366"/>
      <c r="M40" s="512">
        <v>0.28860000000000002</v>
      </c>
      <c r="N40" s="513">
        <v>34.629019999999997</v>
      </c>
      <c r="O40" s="366"/>
      <c r="P40" s="366"/>
      <c r="Q40" s="366"/>
      <c r="R40" s="367"/>
      <c r="S40" s="368"/>
      <c r="T40" s="367"/>
      <c r="U40" s="450">
        <v>21.6522504</v>
      </c>
      <c r="V40" s="367"/>
      <c r="W40" s="369">
        <v>1.32</v>
      </c>
      <c r="X40" s="484"/>
      <c r="Y40" s="370">
        <v>5650</v>
      </c>
      <c r="Z40" s="370">
        <v>5650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653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5650</v>
      </c>
      <c r="AW40" s="379">
        <v>39.549999999999997</v>
      </c>
      <c r="AX40" s="380"/>
      <c r="AY40" s="381"/>
      <c r="AZ40" s="382"/>
      <c r="BA40" s="365">
        <v>182.26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13409.129459041764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23" ht="16.5" customHeight="1" thickBot="1">
      <c r="A41" s="58" t="s">
        <v>61</v>
      </c>
      <c r="B41" s="88"/>
      <c r="C41" s="88"/>
      <c r="D41" s="88"/>
      <c r="E41" s="384"/>
      <c r="F41" s="385">
        <f>F39-F40</f>
        <v>0.19047206147871565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1.508694304349163</v>
      </c>
      <c r="T41" s="386"/>
      <c r="U41" s="388"/>
      <c r="V41" s="388"/>
      <c r="W41" s="385">
        <f>W39-W40</f>
        <v>0.17899876227436429</v>
      </c>
      <c r="X41" s="385"/>
      <c r="Y41" s="385"/>
      <c r="Z41" s="385"/>
      <c r="AA41" s="385"/>
      <c r="AB41" s="385"/>
      <c r="AC41" s="389">
        <f>AC39-AC40</f>
        <v>-30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1456.3500000000013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23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23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182.25806451612902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23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0.18699550402105156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T44" s="247">
        <f>CT38+CW38+CX38+CZ38</f>
        <v>10975.4286567</v>
      </c>
      <c r="CV44" s="247">
        <f>CU38+CV38</f>
        <v>1869.8450000417663</v>
      </c>
    </row>
    <row r="45" spans="1:123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58.248770491803292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23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188.33333333333334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  <c r="DB46" s="13"/>
    </row>
    <row r="47" spans="1:123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23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-87.135499999995773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-1.5422212389379784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'[4]июль 20 '!$G$38</f>
        <v>1328.8554999999999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'[4]июль 20 '!$C$38</f>
        <v>1328.8600000000001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4.5000000002346496E-3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393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BM3:BS5"/>
    <mergeCell ref="BU3:CA5"/>
    <mergeCell ref="CB3:CH5"/>
    <mergeCell ref="CJ3:CM5"/>
    <mergeCell ref="CN3:CQ5"/>
    <mergeCell ref="DG5:DK5"/>
    <mergeCell ref="CT39:CU39"/>
    <mergeCell ref="CV39:CZ39"/>
    <mergeCell ref="DA39:DD39"/>
    <mergeCell ref="CR3:CR6"/>
    <mergeCell ref="Y3:Y6"/>
    <mergeCell ref="V4:V6"/>
    <mergeCell ref="W4:W6"/>
    <mergeCell ref="X4:X6"/>
    <mergeCell ref="AH5:AH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N3"/>
    <mergeCell ref="O3:X3"/>
    <mergeCell ref="L4:L6"/>
    <mergeCell ref="M4:M6"/>
    <mergeCell ref="N4:N6"/>
    <mergeCell ref="O4:O6"/>
    <mergeCell ref="H4:H6"/>
    <mergeCell ref="I4:I6"/>
    <mergeCell ref="J4:J6"/>
    <mergeCell ref="K4:K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F28" activePane="bottomRight" state="frozen"/>
      <selection pane="topRight" activeCell="B1" sqref="B1"/>
      <selection pane="bottomLeft" activeCell="A7" sqref="A7"/>
      <selection pane="bottomRight" activeCell="BA45" sqref="BA45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28515625" customWidth="1"/>
    <col min="9" max="9" width="6.42578125" hidden="1" customWidth="1"/>
    <col min="10" max="10" width="7.42578125" hidden="1" customWidth="1"/>
    <col min="11" max="11" width="6.85546875" customWidth="1"/>
    <col min="12" max="12" width="8" customWidth="1"/>
    <col min="13" max="13" width="7.28515625" customWidth="1"/>
    <col min="14" max="14" width="4.5703125" hidden="1" customWidth="1"/>
    <col min="15" max="15" width="7.140625" customWidth="1"/>
    <col min="16" max="16" width="7.140625" hidden="1" customWidth="1"/>
    <col min="17" max="17" width="7.140625" customWidth="1"/>
    <col min="18" max="18" width="9" customWidth="1"/>
    <col min="19" max="19" width="5.140625" customWidth="1"/>
    <col min="20" max="20" width="8.85546875" hidden="1" customWidth="1"/>
    <col min="21" max="21" width="7.7109375" customWidth="1"/>
    <col min="22" max="22" width="7.85546875" hidden="1" customWidth="1"/>
    <col min="23" max="24" width="6.85546875" customWidth="1"/>
    <col min="25" max="26" width="8.42578125" customWidth="1"/>
    <col min="27" max="27" width="6.5703125" customWidth="1"/>
    <col min="28" max="28" width="4.85546875" customWidth="1"/>
    <col min="29" max="29" width="6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383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8"/>
      <c r="Y3" s="704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41" t="s">
        <v>396</v>
      </c>
      <c r="Y4" s="645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644"/>
      <c r="Y5" s="645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644"/>
      <c r="Y6" s="645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65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389</v>
      </c>
      <c r="BO6" s="232" t="s">
        <v>390</v>
      </c>
      <c r="BP6" s="396" t="s">
        <v>388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388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389</v>
      </c>
      <c r="CD6" s="232" t="s">
        <v>390</v>
      </c>
      <c r="CE6" s="396" t="s">
        <v>388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288" t="s">
        <v>102</v>
      </c>
      <c r="CR6" s="691"/>
      <c r="CS6"/>
      <c r="CT6" s="251" t="s">
        <v>384</v>
      </c>
      <c r="CU6" s="482" t="s">
        <v>391</v>
      </c>
      <c r="CV6" s="51" t="s">
        <v>390</v>
      </c>
      <c r="CW6" s="245" t="s">
        <v>388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'[1]август 20'!K6</f>
        <v>398.96199999999999</v>
      </c>
      <c r="C7" s="104">
        <f t="shared" ref="C7:C37" si="0">IF(B7=0,0,(BM7*BU7+BN7*BV7+BP7*BX7+BS7*CA7+BO7*BW7+BR7*BZ7+BQ7*BY7)/B7)</f>
        <v>0.26276844727944271</v>
      </c>
      <c r="D7" s="447">
        <f t="shared" ref="D7:D37" si="1">B7*((100-C7)/100)</f>
        <v>397.913653747365</v>
      </c>
      <c r="E7" s="104">
        <f t="shared" ref="E7:E18" si="2">IF(B7=0,0,(BM7*CB7+BN7*CC7+BP7*CE7+BS7*CH7+BO7*CD7+BR7*CG7+BQ7*CF7)/B7)</f>
        <v>39.066930660062866</v>
      </c>
      <c r="F7" s="103">
        <f t="shared" ref="F7:F37" si="3">IF(BA7=0,0,D7/BA7)</f>
        <v>1.9573695398069997</v>
      </c>
      <c r="G7" s="106"/>
      <c r="H7" s="107">
        <f t="shared" ref="H7:H10" si="4">IF(BA7=0,0,(CZ7+CW7+CY7+CT7+CX7)/BA7)</f>
        <v>0.71463753357272841</v>
      </c>
      <c r="I7" s="103">
        <f>'[1]сентябрь 20'!AE6</f>
        <v>0</v>
      </c>
      <c r="J7" s="328">
        <f>'[1]июль 20'!AA6</f>
        <v>0</v>
      </c>
      <c r="K7" s="106"/>
      <c r="L7" s="328">
        <f>'[1]август 20'!AI6</f>
        <v>252.63499999999999</v>
      </c>
      <c r="M7" s="103">
        <f t="shared" ref="M7:M37" si="5">IF(BA7=0,0,(CV7+CU7)/BA7)</f>
        <v>1.2427320564088984</v>
      </c>
      <c r="N7" s="103">
        <f>'[1]август 20'!W6</f>
        <v>0</v>
      </c>
      <c r="O7" s="103">
        <f>'[1]август 20'!AM6</f>
        <v>6.6459999999999999</v>
      </c>
      <c r="P7" s="447">
        <f>O7*((100-CR7)/100)</f>
        <v>6.5928319999999996</v>
      </c>
      <c r="Q7" s="103">
        <f>IF(O7=0,0,P7/BA7)</f>
        <v>3.2430675389837176E-2</v>
      </c>
      <c r="R7" s="103">
        <f>'[1]август 20'!S6</f>
        <v>253.97200000000001</v>
      </c>
      <c r="S7" s="108">
        <f t="shared" ref="S7:S37" si="6">IF(R7=0,0,(1-(V7/R7))*100)</f>
        <v>1.5482020458948198</v>
      </c>
      <c r="T7" s="109">
        <f t="shared" ref="T7:T37" si="7">R7*((100-S7)/100)</f>
        <v>250.04000029999997</v>
      </c>
      <c r="U7" s="106">
        <v>20.306000000000001</v>
      </c>
      <c r="V7" s="109">
        <f t="shared" ref="V7:V37" si="8">CJ7+CK7+CM7+CL7</f>
        <v>250.0400003</v>
      </c>
      <c r="W7" s="110">
        <f t="shared" ref="W7:W37" si="9">IF(BA7=0,0,T7/BA7)</f>
        <v>1.2299670436322492</v>
      </c>
      <c r="X7" s="110">
        <f>Q7+W7</f>
        <v>1.2623977190220863</v>
      </c>
      <c r="Y7" s="136">
        <v>102.76</v>
      </c>
      <c r="Z7" s="111">
        <v>203.29</v>
      </c>
      <c r="AA7" s="106">
        <v>0.52</v>
      </c>
      <c r="AB7" s="112">
        <v>690</v>
      </c>
      <c r="AC7" s="238">
        <v>1240</v>
      </c>
      <c r="AD7" s="113" t="s">
        <v>288</v>
      </c>
      <c r="AE7" s="106">
        <v>74.55</v>
      </c>
      <c r="AF7" s="112">
        <v>133</v>
      </c>
      <c r="AG7" s="114">
        <v>4</v>
      </c>
      <c r="AH7" s="106">
        <v>4.8</v>
      </c>
      <c r="AI7" s="115">
        <f t="shared" ref="AI7:AI37" si="10">IF(BA7=0,0,AH7/BA7*1000)</f>
        <v>23.611589355108464</v>
      </c>
      <c r="AJ7" s="106">
        <v>121.05</v>
      </c>
      <c r="AK7" s="115">
        <f t="shared" ref="AK7:AK37" si="11">IF(BA7=0,0,AJ7/BA7*1000)</f>
        <v>595.45476904914153</v>
      </c>
      <c r="AL7" s="106">
        <v>19.95</v>
      </c>
      <c r="AM7" s="116"/>
      <c r="AN7" s="117">
        <v>11.17</v>
      </c>
      <c r="AO7" s="466">
        <v>48.05</v>
      </c>
      <c r="AP7" s="110">
        <f t="shared" ref="AP7:AP37" si="12">IF(AO7=0,0,AO7/AV7)</f>
        <v>0.19112967382657117</v>
      </c>
      <c r="AQ7" s="119" t="s">
        <v>247</v>
      </c>
      <c r="AR7" s="403">
        <v>9.3800000000000008</v>
      </c>
      <c r="AS7" s="120">
        <v>7.21</v>
      </c>
      <c r="AT7" s="106"/>
      <c r="AU7" s="106">
        <v>8.0399999999999991</v>
      </c>
      <c r="AV7" s="314">
        <v>251.4</v>
      </c>
      <c r="AW7" s="121">
        <v>11.11</v>
      </c>
      <c r="AX7" s="122"/>
      <c r="AY7" s="123"/>
      <c r="AZ7" s="124"/>
      <c r="BA7" s="109">
        <f t="shared" ref="BA7:BA37" si="13">AV7-AO7-AN7+AY7+AW7</f>
        <v>203.29000000000002</v>
      </c>
      <c r="BB7" s="115">
        <f>IF(AE7=0,0,((D7*0.97)*(E7/100)*0.9)/(AE7/100))</f>
        <v>182.03912071691781</v>
      </c>
      <c r="BC7" s="125">
        <f t="shared" ref="BC7:BC37" si="14">(AJ7*AU7)/100*(55/71)</f>
        <v>7.5391985915492938</v>
      </c>
      <c r="BD7" s="115">
        <f t="shared" ref="BD7:BD23" si="15">BA7*$BD$6</f>
        <v>8.1316000000000006</v>
      </c>
      <c r="BE7" s="103">
        <f t="shared" ref="BE7:BE37" si="16">IF((D7*E7)=0,0,(BA7*AE7)/(D7*E7))</f>
        <v>0.97491225677792814</v>
      </c>
      <c r="BF7" s="115">
        <f t="shared" ref="BF7:BF37" si="17">BC7+BD7</f>
        <v>15.670798591549294</v>
      </c>
      <c r="BG7" s="533">
        <v>0.97499999999999998</v>
      </c>
      <c r="BH7" s="16">
        <f>BA7</f>
        <v>203.29000000000002</v>
      </c>
      <c r="BI7" s="16">
        <f t="shared" ref="BI7:BI38" si="18">IF(A7&lt;=$BG$43,$AV$43,0)</f>
        <v>187.09677419354838</v>
      </c>
      <c r="BJ7" s="16">
        <f>BI7</f>
        <v>187.09677419354838</v>
      </c>
      <c r="BK7" s="17">
        <f t="shared" ref="BK7:BK31" si="19">IF(BA7&lt;&gt;0,1,0)</f>
        <v>1</v>
      </c>
      <c r="BL7" s="16">
        <f>BI7*BK7</f>
        <v>187.09677419354838</v>
      </c>
      <c r="BM7" s="336">
        <v>9.9999999999999995E-8</v>
      </c>
      <c r="BN7" s="336">
        <v>53.143000000000001</v>
      </c>
      <c r="BO7" s="336">
        <v>199.49199999999999</v>
      </c>
      <c r="BP7" s="336">
        <v>106.404</v>
      </c>
      <c r="BQ7" s="336">
        <v>9.9999999999999995E-8</v>
      </c>
      <c r="BR7" s="336">
        <v>39.923000000000002</v>
      </c>
      <c r="BS7" s="336">
        <v>1.0000000000000001E-5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0.52</v>
      </c>
      <c r="BY7" s="336">
        <v>9.9999999999999995E-8</v>
      </c>
      <c r="BZ7" s="336">
        <v>1.24</v>
      </c>
      <c r="CA7" s="336">
        <v>9.9999999999999995E-8</v>
      </c>
      <c r="CB7" s="336">
        <v>9.9999999999999995E-8</v>
      </c>
      <c r="CC7" s="336">
        <v>43.89</v>
      </c>
      <c r="CD7" s="336">
        <v>41.91</v>
      </c>
      <c r="CE7" s="336">
        <v>35.36</v>
      </c>
      <c r="CF7" s="336">
        <v>9.9999999999999995E-8</v>
      </c>
      <c r="CG7" s="336">
        <v>28.32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250.04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503">
        <v>0.8</v>
      </c>
      <c r="CS7" s="284"/>
      <c r="CT7" s="285">
        <f t="shared" ref="CT7:CZ37" si="20">BM7*((100-BU7)/100)</f>
        <v>9.99999999E-8</v>
      </c>
      <c r="CU7" s="22">
        <f t="shared" si="20"/>
        <v>53.142999946857003</v>
      </c>
      <c r="CV7" s="22">
        <f t="shared" si="20"/>
        <v>199.49199980050798</v>
      </c>
      <c r="CW7" s="27">
        <f t="shared" si="20"/>
        <v>105.85069919999999</v>
      </c>
      <c r="CX7" s="27">
        <f t="shared" si="20"/>
        <v>9.99999999E-8</v>
      </c>
      <c r="CY7" s="276">
        <f t="shared" si="20"/>
        <v>39.427954800000002</v>
      </c>
      <c r="CZ7" s="279">
        <f t="shared" si="20"/>
        <v>9.999999990000001E-6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250.03999974996</v>
      </c>
      <c r="DD7" s="279">
        <f t="shared" si="21"/>
        <v>9.99999999E-8</v>
      </c>
      <c r="DE7" s="508">
        <f>P7</f>
        <v>6.5928319999999996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'[1]август 20'!K7</f>
        <v>402.096</v>
      </c>
      <c r="C8" s="104">
        <f t="shared" si="0"/>
        <v>0.56435779017945964</v>
      </c>
      <c r="D8" s="447">
        <f t="shared" si="1"/>
        <v>399.82673990000001</v>
      </c>
      <c r="E8" s="104">
        <f t="shared" si="2"/>
        <v>39.381767040706698</v>
      </c>
      <c r="F8" s="128">
        <f t="shared" si="3"/>
        <v>2.1985414049268668</v>
      </c>
      <c r="G8" s="106"/>
      <c r="H8" s="107">
        <f t="shared" si="4"/>
        <v>0.79819498460354099</v>
      </c>
      <c r="I8" s="103">
        <f>'[1]сентябрь 20'!AE7</f>
        <v>0</v>
      </c>
      <c r="J8" s="328">
        <f>'[1]июль 20'!AA7</f>
        <v>0</v>
      </c>
      <c r="K8" s="106"/>
      <c r="L8" s="328">
        <f>'[1]август 20'!AI7</f>
        <v>254.667</v>
      </c>
      <c r="M8" s="103">
        <f t="shared" si="5"/>
        <v>1.4003464203233256</v>
      </c>
      <c r="N8" s="103">
        <f>'[1]август 20'!W7</f>
        <v>0</v>
      </c>
      <c r="O8" s="103">
        <f>'[1]август 20'!AM7</f>
        <v>6.6959999999999997</v>
      </c>
      <c r="P8" s="447">
        <f t="shared" ref="P8:P37" si="24">O8*((100-CR8)/100)</f>
        <v>6.6424319999999994</v>
      </c>
      <c r="Q8" s="103">
        <f t="shared" ref="Q8:Q37" si="25">IF(O8=0,0,P8/BA8)</f>
        <v>3.6524975255691185E-2</v>
      </c>
      <c r="R8" s="103">
        <f>'[1]август 20'!S7</f>
        <v>254.87899999999999</v>
      </c>
      <c r="S8" s="108">
        <f t="shared" si="6"/>
        <v>1.5925203724120096</v>
      </c>
      <c r="T8" s="109">
        <f t="shared" si="7"/>
        <v>250.82</v>
      </c>
      <c r="U8" s="106">
        <v>3.6960000000000002</v>
      </c>
      <c r="V8" s="109">
        <f t="shared" si="8"/>
        <v>250.82</v>
      </c>
      <c r="W8" s="110">
        <f t="shared" si="9"/>
        <v>1.3791927856592983</v>
      </c>
      <c r="X8" s="110">
        <f t="shared" ref="X8:X37" si="26">Q8+W8</f>
        <v>1.4157177609149894</v>
      </c>
      <c r="Y8" s="136">
        <v>44.39</v>
      </c>
      <c r="Z8" s="130">
        <v>91.13</v>
      </c>
      <c r="AA8" s="131">
        <v>0.82</v>
      </c>
      <c r="AB8" s="112">
        <v>714</v>
      </c>
      <c r="AC8" s="112">
        <v>1239</v>
      </c>
      <c r="AD8" s="132" t="s">
        <v>302</v>
      </c>
      <c r="AE8" s="131">
        <v>74.67</v>
      </c>
      <c r="AF8" s="133">
        <v>134</v>
      </c>
      <c r="AG8" s="134">
        <v>4</v>
      </c>
      <c r="AH8" s="131"/>
      <c r="AI8" s="115">
        <f t="shared" si="10"/>
        <v>0</v>
      </c>
      <c r="AJ8" s="131">
        <v>118.2</v>
      </c>
      <c r="AK8" s="115">
        <f t="shared" si="11"/>
        <v>649.95051138238205</v>
      </c>
      <c r="AL8" s="131">
        <v>17.79</v>
      </c>
      <c r="AM8" s="116"/>
      <c r="AN8" s="135">
        <v>12.95</v>
      </c>
      <c r="AO8" s="466">
        <v>43.07</v>
      </c>
      <c r="AP8" s="110">
        <f t="shared" si="12"/>
        <v>0.18319863887707361</v>
      </c>
      <c r="AQ8" s="137" t="s">
        <v>394</v>
      </c>
      <c r="AR8" s="150">
        <v>10.15</v>
      </c>
      <c r="AS8" s="138">
        <v>6.74</v>
      </c>
      <c r="AT8" s="131"/>
      <c r="AU8" s="131">
        <v>6.1</v>
      </c>
      <c r="AV8" s="315">
        <v>235.1</v>
      </c>
      <c r="AW8" s="131">
        <v>2.78</v>
      </c>
      <c r="AX8" s="116"/>
      <c r="AY8" s="131"/>
      <c r="AZ8" s="109"/>
      <c r="BA8" s="109">
        <f t="shared" si="13"/>
        <v>181.86</v>
      </c>
      <c r="BB8" s="115">
        <f t="shared" ref="BB8:BB17" si="27">IF(AE8=0,0,((D8*0.97)*(E8/100)*0.9)/(AE8/100))</f>
        <v>184.09208945237546</v>
      </c>
      <c r="BC8" s="140">
        <f t="shared" si="14"/>
        <v>5.5853661971830979</v>
      </c>
      <c r="BD8" s="141">
        <f t="shared" si="15"/>
        <v>7.2744000000000009</v>
      </c>
      <c r="BE8" s="128">
        <f t="shared" si="16"/>
        <v>0.86241500366626078</v>
      </c>
      <c r="BF8" s="141">
        <f t="shared" si="17"/>
        <v>12.859766197183099</v>
      </c>
      <c r="BG8" s="535">
        <v>0.91800000000000004</v>
      </c>
      <c r="BH8" s="16">
        <f t="shared" ref="BH8:BH37" si="28">BH7+BA8</f>
        <v>385.15000000000003</v>
      </c>
      <c r="BI8" s="16">
        <f t="shared" si="18"/>
        <v>187.09677419354838</v>
      </c>
      <c r="BJ8" s="16">
        <f t="shared" ref="BJ8:BJ37" si="29">BI8+BJ7</f>
        <v>374.19354838709677</v>
      </c>
      <c r="BK8" s="17">
        <f t="shared" si="19"/>
        <v>1</v>
      </c>
      <c r="BL8" s="16">
        <f t="shared" ref="BL8:BL37" si="30">BL7+BI8*BK8</f>
        <v>374.19354838709677</v>
      </c>
      <c r="BM8" s="249"/>
      <c r="BN8" s="195">
        <v>53.597000000000001</v>
      </c>
      <c r="BO8" s="197">
        <v>201.07</v>
      </c>
      <c r="BP8" s="197">
        <v>103.508</v>
      </c>
      <c r="BQ8" s="230"/>
      <c r="BR8" s="230">
        <v>43.920999999999999</v>
      </c>
      <c r="BS8" s="250"/>
      <c r="BT8" s="199"/>
      <c r="BU8" s="200"/>
      <c r="BV8" s="200"/>
      <c r="BW8" s="200"/>
      <c r="BX8" s="200">
        <v>1</v>
      </c>
      <c r="BY8" s="208"/>
      <c r="BZ8" s="208">
        <v>2.81</v>
      </c>
      <c r="CA8" s="198"/>
      <c r="CB8" s="202"/>
      <c r="CC8" s="200">
        <v>43.74</v>
      </c>
      <c r="CD8" s="200">
        <v>41.63</v>
      </c>
      <c r="CE8" s="200">
        <v>35.89</v>
      </c>
      <c r="CF8" s="197"/>
      <c r="CG8" s="197">
        <v>32</v>
      </c>
      <c r="CH8" s="197"/>
      <c r="CI8" s="203"/>
      <c r="CJ8" s="204"/>
      <c r="CK8" s="197"/>
      <c r="CL8" s="197">
        <v>250.82</v>
      </c>
      <c r="CM8" s="198"/>
      <c r="CN8" s="205"/>
      <c r="CO8" s="206"/>
      <c r="CP8" s="269"/>
      <c r="CQ8" s="207"/>
      <c r="CR8" s="207">
        <v>0.8</v>
      </c>
      <c r="CS8" s="284"/>
      <c r="CT8" s="286">
        <f t="shared" si="20"/>
        <v>0</v>
      </c>
      <c r="CU8" s="24">
        <f t="shared" si="20"/>
        <v>53.597000000000001</v>
      </c>
      <c r="CV8" s="25">
        <f t="shared" si="20"/>
        <v>201.07</v>
      </c>
      <c r="CW8" s="24">
        <f t="shared" si="20"/>
        <v>102.47291999999999</v>
      </c>
      <c r="CX8" s="27">
        <f t="shared" si="20"/>
        <v>0</v>
      </c>
      <c r="CY8" s="237">
        <f t="shared" si="20"/>
        <v>42.686819899999996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250.82</v>
      </c>
      <c r="DD8" s="280">
        <f t="shared" si="21"/>
        <v>0</v>
      </c>
      <c r="DE8" s="508">
        <f t="shared" ref="DE8:DE37" si="31">P8</f>
        <v>6.6424319999999994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2">IF(I8=0,0,(DJ8*DI8%)/(AE8/100))</f>
        <v>0</v>
      </c>
      <c r="DM8" s="402"/>
    </row>
    <row r="9" spans="1:117" ht="16.5" customHeight="1" thickBot="1">
      <c r="A9" s="534">
        <v>3</v>
      </c>
      <c r="B9" s="103">
        <f>'[1]август 20'!K8</f>
        <v>404.87900000000002</v>
      </c>
      <c r="C9" s="104">
        <f t="shared" si="0"/>
        <v>0.41924031624263053</v>
      </c>
      <c r="D9" s="448">
        <f t="shared" si="1"/>
        <v>403.18158400000004</v>
      </c>
      <c r="E9" s="104">
        <f t="shared" si="2"/>
        <v>38.962637849826741</v>
      </c>
      <c r="F9" s="128">
        <f t="shared" si="3"/>
        <v>2.1523680546658128</v>
      </c>
      <c r="G9" s="106"/>
      <c r="H9" s="107">
        <f t="shared" si="4"/>
        <v>0.78357668161434979</v>
      </c>
      <c r="I9" s="103">
        <f>'[1]сентябрь 20'!AE8</f>
        <v>0</v>
      </c>
      <c r="J9" s="328">
        <f>'[1]июль 20'!AA8</f>
        <v>0</v>
      </c>
      <c r="K9" s="106"/>
      <c r="L9" s="328">
        <f>'[1]август 20'!AI8</f>
        <v>256.40199999999999</v>
      </c>
      <c r="M9" s="103">
        <f t="shared" si="5"/>
        <v>1.3687913730514627</v>
      </c>
      <c r="N9" s="103">
        <f>'[1]август 20'!W8</f>
        <v>0</v>
      </c>
      <c r="O9" s="103">
        <f>'[1]август 20'!AM8</f>
        <v>6.7590000000000003</v>
      </c>
      <c r="P9" s="447">
        <f t="shared" si="24"/>
        <v>6.7049280000000007</v>
      </c>
      <c r="Q9" s="103">
        <f t="shared" si="25"/>
        <v>3.5793978219090333E-2</v>
      </c>
      <c r="R9" s="103">
        <f>'[1]август 20'!S8</f>
        <v>257.11900000000003</v>
      </c>
      <c r="S9" s="108">
        <f t="shared" si="6"/>
        <v>1.6369852091833059</v>
      </c>
      <c r="T9" s="109">
        <f t="shared" si="7"/>
        <v>252.91</v>
      </c>
      <c r="U9" s="106">
        <v>5.7590000000000003</v>
      </c>
      <c r="V9" s="109">
        <f t="shared" si="8"/>
        <v>252.91</v>
      </c>
      <c r="W9" s="110">
        <f t="shared" si="9"/>
        <v>1.3501494768310913</v>
      </c>
      <c r="X9" s="110">
        <f t="shared" si="26"/>
        <v>1.3859434550501817</v>
      </c>
      <c r="Y9" s="136">
        <v>94.85</v>
      </c>
      <c r="Z9" s="130">
        <v>187.32</v>
      </c>
      <c r="AA9" s="131">
        <v>0.54</v>
      </c>
      <c r="AB9" s="112">
        <v>690</v>
      </c>
      <c r="AC9" s="112">
        <v>1232</v>
      </c>
      <c r="AD9" s="144" t="s">
        <v>288</v>
      </c>
      <c r="AE9" s="131">
        <v>75.11</v>
      </c>
      <c r="AF9" s="133">
        <v>135</v>
      </c>
      <c r="AG9" s="134">
        <v>4</v>
      </c>
      <c r="AH9" s="131">
        <v>4.0999999999999996</v>
      </c>
      <c r="AI9" s="115">
        <f t="shared" si="10"/>
        <v>21.887678838351484</v>
      </c>
      <c r="AJ9" s="131">
        <v>124</v>
      </c>
      <c r="AK9" s="115">
        <f t="shared" si="11"/>
        <v>661.96882340380103</v>
      </c>
      <c r="AL9" s="131">
        <v>17.72</v>
      </c>
      <c r="AM9" s="116"/>
      <c r="AN9" s="135">
        <v>10.48</v>
      </c>
      <c r="AO9" s="466">
        <v>49.77</v>
      </c>
      <c r="AP9" s="110">
        <f t="shared" si="12"/>
        <v>0.20431034482758623</v>
      </c>
      <c r="AQ9" s="137" t="s">
        <v>228</v>
      </c>
      <c r="AR9" s="150">
        <v>9.2799999999999994</v>
      </c>
      <c r="AS9" s="131">
        <v>7.4</v>
      </c>
      <c r="AT9" s="131"/>
      <c r="AU9" s="131">
        <v>6.4</v>
      </c>
      <c r="AV9" s="315">
        <v>243.6</v>
      </c>
      <c r="AW9" s="131">
        <v>3.97</v>
      </c>
      <c r="AX9" s="116"/>
      <c r="AY9" s="131"/>
      <c r="AZ9" s="109"/>
      <c r="BA9" s="109">
        <f t="shared" si="13"/>
        <v>187.32</v>
      </c>
      <c r="BB9" s="115">
        <f t="shared" si="27"/>
        <v>182.58517845003783</v>
      </c>
      <c r="BC9" s="140">
        <f t="shared" si="14"/>
        <v>6.1476056338028169</v>
      </c>
      <c r="BD9" s="141">
        <f t="shared" si="15"/>
        <v>7.4927999999999999</v>
      </c>
      <c r="BE9" s="128">
        <f t="shared" si="16"/>
        <v>0.89563874454764725</v>
      </c>
      <c r="BF9" s="141">
        <f t="shared" si="17"/>
        <v>13.640405633802818</v>
      </c>
      <c r="BG9" s="535">
        <v>0.91100000000000003</v>
      </c>
      <c r="BH9" s="16">
        <f t="shared" si="28"/>
        <v>572.47</v>
      </c>
      <c r="BI9" s="16">
        <f t="shared" si="18"/>
        <v>187.09677419354838</v>
      </c>
      <c r="BJ9" s="16">
        <f t="shared" si="29"/>
        <v>561.29032258064512</v>
      </c>
      <c r="BK9" s="17">
        <f t="shared" si="19"/>
        <v>1</v>
      </c>
      <c r="BL9" s="16">
        <f t="shared" si="30"/>
        <v>561.29032258064512</v>
      </c>
      <c r="BM9" s="249"/>
      <c r="BN9" s="195">
        <v>53.902000000000001</v>
      </c>
      <c r="BO9" s="197">
        <v>202.5</v>
      </c>
      <c r="BP9" s="197">
        <v>101.26600000000001</v>
      </c>
      <c r="BQ9" s="230"/>
      <c r="BR9" s="230">
        <v>47.210999999999999</v>
      </c>
      <c r="BS9" s="250"/>
      <c r="BT9" s="199"/>
      <c r="BU9" s="200"/>
      <c r="BV9" s="200"/>
      <c r="BW9" s="200"/>
      <c r="BX9" s="200">
        <v>0.52</v>
      </c>
      <c r="BY9" s="208"/>
      <c r="BZ9" s="208">
        <v>2.48</v>
      </c>
      <c r="CA9" s="201"/>
      <c r="CB9" s="202"/>
      <c r="CC9" s="200">
        <v>43.9</v>
      </c>
      <c r="CD9" s="200">
        <v>41.63</v>
      </c>
      <c r="CE9" s="200">
        <v>36.340000000000003</v>
      </c>
      <c r="CF9" s="200"/>
      <c r="CG9" s="200">
        <v>27.51</v>
      </c>
      <c r="CH9" s="200"/>
      <c r="CI9" s="203"/>
      <c r="CJ9" s="204"/>
      <c r="CK9" s="197"/>
      <c r="CL9" s="197">
        <v>252.91</v>
      </c>
      <c r="CM9" s="198"/>
      <c r="CN9" s="202"/>
      <c r="CO9" s="208"/>
      <c r="CP9" s="208"/>
      <c r="CQ9" s="201"/>
      <c r="CR9" s="201">
        <v>0.8</v>
      </c>
      <c r="CS9" s="284"/>
      <c r="CT9" s="286">
        <f t="shared" si="20"/>
        <v>0</v>
      </c>
      <c r="CU9" s="27">
        <f t="shared" si="20"/>
        <v>53.902000000000001</v>
      </c>
      <c r="CV9" s="28">
        <f t="shared" si="20"/>
        <v>202.5</v>
      </c>
      <c r="CW9" s="27">
        <f t="shared" si="20"/>
        <v>100.7394168</v>
      </c>
      <c r="CX9" s="27">
        <f t="shared" si="20"/>
        <v>0</v>
      </c>
      <c r="CY9" s="237">
        <f t="shared" si="20"/>
        <v>46.040167199999999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252.91</v>
      </c>
      <c r="DD9" s="280">
        <f t="shared" si="21"/>
        <v>0</v>
      </c>
      <c r="DE9" s="508">
        <f t="shared" si="31"/>
        <v>6.7049280000000007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2"/>
        <v>0</v>
      </c>
      <c r="DM9" s="402"/>
    </row>
    <row r="10" spans="1:117" ht="16.5" customHeight="1" thickBot="1">
      <c r="A10" s="534">
        <v>4</v>
      </c>
      <c r="B10" s="103">
        <f>'[1]август 20'!K9</f>
        <v>381.27300000000002</v>
      </c>
      <c r="C10" s="104">
        <f t="shared" si="0"/>
        <v>0.4547651682652587</v>
      </c>
      <c r="D10" s="448">
        <f t="shared" si="1"/>
        <v>379.5391032</v>
      </c>
      <c r="E10" s="104">
        <f t="shared" si="2"/>
        <v>39.335452628431597</v>
      </c>
      <c r="F10" s="128">
        <f t="shared" si="3"/>
        <v>2.0580148747424354</v>
      </c>
      <c r="G10" s="106"/>
      <c r="H10" s="107">
        <f t="shared" si="4"/>
        <v>0.76791076455915841</v>
      </c>
      <c r="I10" s="103">
        <f>'[1]сентябрь 20'!AE9</f>
        <v>0</v>
      </c>
      <c r="J10" s="328">
        <f>'[1]июль 20'!AA9</f>
        <v>0</v>
      </c>
      <c r="K10" s="106"/>
      <c r="L10" s="328">
        <f>'[1]август 20'!AI9</f>
        <v>237.92099999999999</v>
      </c>
      <c r="M10" s="103">
        <f t="shared" si="5"/>
        <v>1.2901041101832771</v>
      </c>
      <c r="N10" s="103">
        <f>'[1]август 20'!W9</f>
        <v>0</v>
      </c>
      <c r="O10" s="103">
        <f>'[1]август 20'!AM9</f>
        <v>5.6239999999999997</v>
      </c>
      <c r="P10" s="447">
        <f t="shared" si="24"/>
        <v>5.579008</v>
      </c>
      <c r="Q10" s="103">
        <f t="shared" si="25"/>
        <v>3.0251642988829843E-2</v>
      </c>
      <c r="R10" s="103">
        <f>'[1]август 20'!S9</f>
        <v>240.37</v>
      </c>
      <c r="S10" s="108">
        <f t="shared" si="6"/>
        <v>1.306319424221003</v>
      </c>
      <c r="T10" s="109">
        <f t="shared" si="7"/>
        <v>237.23</v>
      </c>
      <c r="U10" s="106">
        <v>4.4340000000000002</v>
      </c>
      <c r="V10" s="109">
        <f t="shared" si="8"/>
        <v>237.23</v>
      </c>
      <c r="W10" s="110">
        <f t="shared" si="9"/>
        <v>1.28635722806637</v>
      </c>
      <c r="X10" s="110">
        <f t="shared" si="26"/>
        <v>1.3166088710551997</v>
      </c>
      <c r="Y10" s="136"/>
      <c r="Z10" s="130">
        <v>47.89</v>
      </c>
      <c r="AA10" s="131">
        <v>1.53</v>
      </c>
      <c r="AB10" s="112">
        <v>690</v>
      </c>
      <c r="AC10" s="112">
        <v>1237</v>
      </c>
      <c r="AD10" s="144" t="s">
        <v>305</v>
      </c>
      <c r="AE10" s="131">
        <v>73.790000000000006</v>
      </c>
      <c r="AF10" s="133">
        <v>127</v>
      </c>
      <c r="AG10" s="134">
        <v>4</v>
      </c>
      <c r="AH10" s="131"/>
      <c r="AI10" s="115">
        <f t="shared" si="10"/>
        <v>0</v>
      </c>
      <c r="AJ10" s="131">
        <v>115.05</v>
      </c>
      <c r="AK10" s="115">
        <f t="shared" si="11"/>
        <v>623.84773885695688</v>
      </c>
      <c r="AL10" s="131">
        <v>19.68</v>
      </c>
      <c r="AM10" s="116"/>
      <c r="AN10" s="135">
        <v>9.5399999999999991</v>
      </c>
      <c r="AO10" s="466">
        <v>45.81</v>
      </c>
      <c r="AP10" s="110">
        <f t="shared" si="12"/>
        <v>0.19357701246566661</v>
      </c>
      <c r="AQ10" s="137" t="s">
        <v>224</v>
      </c>
      <c r="AR10" s="150">
        <v>9.8000000000000007</v>
      </c>
      <c r="AS10" s="138">
        <v>6.89</v>
      </c>
      <c r="AT10" s="131"/>
      <c r="AU10" s="131">
        <v>6.23</v>
      </c>
      <c r="AV10" s="315">
        <v>236.65</v>
      </c>
      <c r="AW10" s="131">
        <v>3.12</v>
      </c>
      <c r="AX10" s="116"/>
      <c r="AY10" s="131"/>
      <c r="AZ10" s="109"/>
      <c r="BA10" s="109">
        <f t="shared" si="13"/>
        <v>184.42000000000002</v>
      </c>
      <c r="BB10" s="115">
        <f>IF(AE10=0,0,((D10*0.97)*(E10/100)*0.9)/(AE10/100))</f>
        <v>176.62713007062965</v>
      </c>
      <c r="BC10" s="140">
        <f t="shared" si="14"/>
        <v>5.5523778169014086</v>
      </c>
      <c r="BD10" s="141">
        <f t="shared" si="15"/>
        <v>7.3768000000000011</v>
      </c>
      <c r="BE10" s="128">
        <f t="shared" si="16"/>
        <v>0.91151716010796235</v>
      </c>
      <c r="BF10" s="141">
        <f t="shared" si="17"/>
        <v>12.92917781690141</v>
      </c>
      <c r="BG10" s="535">
        <v>0.91100000000000003</v>
      </c>
      <c r="BH10" s="16">
        <f t="shared" si="28"/>
        <v>756.8900000000001</v>
      </c>
      <c r="BI10" s="16">
        <f t="shared" si="18"/>
        <v>187.09677419354838</v>
      </c>
      <c r="BJ10" s="16">
        <f t="shared" si="29"/>
        <v>748.38709677419354</v>
      </c>
      <c r="BK10" s="17">
        <f t="shared" si="19"/>
        <v>1</v>
      </c>
      <c r="BL10" s="16">
        <f t="shared" si="30"/>
        <v>748.38709677419354</v>
      </c>
      <c r="BM10" s="249"/>
      <c r="BN10" s="195">
        <v>50.808</v>
      </c>
      <c r="BO10" s="197">
        <v>187.113</v>
      </c>
      <c r="BP10" s="195">
        <v>96.965999999999994</v>
      </c>
      <c r="BQ10" s="195"/>
      <c r="BR10" s="230">
        <v>46.386000000000003</v>
      </c>
      <c r="BS10" s="250"/>
      <c r="BT10" s="199"/>
      <c r="BU10" s="200"/>
      <c r="BV10" s="200"/>
      <c r="BW10" s="200"/>
      <c r="BX10" s="200">
        <v>0.42</v>
      </c>
      <c r="BY10" s="208"/>
      <c r="BZ10" s="208">
        <v>2.86</v>
      </c>
      <c r="CA10" s="201"/>
      <c r="CB10" s="202"/>
      <c r="CC10" s="200">
        <v>43.81</v>
      </c>
      <c r="CD10" s="200">
        <v>41.61</v>
      </c>
      <c r="CE10" s="200">
        <v>36.24</v>
      </c>
      <c r="CF10" s="200"/>
      <c r="CG10" s="200">
        <v>31.73</v>
      </c>
      <c r="CH10" s="200"/>
      <c r="CI10" s="203"/>
      <c r="CJ10" s="204"/>
      <c r="CK10" s="197"/>
      <c r="CL10" s="197">
        <v>237.23</v>
      </c>
      <c r="CM10" s="198"/>
      <c r="CN10" s="202"/>
      <c r="CO10" s="208"/>
      <c r="CP10" s="208"/>
      <c r="CQ10" s="201"/>
      <c r="CR10" s="201">
        <v>0.8</v>
      </c>
      <c r="CS10" s="284"/>
      <c r="CT10" s="286">
        <f t="shared" si="20"/>
        <v>0</v>
      </c>
      <c r="CU10" s="29">
        <f t="shared" si="20"/>
        <v>50.808</v>
      </c>
      <c r="CV10" s="30">
        <f t="shared" si="20"/>
        <v>187.113</v>
      </c>
      <c r="CW10" s="29">
        <f t="shared" si="20"/>
        <v>96.55874279999999</v>
      </c>
      <c r="CX10" s="27">
        <f t="shared" si="20"/>
        <v>0</v>
      </c>
      <c r="CY10" s="24">
        <f t="shared" si="20"/>
        <v>45.059360400000003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237.23</v>
      </c>
      <c r="DD10" s="280">
        <f t="shared" si="21"/>
        <v>0</v>
      </c>
      <c r="DE10" s="508">
        <f t="shared" si="31"/>
        <v>5.579008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2"/>
        <v>0</v>
      </c>
      <c r="DM10" s="402"/>
    </row>
    <row r="11" spans="1:117" ht="16.5" customHeight="1" thickBot="1">
      <c r="A11" s="534">
        <v>5</v>
      </c>
      <c r="B11" s="103">
        <f>'[1]август 20'!K10</f>
        <v>411.07400000000001</v>
      </c>
      <c r="C11" s="104">
        <f t="shared" si="0"/>
        <v>0.49849156113011284</v>
      </c>
      <c r="D11" s="448">
        <f t="shared" si="1"/>
        <v>409.02483080000002</v>
      </c>
      <c r="E11" s="104">
        <f t="shared" si="2"/>
        <v>38.866531743676319</v>
      </c>
      <c r="F11" s="128">
        <f t="shared" si="3"/>
        <v>2.176590202213708</v>
      </c>
      <c r="G11" s="106"/>
      <c r="H11" s="107">
        <f>IF(BA11=0,0,(CZ11+CW11+CY11+CT11+CX11)/BA11)</f>
        <v>0.86390395274584941</v>
      </c>
      <c r="I11" s="103">
        <f>'[1]сентябрь 20'!AE10</f>
        <v>0</v>
      </c>
      <c r="J11" s="328">
        <f>'[1]июль 20'!AA10</f>
        <v>0</v>
      </c>
      <c r="K11" s="106"/>
      <c r="L11" s="328">
        <f>'[1]август 20'!AI10</f>
        <v>246.68</v>
      </c>
      <c r="M11" s="103">
        <f t="shared" si="5"/>
        <v>1.3126862494678588</v>
      </c>
      <c r="N11" s="103">
        <f>'[1]август 20'!W10</f>
        <v>0</v>
      </c>
      <c r="O11" s="103">
        <f>'[1]август 20'!AM10</f>
        <v>6.8259999999999996</v>
      </c>
      <c r="P11" s="447">
        <f t="shared" si="24"/>
        <v>6.7713919999999996</v>
      </c>
      <c r="Q11" s="103">
        <f t="shared" si="25"/>
        <v>3.6033375904640272E-2</v>
      </c>
      <c r="R11" s="103">
        <f>'[1]август 20'!S10</f>
        <v>256.834</v>
      </c>
      <c r="S11" s="108">
        <f t="shared" si="6"/>
        <v>1.4655380518155736</v>
      </c>
      <c r="T11" s="109">
        <f t="shared" si="7"/>
        <v>253.07</v>
      </c>
      <c r="U11" s="106">
        <v>4.8259999999999996</v>
      </c>
      <c r="V11" s="109">
        <f t="shared" si="8"/>
        <v>253.07</v>
      </c>
      <c r="W11" s="110">
        <f t="shared" si="9"/>
        <v>1.3466900808854831</v>
      </c>
      <c r="X11" s="110">
        <f t="shared" si="26"/>
        <v>1.3827234567901234</v>
      </c>
      <c r="Y11" s="136">
        <v>139.88999999999999</v>
      </c>
      <c r="Z11" s="130">
        <v>92.39</v>
      </c>
      <c r="AA11" s="131">
        <v>1.02</v>
      </c>
      <c r="AB11" s="112">
        <v>677</v>
      </c>
      <c r="AC11" s="112">
        <v>1238</v>
      </c>
      <c r="AD11" s="144" t="s">
        <v>400</v>
      </c>
      <c r="AE11" s="131">
        <v>75.239999999999995</v>
      </c>
      <c r="AF11" s="133">
        <v>137</v>
      </c>
      <c r="AG11" s="134">
        <v>4</v>
      </c>
      <c r="AH11" s="131">
        <v>3.4</v>
      </c>
      <c r="AI11" s="115">
        <f t="shared" si="10"/>
        <v>18.092805449127287</v>
      </c>
      <c r="AJ11" s="131">
        <v>135</v>
      </c>
      <c r="AK11" s="115">
        <f t="shared" si="11"/>
        <v>718.39080459770116</v>
      </c>
      <c r="AL11" s="131">
        <v>17.829999999999998</v>
      </c>
      <c r="AM11" s="116"/>
      <c r="AN11" s="135">
        <v>9.39</v>
      </c>
      <c r="AO11" s="466">
        <v>50.26</v>
      </c>
      <c r="AP11" s="110">
        <f t="shared" si="12"/>
        <v>0.20422592442096707</v>
      </c>
      <c r="AQ11" s="137" t="s">
        <v>215</v>
      </c>
      <c r="AR11" s="150">
        <v>9.69</v>
      </c>
      <c r="AS11" s="138">
        <v>6.95</v>
      </c>
      <c r="AT11" s="131"/>
      <c r="AU11" s="131">
        <v>7.41</v>
      </c>
      <c r="AV11" s="315">
        <v>246.1</v>
      </c>
      <c r="AW11" s="131">
        <v>1.47</v>
      </c>
      <c r="AX11" s="145"/>
      <c r="AY11" s="131"/>
      <c r="AZ11" s="109"/>
      <c r="BA11" s="109">
        <f t="shared" si="13"/>
        <v>187.92</v>
      </c>
      <c r="BB11" s="115">
        <f t="shared" si="27"/>
        <v>184.45520661642149</v>
      </c>
      <c r="BC11" s="140">
        <f t="shared" si="14"/>
        <v>7.7491901408450703</v>
      </c>
      <c r="BD11" s="141">
        <f t="shared" si="15"/>
        <v>7.5167999999999999</v>
      </c>
      <c r="BE11" s="128">
        <f t="shared" si="16"/>
        <v>0.8893983694434503</v>
      </c>
      <c r="BF11" s="141">
        <f t="shared" si="17"/>
        <v>15.265990140845069</v>
      </c>
      <c r="BG11" s="535">
        <v>0.90700000000000003</v>
      </c>
      <c r="BH11" s="16">
        <f t="shared" si="28"/>
        <v>944.81000000000006</v>
      </c>
      <c r="BI11" s="16">
        <f t="shared" si="18"/>
        <v>187.09677419354838</v>
      </c>
      <c r="BJ11" s="16">
        <f t="shared" si="29"/>
        <v>935.48387096774195</v>
      </c>
      <c r="BK11" s="17">
        <f t="shared" si="19"/>
        <v>1</v>
      </c>
      <c r="BL11" s="16">
        <f t="shared" si="30"/>
        <v>935.48387096774195</v>
      </c>
      <c r="BM11" s="249"/>
      <c r="BN11" s="195">
        <v>54.887</v>
      </c>
      <c r="BO11" s="197">
        <v>191.79300000000001</v>
      </c>
      <c r="BP11" s="197">
        <v>109.608</v>
      </c>
      <c r="BQ11" s="230"/>
      <c r="BR11" s="230">
        <v>54.786000000000001</v>
      </c>
      <c r="BS11" s="250"/>
      <c r="BT11" s="199"/>
      <c r="BU11" s="200"/>
      <c r="BV11" s="200"/>
      <c r="BW11" s="200"/>
      <c r="BX11" s="200">
        <v>0.48</v>
      </c>
      <c r="BY11" s="208"/>
      <c r="BZ11" s="208">
        <v>2.78</v>
      </c>
      <c r="CA11" s="201"/>
      <c r="CB11" s="202"/>
      <c r="CC11" s="200">
        <v>43.93</v>
      </c>
      <c r="CD11" s="200">
        <v>41.66</v>
      </c>
      <c r="CE11" s="200">
        <v>35.08</v>
      </c>
      <c r="CF11" s="200"/>
      <c r="CG11" s="200">
        <v>31.59</v>
      </c>
      <c r="CH11" s="200"/>
      <c r="CI11" s="203"/>
      <c r="CJ11" s="204"/>
      <c r="CK11" s="197"/>
      <c r="CL11" s="230">
        <v>253.07</v>
      </c>
      <c r="CM11" s="198"/>
      <c r="CN11" s="202"/>
      <c r="CO11" s="208"/>
      <c r="CP11" s="208"/>
      <c r="CQ11" s="201"/>
      <c r="CR11" s="201">
        <v>0.8</v>
      </c>
      <c r="CS11" s="284"/>
      <c r="CT11" s="286">
        <f t="shared" si="20"/>
        <v>0</v>
      </c>
      <c r="CU11" s="24">
        <f t="shared" si="20"/>
        <v>54.887</v>
      </c>
      <c r="CV11" s="25">
        <f t="shared" si="20"/>
        <v>191.79300000000001</v>
      </c>
      <c r="CW11" s="24">
        <f t="shared" si="20"/>
        <v>109.0818816</v>
      </c>
      <c r="CX11" s="27">
        <f t="shared" si="20"/>
        <v>0</v>
      </c>
      <c r="CY11" s="24">
        <f t="shared" si="20"/>
        <v>53.262949200000001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253.07</v>
      </c>
      <c r="DD11" s="280">
        <f t="shared" si="21"/>
        <v>0</v>
      </c>
      <c r="DE11" s="508">
        <f t="shared" si="31"/>
        <v>6.7713919999999996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2"/>
        <v>0</v>
      </c>
      <c r="DM11" s="402"/>
    </row>
    <row r="12" spans="1:117" ht="16.5" customHeight="1" thickBot="1">
      <c r="A12" s="534">
        <v>6</v>
      </c>
      <c r="B12" s="103">
        <f>'[1]август 20'!K11</f>
        <v>392.94600000000003</v>
      </c>
      <c r="C12" s="104">
        <f t="shared" si="0"/>
        <v>0.52033042708158372</v>
      </c>
      <c r="D12" s="448">
        <f t="shared" si="1"/>
        <v>390.90138239999999</v>
      </c>
      <c r="E12" s="104">
        <f t="shared" si="2"/>
        <v>39.07897764578339</v>
      </c>
      <c r="F12" s="128">
        <f t="shared" si="3"/>
        <v>2.2102305914282483</v>
      </c>
      <c r="G12" s="106"/>
      <c r="H12" s="107">
        <f t="shared" ref="H12:H37" si="33">IF(BA12=0,0,(CZ12+CW12+CY12+CT12+CX12)/BA12)</f>
        <v>0.90304411625014136</v>
      </c>
      <c r="I12" s="103">
        <f>'[1]сентябрь 20'!AE11</f>
        <v>0</v>
      </c>
      <c r="J12" s="328">
        <f>'[1]июль 20'!AA11</f>
        <v>0</v>
      </c>
      <c r="K12" s="106"/>
      <c r="L12" s="328">
        <f>'[1]август 20'!AI11</f>
        <v>231.18899999999999</v>
      </c>
      <c r="M12" s="103">
        <f t="shared" si="5"/>
        <v>1.3071864751781073</v>
      </c>
      <c r="N12" s="103">
        <f>'[1]август 20'!W11</f>
        <v>0</v>
      </c>
      <c r="O12" s="103">
        <f>'[1]август 20'!AM11</f>
        <v>6.5579999999999998</v>
      </c>
      <c r="P12" s="447">
        <f t="shared" si="24"/>
        <v>6.5055360000000002</v>
      </c>
      <c r="Q12" s="103">
        <f t="shared" si="25"/>
        <v>3.6783534999434583E-2</v>
      </c>
      <c r="R12" s="103">
        <f>'[1]август 20'!S11</f>
        <v>245.02699999999999</v>
      </c>
      <c r="S12" s="108">
        <f t="shared" si="6"/>
        <v>1.4598391197704785</v>
      </c>
      <c r="T12" s="109">
        <f t="shared" si="7"/>
        <v>241.45</v>
      </c>
      <c r="U12" s="106">
        <v>4.5579999999999998</v>
      </c>
      <c r="V12" s="109">
        <f t="shared" si="8"/>
        <v>241.45</v>
      </c>
      <c r="W12" s="110">
        <f t="shared" si="9"/>
        <v>1.3652041162501414</v>
      </c>
      <c r="X12" s="110">
        <f t="shared" si="26"/>
        <v>1.4019876512495759</v>
      </c>
      <c r="Y12" s="136"/>
      <c r="Z12" s="130">
        <v>132.75</v>
      </c>
      <c r="AA12" s="131">
        <v>0.76</v>
      </c>
      <c r="AB12" s="112">
        <v>695</v>
      </c>
      <c r="AC12" s="133">
        <v>1233</v>
      </c>
      <c r="AD12" s="144" t="s">
        <v>366</v>
      </c>
      <c r="AE12" s="131">
        <v>74.16</v>
      </c>
      <c r="AF12" s="133">
        <v>131</v>
      </c>
      <c r="AG12" s="134">
        <v>4</v>
      </c>
      <c r="AH12" s="131">
        <v>3.8</v>
      </c>
      <c r="AI12" s="115">
        <f t="shared" si="10"/>
        <v>21.485921067511025</v>
      </c>
      <c r="AJ12" s="131">
        <v>129.80000000000001</v>
      </c>
      <c r="AK12" s="115">
        <f t="shared" si="11"/>
        <v>733.91383014813994</v>
      </c>
      <c r="AL12" s="131">
        <v>18.28</v>
      </c>
      <c r="AM12" s="116"/>
      <c r="AN12" s="135">
        <v>10.29</v>
      </c>
      <c r="AO12" s="466">
        <v>46.49</v>
      </c>
      <c r="AP12" s="110">
        <f t="shared" si="12"/>
        <v>0.20051757601897779</v>
      </c>
      <c r="AQ12" s="137" t="s">
        <v>401</v>
      </c>
      <c r="AR12" s="150">
        <v>9.4</v>
      </c>
      <c r="AS12" s="138">
        <v>6.4</v>
      </c>
      <c r="AT12" s="131"/>
      <c r="AU12" s="131">
        <v>7.63</v>
      </c>
      <c r="AV12" s="315">
        <v>231.85</v>
      </c>
      <c r="AW12" s="131">
        <v>1.79</v>
      </c>
      <c r="AX12" s="116"/>
      <c r="AY12" s="131"/>
      <c r="AZ12" s="109"/>
      <c r="BA12" s="109">
        <f t="shared" si="13"/>
        <v>176.85999999999999</v>
      </c>
      <c r="BB12" s="115">
        <f t="shared" si="27"/>
        <v>179.82700962354329</v>
      </c>
      <c r="BC12" s="140">
        <f t="shared" si="14"/>
        <v>7.6719112676056342</v>
      </c>
      <c r="BD12" s="141">
        <f t="shared" si="15"/>
        <v>7.0743999999999998</v>
      </c>
      <c r="BE12" s="128">
        <f t="shared" si="16"/>
        <v>0.85859616040562714</v>
      </c>
      <c r="BF12" s="141">
        <f t="shared" si="17"/>
        <v>14.746311267605634</v>
      </c>
      <c r="BG12" s="535">
        <v>0.89900000000000002</v>
      </c>
      <c r="BH12" s="16">
        <f t="shared" si="28"/>
        <v>1121.67</v>
      </c>
      <c r="BI12" s="16">
        <f t="shared" si="18"/>
        <v>187.09677419354838</v>
      </c>
      <c r="BJ12" s="16">
        <f t="shared" si="29"/>
        <v>1122.5806451612902</v>
      </c>
      <c r="BK12" s="17">
        <f t="shared" si="19"/>
        <v>1</v>
      </c>
      <c r="BL12" s="16">
        <f t="shared" si="30"/>
        <v>1122.5806451612902</v>
      </c>
      <c r="BM12" s="249"/>
      <c r="BN12" s="195">
        <v>50.063000000000002</v>
      </c>
      <c r="BO12" s="271">
        <v>181.126</v>
      </c>
      <c r="BP12" s="197">
        <v>109.40600000000001</v>
      </c>
      <c r="BQ12" s="230"/>
      <c r="BR12" s="230">
        <v>52.350999999999999</v>
      </c>
      <c r="BS12" s="250"/>
      <c r="BT12" s="199"/>
      <c r="BU12" s="200"/>
      <c r="BV12" s="200"/>
      <c r="BW12" s="200"/>
      <c r="BX12" s="200">
        <v>0.73</v>
      </c>
      <c r="BY12" s="208"/>
      <c r="BZ12" s="208">
        <v>2.38</v>
      </c>
      <c r="CA12" s="201"/>
      <c r="CB12" s="202"/>
      <c r="CC12" s="200">
        <v>43.78</v>
      </c>
      <c r="CD12" s="200">
        <v>41.75</v>
      </c>
      <c r="CE12" s="200">
        <v>36.520000000000003</v>
      </c>
      <c r="CF12" s="200"/>
      <c r="CG12" s="200">
        <v>30.69</v>
      </c>
      <c r="CH12" s="200"/>
      <c r="CI12" s="203"/>
      <c r="CJ12" s="204"/>
      <c r="CK12" s="197"/>
      <c r="CL12" s="230">
        <v>241.45</v>
      </c>
      <c r="CM12" s="198"/>
      <c r="CN12" s="202"/>
      <c r="CO12" s="202"/>
      <c r="CP12" s="270"/>
      <c r="CQ12" s="201"/>
      <c r="CR12" s="201">
        <v>0.8</v>
      </c>
      <c r="CS12" s="284"/>
      <c r="CT12" s="286">
        <f t="shared" si="20"/>
        <v>0</v>
      </c>
      <c r="CU12" s="24">
        <f t="shared" si="20"/>
        <v>50.063000000000002</v>
      </c>
      <c r="CV12" s="25">
        <f t="shared" si="20"/>
        <v>181.126</v>
      </c>
      <c r="CW12" s="24">
        <f t="shared" si="20"/>
        <v>108.60733619999999</v>
      </c>
      <c r="CX12" s="27">
        <f t="shared" si="20"/>
        <v>0</v>
      </c>
      <c r="CY12" s="30">
        <f t="shared" si="20"/>
        <v>51.105046200000004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241.45</v>
      </c>
      <c r="DD12" s="280">
        <f t="shared" si="21"/>
        <v>0</v>
      </c>
      <c r="DE12" s="508">
        <f t="shared" si="31"/>
        <v>6.5055360000000002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2"/>
        <v>0</v>
      </c>
    </row>
    <row r="13" spans="1:117" ht="16.5" customHeight="1" thickBot="1">
      <c r="A13" s="534">
        <v>7</v>
      </c>
      <c r="B13" s="103">
        <f>'[1]август 20'!K12</f>
        <v>398.89299999999997</v>
      </c>
      <c r="C13" s="104">
        <f t="shared" si="0"/>
        <v>0.51498935804839896</v>
      </c>
      <c r="D13" s="448">
        <f t="shared" si="1"/>
        <v>396.83874349999996</v>
      </c>
      <c r="E13" s="104">
        <f t="shared" si="2"/>
        <v>39.196179426563013</v>
      </c>
      <c r="F13" s="128">
        <f t="shared" si="3"/>
        <v>2.2273039428635566</v>
      </c>
      <c r="G13" s="106"/>
      <c r="H13" s="107">
        <f t="shared" si="33"/>
        <v>0.97100939271482267</v>
      </c>
      <c r="I13" s="103">
        <f>'[1]сентябрь 20'!AE12</f>
        <v>0</v>
      </c>
      <c r="J13" s="328">
        <f>'[1]июль 20'!AA12</f>
        <v>0</v>
      </c>
      <c r="K13" s="106"/>
      <c r="L13" s="328">
        <f>'[1]август 20'!AI12</f>
        <v>223.834</v>
      </c>
      <c r="M13" s="103">
        <f t="shared" si="5"/>
        <v>1.2562945501487341</v>
      </c>
      <c r="N13" s="103">
        <f>'[1]август 20'!W12</f>
        <v>0</v>
      </c>
      <c r="O13" s="103">
        <f>'[1]август 20'!AM12</f>
        <v>6.6539999999999999</v>
      </c>
      <c r="P13" s="447">
        <f t="shared" si="24"/>
        <v>6.6007679999999995</v>
      </c>
      <c r="Q13" s="103">
        <f t="shared" si="25"/>
        <v>3.7047583768311153E-2</v>
      </c>
      <c r="R13" s="103">
        <f>'[1]август 20'!S12</f>
        <v>245.399</v>
      </c>
      <c r="S13" s="108">
        <f t="shared" si="6"/>
        <v>1.470666139633825</v>
      </c>
      <c r="T13" s="109">
        <f t="shared" si="7"/>
        <v>241.79</v>
      </c>
      <c r="U13" s="106">
        <v>22.053999999999998</v>
      </c>
      <c r="V13" s="109">
        <f t="shared" si="8"/>
        <v>241.79</v>
      </c>
      <c r="W13" s="110">
        <f t="shared" si="9"/>
        <v>1.3570747039344442</v>
      </c>
      <c r="X13" s="110">
        <f t="shared" si="26"/>
        <v>1.3941222877027553</v>
      </c>
      <c r="Y13" s="136">
        <v>138.1</v>
      </c>
      <c r="Z13" s="130">
        <v>91.52</v>
      </c>
      <c r="AA13" s="131">
        <v>0.89</v>
      </c>
      <c r="AB13" s="146">
        <v>678</v>
      </c>
      <c r="AC13" s="147">
        <v>1224</v>
      </c>
      <c r="AD13" s="144" t="s">
        <v>377</v>
      </c>
      <c r="AE13" s="131">
        <v>75.19</v>
      </c>
      <c r="AF13" s="133">
        <v>133</v>
      </c>
      <c r="AG13" s="134">
        <v>4</v>
      </c>
      <c r="AH13" s="131">
        <v>3.25</v>
      </c>
      <c r="AI13" s="115">
        <f t="shared" si="10"/>
        <v>18.241005780995671</v>
      </c>
      <c r="AJ13" s="131">
        <v>130.6</v>
      </c>
      <c r="AK13" s="115">
        <f t="shared" si="11"/>
        <v>733.00780153785695</v>
      </c>
      <c r="AL13" s="131">
        <v>18.64</v>
      </c>
      <c r="AM13" s="116"/>
      <c r="AN13" s="135">
        <v>10.67</v>
      </c>
      <c r="AO13" s="466">
        <v>47.83</v>
      </c>
      <c r="AP13" s="110">
        <f t="shared" si="12"/>
        <v>0.20413999146393511</v>
      </c>
      <c r="AQ13" s="137" t="s">
        <v>402</v>
      </c>
      <c r="AR13" s="150">
        <v>9.7200000000000006</v>
      </c>
      <c r="AS13" s="138">
        <v>6.53</v>
      </c>
      <c r="AT13" s="131"/>
      <c r="AU13" s="131">
        <v>7.5</v>
      </c>
      <c r="AV13" s="315">
        <v>234.3</v>
      </c>
      <c r="AW13" s="131">
        <v>2.37</v>
      </c>
      <c r="AX13" s="148"/>
      <c r="AY13" s="149"/>
      <c r="AZ13" s="109"/>
      <c r="BA13" s="109">
        <f t="shared" si="13"/>
        <v>178.17000000000004</v>
      </c>
      <c r="BB13" s="115">
        <f t="shared" si="27"/>
        <v>180.59759468341286</v>
      </c>
      <c r="BC13" s="140">
        <f t="shared" si="14"/>
        <v>7.5876760563380277</v>
      </c>
      <c r="BD13" s="141">
        <f t="shared" si="15"/>
        <v>7.126800000000002</v>
      </c>
      <c r="BE13" s="128">
        <f t="shared" si="16"/>
        <v>0.86126512522309884</v>
      </c>
      <c r="BF13" s="141">
        <f t="shared" si="17"/>
        <v>14.714476056338029</v>
      </c>
      <c r="BG13" s="535">
        <v>0.89300000000000002</v>
      </c>
      <c r="BH13" s="16">
        <f t="shared" si="28"/>
        <v>1299.8400000000001</v>
      </c>
      <c r="BI13" s="16">
        <f t="shared" si="18"/>
        <v>187.09677419354838</v>
      </c>
      <c r="BJ13" s="16">
        <f t="shared" si="29"/>
        <v>1309.6774193548385</v>
      </c>
      <c r="BK13" s="17">
        <f t="shared" si="19"/>
        <v>1</v>
      </c>
      <c r="BL13" s="16">
        <f t="shared" si="30"/>
        <v>1309.6774193548385</v>
      </c>
      <c r="BM13" s="249"/>
      <c r="BN13" s="195">
        <v>44.276000000000003</v>
      </c>
      <c r="BO13" s="266">
        <v>179.55799999999999</v>
      </c>
      <c r="BP13" s="196">
        <v>121.97799999999999</v>
      </c>
      <c r="BQ13" s="313"/>
      <c r="BR13" s="230">
        <v>53.081000000000003</v>
      </c>
      <c r="BS13" s="250"/>
      <c r="BT13" s="199"/>
      <c r="BU13" s="200"/>
      <c r="BV13" s="200"/>
      <c r="BW13" s="200"/>
      <c r="BX13" s="200">
        <v>0.47</v>
      </c>
      <c r="BY13" s="208"/>
      <c r="BZ13" s="208">
        <v>2.79</v>
      </c>
      <c r="CA13" s="201"/>
      <c r="CB13" s="202"/>
      <c r="CC13" s="200">
        <v>43.99</v>
      </c>
      <c r="CD13" s="202">
        <v>41.79</v>
      </c>
      <c r="CE13" s="200">
        <v>35.96</v>
      </c>
      <c r="CF13" s="200"/>
      <c r="CG13" s="200">
        <v>33.86</v>
      </c>
      <c r="CH13" s="200"/>
      <c r="CI13" s="203"/>
      <c r="CJ13" s="204"/>
      <c r="CK13" s="197"/>
      <c r="CL13" s="264">
        <v>241.79</v>
      </c>
      <c r="CM13" s="265"/>
      <c r="CN13" s="202"/>
      <c r="CO13" s="202"/>
      <c r="CP13" s="270"/>
      <c r="CQ13" s="201"/>
      <c r="CR13" s="201">
        <v>0.8</v>
      </c>
      <c r="CS13" s="284"/>
      <c r="CT13" s="286">
        <f t="shared" si="20"/>
        <v>0</v>
      </c>
      <c r="CU13" s="24">
        <f t="shared" si="20"/>
        <v>44.276000000000003</v>
      </c>
      <c r="CV13" s="25">
        <f t="shared" si="20"/>
        <v>179.55799999999999</v>
      </c>
      <c r="CW13" s="24">
        <f t="shared" si="20"/>
        <v>121.40470339999999</v>
      </c>
      <c r="CX13" s="27">
        <f t="shared" si="20"/>
        <v>0</v>
      </c>
      <c r="CY13" s="24">
        <f t="shared" si="20"/>
        <v>51.600040100000001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241.79</v>
      </c>
      <c r="DD13" s="280">
        <f t="shared" si="21"/>
        <v>0</v>
      </c>
      <c r="DE13" s="508">
        <f t="shared" si="31"/>
        <v>6.6007679999999995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2"/>
        <v>0</v>
      </c>
    </row>
    <row r="14" spans="1:117" ht="16.5" customHeight="1" thickBot="1">
      <c r="A14" s="534">
        <v>8</v>
      </c>
      <c r="B14" s="103">
        <f>'[1]август 20'!K13</f>
        <v>407.94900000000001</v>
      </c>
      <c r="C14" s="104">
        <f>IF(B14=0,0,(BM14*BU14+BN14*BV14+BP14*BX14+BS14*CA14+BO14*BW14+BR14*BZ14+BQ14*BY14)/B14)</f>
        <v>0.49333098009800247</v>
      </c>
      <c r="D14" s="448">
        <f>B14*((100-C14)/100)</f>
        <v>405.9364612</v>
      </c>
      <c r="E14" s="104">
        <f>IF(B14=0,0,(BM14*CB14+BN14*CC14+BP14*CE14+BS14*CH14+BO14*CD14+BR14*CG14+BQ14*CF14)/B14)</f>
        <v>39.090441452240356</v>
      </c>
      <c r="F14" s="128">
        <f>IF(BA14=0,0,D14/BA14)</f>
        <v>2.2793894165871191</v>
      </c>
      <c r="G14" s="106"/>
      <c r="H14" s="107">
        <f>IF(BA14=0,0,(CZ14+CW14+CY14+CT14+CX14)/BA14)</f>
        <v>1.0507915166488855</v>
      </c>
      <c r="I14" s="103">
        <f>'[1]сентябрь 20'!AE13</f>
        <v>0</v>
      </c>
      <c r="J14" s="328">
        <f>'[1]июль 20'!AA13</f>
        <v>0</v>
      </c>
      <c r="K14" s="106"/>
      <c r="L14" s="328">
        <f>'[1]август 20'!AI13</f>
        <v>218.80099999999999</v>
      </c>
      <c r="M14" s="103">
        <f>IF(BA14=0,0,(CV14+CU14)/BA14)</f>
        <v>1.2285978999382337</v>
      </c>
      <c r="N14" s="103">
        <f>'[1]август 20'!W13</f>
        <v>0</v>
      </c>
      <c r="O14" s="103">
        <f>'[1]август 20'!AM13</f>
        <v>6.7939999999999996</v>
      </c>
      <c r="P14" s="447">
        <f t="shared" si="24"/>
        <v>6.7396479999999999</v>
      </c>
      <c r="Q14" s="103">
        <f t="shared" si="25"/>
        <v>3.7844056375989671E-2</v>
      </c>
      <c r="R14" s="103">
        <f>'[1]август 20'!S13</f>
        <v>249.93700000000001</v>
      </c>
      <c r="S14" s="108">
        <f>IF(R14=0,0,(1-(V14/R14))*100)</f>
        <v>1.5591929166149932</v>
      </c>
      <c r="T14" s="109">
        <f>R14*((100-S14)/100)</f>
        <v>246.04</v>
      </c>
      <c r="U14" s="106">
        <v>38.423999999999999</v>
      </c>
      <c r="V14" s="109">
        <f>CJ14+CK14+CM14+CL14</f>
        <v>246.04</v>
      </c>
      <c r="W14" s="110">
        <f>IF(BA14=0,0,T14/BA14)</f>
        <v>1.3815486551743501</v>
      </c>
      <c r="X14" s="110">
        <f t="shared" si="26"/>
        <v>1.4193927115503397</v>
      </c>
      <c r="Y14" s="136">
        <v>178.09</v>
      </c>
      <c r="Z14" s="130">
        <v>135.49</v>
      </c>
      <c r="AA14" s="131">
        <v>0.77</v>
      </c>
      <c r="AB14" s="146">
        <v>689</v>
      </c>
      <c r="AC14" s="147">
        <v>1233</v>
      </c>
      <c r="AD14" s="144" t="s">
        <v>318</v>
      </c>
      <c r="AE14" s="131">
        <v>75.900000000000006</v>
      </c>
      <c r="AF14" s="133">
        <v>136</v>
      </c>
      <c r="AG14" s="134">
        <v>4</v>
      </c>
      <c r="AH14" s="131">
        <v>3.35</v>
      </c>
      <c r="AI14" s="115">
        <f t="shared" si="10"/>
        <v>18.810713684092317</v>
      </c>
      <c r="AJ14" s="131">
        <v>131.85</v>
      </c>
      <c r="AK14" s="115">
        <f>IF(BA14=0,0,AJ14/BA14*1000)</f>
        <v>740.35599977539459</v>
      </c>
      <c r="AL14" s="131">
        <v>16.329999999999998</v>
      </c>
      <c r="AM14" s="116"/>
      <c r="AN14" s="135">
        <v>9.0399999999999991</v>
      </c>
      <c r="AO14" s="466">
        <v>46.96</v>
      </c>
      <c r="AP14" s="110">
        <f>IF(AO14=0,0,AO14/AV14)</f>
        <v>0.20311418685121108</v>
      </c>
      <c r="AQ14" s="137" t="s">
        <v>403</v>
      </c>
      <c r="AR14" s="150">
        <v>9.31</v>
      </c>
      <c r="AS14" s="138">
        <v>6.87</v>
      </c>
      <c r="AT14" s="131"/>
      <c r="AU14" s="131">
        <v>7.36</v>
      </c>
      <c r="AV14" s="315">
        <v>231.2</v>
      </c>
      <c r="AW14" s="131">
        <v>2.89</v>
      </c>
      <c r="AX14" s="148"/>
      <c r="AY14" s="149"/>
      <c r="AZ14" s="109"/>
      <c r="BA14" s="109">
        <f>AV14-AO14-AN14+AY14+AW14</f>
        <v>178.08999999999997</v>
      </c>
      <c r="BB14" s="115">
        <f>IF(AE14=0,0,((D14*0.97)*(E14/100)*0.9)/(AE14/100))</f>
        <v>182.51606805263469</v>
      </c>
      <c r="BC14" s="140">
        <f>(AJ14*AU14)/100*(55/71)</f>
        <v>7.5173070422535204</v>
      </c>
      <c r="BD14" s="141">
        <f>BA14*$BD$6</f>
        <v>7.1235999999999988</v>
      </c>
      <c r="BE14" s="128">
        <f>IF((D14*E14)=0,0,(BA14*AE14)/(D14*E14))</f>
        <v>0.85182949456901624</v>
      </c>
      <c r="BF14" s="141">
        <f>BC14+BD14</f>
        <v>14.64090704225352</v>
      </c>
      <c r="BG14" s="535">
        <v>0.88800000000000001</v>
      </c>
      <c r="BH14" s="16">
        <f>BH13+BA14</f>
        <v>1477.93</v>
      </c>
      <c r="BI14" s="16">
        <f>IF(A14&lt;=$BG$43,$AV$43,0)</f>
        <v>187.09677419354838</v>
      </c>
      <c r="BJ14" s="16">
        <f>BI14+BJ13</f>
        <v>1496.7741935483868</v>
      </c>
      <c r="BK14" s="17">
        <f>IF(BA14&lt;&gt;0,1,0)</f>
        <v>1</v>
      </c>
      <c r="BL14" s="16">
        <f>BL13+BI14*BK14</f>
        <v>1496.7741935483868</v>
      </c>
      <c r="BM14" s="249"/>
      <c r="BN14" s="195">
        <v>35.109000000000002</v>
      </c>
      <c r="BO14" s="266">
        <v>183.69200000000001</v>
      </c>
      <c r="BP14" s="196">
        <v>134.84399999999999</v>
      </c>
      <c r="BQ14" s="313"/>
      <c r="BR14" s="230">
        <v>54.304000000000002</v>
      </c>
      <c r="BS14" s="250"/>
      <c r="BT14" s="199"/>
      <c r="BU14" s="200"/>
      <c r="BV14" s="200"/>
      <c r="BW14" s="200"/>
      <c r="BX14" s="200">
        <v>0.53</v>
      </c>
      <c r="BY14" s="208"/>
      <c r="BZ14" s="208">
        <v>2.39</v>
      </c>
      <c r="CA14" s="201"/>
      <c r="CB14" s="202"/>
      <c r="CC14" s="200">
        <v>43.9</v>
      </c>
      <c r="CD14" s="202">
        <v>41.74</v>
      </c>
      <c r="CE14" s="200">
        <v>36.75</v>
      </c>
      <c r="CF14" s="200"/>
      <c r="CG14" s="200">
        <v>32.83</v>
      </c>
      <c r="CH14" s="200"/>
      <c r="CI14" s="203"/>
      <c r="CJ14" s="204"/>
      <c r="CK14" s="197"/>
      <c r="CL14" s="264">
        <v>246.04</v>
      </c>
      <c r="CM14" s="265"/>
      <c r="CN14" s="202"/>
      <c r="CO14" s="202"/>
      <c r="CP14" s="270"/>
      <c r="CQ14" s="201"/>
      <c r="CR14" s="201">
        <v>0.8</v>
      </c>
      <c r="CS14" s="284"/>
      <c r="CT14" s="286">
        <f t="shared" si="20"/>
        <v>0</v>
      </c>
      <c r="CU14" s="27">
        <f t="shared" si="20"/>
        <v>35.109000000000002</v>
      </c>
      <c r="CV14" s="28">
        <f t="shared" si="20"/>
        <v>183.69200000000001</v>
      </c>
      <c r="CW14" s="27">
        <f t="shared" si="20"/>
        <v>134.1293268</v>
      </c>
      <c r="CX14" s="27">
        <f t="shared" si="20"/>
        <v>0</v>
      </c>
      <c r="CY14" s="24">
        <f t="shared" si="20"/>
        <v>53.006134400000001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246.04</v>
      </c>
      <c r="DD14" s="280">
        <f t="shared" si="21"/>
        <v>0</v>
      </c>
      <c r="DE14" s="508">
        <f t="shared" si="31"/>
        <v>6.7396479999999999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2"/>
        <v>0</v>
      </c>
    </row>
    <row r="15" spans="1:117" ht="16.5" customHeight="1" thickBot="1">
      <c r="A15" s="536">
        <v>9</v>
      </c>
      <c r="B15" s="103">
        <f>'[1]август 20'!K14</f>
        <v>395.78800000000001</v>
      </c>
      <c r="C15" s="104">
        <f t="shared" si="0"/>
        <v>0.8177176670338665</v>
      </c>
      <c r="D15" s="448">
        <f t="shared" si="1"/>
        <v>392.55157160000005</v>
      </c>
      <c r="E15" s="104">
        <f t="shared" si="2"/>
        <v>38.680321611569823</v>
      </c>
      <c r="F15" s="128">
        <f t="shared" si="3"/>
        <v>2.2314209390632107</v>
      </c>
      <c r="G15" s="106"/>
      <c r="H15" s="107">
        <f t="shared" si="33"/>
        <v>1.0297838312869485</v>
      </c>
      <c r="I15" s="103">
        <f>'[1]сентябрь 20'!AE14</f>
        <v>0</v>
      </c>
      <c r="J15" s="328">
        <f>'[1]июль 20'!AA14</f>
        <v>0</v>
      </c>
      <c r="K15" s="106"/>
      <c r="L15" s="328">
        <f>'[1]август 20'!AI14</f>
        <v>211.392</v>
      </c>
      <c r="M15" s="103">
        <f t="shared" si="5"/>
        <v>1.2016371077762618</v>
      </c>
      <c r="N15" s="103">
        <f>'[1]август 20'!W14</f>
        <v>0</v>
      </c>
      <c r="O15" s="103">
        <f>'[1]август 20'!AM14</f>
        <v>6.6470000000000002</v>
      </c>
      <c r="P15" s="447">
        <f t="shared" si="24"/>
        <v>6.5938240000000006</v>
      </c>
      <c r="Q15" s="103">
        <f t="shared" si="25"/>
        <v>3.7481946339245113E-2</v>
      </c>
      <c r="R15" s="103">
        <f>'[1]август 20'!S14</f>
        <v>243.988</v>
      </c>
      <c r="S15" s="108">
        <f t="shared" si="6"/>
        <v>1.8394347262980171</v>
      </c>
      <c r="T15" s="109">
        <f t="shared" si="7"/>
        <v>239.49999999999997</v>
      </c>
      <c r="U15" s="106">
        <v>4.6470000000000002</v>
      </c>
      <c r="V15" s="109">
        <f t="shared" si="8"/>
        <v>239.5</v>
      </c>
      <c r="W15" s="110">
        <f t="shared" si="9"/>
        <v>1.3614142792178261</v>
      </c>
      <c r="X15" s="110">
        <f t="shared" si="26"/>
        <v>1.3988962255570712</v>
      </c>
      <c r="Y15" s="136">
        <v>178</v>
      </c>
      <c r="Z15" s="130">
        <v>175.92</v>
      </c>
      <c r="AA15" s="131">
        <v>0.79</v>
      </c>
      <c r="AB15" s="112">
        <v>665</v>
      </c>
      <c r="AC15" s="133">
        <v>1236</v>
      </c>
      <c r="AD15" s="144" t="s">
        <v>404</v>
      </c>
      <c r="AE15" s="131">
        <v>77.14</v>
      </c>
      <c r="AF15" s="133">
        <v>133</v>
      </c>
      <c r="AG15" s="134">
        <v>4</v>
      </c>
      <c r="AH15" s="131"/>
      <c r="AI15" s="115">
        <f t="shared" si="10"/>
        <v>0</v>
      </c>
      <c r="AJ15" s="131">
        <v>136.9</v>
      </c>
      <c r="AK15" s="115">
        <f t="shared" si="11"/>
        <v>778.19463392451121</v>
      </c>
      <c r="AL15" s="131">
        <v>21.39</v>
      </c>
      <c r="AM15" s="116"/>
      <c r="AN15" s="135">
        <v>14.45</v>
      </c>
      <c r="AO15" s="466">
        <v>46.8</v>
      </c>
      <c r="AP15" s="110">
        <f t="shared" si="12"/>
        <v>0.19885277246653918</v>
      </c>
      <c r="AQ15" s="137" t="s">
        <v>117</v>
      </c>
      <c r="AR15" s="150">
        <v>9.19</v>
      </c>
      <c r="AS15" s="138">
        <v>7.08</v>
      </c>
      <c r="AT15" s="131"/>
      <c r="AU15" s="131">
        <v>8.5</v>
      </c>
      <c r="AV15" s="315">
        <v>235.35</v>
      </c>
      <c r="AW15" s="131">
        <v>1.82</v>
      </c>
      <c r="AX15" s="116"/>
      <c r="AY15" s="131"/>
      <c r="AZ15" s="109"/>
      <c r="BA15" s="109">
        <f t="shared" si="13"/>
        <v>175.92000000000002</v>
      </c>
      <c r="BB15" s="115">
        <f t="shared" si="27"/>
        <v>171.83886915622313</v>
      </c>
      <c r="BC15" s="140">
        <f t="shared" si="14"/>
        <v>9.0141901408450718</v>
      </c>
      <c r="BD15" s="141">
        <f t="shared" si="15"/>
        <v>7.0368000000000004</v>
      </c>
      <c r="BE15" s="128">
        <f t="shared" si="16"/>
        <v>0.89373353510827724</v>
      </c>
      <c r="BF15" s="141">
        <f t="shared" si="17"/>
        <v>16.050990140845073</v>
      </c>
      <c r="BG15" s="535">
        <v>0.88900000000000001</v>
      </c>
      <c r="BH15" s="16">
        <f t="shared" si="28"/>
        <v>1653.8500000000001</v>
      </c>
      <c r="BI15" s="16">
        <f t="shared" si="18"/>
        <v>187.09677419354838</v>
      </c>
      <c r="BJ15" s="16">
        <f t="shared" si="29"/>
        <v>1683.8709677419351</v>
      </c>
      <c r="BK15" s="17">
        <f t="shared" si="19"/>
        <v>1</v>
      </c>
      <c r="BL15" s="16">
        <f t="shared" si="30"/>
        <v>1683.8709677419351</v>
      </c>
      <c r="BM15" s="249"/>
      <c r="BN15" s="195">
        <v>33.215000000000003</v>
      </c>
      <c r="BO15" s="197">
        <v>178.17699999999999</v>
      </c>
      <c r="BP15" s="197">
        <v>131.208</v>
      </c>
      <c r="BQ15" s="230"/>
      <c r="BR15" s="195">
        <v>53.188000000000002</v>
      </c>
      <c r="BS15" s="329"/>
      <c r="BT15" s="199"/>
      <c r="BU15" s="200"/>
      <c r="BV15" s="200"/>
      <c r="BW15" s="200"/>
      <c r="BX15" s="200">
        <v>1.06</v>
      </c>
      <c r="BY15" s="208"/>
      <c r="BZ15" s="208">
        <v>3.47</v>
      </c>
      <c r="CA15" s="330"/>
      <c r="CB15" s="202"/>
      <c r="CC15" s="200">
        <v>43.71</v>
      </c>
      <c r="CD15" s="200">
        <v>41.68</v>
      </c>
      <c r="CE15" s="200">
        <v>35.770000000000003</v>
      </c>
      <c r="CF15" s="200"/>
      <c r="CG15" s="200">
        <v>32.67</v>
      </c>
      <c r="CH15" s="200"/>
      <c r="CI15" s="203"/>
      <c r="CJ15" s="204"/>
      <c r="CK15" s="230"/>
      <c r="CL15" s="266">
        <v>239.5</v>
      </c>
      <c r="CM15" s="265"/>
      <c r="CN15" s="202"/>
      <c r="CO15" s="208"/>
      <c r="CP15" s="208"/>
      <c r="CQ15" s="201"/>
      <c r="CR15" s="201">
        <v>0.8</v>
      </c>
      <c r="CS15" s="284"/>
      <c r="CT15" s="286">
        <f t="shared" si="20"/>
        <v>0</v>
      </c>
      <c r="CU15" s="29">
        <f t="shared" si="20"/>
        <v>33.215000000000003</v>
      </c>
      <c r="CV15" s="30">
        <f t="shared" si="20"/>
        <v>178.17699999999999</v>
      </c>
      <c r="CW15" s="29">
        <f t="shared" si="20"/>
        <v>129.81719519999999</v>
      </c>
      <c r="CX15" s="27">
        <f t="shared" si="20"/>
        <v>0</v>
      </c>
      <c r="CY15" s="24">
        <f t="shared" si="20"/>
        <v>51.342376400000006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239.5</v>
      </c>
      <c r="DD15" s="280">
        <f t="shared" si="21"/>
        <v>0</v>
      </c>
      <c r="DE15" s="508">
        <f t="shared" si="31"/>
        <v>6.5938240000000006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2"/>
        <v>0</v>
      </c>
    </row>
    <row r="16" spans="1:117" ht="16.5" customHeight="1" thickBot="1">
      <c r="A16" s="534">
        <v>10</v>
      </c>
      <c r="B16" s="103">
        <f>'[1]август 20'!K15</f>
        <v>428.68</v>
      </c>
      <c r="C16" s="104">
        <f t="shared" si="0"/>
        <v>1.6290775636838666</v>
      </c>
      <c r="D16" s="448">
        <f t="shared" si="1"/>
        <v>421.69647029999999</v>
      </c>
      <c r="E16" s="104">
        <f t="shared" si="2"/>
        <v>39.566472660259393</v>
      </c>
      <c r="F16" s="128">
        <f t="shared" si="3"/>
        <v>2.3112988232392437</v>
      </c>
      <c r="G16" s="106"/>
      <c r="H16" s="107">
        <f t="shared" si="33"/>
        <v>1.0248367788435186</v>
      </c>
      <c r="I16" s="103">
        <f>'[1]сентябрь 20'!AE15</f>
        <v>0</v>
      </c>
      <c r="J16" s="328">
        <f>'[1]август 20'!AA15</f>
        <v>0</v>
      </c>
      <c r="K16" s="106"/>
      <c r="L16" s="328">
        <f>'[1]август 20'!AI15</f>
        <v>234.715</v>
      </c>
      <c r="M16" s="103">
        <f t="shared" si="5"/>
        <v>1.2864620443957249</v>
      </c>
      <c r="N16" s="103">
        <f>'[1]август 20'!W15</f>
        <v>0</v>
      </c>
      <c r="O16" s="103">
        <f>'[1]август 20'!AM15</f>
        <v>7.1630000000000003</v>
      </c>
      <c r="P16" s="447">
        <f t="shared" si="24"/>
        <v>7.105696</v>
      </c>
      <c r="Q16" s="103">
        <f t="shared" si="25"/>
        <v>3.8945990682378737E-2</v>
      </c>
      <c r="R16" s="103">
        <f>'[1]август 20'!S15</f>
        <v>264.91000000000003</v>
      </c>
      <c r="S16" s="108">
        <f t="shared" si="6"/>
        <v>2.0157789437922458</v>
      </c>
      <c r="T16" s="109">
        <f t="shared" si="7"/>
        <v>259.57</v>
      </c>
      <c r="U16" s="566">
        <v>4.9020000000000001</v>
      </c>
      <c r="V16" s="109">
        <f t="shared" si="8"/>
        <v>259.57</v>
      </c>
      <c r="W16" s="110">
        <f t="shared" si="9"/>
        <v>1.4226911482597973</v>
      </c>
      <c r="X16" s="110">
        <f t="shared" si="26"/>
        <v>1.4616371389421761</v>
      </c>
      <c r="Y16" s="136">
        <v>182.45</v>
      </c>
      <c r="Z16" s="130">
        <v>182.45</v>
      </c>
      <c r="AA16" s="131">
        <v>0.6</v>
      </c>
      <c r="AB16" s="112">
        <v>626</v>
      </c>
      <c r="AC16" s="133">
        <v>1230</v>
      </c>
      <c r="AD16" s="144" t="s">
        <v>332</v>
      </c>
      <c r="AE16" s="131">
        <v>77.67</v>
      </c>
      <c r="AF16" s="133">
        <v>143</v>
      </c>
      <c r="AG16" s="134">
        <v>4</v>
      </c>
      <c r="AH16" s="131">
        <v>4.05</v>
      </c>
      <c r="AI16" s="115">
        <f t="shared" si="10"/>
        <v>22.197862428062482</v>
      </c>
      <c r="AJ16" s="131">
        <v>137.35</v>
      </c>
      <c r="AK16" s="115">
        <f t="shared" si="11"/>
        <v>752.80898876404501</v>
      </c>
      <c r="AL16" s="139">
        <v>18.47</v>
      </c>
      <c r="AM16" s="131"/>
      <c r="AN16" s="136">
        <v>12.08</v>
      </c>
      <c r="AO16" s="466">
        <v>49.73</v>
      </c>
      <c r="AP16" s="110">
        <f t="shared" si="12"/>
        <v>0.20777104658449969</v>
      </c>
      <c r="AQ16" s="137" t="s">
        <v>242</v>
      </c>
      <c r="AR16" s="150">
        <v>8.68</v>
      </c>
      <c r="AS16" s="138">
        <v>6.97</v>
      </c>
      <c r="AT16" s="131"/>
      <c r="AU16" s="131">
        <v>7.83</v>
      </c>
      <c r="AV16" s="315">
        <v>239.35</v>
      </c>
      <c r="AW16" s="131">
        <v>4.91</v>
      </c>
      <c r="AX16" s="116"/>
      <c r="AY16" s="131"/>
      <c r="AZ16" s="109"/>
      <c r="BA16" s="109">
        <f t="shared" si="13"/>
        <v>182.45</v>
      </c>
      <c r="BB16" s="115">
        <f t="shared" si="27"/>
        <v>187.53755048854288</v>
      </c>
      <c r="BC16" s="140">
        <f t="shared" si="14"/>
        <v>8.3309545774647891</v>
      </c>
      <c r="BD16" s="141">
        <f t="shared" si="15"/>
        <v>7.298</v>
      </c>
      <c r="BE16" s="128">
        <f t="shared" si="16"/>
        <v>0.84931710788091319</v>
      </c>
      <c r="BF16" s="141">
        <f t="shared" si="17"/>
        <v>15.628954577464789</v>
      </c>
      <c r="BG16" s="535">
        <v>0.88400000000000001</v>
      </c>
      <c r="BH16" s="16">
        <f t="shared" si="28"/>
        <v>1836.3000000000002</v>
      </c>
      <c r="BI16" s="16">
        <f t="shared" si="18"/>
        <v>187.09677419354838</v>
      </c>
      <c r="BJ16" s="16">
        <f t="shared" si="29"/>
        <v>1870.9677419354834</v>
      </c>
      <c r="BK16" s="17">
        <f t="shared" si="19"/>
        <v>1</v>
      </c>
      <c r="BL16" s="16">
        <f t="shared" si="30"/>
        <v>1870.9677419354834</v>
      </c>
      <c r="BM16" s="249"/>
      <c r="BN16" s="195">
        <v>41.640999999999998</v>
      </c>
      <c r="BO16" s="195">
        <v>193.07400000000001</v>
      </c>
      <c r="BP16" s="197">
        <v>136.79300000000001</v>
      </c>
      <c r="BQ16" s="230"/>
      <c r="BR16" s="230">
        <v>57.171999999999997</v>
      </c>
      <c r="BS16" s="250"/>
      <c r="BT16" s="199"/>
      <c r="BU16" s="200"/>
      <c r="BV16" s="200"/>
      <c r="BW16" s="200"/>
      <c r="BX16" s="200">
        <v>2.0499999999999998</v>
      </c>
      <c r="BY16" s="208"/>
      <c r="BZ16" s="208">
        <v>7.31</v>
      </c>
      <c r="CA16" s="201"/>
      <c r="CB16" s="202"/>
      <c r="CC16" s="200">
        <v>44.16</v>
      </c>
      <c r="CD16" s="200">
        <v>41.76</v>
      </c>
      <c r="CE16" s="200">
        <v>35.94</v>
      </c>
      <c r="CF16" s="200"/>
      <c r="CG16" s="200">
        <v>37.49</v>
      </c>
      <c r="CH16" s="200"/>
      <c r="CI16" s="203"/>
      <c r="CJ16" s="204"/>
      <c r="CK16" s="230"/>
      <c r="CL16" s="266">
        <v>259.57</v>
      </c>
      <c r="CM16" s="265"/>
      <c r="CN16" s="202"/>
      <c r="CO16" s="208"/>
      <c r="CP16" s="208"/>
      <c r="CQ16" s="201"/>
      <c r="CR16" s="201">
        <v>0.8</v>
      </c>
      <c r="CS16" s="284"/>
      <c r="CT16" s="286">
        <f t="shared" si="20"/>
        <v>0</v>
      </c>
      <c r="CU16" s="24">
        <f t="shared" si="20"/>
        <v>41.640999999999998</v>
      </c>
      <c r="CV16" s="25">
        <f t="shared" si="20"/>
        <v>193.07400000000001</v>
      </c>
      <c r="CW16" s="24">
        <f t="shared" si="20"/>
        <v>133.9887435</v>
      </c>
      <c r="CX16" s="27">
        <f t="shared" si="20"/>
        <v>0</v>
      </c>
      <c r="CY16" s="24">
        <f t="shared" si="20"/>
        <v>52.992726799999993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259.57</v>
      </c>
      <c r="DD16" s="280">
        <f t="shared" si="21"/>
        <v>0</v>
      </c>
      <c r="DE16" s="508">
        <f t="shared" si="31"/>
        <v>7.105696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2"/>
        <v>0</v>
      </c>
    </row>
    <row r="17" spans="1:115" ht="16.5" customHeight="1" thickBot="1">
      <c r="A17" s="534">
        <v>11</v>
      </c>
      <c r="B17" s="103">
        <f>'[1]август 20'!K16</f>
        <v>399.06099999999998</v>
      </c>
      <c r="C17" s="104">
        <f t="shared" si="0"/>
        <v>0.88933772029840064</v>
      </c>
      <c r="D17" s="448">
        <f t="shared" si="1"/>
        <v>395.512</v>
      </c>
      <c r="E17" s="104">
        <f t="shared" si="2"/>
        <v>39.435601875402511</v>
      </c>
      <c r="F17" s="128">
        <f t="shared" si="3"/>
        <v>2.1849077450005523</v>
      </c>
      <c r="G17" s="106"/>
      <c r="H17" s="107">
        <f t="shared" si="33"/>
        <v>0.93581924649210024</v>
      </c>
      <c r="I17" s="103">
        <f>'[1]сентябрь 20'!AE16</f>
        <v>0</v>
      </c>
      <c r="J17" s="328">
        <f>'[1]август 20'!AA16</f>
        <v>6.7069999999999999</v>
      </c>
      <c r="K17" s="106"/>
      <c r="L17" s="328">
        <f>'[1]август 20'!AI16</f>
        <v>226.11</v>
      </c>
      <c r="M17" s="103">
        <f t="shared" si="5"/>
        <v>1.249088498508452</v>
      </c>
      <c r="N17" s="103">
        <f>'[1]август 20'!W16</f>
        <v>0</v>
      </c>
      <c r="O17" s="103">
        <f>'[1]август 20'!AM16</f>
        <v>6.65</v>
      </c>
      <c r="P17" s="447">
        <f t="shared" si="24"/>
        <v>6.5968</v>
      </c>
      <c r="Q17" s="103">
        <f t="shared" si="25"/>
        <v>3.6442382057231243E-2</v>
      </c>
      <c r="R17" s="103">
        <f>'[1]август 20'!S16</f>
        <v>250.93899999999999</v>
      </c>
      <c r="S17" s="108">
        <f t="shared" si="6"/>
        <v>2.4782915369870762</v>
      </c>
      <c r="T17" s="109">
        <f t="shared" si="7"/>
        <v>244.72</v>
      </c>
      <c r="U17" s="566">
        <v>12.272</v>
      </c>
      <c r="V17" s="109">
        <f t="shared" si="8"/>
        <v>244.72</v>
      </c>
      <c r="W17" s="110">
        <f t="shared" si="9"/>
        <v>1.3518948182521267</v>
      </c>
      <c r="X17" s="110">
        <f t="shared" si="26"/>
        <v>1.3883372003093579</v>
      </c>
      <c r="Y17" s="136">
        <v>181.02</v>
      </c>
      <c r="Z17" s="130">
        <v>181.02</v>
      </c>
      <c r="AA17" s="131">
        <v>0.59</v>
      </c>
      <c r="AB17" s="112">
        <v>656</v>
      </c>
      <c r="AC17" s="133">
        <v>1229</v>
      </c>
      <c r="AD17" s="144" t="s">
        <v>405</v>
      </c>
      <c r="AE17" s="131">
        <v>76.45</v>
      </c>
      <c r="AF17" s="133">
        <v>133</v>
      </c>
      <c r="AG17" s="134">
        <v>4</v>
      </c>
      <c r="AH17" s="131">
        <v>2.95</v>
      </c>
      <c r="AI17" s="115">
        <f t="shared" si="10"/>
        <v>16.296541818583581</v>
      </c>
      <c r="AJ17" s="131">
        <v>125.35</v>
      </c>
      <c r="AK17" s="115">
        <f t="shared" si="11"/>
        <v>692.46492100320404</v>
      </c>
      <c r="AL17" s="139">
        <v>20.68</v>
      </c>
      <c r="AM17" s="131"/>
      <c r="AN17" s="136">
        <v>10.029999999999999</v>
      </c>
      <c r="AO17" s="466">
        <v>48.5</v>
      </c>
      <c r="AP17" s="110">
        <f t="shared" si="12"/>
        <v>0.20503064891143521</v>
      </c>
      <c r="AQ17" s="137" t="s">
        <v>406</v>
      </c>
      <c r="AR17" s="150">
        <v>9.3000000000000007</v>
      </c>
      <c r="AS17" s="138">
        <v>6.97</v>
      </c>
      <c r="AT17" s="131"/>
      <c r="AU17" s="131">
        <v>5.79</v>
      </c>
      <c r="AV17" s="315">
        <v>236.55</v>
      </c>
      <c r="AW17" s="131">
        <v>3</v>
      </c>
      <c r="AX17" s="116"/>
      <c r="AY17" s="131"/>
      <c r="AZ17" s="109"/>
      <c r="BA17" s="109">
        <f t="shared" si="13"/>
        <v>181.02</v>
      </c>
      <c r="BB17" s="115">
        <f t="shared" si="27"/>
        <v>178.10860091940199</v>
      </c>
      <c r="BC17" s="140">
        <f t="shared" si="14"/>
        <v>5.6222123239436614</v>
      </c>
      <c r="BD17" s="141">
        <f t="shared" si="15"/>
        <v>7.2408000000000001</v>
      </c>
      <c r="BE17" s="128">
        <f t="shared" si="16"/>
        <v>0.88727023391482485</v>
      </c>
      <c r="BF17" s="141">
        <f t="shared" si="17"/>
        <v>12.863012323943661</v>
      </c>
      <c r="BG17" s="535">
        <v>0.88500000000000001</v>
      </c>
      <c r="BH17" s="16">
        <f t="shared" si="28"/>
        <v>2017.3200000000002</v>
      </c>
      <c r="BI17" s="16">
        <f t="shared" si="18"/>
        <v>187.09677419354838</v>
      </c>
      <c r="BJ17" s="16">
        <f t="shared" si="29"/>
        <v>2058.0645161290317</v>
      </c>
      <c r="BK17" s="17">
        <f t="shared" si="19"/>
        <v>1</v>
      </c>
      <c r="BL17" s="16">
        <f t="shared" si="30"/>
        <v>2058.0645161290317</v>
      </c>
      <c r="BM17" s="249"/>
      <c r="BN17" s="195">
        <v>53.161999999999999</v>
      </c>
      <c r="BO17" s="195">
        <v>172.94800000000001</v>
      </c>
      <c r="BP17" s="197">
        <v>146.27500000000001</v>
      </c>
      <c r="BQ17" s="230"/>
      <c r="BR17" s="230">
        <v>26.675999999999998</v>
      </c>
      <c r="BS17" s="250"/>
      <c r="BT17" s="199"/>
      <c r="BU17" s="200"/>
      <c r="BV17" s="200"/>
      <c r="BW17" s="200"/>
      <c r="BX17" s="200">
        <v>1.56</v>
      </c>
      <c r="BY17" s="208"/>
      <c r="BZ17" s="208">
        <v>4.75</v>
      </c>
      <c r="CA17" s="201"/>
      <c r="CB17" s="202"/>
      <c r="CC17" s="200">
        <v>43.81</v>
      </c>
      <c r="CD17" s="200">
        <v>41.6</v>
      </c>
      <c r="CE17" s="200">
        <v>35.74</v>
      </c>
      <c r="CF17" s="208"/>
      <c r="CG17" s="208">
        <v>36.950000000000003</v>
      </c>
      <c r="CH17" s="201"/>
      <c r="CI17" s="199"/>
      <c r="CJ17" s="197"/>
      <c r="CK17" s="244"/>
      <c r="CL17" s="266">
        <v>244.72</v>
      </c>
      <c r="CM17" s="265"/>
      <c r="CN17" s="231"/>
      <c r="CO17" s="208"/>
      <c r="CP17" s="208"/>
      <c r="CQ17" s="201"/>
      <c r="CR17" s="201">
        <v>0.8</v>
      </c>
      <c r="CS17" s="284"/>
      <c r="CT17" s="286">
        <f t="shared" si="20"/>
        <v>0</v>
      </c>
      <c r="CU17" s="24">
        <f t="shared" si="20"/>
        <v>53.161999999999999</v>
      </c>
      <c r="CV17" s="25">
        <f t="shared" si="20"/>
        <v>172.94800000000001</v>
      </c>
      <c r="CW17" s="24">
        <f t="shared" si="20"/>
        <v>143.99311</v>
      </c>
      <c r="CX17" s="27">
        <f t="shared" si="20"/>
        <v>0</v>
      </c>
      <c r="CY17" s="27">
        <f t="shared" si="20"/>
        <v>25.40889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244.72</v>
      </c>
      <c r="DD17" s="280">
        <f t="shared" si="21"/>
        <v>0</v>
      </c>
      <c r="DE17" s="508">
        <f t="shared" si="31"/>
        <v>6.5968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2"/>
        <v>0</v>
      </c>
    </row>
    <row r="18" spans="1:115" ht="16.5" customHeight="1" thickBot="1">
      <c r="A18" s="534">
        <v>12</v>
      </c>
      <c r="B18" s="103">
        <f>'[1]август 20'!K17</f>
        <v>156.03700000000001</v>
      </c>
      <c r="C18" s="104">
        <f t="shared" si="0"/>
        <v>0.92727506937457138</v>
      </c>
      <c r="D18" s="143">
        <f t="shared" si="1"/>
        <v>154.5901078</v>
      </c>
      <c r="E18" s="104">
        <f t="shared" si="2"/>
        <v>39.504645693008712</v>
      </c>
      <c r="F18" s="128">
        <f t="shared" si="3"/>
        <v>2.1515672623521227</v>
      </c>
      <c r="G18" s="106"/>
      <c r="H18" s="107">
        <f t="shared" si="33"/>
        <v>0.92108709533750877</v>
      </c>
      <c r="I18" s="103">
        <f>'[1]сентябрь 20'!AE17</f>
        <v>0</v>
      </c>
      <c r="J18" s="328">
        <f>'[1]август 20'!AA17</f>
        <v>2.5840000000000001</v>
      </c>
      <c r="K18" s="106"/>
      <c r="L18" s="328">
        <f>'[1]август 20'!AI17</f>
        <v>88.41</v>
      </c>
      <c r="M18" s="103">
        <f t="shared" si="5"/>
        <v>1.2304801670146139</v>
      </c>
      <c r="N18" s="103">
        <f>'[1]август 20'!W17</f>
        <v>0</v>
      </c>
      <c r="O18" s="103">
        <f>'[1]август 20'!AM17</f>
        <v>2.6040000000000001</v>
      </c>
      <c r="P18" s="447">
        <f t="shared" si="24"/>
        <v>2.5831680000000001</v>
      </c>
      <c r="Q18" s="103">
        <f t="shared" si="25"/>
        <v>3.5952233820459298E-2</v>
      </c>
      <c r="R18" s="103">
        <f>'[1]август 20'!S17</f>
        <v>108.592</v>
      </c>
      <c r="S18" s="108">
        <f t="shared" si="6"/>
        <v>3.4367172535730073</v>
      </c>
      <c r="T18" s="109">
        <f t="shared" si="7"/>
        <v>104.86</v>
      </c>
      <c r="U18" s="566">
        <v>16.853999999999999</v>
      </c>
      <c r="V18" s="109">
        <f t="shared" si="8"/>
        <v>104.86</v>
      </c>
      <c r="W18" s="110">
        <f t="shared" si="9"/>
        <v>1.4594293667362561</v>
      </c>
      <c r="X18" s="110">
        <f t="shared" si="26"/>
        <v>1.4953816005567153</v>
      </c>
      <c r="Y18" s="136">
        <v>71.849999999999994</v>
      </c>
      <c r="Z18" s="130">
        <v>71.849999999999994</v>
      </c>
      <c r="AA18" s="131">
        <v>0.41</v>
      </c>
      <c r="AB18" s="112">
        <v>625</v>
      </c>
      <c r="AC18" s="133">
        <v>1139</v>
      </c>
      <c r="AD18" s="144" t="s">
        <v>407</v>
      </c>
      <c r="AE18" s="131">
        <v>76.48</v>
      </c>
      <c r="AF18" s="133">
        <v>54</v>
      </c>
      <c r="AG18" s="134">
        <v>2</v>
      </c>
      <c r="AH18" s="131"/>
      <c r="AI18" s="115">
        <f t="shared" si="10"/>
        <v>0</v>
      </c>
      <c r="AJ18" s="131">
        <v>60.75</v>
      </c>
      <c r="AK18" s="115">
        <f t="shared" si="11"/>
        <v>845.51148225469728</v>
      </c>
      <c r="AL18" s="139">
        <v>9.4600000000000009</v>
      </c>
      <c r="AM18" s="131"/>
      <c r="AN18" s="136">
        <v>6.6</v>
      </c>
      <c r="AO18" s="466">
        <v>23.15</v>
      </c>
      <c r="AP18" s="110">
        <f t="shared" si="12"/>
        <v>0.23126873126873126</v>
      </c>
      <c r="AQ18" s="137" t="s">
        <v>215</v>
      </c>
      <c r="AR18" s="150">
        <v>8.02</v>
      </c>
      <c r="AS18" s="138">
        <v>7.25</v>
      </c>
      <c r="AT18" s="131"/>
      <c r="AU18" s="131">
        <v>7.38</v>
      </c>
      <c r="AV18" s="315">
        <v>100.1</v>
      </c>
      <c r="AW18" s="131">
        <v>1.5</v>
      </c>
      <c r="AX18" s="116"/>
      <c r="AY18" s="131"/>
      <c r="AZ18" s="109">
        <f t="shared" ref="AZ18:AZ37" si="34">IF(BA18=0,0,AY18/BA18*100)</f>
        <v>0</v>
      </c>
      <c r="BA18" s="109">
        <f t="shared" si="13"/>
        <v>71.849999999999994</v>
      </c>
      <c r="BB18" s="115">
        <f>IF(AE18=0,0,((D18*0.97)*(E18/100)*0.9)/(AE18/100))</f>
        <v>69.710185040207605</v>
      </c>
      <c r="BC18" s="140">
        <f t="shared" si="14"/>
        <v>3.4730176056338022</v>
      </c>
      <c r="BD18" s="141">
        <f t="shared" si="15"/>
        <v>2.8739999999999997</v>
      </c>
      <c r="BE18" s="128">
        <f t="shared" si="16"/>
        <v>0.89979749679076715</v>
      </c>
      <c r="BF18" s="141">
        <f t="shared" si="17"/>
        <v>6.3470176056338019</v>
      </c>
      <c r="BG18" s="535">
        <v>0.88500000000000001</v>
      </c>
      <c r="BH18" s="16">
        <f t="shared" si="28"/>
        <v>2089.17</v>
      </c>
      <c r="BI18" s="16">
        <f t="shared" si="18"/>
        <v>187.09677419354838</v>
      </c>
      <c r="BJ18" s="16">
        <f t="shared" si="29"/>
        <v>2245.16129032258</v>
      </c>
      <c r="BK18" s="17">
        <f t="shared" si="19"/>
        <v>1</v>
      </c>
      <c r="BL18" s="16">
        <f t="shared" si="30"/>
        <v>2245.16129032258</v>
      </c>
      <c r="BM18" s="249"/>
      <c r="BN18" s="195">
        <v>20.808</v>
      </c>
      <c r="BO18" s="195">
        <v>67.602000000000004</v>
      </c>
      <c r="BP18" s="197">
        <v>57.186</v>
      </c>
      <c r="BQ18" s="230"/>
      <c r="BR18" s="230">
        <v>10.441000000000001</v>
      </c>
      <c r="BS18" s="250"/>
      <c r="BT18" s="199"/>
      <c r="BU18" s="200"/>
      <c r="BV18" s="200"/>
      <c r="BW18" s="200"/>
      <c r="BX18" s="200">
        <v>1.84</v>
      </c>
      <c r="BY18" s="208"/>
      <c r="BZ18" s="208">
        <v>3.78</v>
      </c>
      <c r="CA18" s="201"/>
      <c r="CB18" s="202"/>
      <c r="CC18" s="200">
        <v>44</v>
      </c>
      <c r="CD18" s="200">
        <v>41.44</v>
      </c>
      <c r="CE18" s="200">
        <v>36.21</v>
      </c>
      <c r="CF18" s="208"/>
      <c r="CG18" s="208">
        <v>36.06</v>
      </c>
      <c r="CH18" s="209"/>
      <c r="CI18" s="199"/>
      <c r="CJ18" s="197"/>
      <c r="CK18" s="268"/>
      <c r="CL18" s="289">
        <v>104.86</v>
      </c>
      <c r="CM18" s="267"/>
      <c r="CN18" s="202"/>
      <c r="CO18" s="208"/>
      <c r="CP18" s="208"/>
      <c r="CQ18" s="201"/>
      <c r="CR18" s="201">
        <v>0.8</v>
      </c>
      <c r="CS18" s="284"/>
      <c r="CT18" s="286">
        <f t="shared" si="20"/>
        <v>0</v>
      </c>
      <c r="CU18" s="24">
        <f t="shared" si="20"/>
        <v>20.808</v>
      </c>
      <c r="CV18" s="25">
        <f t="shared" si="20"/>
        <v>67.602000000000004</v>
      </c>
      <c r="CW18" s="24">
        <f t="shared" si="20"/>
        <v>56.133777599999995</v>
      </c>
      <c r="CX18" s="27">
        <f t="shared" si="20"/>
        <v>0</v>
      </c>
      <c r="CY18" s="30">
        <f t="shared" si="20"/>
        <v>10.0463302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104.86</v>
      </c>
      <c r="DD18" s="280">
        <f t="shared" si="21"/>
        <v>0</v>
      </c>
      <c r="DE18" s="508">
        <f t="shared" si="31"/>
        <v>2.5831680000000001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2"/>
        <v>0</v>
      </c>
    </row>
    <row r="19" spans="1:115" ht="16.5" customHeight="1" thickBot="1">
      <c r="A19" s="534">
        <v>13</v>
      </c>
      <c r="B19" s="103">
        <f>'[1]август 20'!K18</f>
        <v>393.36500000000001</v>
      </c>
      <c r="C19" s="104">
        <f t="shared" si="0"/>
        <v>0.5602385824870032</v>
      </c>
      <c r="D19" s="143">
        <f t="shared" si="1"/>
        <v>391.16121750000002</v>
      </c>
      <c r="E19" s="104">
        <f>IF(B19=0,0,(BM19*CB19+BN19*CC19+BP19*CE19+BS19*CH19+BO19*CD19+BR19*CG19+BQ19*CF19)/B19)</f>
        <v>39.200587469652866</v>
      </c>
      <c r="F19" s="128">
        <f t="shared" si="3"/>
        <v>1.9075451940895352</v>
      </c>
      <c r="G19" s="106"/>
      <c r="H19" s="107">
        <f t="shared" si="33"/>
        <v>0.82155085097044767</v>
      </c>
      <c r="I19" s="103">
        <f>'[1]сентябрь 20'!AE18</f>
        <v>0</v>
      </c>
      <c r="J19" s="328">
        <f>'[1]август 20'!AA18</f>
        <v>6.5890000000000004</v>
      </c>
      <c r="K19" s="106"/>
      <c r="L19" s="328">
        <f>'[1]август 20'!AI18</f>
        <v>222.69399999999999</v>
      </c>
      <c r="M19" s="103">
        <f t="shared" si="5"/>
        <v>1.0859943431190873</v>
      </c>
      <c r="N19" s="103">
        <f>'[1]август 20'!W18</f>
        <v>0</v>
      </c>
      <c r="O19" s="103">
        <f>'[1]август 20'!AM18</f>
        <v>6.5419999999999998</v>
      </c>
      <c r="P19" s="447">
        <f t="shared" si="24"/>
        <v>6.4896639999999994</v>
      </c>
      <c r="Q19" s="103">
        <f t="shared" si="25"/>
        <v>3.1647634838583828E-2</v>
      </c>
      <c r="R19" s="103">
        <f>'[1]август 20'!S18</f>
        <v>254.15</v>
      </c>
      <c r="S19" s="108">
        <f t="shared" si="6"/>
        <v>3.0965964981310212</v>
      </c>
      <c r="T19" s="109">
        <f t="shared" si="7"/>
        <v>246.28</v>
      </c>
      <c r="U19" s="566">
        <v>4.4130000000000003</v>
      </c>
      <c r="V19" s="109">
        <f t="shared" si="8"/>
        <v>246.28</v>
      </c>
      <c r="W19" s="110">
        <f t="shared" si="9"/>
        <v>1.2010143372671416</v>
      </c>
      <c r="X19" s="110">
        <f t="shared" si="26"/>
        <v>1.2326619721057255</v>
      </c>
      <c r="Y19" s="136">
        <v>171.97</v>
      </c>
      <c r="Z19" s="130">
        <v>122.75</v>
      </c>
      <c r="AA19" s="131">
        <v>0.94</v>
      </c>
      <c r="AB19" s="112">
        <v>677</v>
      </c>
      <c r="AC19" s="133">
        <v>1187</v>
      </c>
      <c r="AD19" s="144" t="s">
        <v>408</v>
      </c>
      <c r="AE19" s="131">
        <v>75.87</v>
      </c>
      <c r="AF19" s="133">
        <v>131</v>
      </c>
      <c r="AG19" s="134">
        <v>5</v>
      </c>
      <c r="AH19" s="131">
        <v>2.1</v>
      </c>
      <c r="AI19" s="115">
        <f t="shared" si="10"/>
        <v>10.240905100946065</v>
      </c>
      <c r="AJ19" s="131">
        <v>145.80000000000001</v>
      </c>
      <c r="AK19" s="115">
        <f t="shared" si="11"/>
        <v>711.01141129425548</v>
      </c>
      <c r="AL19" s="139">
        <v>22.84</v>
      </c>
      <c r="AM19" s="131"/>
      <c r="AN19" s="136">
        <v>9.7799999999999994</v>
      </c>
      <c r="AO19" s="466">
        <v>47.46</v>
      </c>
      <c r="AP19" s="110">
        <f t="shared" si="12"/>
        <v>0.18239815526518063</v>
      </c>
      <c r="AQ19" s="137" t="s">
        <v>409</v>
      </c>
      <c r="AR19" s="150">
        <v>8.19</v>
      </c>
      <c r="AS19" s="138">
        <v>7.06</v>
      </c>
      <c r="AT19" s="134"/>
      <c r="AU19" s="131">
        <v>5.71</v>
      </c>
      <c r="AV19" s="315">
        <v>260.2</v>
      </c>
      <c r="AW19" s="131">
        <v>2.1</v>
      </c>
      <c r="AX19" s="116"/>
      <c r="AY19" s="131"/>
      <c r="AZ19" s="109">
        <f t="shared" si="34"/>
        <v>0</v>
      </c>
      <c r="BA19" s="109">
        <f t="shared" si="13"/>
        <v>205.05999999999997</v>
      </c>
      <c r="BB19" s="115">
        <f t="shared" ref="BB19:BB37" si="35">IF(AE19=0,0,((D19*0.97)*(E19/100)*0.9)/(AE19/100))</f>
        <v>176.43816175212714</v>
      </c>
      <c r="BC19" s="140">
        <f t="shared" si="14"/>
        <v>6.449083098591549</v>
      </c>
      <c r="BD19" s="141">
        <f t="shared" si="15"/>
        <v>8.202399999999999</v>
      </c>
      <c r="BE19" s="128">
        <f t="shared" si="16"/>
        <v>1.0146182561768937</v>
      </c>
      <c r="BF19" s="141">
        <f t="shared" si="17"/>
        <v>14.651483098591548</v>
      </c>
      <c r="BG19" s="535">
        <v>0.89500000000000002</v>
      </c>
      <c r="BH19" s="16">
        <f t="shared" si="28"/>
        <v>2294.23</v>
      </c>
      <c r="BI19" s="16">
        <f t="shared" si="18"/>
        <v>187.09677419354838</v>
      </c>
      <c r="BJ19" s="16">
        <f t="shared" si="29"/>
        <v>2432.2580645161283</v>
      </c>
      <c r="BK19" s="17">
        <f t="shared" si="19"/>
        <v>1</v>
      </c>
      <c r="BL19" s="16">
        <f t="shared" si="30"/>
        <v>2432.2580645161283</v>
      </c>
      <c r="BM19" s="254"/>
      <c r="BN19" s="197">
        <v>52.371000000000002</v>
      </c>
      <c r="BO19" s="197">
        <v>170.32300000000001</v>
      </c>
      <c r="BP19" s="197">
        <v>144.364</v>
      </c>
      <c r="BQ19" s="230"/>
      <c r="BR19" s="230">
        <v>26.306999999999999</v>
      </c>
      <c r="BS19" s="258"/>
      <c r="BT19" s="199"/>
      <c r="BU19" s="200"/>
      <c r="BV19" s="200"/>
      <c r="BW19" s="200"/>
      <c r="BX19" s="200">
        <v>1.04</v>
      </c>
      <c r="BY19" s="208"/>
      <c r="BZ19" s="208">
        <v>2.67</v>
      </c>
      <c r="CA19" s="201"/>
      <c r="CB19" s="202"/>
      <c r="CC19" s="200">
        <v>43.64</v>
      </c>
      <c r="CD19" s="200">
        <v>41.37</v>
      </c>
      <c r="CE19" s="200">
        <v>35.53</v>
      </c>
      <c r="CF19" s="208"/>
      <c r="CG19" s="208">
        <v>36.46</v>
      </c>
      <c r="CH19" s="209"/>
      <c r="CI19" s="199"/>
      <c r="CJ19" s="197"/>
      <c r="CK19" s="197"/>
      <c r="CL19" s="197">
        <v>246.28</v>
      </c>
      <c r="CM19" s="198"/>
      <c r="CN19" s="202"/>
      <c r="CO19" s="208"/>
      <c r="CP19" s="208"/>
      <c r="CQ19" s="201"/>
      <c r="CR19" s="201">
        <v>0.8</v>
      </c>
      <c r="CS19" s="284"/>
      <c r="CT19" s="286">
        <f t="shared" si="20"/>
        <v>0</v>
      </c>
      <c r="CU19" s="24">
        <f t="shared" si="20"/>
        <v>52.371000000000002</v>
      </c>
      <c r="CV19" s="25">
        <f t="shared" si="20"/>
        <v>170.32300000000001</v>
      </c>
      <c r="CW19" s="24">
        <f t="shared" si="20"/>
        <v>142.86261439999998</v>
      </c>
      <c r="CX19" s="27">
        <f t="shared" si="20"/>
        <v>0</v>
      </c>
      <c r="CY19" s="24">
        <f t="shared" si="20"/>
        <v>25.604603099999999</v>
      </c>
      <c r="CZ19" s="280">
        <f t="shared" si="20"/>
        <v>0</v>
      </c>
      <c r="DA19" s="237">
        <f t="shared" si="21"/>
        <v>0</v>
      </c>
      <c r="DB19" s="24">
        <f t="shared" si="21"/>
        <v>0</v>
      </c>
      <c r="DC19" s="277">
        <f t="shared" si="21"/>
        <v>246.28</v>
      </c>
      <c r="DD19" s="280">
        <f t="shared" si="21"/>
        <v>0</v>
      </c>
      <c r="DE19" s="508">
        <f t="shared" si="31"/>
        <v>6.4896639999999994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2"/>
        <v>0</v>
      </c>
    </row>
    <row r="20" spans="1:115" ht="16.5" customHeight="1" thickBot="1">
      <c r="A20" s="534">
        <v>14</v>
      </c>
      <c r="B20" s="103">
        <f>'[1]август 20'!K19</f>
        <v>409.80700000000002</v>
      </c>
      <c r="C20" s="104">
        <f t="shared" si="0"/>
        <v>0.53119383026644251</v>
      </c>
      <c r="D20" s="143">
        <f t="shared" si="1"/>
        <v>407.63013050000001</v>
      </c>
      <c r="E20" s="104">
        <f t="shared" ref="E20:E37" si="36">IF(B20=0,0,(BM20*CB20+BN20*CC20+BP20*CE20+BS20*CH20+BO20*CD20+BR20*CG20+BQ20*CF20)/B20)</f>
        <v>39.77188647338869</v>
      </c>
      <c r="F20" s="128">
        <f t="shared" si="3"/>
        <v>2.2465149104436484</v>
      </c>
      <c r="G20" s="106"/>
      <c r="H20" s="107">
        <f t="shared" si="33"/>
        <v>0.96542370074400663</v>
      </c>
      <c r="I20" s="103">
        <f>'[1]сентябрь 20'!AE19</f>
        <v>0</v>
      </c>
      <c r="J20" s="328">
        <f>'[1]август 20'!AA19</f>
        <v>6.9690000000000003</v>
      </c>
      <c r="K20" s="106"/>
      <c r="L20" s="328">
        <f>'[1]август 20'!AI19</f>
        <v>232.45400000000001</v>
      </c>
      <c r="M20" s="103">
        <f t="shared" si="5"/>
        <v>1.2810912096996416</v>
      </c>
      <c r="N20" s="103">
        <f>'[1]август 20'!W19</f>
        <v>0</v>
      </c>
      <c r="O20" s="103">
        <f>'[1]август 20'!AM19</f>
        <v>4.2530000000000001</v>
      </c>
      <c r="P20" s="447">
        <f t="shared" si="24"/>
        <v>4.2189760000000005</v>
      </c>
      <c r="Q20" s="103">
        <f t="shared" si="25"/>
        <v>2.3251452190686143E-2</v>
      </c>
      <c r="R20" s="103">
        <f>'[1]август 20'!S19</f>
        <v>264.351</v>
      </c>
      <c r="S20" s="108">
        <f t="shared" si="6"/>
        <v>2.7959039307587363</v>
      </c>
      <c r="T20" s="109">
        <f t="shared" si="7"/>
        <v>256.95999999999998</v>
      </c>
      <c r="U20" s="566">
        <v>22.262</v>
      </c>
      <c r="V20" s="109">
        <f t="shared" si="8"/>
        <v>256.95999999999998</v>
      </c>
      <c r="W20" s="110">
        <f t="shared" si="9"/>
        <v>1.4161476990906585</v>
      </c>
      <c r="X20" s="110">
        <f t="shared" si="26"/>
        <v>1.4393991512813447</v>
      </c>
      <c r="Y20" s="136">
        <v>130.68</v>
      </c>
      <c r="Z20" s="130">
        <v>130.68</v>
      </c>
      <c r="AA20" s="131">
        <v>0.97</v>
      </c>
      <c r="AB20" s="112">
        <v>666</v>
      </c>
      <c r="AC20" s="133">
        <v>1215</v>
      </c>
      <c r="AD20" s="151" t="s">
        <v>410</v>
      </c>
      <c r="AE20" s="131">
        <v>75.92</v>
      </c>
      <c r="AF20" s="133">
        <v>137</v>
      </c>
      <c r="AG20" s="134">
        <v>4</v>
      </c>
      <c r="AH20" s="131">
        <v>0.6</v>
      </c>
      <c r="AI20" s="115">
        <f t="shared" si="10"/>
        <v>3.306696059520529</v>
      </c>
      <c r="AJ20" s="131">
        <v>120.5</v>
      </c>
      <c r="AK20" s="115">
        <f t="shared" si="11"/>
        <v>664.09479195370625</v>
      </c>
      <c r="AL20" s="139">
        <v>18.829999999999998</v>
      </c>
      <c r="AM20" s="131"/>
      <c r="AN20" s="136">
        <v>11.77</v>
      </c>
      <c r="AO20" s="466">
        <v>41.1</v>
      </c>
      <c r="AP20" s="110">
        <f t="shared" si="12"/>
        <v>0.17765290685109142</v>
      </c>
      <c r="AQ20" s="137" t="s">
        <v>224</v>
      </c>
      <c r="AR20" s="150">
        <v>8.65</v>
      </c>
      <c r="AS20" s="138">
        <v>7.03</v>
      </c>
      <c r="AT20" s="131"/>
      <c r="AU20" s="131">
        <v>6.29</v>
      </c>
      <c r="AV20" s="315">
        <v>231.35</v>
      </c>
      <c r="AW20" s="131">
        <v>2.97</v>
      </c>
      <c r="AX20" s="148"/>
      <c r="AY20" s="131"/>
      <c r="AZ20" s="109">
        <f t="shared" si="34"/>
        <v>0</v>
      </c>
      <c r="BA20" s="109">
        <f t="shared" si="13"/>
        <v>181.45</v>
      </c>
      <c r="BB20" s="115">
        <f t="shared" si="35"/>
        <v>186.42343816727521</v>
      </c>
      <c r="BC20" s="140">
        <f t="shared" si="14"/>
        <v>5.8714049295774648</v>
      </c>
      <c r="BD20" s="141">
        <f t="shared" si="15"/>
        <v>7.258</v>
      </c>
      <c r="BE20" s="128">
        <f t="shared" si="16"/>
        <v>0.84970994826232416</v>
      </c>
      <c r="BF20" s="141">
        <f t="shared" si="17"/>
        <v>13.129404929577465</v>
      </c>
      <c r="BG20" s="535">
        <v>0.89200000000000002</v>
      </c>
      <c r="BH20" s="16">
        <f t="shared" si="28"/>
        <v>2475.6799999999998</v>
      </c>
      <c r="BI20" s="16">
        <f t="shared" si="18"/>
        <v>187.09677419354838</v>
      </c>
      <c r="BJ20" s="16">
        <f t="shared" si="29"/>
        <v>2619.3548387096766</v>
      </c>
      <c r="BK20" s="17">
        <f t="shared" si="19"/>
        <v>1</v>
      </c>
      <c r="BL20" s="16">
        <f t="shared" si="30"/>
        <v>2619.3548387096766</v>
      </c>
      <c r="BM20" s="254"/>
      <c r="BN20" s="197">
        <v>54.79</v>
      </c>
      <c r="BO20" s="197">
        <v>177.66399999999999</v>
      </c>
      <c r="BP20" s="197">
        <v>150.15700000000001</v>
      </c>
      <c r="BQ20" s="230"/>
      <c r="BR20" s="230">
        <v>27.196000000000002</v>
      </c>
      <c r="BS20" s="259"/>
      <c r="BT20" s="199"/>
      <c r="BU20" s="200"/>
      <c r="BV20" s="200"/>
      <c r="BW20" s="200"/>
      <c r="BX20" s="200">
        <v>0.91</v>
      </c>
      <c r="BY20" s="208"/>
      <c r="BZ20" s="208">
        <v>2.98</v>
      </c>
      <c r="CA20" s="201"/>
      <c r="CB20" s="202"/>
      <c r="CC20" s="200">
        <v>43.9</v>
      </c>
      <c r="CD20" s="200">
        <v>41.67</v>
      </c>
      <c r="CE20" s="200">
        <v>36.520000000000003</v>
      </c>
      <c r="CF20" s="208"/>
      <c r="CG20" s="208">
        <v>37.01</v>
      </c>
      <c r="CH20" s="209"/>
      <c r="CI20" s="199"/>
      <c r="CJ20" s="197"/>
      <c r="CK20" s="197"/>
      <c r="CL20" s="197">
        <v>256.95999999999998</v>
      </c>
      <c r="CM20" s="198"/>
      <c r="CN20" s="202"/>
      <c r="CO20" s="208"/>
      <c r="CP20" s="208"/>
      <c r="CQ20" s="201"/>
      <c r="CR20" s="201">
        <v>0.8</v>
      </c>
      <c r="CS20" s="284"/>
      <c r="CT20" s="286">
        <f t="shared" si="20"/>
        <v>0</v>
      </c>
      <c r="CU20" s="24">
        <f t="shared" si="20"/>
        <v>54.79</v>
      </c>
      <c r="CV20" s="25">
        <f t="shared" si="20"/>
        <v>177.66399999999999</v>
      </c>
      <c r="CW20" s="24">
        <f t="shared" si="20"/>
        <v>148.79057130000001</v>
      </c>
      <c r="CX20" s="27">
        <f t="shared" si="20"/>
        <v>0</v>
      </c>
      <c r="CY20" s="30">
        <f t="shared" si="20"/>
        <v>26.385559199999999</v>
      </c>
      <c r="CZ20" s="280">
        <f t="shared" si="20"/>
        <v>0</v>
      </c>
      <c r="DA20" s="237">
        <f t="shared" si="21"/>
        <v>0</v>
      </c>
      <c r="DB20" s="29">
        <f t="shared" si="21"/>
        <v>0</v>
      </c>
      <c r="DC20" s="277">
        <f t="shared" si="21"/>
        <v>256.95999999999998</v>
      </c>
      <c r="DD20" s="280">
        <f t="shared" si="21"/>
        <v>0</v>
      </c>
      <c r="DE20" s="508">
        <f t="shared" si="31"/>
        <v>4.2189760000000005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2"/>
        <v>0</v>
      </c>
    </row>
    <row r="21" spans="1:115" ht="16.5" customHeight="1" thickBot="1">
      <c r="A21" s="534">
        <v>15</v>
      </c>
      <c r="B21" s="103">
        <f>'[1]август 20'!K20</f>
        <v>417.04599999999999</v>
      </c>
      <c r="C21" s="104">
        <f t="shared" si="0"/>
        <v>0.65312466730288732</v>
      </c>
      <c r="D21" s="143">
        <f t="shared" si="1"/>
        <v>414.32216969999996</v>
      </c>
      <c r="E21" s="104">
        <f t="shared" si="36"/>
        <v>39.237048814759042</v>
      </c>
      <c r="F21" s="128">
        <f t="shared" si="3"/>
        <v>2.0858992584201776</v>
      </c>
      <c r="G21" s="106"/>
      <c r="H21" s="107">
        <f t="shared" si="33"/>
        <v>0.89644650707345319</v>
      </c>
      <c r="I21" s="103">
        <f>'[1]сентябрь 20'!AE20</f>
        <v>0</v>
      </c>
      <c r="J21" s="328">
        <f>'[1]август 20'!AA20</f>
        <v>6.9359999999999999</v>
      </c>
      <c r="K21" s="106"/>
      <c r="L21" s="328">
        <f>'[1]август 20'!AI20</f>
        <v>236.261</v>
      </c>
      <c r="M21" s="103">
        <f t="shared" si="5"/>
        <v>1.189452751346725</v>
      </c>
      <c r="N21" s="103">
        <f>'[1]август 20'!W20</f>
        <v>0</v>
      </c>
      <c r="O21" s="103">
        <f>'[1]август 20'!AM20</f>
        <v>0</v>
      </c>
      <c r="P21" s="447">
        <f t="shared" si="24"/>
        <v>0</v>
      </c>
      <c r="Q21" s="103">
        <f t="shared" si="25"/>
        <v>0</v>
      </c>
      <c r="R21" s="103">
        <f>'[1]август 20'!S20</f>
        <v>268.20499999999998</v>
      </c>
      <c r="S21" s="108">
        <f t="shared" si="6"/>
        <v>3.2232806994649588</v>
      </c>
      <c r="T21" s="109">
        <f t="shared" si="7"/>
        <v>259.55999999999995</v>
      </c>
      <c r="U21" s="566"/>
      <c r="V21" s="109">
        <f t="shared" si="8"/>
        <v>259.56</v>
      </c>
      <c r="W21" s="110">
        <f t="shared" si="9"/>
        <v>1.3067512460353417</v>
      </c>
      <c r="X21" s="110">
        <f t="shared" si="26"/>
        <v>1.3067512460353417</v>
      </c>
      <c r="Y21" s="136">
        <v>198.63</v>
      </c>
      <c r="Z21" s="130">
        <v>155.37</v>
      </c>
      <c r="AA21" s="131">
        <v>0.8</v>
      </c>
      <c r="AB21" s="112">
        <v>640</v>
      </c>
      <c r="AC21" s="133">
        <v>1213</v>
      </c>
      <c r="AD21" s="151" t="s">
        <v>411</v>
      </c>
      <c r="AE21" s="131">
        <v>76.260000000000005</v>
      </c>
      <c r="AF21" s="133">
        <v>139</v>
      </c>
      <c r="AG21" s="134">
        <v>4</v>
      </c>
      <c r="AH21" s="131">
        <v>1.3</v>
      </c>
      <c r="AI21" s="115">
        <f t="shared" si="10"/>
        <v>6.5448320998842062</v>
      </c>
      <c r="AJ21" s="131">
        <v>143.30000000000001</v>
      </c>
      <c r="AK21" s="115">
        <f t="shared" si="11"/>
        <v>721.44187685646682</v>
      </c>
      <c r="AL21" s="139">
        <v>22.57</v>
      </c>
      <c r="AM21" s="131"/>
      <c r="AN21" s="136">
        <v>12.56</v>
      </c>
      <c r="AO21" s="466">
        <v>54.24</v>
      </c>
      <c r="AP21" s="110">
        <f t="shared" si="12"/>
        <v>0.2071414932213099</v>
      </c>
      <c r="AQ21" s="137" t="s">
        <v>212</v>
      </c>
      <c r="AR21" s="150">
        <v>8.1999999999999993</v>
      </c>
      <c r="AS21" s="138">
        <v>7.15</v>
      </c>
      <c r="AT21" s="131"/>
      <c r="AU21" s="131">
        <v>6.96</v>
      </c>
      <c r="AV21" s="315">
        <v>261.85000000000002</v>
      </c>
      <c r="AW21" s="131">
        <v>3.58</v>
      </c>
      <c r="AX21" s="116"/>
      <c r="AY21" s="131"/>
      <c r="AZ21" s="109">
        <f t="shared" si="34"/>
        <v>0</v>
      </c>
      <c r="BA21" s="109">
        <f t="shared" si="13"/>
        <v>198.63000000000002</v>
      </c>
      <c r="BB21" s="115">
        <f t="shared" si="35"/>
        <v>186.10238971238127</v>
      </c>
      <c r="BC21" s="140">
        <f t="shared" si="14"/>
        <v>7.72609014084507</v>
      </c>
      <c r="BD21" s="141">
        <f t="shared" si="15"/>
        <v>7.9452000000000007</v>
      </c>
      <c r="BE21" s="128">
        <f t="shared" si="16"/>
        <v>0.93176659508775561</v>
      </c>
      <c r="BF21" s="141">
        <f t="shared" si="17"/>
        <v>15.67129014084507</v>
      </c>
      <c r="BG21" s="535">
        <v>0.89500000000000002</v>
      </c>
      <c r="BH21" s="16">
        <f t="shared" si="28"/>
        <v>2674.31</v>
      </c>
      <c r="BI21" s="16">
        <f t="shared" si="18"/>
        <v>187.09677419354838</v>
      </c>
      <c r="BJ21" s="16">
        <f t="shared" si="29"/>
        <v>2806.4516129032249</v>
      </c>
      <c r="BK21" s="17">
        <f t="shared" si="19"/>
        <v>1</v>
      </c>
      <c r="BL21" s="16">
        <f t="shared" si="30"/>
        <v>2806.4516129032249</v>
      </c>
      <c r="BM21" s="254"/>
      <c r="BN21" s="197">
        <v>55.578000000000003</v>
      </c>
      <c r="BO21" s="197">
        <v>180.68299999999999</v>
      </c>
      <c r="BP21" s="197">
        <v>152.791</v>
      </c>
      <c r="BQ21" s="230"/>
      <c r="BR21" s="230">
        <v>27.994</v>
      </c>
      <c r="BS21" s="259"/>
      <c r="BT21" s="199"/>
      <c r="BU21" s="200"/>
      <c r="BV21" s="200"/>
      <c r="BW21" s="200"/>
      <c r="BX21" s="200">
        <v>1.07</v>
      </c>
      <c r="BY21" s="208"/>
      <c r="BZ21" s="208">
        <v>3.89</v>
      </c>
      <c r="CA21" s="201"/>
      <c r="CB21" s="202"/>
      <c r="CC21" s="200">
        <v>43.69</v>
      </c>
      <c r="CD21" s="200">
        <v>41.58</v>
      </c>
      <c r="CE21" s="200">
        <v>35.24</v>
      </c>
      <c r="CF21" s="208"/>
      <c r="CG21" s="208">
        <v>37.090000000000003</v>
      </c>
      <c r="CH21" s="209"/>
      <c r="CI21" s="199"/>
      <c r="CJ21" s="197"/>
      <c r="CK21" s="197"/>
      <c r="CL21" s="197">
        <v>259.56</v>
      </c>
      <c r="CM21" s="198"/>
      <c r="CN21" s="202"/>
      <c r="CO21" s="208"/>
      <c r="CP21" s="208"/>
      <c r="CQ21" s="201"/>
      <c r="CR21" s="201">
        <v>0.8</v>
      </c>
      <c r="CS21" s="284"/>
      <c r="CT21" s="286">
        <f t="shared" si="20"/>
        <v>0</v>
      </c>
      <c r="CU21" s="27">
        <f t="shared" si="20"/>
        <v>55.578000000000003</v>
      </c>
      <c r="CV21" s="28">
        <f t="shared" si="20"/>
        <v>180.68299999999999</v>
      </c>
      <c r="CW21" s="27">
        <f t="shared" si="20"/>
        <v>151.15613630000001</v>
      </c>
      <c r="CX21" s="27">
        <f t="shared" si="20"/>
        <v>0</v>
      </c>
      <c r="CY21" s="24">
        <f t="shared" si="20"/>
        <v>26.905033399999997</v>
      </c>
      <c r="CZ21" s="281">
        <f t="shared" si="20"/>
        <v>0</v>
      </c>
      <c r="DA21" s="237">
        <f t="shared" si="21"/>
        <v>0</v>
      </c>
      <c r="DB21" s="24">
        <f t="shared" si="21"/>
        <v>0</v>
      </c>
      <c r="DC21" s="277">
        <f t="shared" si="21"/>
        <v>259.56</v>
      </c>
      <c r="DD21" s="280">
        <f t="shared" si="21"/>
        <v>0</v>
      </c>
      <c r="DE21" s="508">
        <f t="shared" si="31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2"/>
        <v>0</v>
      </c>
    </row>
    <row r="22" spans="1:115" ht="16.5" customHeight="1" thickBot="1">
      <c r="A22" s="534">
        <v>16</v>
      </c>
      <c r="B22" s="103">
        <f>'[1]август 20'!K21</f>
        <v>432.30599999999998</v>
      </c>
      <c r="C22" s="104">
        <f t="shared" si="0"/>
        <v>0.67820284705740852</v>
      </c>
      <c r="D22" s="143">
        <f t="shared" si="1"/>
        <v>429.37408840000001</v>
      </c>
      <c r="E22" s="104">
        <f t="shared" si="36"/>
        <v>39.389245950784861</v>
      </c>
      <c r="F22" s="128">
        <f t="shared" si="3"/>
        <v>2.1920261813355117</v>
      </c>
      <c r="G22" s="106"/>
      <c r="H22" s="107">
        <f t="shared" si="33"/>
        <v>0.94168924035123569</v>
      </c>
      <c r="I22" s="103">
        <f>'[1]сентябрь 20'!AE21</f>
        <v>0</v>
      </c>
      <c r="J22" s="328">
        <f>'[1]август 20'!AA21</f>
        <v>7.1970000000000001</v>
      </c>
      <c r="K22" s="106"/>
      <c r="L22" s="328">
        <f>'[1]август 20'!AI21</f>
        <v>244.916</v>
      </c>
      <c r="M22" s="103">
        <f t="shared" si="5"/>
        <v>1.2503369409842764</v>
      </c>
      <c r="N22" s="103">
        <f>'[1]август 20'!W21</f>
        <v>0</v>
      </c>
      <c r="O22" s="103">
        <f>'[1]август 20'!AM21</f>
        <v>0</v>
      </c>
      <c r="P22" s="447">
        <f t="shared" si="24"/>
        <v>0</v>
      </c>
      <c r="Q22" s="103">
        <f t="shared" si="25"/>
        <v>0</v>
      </c>
      <c r="R22" s="103">
        <f>'[1]август 20'!S21</f>
        <v>281.28699999999998</v>
      </c>
      <c r="S22" s="108">
        <f t="shared" si="6"/>
        <v>3.6962248521972163</v>
      </c>
      <c r="T22" s="109">
        <f t="shared" si="7"/>
        <v>270.89</v>
      </c>
      <c r="U22" s="566"/>
      <c r="V22" s="109">
        <f t="shared" si="8"/>
        <v>270.89</v>
      </c>
      <c r="W22" s="110">
        <f t="shared" si="9"/>
        <v>1.3829385337962019</v>
      </c>
      <c r="X22" s="110">
        <f t="shared" si="26"/>
        <v>1.3829385337962019</v>
      </c>
      <c r="Y22" s="136">
        <v>195.88</v>
      </c>
      <c r="Z22" s="129">
        <v>195.88</v>
      </c>
      <c r="AA22" s="131">
        <v>0.36</v>
      </c>
      <c r="AB22" s="112">
        <v>572</v>
      </c>
      <c r="AC22" s="152">
        <v>1216</v>
      </c>
      <c r="AD22" s="144" t="s">
        <v>412</v>
      </c>
      <c r="AE22" s="131">
        <v>75.77</v>
      </c>
      <c r="AF22" s="133">
        <v>144</v>
      </c>
      <c r="AG22" s="134">
        <v>4</v>
      </c>
      <c r="AH22" s="131">
        <v>1</v>
      </c>
      <c r="AI22" s="115">
        <f t="shared" si="10"/>
        <v>5.1051664284255676</v>
      </c>
      <c r="AJ22" s="131">
        <v>143</v>
      </c>
      <c r="AK22" s="115">
        <f t="shared" si="11"/>
        <v>730.03879926485615</v>
      </c>
      <c r="AL22" s="139">
        <v>19.18</v>
      </c>
      <c r="AM22" s="131"/>
      <c r="AN22" s="136">
        <v>10.44</v>
      </c>
      <c r="AO22" s="466">
        <v>47.95</v>
      </c>
      <c r="AP22" s="110">
        <f t="shared" si="12"/>
        <v>0.19115008969503688</v>
      </c>
      <c r="AQ22" s="137" t="s">
        <v>413</v>
      </c>
      <c r="AR22" s="150">
        <v>7.5</v>
      </c>
      <c r="AS22" s="138">
        <v>6.63</v>
      </c>
      <c r="AT22" s="134"/>
      <c r="AU22" s="131">
        <v>8.9</v>
      </c>
      <c r="AV22" s="315">
        <v>250.85</v>
      </c>
      <c r="AW22" s="131">
        <v>3.42</v>
      </c>
      <c r="AX22" s="116"/>
      <c r="AY22" s="131"/>
      <c r="AZ22" s="109">
        <f t="shared" si="34"/>
        <v>0</v>
      </c>
      <c r="BA22" s="109">
        <f t="shared" si="13"/>
        <v>195.87999999999997</v>
      </c>
      <c r="BB22" s="115">
        <f t="shared" si="35"/>
        <v>194.86348070642302</v>
      </c>
      <c r="BC22" s="140">
        <f t="shared" si="14"/>
        <v>9.8589436619718303</v>
      </c>
      <c r="BD22" s="141">
        <f t="shared" si="15"/>
        <v>7.8351999999999986</v>
      </c>
      <c r="BE22" s="128">
        <f t="shared" si="16"/>
        <v>0.87755406698102467</v>
      </c>
      <c r="BF22" s="141">
        <f t="shared" si="17"/>
        <v>17.694143661971829</v>
      </c>
      <c r="BG22" s="535">
        <v>0.89400000000000002</v>
      </c>
      <c r="BH22" s="16">
        <f t="shared" si="28"/>
        <v>2870.19</v>
      </c>
      <c r="BI22" s="16">
        <f t="shared" si="18"/>
        <v>187.09677419354838</v>
      </c>
      <c r="BJ22" s="16">
        <f t="shared" si="29"/>
        <v>2993.5483870967732</v>
      </c>
      <c r="BK22" s="17">
        <f t="shared" si="19"/>
        <v>1</v>
      </c>
      <c r="BL22" s="16">
        <f t="shared" si="30"/>
        <v>2993.5483870967732</v>
      </c>
      <c r="BM22" s="254"/>
      <c r="BN22" s="197">
        <v>57.502000000000002</v>
      </c>
      <c r="BO22" s="197">
        <v>187.41399999999999</v>
      </c>
      <c r="BP22" s="197">
        <v>158.56200000000001</v>
      </c>
      <c r="BQ22" s="230"/>
      <c r="BR22" s="230">
        <v>28.827999999999999</v>
      </c>
      <c r="BS22" s="258"/>
      <c r="BT22" s="199"/>
      <c r="BU22" s="200"/>
      <c r="BV22" s="200"/>
      <c r="BW22" s="200"/>
      <c r="BX22" s="200">
        <v>1.3</v>
      </c>
      <c r="BY22" s="208"/>
      <c r="BZ22" s="208">
        <v>3.02</v>
      </c>
      <c r="CA22" s="201"/>
      <c r="CB22" s="202"/>
      <c r="CC22" s="200">
        <v>43.64</v>
      </c>
      <c r="CD22" s="200">
        <v>41.62</v>
      </c>
      <c r="CE22" s="200">
        <v>35.5</v>
      </c>
      <c r="CF22" s="208"/>
      <c r="CG22" s="208">
        <v>37.799999999999997</v>
      </c>
      <c r="CH22" s="201"/>
      <c r="CI22" s="199"/>
      <c r="CJ22" s="197"/>
      <c r="CK22" s="197"/>
      <c r="CL22" s="197">
        <v>270.89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0</v>
      </c>
      <c r="CU22" s="29">
        <f t="shared" si="20"/>
        <v>57.502000000000002</v>
      </c>
      <c r="CV22" s="30">
        <f t="shared" si="20"/>
        <v>187.41399999999999</v>
      </c>
      <c r="CW22" s="29">
        <f t="shared" si="20"/>
        <v>156.50069400000001</v>
      </c>
      <c r="CX22" s="27">
        <f t="shared" si="20"/>
        <v>0</v>
      </c>
      <c r="CY22" s="24">
        <f t="shared" si="20"/>
        <v>27.957394399999998</v>
      </c>
      <c r="CZ22" s="282">
        <f t="shared" si="20"/>
        <v>0</v>
      </c>
      <c r="DA22" s="237">
        <f t="shared" si="21"/>
        <v>0</v>
      </c>
      <c r="DB22" s="24">
        <f t="shared" si="21"/>
        <v>0</v>
      </c>
      <c r="DC22" s="277">
        <f t="shared" si="21"/>
        <v>270.89</v>
      </c>
      <c r="DD22" s="280">
        <f t="shared" si="21"/>
        <v>0</v>
      </c>
      <c r="DE22" s="508">
        <f t="shared" si="31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2"/>
        <v>0</v>
      </c>
    </row>
    <row r="23" spans="1:115" ht="16.5" customHeight="1" thickBot="1">
      <c r="A23" s="534">
        <v>17</v>
      </c>
      <c r="B23" s="103">
        <f>'[1]август 20'!K22</f>
        <v>435.07400000000001</v>
      </c>
      <c r="C23" s="104">
        <f t="shared" si="0"/>
        <v>0.67567912584985534</v>
      </c>
      <c r="D23" s="143">
        <f t="shared" si="1"/>
        <v>432.13429580000002</v>
      </c>
      <c r="E23" s="104">
        <f t="shared" si="36"/>
        <v>39.709899833131836</v>
      </c>
      <c r="F23" s="128">
        <f t="shared" si="3"/>
        <v>2.3059460821771611</v>
      </c>
      <c r="G23" s="106"/>
      <c r="H23" s="107">
        <f t="shared" si="33"/>
        <v>0.99071129028815375</v>
      </c>
      <c r="I23" s="103">
        <f>'[1]сентябрь 20'!AE22</f>
        <v>0</v>
      </c>
      <c r="J23" s="328">
        <f>'[1]август 20'!AA22</f>
        <v>6.8019999999999996</v>
      </c>
      <c r="K23" s="106"/>
      <c r="L23" s="328">
        <f>'[1]август 20'!AI22</f>
        <v>246.47499999999999</v>
      </c>
      <c r="M23" s="103">
        <f t="shared" si="5"/>
        <v>1.3152347918890075</v>
      </c>
      <c r="N23" s="103">
        <f>'[1]август 20'!W22</f>
        <v>0</v>
      </c>
      <c r="O23" s="103">
        <f>'[1]август 20'!AM22</f>
        <v>0</v>
      </c>
      <c r="P23" s="447">
        <f t="shared" si="24"/>
        <v>0</v>
      </c>
      <c r="Q23" s="103">
        <f t="shared" si="25"/>
        <v>0</v>
      </c>
      <c r="R23" s="103">
        <f>'[1]август 20'!S22</f>
        <v>283.97800000000001</v>
      </c>
      <c r="S23" s="108">
        <f t="shared" si="6"/>
        <v>3.4185746783201632</v>
      </c>
      <c r="T23" s="109">
        <f t="shared" si="7"/>
        <v>274.26999999999992</v>
      </c>
      <c r="U23" s="566">
        <v>23.928999999999998</v>
      </c>
      <c r="V23" s="109">
        <f t="shared" si="8"/>
        <v>274.27</v>
      </c>
      <c r="W23" s="110">
        <f t="shared" si="9"/>
        <v>1.4635538954108853</v>
      </c>
      <c r="X23" s="110">
        <f t="shared" si="26"/>
        <v>1.4635538954108853</v>
      </c>
      <c r="Y23" s="136">
        <v>187.4</v>
      </c>
      <c r="Z23" s="129">
        <v>187.4</v>
      </c>
      <c r="AA23" s="131">
        <v>0.81</v>
      </c>
      <c r="AB23" s="112">
        <v>649</v>
      </c>
      <c r="AC23" s="133">
        <v>1219</v>
      </c>
      <c r="AD23" s="144" t="s">
        <v>414</v>
      </c>
      <c r="AE23" s="131">
        <v>76.33</v>
      </c>
      <c r="AF23" s="133">
        <v>145</v>
      </c>
      <c r="AG23" s="134">
        <v>4</v>
      </c>
      <c r="AH23" s="131"/>
      <c r="AI23" s="115">
        <f t="shared" si="10"/>
        <v>0</v>
      </c>
      <c r="AJ23" s="131">
        <v>136.94999999999999</v>
      </c>
      <c r="AK23" s="115">
        <f t="shared" si="11"/>
        <v>730.78975453575231</v>
      </c>
      <c r="AL23" s="139">
        <v>17.940000000000001</v>
      </c>
      <c r="AM23" s="131"/>
      <c r="AN23" s="136">
        <v>10.51</v>
      </c>
      <c r="AO23" s="466">
        <v>53.03</v>
      </c>
      <c r="AP23" s="110">
        <f t="shared" si="12"/>
        <v>0.21292913069664726</v>
      </c>
      <c r="AQ23" s="137" t="s">
        <v>415</v>
      </c>
      <c r="AR23" s="150">
        <v>8.08</v>
      </c>
      <c r="AS23" s="138">
        <v>7.16</v>
      </c>
      <c r="AT23" s="134"/>
      <c r="AU23" s="131">
        <v>7.4</v>
      </c>
      <c r="AV23" s="315">
        <v>249.05</v>
      </c>
      <c r="AW23" s="131">
        <v>1.89</v>
      </c>
      <c r="AX23" s="116"/>
      <c r="AY23" s="131"/>
      <c r="AZ23" s="109">
        <f t="shared" si="34"/>
        <v>0</v>
      </c>
      <c r="BA23" s="109">
        <f t="shared" si="13"/>
        <v>187.4</v>
      </c>
      <c r="BB23" s="115">
        <f t="shared" si="35"/>
        <v>196.26212998025332</v>
      </c>
      <c r="BC23" s="140">
        <f t="shared" si="14"/>
        <v>7.8505140845070418</v>
      </c>
      <c r="BD23" s="141">
        <f t="shared" si="15"/>
        <v>7.4960000000000004</v>
      </c>
      <c r="BE23" s="128">
        <f t="shared" si="16"/>
        <v>0.83358006975905352</v>
      </c>
      <c r="BF23" s="141">
        <f t="shared" si="17"/>
        <v>15.346514084507042</v>
      </c>
      <c r="BG23" s="535">
        <v>0.89</v>
      </c>
      <c r="BH23" s="16">
        <f t="shared" si="28"/>
        <v>3057.59</v>
      </c>
      <c r="BI23" s="16">
        <f t="shared" si="18"/>
        <v>187.09677419354838</v>
      </c>
      <c r="BJ23" s="16">
        <f t="shared" si="29"/>
        <v>3180.6451612903215</v>
      </c>
      <c r="BK23" s="17">
        <f t="shared" si="19"/>
        <v>1</v>
      </c>
      <c r="BL23" s="16">
        <f t="shared" si="30"/>
        <v>3180.6451612903215</v>
      </c>
      <c r="BM23" s="254"/>
      <c r="BN23" s="197">
        <v>57.981999999999999</v>
      </c>
      <c r="BO23" s="197">
        <v>188.49299999999999</v>
      </c>
      <c r="BP23" s="197">
        <v>159.54400000000001</v>
      </c>
      <c r="BQ23" s="230"/>
      <c r="BR23" s="230">
        <v>29.055</v>
      </c>
      <c r="BS23" s="258"/>
      <c r="BT23" s="199"/>
      <c r="BU23" s="200"/>
      <c r="BV23" s="200"/>
      <c r="BW23" s="200"/>
      <c r="BX23" s="200">
        <v>1.38</v>
      </c>
      <c r="BY23" s="208"/>
      <c r="BZ23" s="208">
        <v>2.54</v>
      </c>
      <c r="CA23" s="201"/>
      <c r="CB23" s="202"/>
      <c r="CC23" s="200">
        <v>43.71</v>
      </c>
      <c r="CD23" s="200">
        <v>41.69</v>
      </c>
      <c r="CE23" s="200">
        <v>36.229999999999997</v>
      </c>
      <c r="CF23" s="208"/>
      <c r="CG23" s="208">
        <v>37.99</v>
      </c>
      <c r="CH23" s="209"/>
      <c r="CI23" s="199"/>
      <c r="CJ23" s="197"/>
      <c r="CK23" s="197"/>
      <c r="CL23" s="197">
        <v>274.27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0</v>
      </c>
      <c r="CU23" s="24">
        <f t="shared" si="20"/>
        <v>57.981999999999999</v>
      </c>
      <c r="CV23" s="25">
        <f t="shared" si="20"/>
        <v>188.49299999999999</v>
      </c>
      <c r="CW23" s="24">
        <f t="shared" si="20"/>
        <v>157.34229280000002</v>
      </c>
      <c r="CX23" s="27">
        <f t="shared" si="20"/>
        <v>0</v>
      </c>
      <c r="CY23" s="24">
        <f t="shared" si="20"/>
        <v>28.317002999999996</v>
      </c>
      <c r="CZ23" s="280">
        <f t="shared" si="20"/>
        <v>0</v>
      </c>
      <c r="DA23" s="237">
        <f t="shared" si="21"/>
        <v>0</v>
      </c>
      <c r="DB23" s="29">
        <f t="shared" si="21"/>
        <v>0</v>
      </c>
      <c r="DC23" s="277">
        <f t="shared" si="21"/>
        <v>274.27</v>
      </c>
      <c r="DD23" s="280">
        <f t="shared" si="21"/>
        <v>0</v>
      </c>
      <c r="DE23" s="508">
        <f t="shared" si="31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2"/>
        <v>0</v>
      </c>
    </row>
    <row r="24" spans="1:115" ht="16.5" customHeight="1" thickBot="1">
      <c r="A24" s="534">
        <v>18</v>
      </c>
      <c r="B24" s="103">
        <f>'[1]август 20'!K23</f>
        <v>440.96800000000002</v>
      </c>
      <c r="C24" s="104">
        <f t="shared" si="0"/>
        <v>0.64900575551967499</v>
      </c>
      <c r="D24" s="143">
        <f t="shared" si="1"/>
        <v>438.1060923</v>
      </c>
      <c r="E24" s="104">
        <f t="shared" si="36"/>
        <v>39.208467961394021</v>
      </c>
      <c r="F24" s="128">
        <f t="shared" si="3"/>
        <v>2.12621253239505</v>
      </c>
      <c r="G24" s="106"/>
      <c r="H24" s="107">
        <f t="shared" si="33"/>
        <v>0.91352143800048535</v>
      </c>
      <c r="I24" s="103">
        <f>'[1]сентябрь 20'!AE23</f>
        <v>0</v>
      </c>
      <c r="J24" s="328">
        <f>'[1]август 20'!AA23</f>
        <v>7.3040000000000003</v>
      </c>
      <c r="K24" s="106"/>
      <c r="L24" s="328">
        <f>'[1]август 20'!AI23</f>
        <v>249.875</v>
      </c>
      <c r="M24" s="103">
        <f t="shared" si="5"/>
        <v>1.2126910943945646</v>
      </c>
      <c r="N24" s="103">
        <f>'[1]август 20'!W23</f>
        <v>0</v>
      </c>
      <c r="O24" s="103">
        <f>'[1]август 20'!AM23</f>
        <v>0</v>
      </c>
      <c r="P24" s="447">
        <f t="shared" si="24"/>
        <v>0</v>
      </c>
      <c r="Q24" s="103">
        <f t="shared" si="25"/>
        <v>0</v>
      </c>
      <c r="R24" s="103">
        <f>'[1]август 20'!S23</f>
        <v>289.577</v>
      </c>
      <c r="S24" s="108">
        <f t="shared" si="6"/>
        <v>3.6801955956446752</v>
      </c>
      <c r="T24" s="109">
        <f t="shared" si="7"/>
        <v>278.92</v>
      </c>
      <c r="U24" s="106">
        <v>5.31</v>
      </c>
      <c r="V24" s="109">
        <f t="shared" si="8"/>
        <v>278.92</v>
      </c>
      <c r="W24" s="110">
        <f t="shared" si="9"/>
        <v>1.3536520262072314</v>
      </c>
      <c r="X24" s="110">
        <f t="shared" si="26"/>
        <v>1.3536520262072314</v>
      </c>
      <c r="Y24" s="136">
        <v>206.05</v>
      </c>
      <c r="Z24" s="129">
        <v>206.05</v>
      </c>
      <c r="AA24" s="131">
        <v>0.57999999999999996</v>
      </c>
      <c r="AB24" s="133">
        <v>643</v>
      </c>
      <c r="AC24" s="133">
        <v>1229</v>
      </c>
      <c r="AD24" s="144" t="s">
        <v>363</v>
      </c>
      <c r="AE24" s="131">
        <v>76.040000000000006</v>
      </c>
      <c r="AF24" s="133">
        <v>147</v>
      </c>
      <c r="AG24" s="134">
        <v>4</v>
      </c>
      <c r="AH24" s="131">
        <v>1.2</v>
      </c>
      <c r="AI24" s="115">
        <f t="shared" si="10"/>
        <v>5.8238291676777481</v>
      </c>
      <c r="AJ24" s="131">
        <v>142.05000000000001</v>
      </c>
      <c r="AK24" s="115">
        <f t="shared" si="11"/>
        <v>689.39577772385348</v>
      </c>
      <c r="AL24" s="139">
        <v>27.96</v>
      </c>
      <c r="AM24" s="131"/>
      <c r="AN24" s="136">
        <v>10.73</v>
      </c>
      <c r="AO24" s="466">
        <v>50.13</v>
      </c>
      <c r="AP24" s="110">
        <f t="shared" si="12"/>
        <v>0.18977853492333904</v>
      </c>
      <c r="AQ24" s="137" t="s">
        <v>202</v>
      </c>
      <c r="AR24" s="150">
        <v>7.9</v>
      </c>
      <c r="AS24" s="138">
        <v>7.47</v>
      </c>
      <c r="AT24" s="134"/>
      <c r="AU24" s="131">
        <v>7.27</v>
      </c>
      <c r="AV24" s="315">
        <v>264.14999999999998</v>
      </c>
      <c r="AW24" s="131">
        <v>2.76</v>
      </c>
      <c r="AX24" s="116"/>
      <c r="AY24" s="131"/>
      <c r="AZ24" s="109">
        <f t="shared" si="34"/>
        <v>0</v>
      </c>
      <c r="BA24" s="109">
        <f t="shared" si="13"/>
        <v>206.04999999999998</v>
      </c>
      <c r="BB24" s="115">
        <f t="shared" si="35"/>
        <v>197.21107523427534</v>
      </c>
      <c r="BC24" s="140">
        <f t="shared" si="14"/>
        <v>7.9998158450704224</v>
      </c>
      <c r="BD24" s="141"/>
      <c r="BE24" s="128">
        <f t="shared" si="16"/>
        <v>0.91212752522296725</v>
      </c>
      <c r="BF24" s="141">
        <f t="shared" si="17"/>
        <v>7.9998158450704224</v>
      </c>
      <c r="BG24" s="535">
        <v>0.89100000000000001</v>
      </c>
      <c r="BH24" s="16">
        <f t="shared" si="28"/>
        <v>3263.6400000000003</v>
      </c>
      <c r="BI24" s="16">
        <f t="shared" si="18"/>
        <v>187.09677419354838</v>
      </c>
      <c r="BJ24" s="16">
        <f t="shared" si="29"/>
        <v>3367.7419354838698</v>
      </c>
      <c r="BK24" s="17">
        <f t="shared" si="19"/>
        <v>1</v>
      </c>
      <c r="BL24" s="16">
        <f t="shared" si="30"/>
        <v>3367.7419354838698</v>
      </c>
      <c r="BM24" s="254"/>
      <c r="BN24" s="197">
        <v>58.779000000000003</v>
      </c>
      <c r="BO24" s="197">
        <v>191.096</v>
      </c>
      <c r="BP24" s="197">
        <v>161.697</v>
      </c>
      <c r="BQ24" s="230"/>
      <c r="BR24" s="230">
        <v>29.396000000000001</v>
      </c>
      <c r="BS24" s="258"/>
      <c r="BT24" s="199"/>
      <c r="BU24" s="200"/>
      <c r="BV24" s="200"/>
      <c r="BW24" s="200"/>
      <c r="BX24" s="200">
        <v>1.0900000000000001</v>
      </c>
      <c r="BY24" s="208"/>
      <c r="BZ24" s="208">
        <v>3.74</v>
      </c>
      <c r="CA24" s="201"/>
      <c r="CB24" s="202"/>
      <c r="CC24" s="200">
        <v>44.16</v>
      </c>
      <c r="CD24" s="200">
        <v>41.7</v>
      </c>
      <c r="CE24" s="200">
        <v>35.1</v>
      </c>
      <c r="CF24" s="208"/>
      <c r="CG24" s="208">
        <v>35.71</v>
      </c>
      <c r="CH24" s="209"/>
      <c r="CI24" s="199"/>
      <c r="CJ24" s="197"/>
      <c r="CK24" s="197"/>
      <c r="CL24" s="197">
        <v>278.92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0</v>
      </c>
      <c r="CU24" s="29">
        <f t="shared" si="20"/>
        <v>58.779000000000003</v>
      </c>
      <c r="CV24" s="30">
        <f t="shared" si="20"/>
        <v>191.096</v>
      </c>
      <c r="CW24" s="29">
        <f t="shared" si="20"/>
        <v>159.9345027</v>
      </c>
      <c r="CX24" s="27">
        <f t="shared" si="20"/>
        <v>0</v>
      </c>
      <c r="CY24" s="27">
        <f t="shared" si="20"/>
        <v>28.296589600000001</v>
      </c>
      <c r="CZ24" s="282">
        <f t="shared" si="20"/>
        <v>0</v>
      </c>
      <c r="DA24" s="25">
        <f t="shared" si="21"/>
        <v>0</v>
      </c>
      <c r="DB24" s="26">
        <f t="shared" si="21"/>
        <v>0</v>
      </c>
      <c r="DC24" s="277">
        <f t="shared" si="21"/>
        <v>278.92</v>
      </c>
      <c r="DD24" s="280">
        <f t="shared" si="21"/>
        <v>0</v>
      </c>
      <c r="DE24" s="508">
        <f t="shared" si="31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2"/>
        <v>0</v>
      </c>
    </row>
    <row r="25" spans="1:115" ht="16.5" customHeight="1" thickBot="1">
      <c r="A25" s="534">
        <v>19</v>
      </c>
      <c r="B25" s="103">
        <f>'[1]август 20'!K24</f>
        <v>416.23399999999998</v>
      </c>
      <c r="C25" s="104">
        <f t="shared" si="0"/>
        <v>0.60691248192122704</v>
      </c>
      <c r="D25" s="143">
        <f t="shared" si="1"/>
        <v>413.70782389999999</v>
      </c>
      <c r="E25" s="104">
        <f t="shared" si="36"/>
        <v>39.466727153476171</v>
      </c>
      <c r="F25" s="128">
        <f t="shared" si="3"/>
        <v>1.9445726152761458</v>
      </c>
      <c r="G25" s="106"/>
      <c r="H25" s="107">
        <f t="shared" si="33"/>
        <v>0.83756909001175095</v>
      </c>
      <c r="I25" s="103">
        <f>'[1]сентябрь 20'!AE24</f>
        <v>0</v>
      </c>
      <c r="J25" s="328">
        <f>'[1]август 20'!AA24</f>
        <v>7.8680000000000003</v>
      </c>
      <c r="K25" s="106"/>
      <c r="L25" s="328">
        <f>'[1]август 20'!AI24</f>
        <v>235.51499999999999</v>
      </c>
      <c r="M25" s="103">
        <f t="shared" si="5"/>
        <v>1.1070035252643948</v>
      </c>
      <c r="N25" s="103">
        <f>'[1]август 20'!W24</f>
        <v>0</v>
      </c>
      <c r="O25" s="103">
        <f>'[1]август 20'!AM24</f>
        <v>0</v>
      </c>
      <c r="P25" s="447">
        <f t="shared" si="24"/>
        <v>0</v>
      </c>
      <c r="Q25" s="103">
        <f t="shared" si="25"/>
        <v>0</v>
      </c>
      <c r="R25" s="103">
        <f>'[1]август 20'!S24</f>
        <v>272.13600000000002</v>
      </c>
      <c r="S25" s="108">
        <f t="shared" si="6"/>
        <v>3.158714760266923</v>
      </c>
      <c r="T25" s="109">
        <f t="shared" si="7"/>
        <v>263.54000000000002</v>
      </c>
      <c r="U25" s="566">
        <v>34.979999999999997</v>
      </c>
      <c r="V25" s="109">
        <f t="shared" si="8"/>
        <v>263.54000000000002</v>
      </c>
      <c r="W25" s="110">
        <f t="shared" si="9"/>
        <v>1.2387309048178614</v>
      </c>
      <c r="X25" s="110">
        <f t="shared" si="26"/>
        <v>1.2387309048178614</v>
      </c>
      <c r="Y25" s="136">
        <v>212.75</v>
      </c>
      <c r="Z25" s="129">
        <v>107.04</v>
      </c>
      <c r="AA25" s="131">
        <v>1.04</v>
      </c>
      <c r="AB25" s="133">
        <v>687</v>
      </c>
      <c r="AC25" s="133">
        <v>1231</v>
      </c>
      <c r="AD25" s="144" t="s">
        <v>160</v>
      </c>
      <c r="AE25" s="131">
        <v>75.72</v>
      </c>
      <c r="AF25" s="133">
        <v>139</v>
      </c>
      <c r="AG25" s="134">
        <v>4</v>
      </c>
      <c r="AH25" s="131">
        <v>1.75</v>
      </c>
      <c r="AI25" s="115">
        <f t="shared" si="10"/>
        <v>8.2256169212690953</v>
      </c>
      <c r="AJ25" s="131">
        <v>128.55000000000001</v>
      </c>
      <c r="AK25" s="115">
        <f t="shared" si="11"/>
        <v>604.23031727379566</v>
      </c>
      <c r="AL25" s="139">
        <v>27.96</v>
      </c>
      <c r="AM25" s="131"/>
      <c r="AN25" s="136">
        <v>10.44</v>
      </c>
      <c r="AO25" s="466">
        <v>41.35</v>
      </c>
      <c r="AP25" s="110">
        <f t="shared" si="12"/>
        <v>0.158156435264869</v>
      </c>
      <c r="AQ25" s="137" t="s">
        <v>416</v>
      </c>
      <c r="AR25" s="150">
        <v>8.0500000000000007</v>
      </c>
      <c r="AS25" s="138">
        <v>7.03</v>
      </c>
      <c r="AT25" s="153"/>
      <c r="AU25" s="131">
        <v>7.89</v>
      </c>
      <c r="AV25" s="315">
        <v>261.45</v>
      </c>
      <c r="AW25" s="131">
        <v>3.09</v>
      </c>
      <c r="AX25" s="148"/>
      <c r="AY25" s="131"/>
      <c r="AZ25" s="109">
        <f t="shared" si="34"/>
        <v>0</v>
      </c>
      <c r="BA25" s="109">
        <f t="shared" si="13"/>
        <v>212.75</v>
      </c>
      <c r="BB25" s="115">
        <f t="shared" si="35"/>
        <v>188.2471829584716</v>
      </c>
      <c r="BC25" s="140">
        <f t="shared" si="14"/>
        <v>7.8569397887323937</v>
      </c>
      <c r="BD25" s="141">
        <f t="shared" ref="BD25:BD37" si="37">BA25*$BD$6</f>
        <v>8.51</v>
      </c>
      <c r="BE25" s="128">
        <f t="shared" si="16"/>
        <v>0.98663229420529108</v>
      </c>
      <c r="BF25" s="141">
        <f t="shared" si="17"/>
        <v>16.366939788732395</v>
      </c>
      <c r="BG25" s="535">
        <v>0.89600000000000002</v>
      </c>
      <c r="BH25" s="16">
        <f t="shared" si="28"/>
        <v>3476.3900000000003</v>
      </c>
      <c r="BI25" s="16">
        <f t="shared" si="18"/>
        <v>187.09677419354838</v>
      </c>
      <c r="BJ25" s="16">
        <f t="shared" si="29"/>
        <v>3554.8387096774181</v>
      </c>
      <c r="BK25" s="17">
        <f t="shared" si="19"/>
        <v>1</v>
      </c>
      <c r="BL25" s="16">
        <f t="shared" si="30"/>
        <v>3554.8387096774181</v>
      </c>
      <c r="BM25" s="254"/>
      <c r="BN25" s="197">
        <v>55.415999999999997</v>
      </c>
      <c r="BO25" s="197">
        <v>180.09899999999999</v>
      </c>
      <c r="BP25" s="197">
        <v>160.07499999999999</v>
      </c>
      <c r="BQ25" s="230"/>
      <c r="BR25" s="230">
        <v>20.643999999999998</v>
      </c>
      <c r="BS25" s="258"/>
      <c r="BT25" s="199"/>
      <c r="BU25" s="200"/>
      <c r="BV25" s="200"/>
      <c r="BW25" s="200"/>
      <c r="BX25" s="200">
        <v>1.07</v>
      </c>
      <c r="BY25" s="208"/>
      <c r="BZ25" s="208">
        <v>3.94</v>
      </c>
      <c r="CA25" s="201"/>
      <c r="CB25" s="202"/>
      <c r="CC25" s="200">
        <v>43.84</v>
      </c>
      <c r="CD25" s="200">
        <v>41.56</v>
      </c>
      <c r="CE25" s="200">
        <v>35.81</v>
      </c>
      <c r="CF25" s="208"/>
      <c r="CG25" s="208">
        <v>37.82</v>
      </c>
      <c r="CH25" s="201"/>
      <c r="CI25" s="199"/>
      <c r="CJ25" s="197"/>
      <c r="CK25" s="197"/>
      <c r="CL25" s="197">
        <v>263.54000000000002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0</v>
      </c>
      <c r="CU25" s="24">
        <f t="shared" si="20"/>
        <v>55.415999999999997</v>
      </c>
      <c r="CV25" s="25">
        <f t="shared" si="20"/>
        <v>180.09899999999999</v>
      </c>
      <c r="CW25" s="24">
        <f t="shared" si="20"/>
        <v>158.36219750000001</v>
      </c>
      <c r="CX25" s="27">
        <f t="shared" si="20"/>
        <v>0</v>
      </c>
      <c r="CY25" s="30">
        <f t="shared" si="20"/>
        <v>19.8306264</v>
      </c>
      <c r="CZ25" s="280">
        <f t="shared" si="20"/>
        <v>0</v>
      </c>
      <c r="DA25" s="25">
        <f t="shared" si="21"/>
        <v>0</v>
      </c>
      <c r="DB25" s="26">
        <f t="shared" si="21"/>
        <v>0</v>
      </c>
      <c r="DC25" s="277">
        <f t="shared" si="21"/>
        <v>263.54000000000002</v>
      </c>
      <c r="DD25" s="280">
        <f t="shared" si="21"/>
        <v>0</v>
      </c>
      <c r="DE25" s="508">
        <f t="shared" si="31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2"/>
        <v>0</v>
      </c>
    </row>
    <row r="26" spans="1:115" ht="16.5" customHeight="1" thickBot="1">
      <c r="A26" s="534">
        <v>20</v>
      </c>
      <c r="B26" s="103">
        <f>'[1]август 20'!K25</f>
        <v>401.92200000000003</v>
      </c>
      <c r="C26" s="104">
        <f t="shared" si="0"/>
        <v>0.76495315011370368</v>
      </c>
      <c r="D26" s="143">
        <f t="shared" si="1"/>
        <v>398.84748500000006</v>
      </c>
      <c r="E26" s="104">
        <f t="shared" si="36"/>
        <v>39.882978836689702</v>
      </c>
      <c r="F26" s="128">
        <f t="shared" si="3"/>
        <v>1.9900583025646144</v>
      </c>
      <c r="G26" s="106"/>
      <c r="H26" s="107">
        <f t="shared" si="33"/>
        <v>0.85387428899311446</v>
      </c>
      <c r="I26" s="103">
        <f>'[1]сентябрь 20'!AE25</f>
        <v>0</v>
      </c>
      <c r="J26" s="328">
        <f>'[1]август 20'!AA25</f>
        <v>10.717000000000001</v>
      </c>
      <c r="K26" s="106"/>
      <c r="L26" s="328">
        <f>'[1]август 20'!AI25</f>
        <v>227.714</v>
      </c>
      <c r="M26" s="103">
        <f t="shared" si="5"/>
        <v>1.1361840135714998</v>
      </c>
      <c r="N26" s="103">
        <f>'[1]август 20'!W25</f>
        <v>0</v>
      </c>
      <c r="O26" s="103">
        <f>'[1]август 20'!AM25</f>
        <v>0</v>
      </c>
      <c r="P26" s="447">
        <f t="shared" si="24"/>
        <v>0</v>
      </c>
      <c r="Q26" s="103">
        <f t="shared" si="25"/>
        <v>0</v>
      </c>
      <c r="R26" s="103">
        <f>'[1]август 20'!S25</f>
        <v>264.03100000000001</v>
      </c>
      <c r="S26" s="108">
        <f t="shared" si="6"/>
        <v>3.8332620033253662</v>
      </c>
      <c r="T26" s="109">
        <f t="shared" si="7"/>
        <v>253.91000000000003</v>
      </c>
      <c r="U26" s="566">
        <v>28.31</v>
      </c>
      <c r="V26" s="109">
        <f t="shared" si="8"/>
        <v>253.91</v>
      </c>
      <c r="W26" s="110">
        <f t="shared" si="9"/>
        <v>1.2668895319828362</v>
      </c>
      <c r="X26" s="110">
        <f t="shared" si="26"/>
        <v>1.2668895319828362</v>
      </c>
      <c r="Y26" s="136">
        <v>200.42</v>
      </c>
      <c r="Z26" s="154">
        <v>95.91</v>
      </c>
      <c r="AA26" s="149">
        <v>0.93</v>
      </c>
      <c r="AB26" s="147">
        <v>682</v>
      </c>
      <c r="AC26" s="147">
        <v>1237</v>
      </c>
      <c r="AD26" s="144" t="s">
        <v>305</v>
      </c>
      <c r="AE26" s="149">
        <v>75.959999999999994</v>
      </c>
      <c r="AF26" s="147">
        <v>134</v>
      </c>
      <c r="AG26" s="155">
        <v>4</v>
      </c>
      <c r="AH26" s="149">
        <v>0.55000000000000004</v>
      </c>
      <c r="AI26" s="115">
        <f t="shared" si="10"/>
        <v>2.7442371020856204</v>
      </c>
      <c r="AJ26" s="149">
        <v>128.85</v>
      </c>
      <c r="AK26" s="115">
        <f t="shared" si="11"/>
        <v>642.89991018860383</v>
      </c>
      <c r="AL26" s="156">
        <v>27.08</v>
      </c>
      <c r="AM26" s="149"/>
      <c r="AN26" s="157">
        <v>9.66</v>
      </c>
      <c r="AO26" s="466">
        <v>48.15</v>
      </c>
      <c r="AP26" s="110">
        <f t="shared" si="12"/>
        <v>0.18804920913884005</v>
      </c>
      <c r="AQ26" s="158" t="s">
        <v>150</v>
      </c>
      <c r="AR26" s="404">
        <v>8.25</v>
      </c>
      <c r="AS26" s="159">
        <v>7.41</v>
      </c>
      <c r="AT26" s="155"/>
      <c r="AU26" s="149">
        <v>6.77</v>
      </c>
      <c r="AV26" s="315">
        <v>256.05</v>
      </c>
      <c r="AW26" s="131">
        <v>2.1800000000000002</v>
      </c>
      <c r="AX26" s="148"/>
      <c r="AY26" s="149"/>
      <c r="AZ26" s="160">
        <f t="shared" si="34"/>
        <v>0</v>
      </c>
      <c r="BA26" s="109">
        <f t="shared" si="13"/>
        <v>200.42000000000002</v>
      </c>
      <c r="BB26" s="115">
        <f t="shared" si="35"/>
        <v>182.82001219457655</v>
      </c>
      <c r="BC26" s="140">
        <f t="shared" si="14"/>
        <v>6.7573658450704217</v>
      </c>
      <c r="BD26" s="140">
        <f t="shared" si="37"/>
        <v>8.0167999999999999</v>
      </c>
      <c r="BE26" s="161">
        <f t="shared" si="16"/>
        <v>0.95704325746232788</v>
      </c>
      <c r="BF26" s="140">
        <f t="shared" si="17"/>
        <v>14.774165845070421</v>
      </c>
      <c r="BG26" s="537">
        <v>0.89900000000000002</v>
      </c>
      <c r="BH26" s="16">
        <f t="shared" si="28"/>
        <v>3676.8100000000004</v>
      </c>
      <c r="BI26" s="16">
        <f t="shared" si="18"/>
        <v>187.09677419354838</v>
      </c>
      <c r="BJ26" s="16">
        <f t="shared" si="29"/>
        <v>3741.9354838709664</v>
      </c>
      <c r="BK26" s="17">
        <f t="shared" si="19"/>
        <v>1</v>
      </c>
      <c r="BL26" s="16">
        <f t="shared" si="30"/>
        <v>3741.9354838709664</v>
      </c>
      <c r="BM26" s="254"/>
      <c r="BN26" s="197">
        <v>53.622</v>
      </c>
      <c r="BO26" s="197">
        <v>174.09200000000001</v>
      </c>
      <c r="BP26" s="197">
        <v>164.959</v>
      </c>
      <c r="BQ26" s="230"/>
      <c r="BR26" s="230">
        <v>9.2490000000000006</v>
      </c>
      <c r="BS26" s="258"/>
      <c r="BT26" s="199"/>
      <c r="BU26" s="200"/>
      <c r="BV26" s="200"/>
      <c r="BW26" s="200"/>
      <c r="BX26" s="200">
        <v>1.63</v>
      </c>
      <c r="BY26" s="208"/>
      <c r="BZ26" s="208">
        <v>4.17</v>
      </c>
      <c r="CA26" s="201"/>
      <c r="CB26" s="202"/>
      <c r="CC26" s="200">
        <v>43.73</v>
      </c>
      <c r="CD26" s="200">
        <v>41.66</v>
      </c>
      <c r="CE26" s="200">
        <v>36.94</v>
      </c>
      <c r="CF26" s="208"/>
      <c r="CG26" s="208">
        <v>36.619999999999997</v>
      </c>
      <c r="CH26" s="209"/>
      <c r="CI26" s="199"/>
      <c r="CJ26" s="197"/>
      <c r="CK26" s="197"/>
      <c r="CL26" s="197">
        <v>253.91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53.622</v>
      </c>
      <c r="CV26" s="25">
        <f t="shared" si="20"/>
        <v>174.09200000000001</v>
      </c>
      <c r="CW26" s="24">
        <f t="shared" si="20"/>
        <v>162.27016829999999</v>
      </c>
      <c r="CX26" s="27">
        <f t="shared" si="20"/>
        <v>0</v>
      </c>
      <c r="CY26" s="24">
        <f t="shared" si="20"/>
        <v>8.8633167000000004</v>
      </c>
      <c r="CZ26" s="280">
        <f t="shared" si="20"/>
        <v>0</v>
      </c>
      <c r="DA26" s="30">
        <f t="shared" si="21"/>
        <v>0</v>
      </c>
      <c r="DB26" s="26">
        <f t="shared" si="21"/>
        <v>0</v>
      </c>
      <c r="DC26" s="277">
        <f t="shared" si="21"/>
        <v>253.91</v>
      </c>
      <c r="DD26" s="280">
        <f t="shared" si="21"/>
        <v>0</v>
      </c>
      <c r="DE26" s="508">
        <f t="shared" si="31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2"/>
        <v>0</v>
      </c>
    </row>
    <row r="27" spans="1:115" ht="16.5" customHeight="1" thickBot="1">
      <c r="A27" s="534">
        <v>21</v>
      </c>
      <c r="B27" s="103">
        <f>'[1]август 20'!K26</f>
        <v>398.96600000000001</v>
      </c>
      <c r="C27" s="104">
        <f t="shared" si="0"/>
        <v>0.70203952216479615</v>
      </c>
      <c r="D27" s="143">
        <f t="shared" si="1"/>
        <v>396.16510099999999</v>
      </c>
      <c r="E27" s="104">
        <f t="shared" si="36"/>
        <v>39.219863647528861</v>
      </c>
      <c r="F27" s="128">
        <f t="shared" si="3"/>
        <v>2.2333000789221491</v>
      </c>
      <c r="G27" s="106"/>
      <c r="H27" s="107">
        <f t="shared" si="33"/>
        <v>0.95887085517785686</v>
      </c>
      <c r="I27" s="103">
        <f>'[1]сентябрь 20'!AE26</f>
        <v>0</v>
      </c>
      <c r="J27" s="328">
        <f>'[1]август 20'!AA26</f>
        <v>11.916</v>
      </c>
      <c r="K27" s="106"/>
      <c r="L27" s="328">
        <f>'[1]август 20'!AI26</f>
        <v>226.071</v>
      </c>
      <c r="M27" s="103">
        <f t="shared" si="5"/>
        <v>1.2744292237442922</v>
      </c>
      <c r="N27" s="103">
        <f>'[1]август 20'!W26</f>
        <v>0</v>
      </c>
      <c r="O27" s="103">
        <f>'[1]август 20'!AM26</f>
        <v>0</v>
      </c>
      <c r="P27" s="447">
        <f t="shared" si="24"/>
        <v>0</v>
      </c>
      <c r="Q27" s="103">
        <f t="shared" si="25"/>
        <v>0</v>
      </c>
      <c r="R27" s="103">
        <f>'[1]август 20'!S26</f>
        <v>260.339</v>
      </c>
      <c r="S27" s="108">
        <f t="shared" si="6"/>
        <v>3.4451234736247671</v>
      </c>
      <c r="T27" s="109">
        <f t="shared" si="7"/>
        <v>251.37000000000003</v>
      </c>
      <c r="U27" s="566">
        <v>9.42</v>
      </c>
      <c r="V27" s="109">
        <f t="shared" si="8"/>
        <v>251.37</v>
      </c>
      <c r="W27" s="110">
        <f t="shared" si="9"/>
        <v>1.4170471841704722</v>
      </c>
      <c r="X27" s="110">
        <f t="shared" si="26"/>
        <v>1.4170471841704722</v>
      </c>
      <c r="Y27" s="129">
        <v>177.39</v>
      </c>
      <c r="Z27" s="129">
        <v>82.8</v>
      </c>
      <c r="AA27" s="131">
        <v>0.92</v>
      </c>
      <c r="AB27" s="133">
        <v>672</v>
      </c>
      <c r="AC27" s="133">
        <v>1237</v>
      </c>
      <c r="AD27" s="144" t="s">
        <v>321</v>
      </c>
      <c r="AE27" s="131">
        <v>75.599999999999994</v>
      </c>
      <c r="AF27" s="133">
        <v>133</v>
      </c>
      <c r="AG27" s="134">
        <v>4</v>
      </c>
      <c r="AH27" s="131">
        <v>0.85</v>
      </c>
      <c r="AI27" s="115">
        <f t="shared" si="10"/>
        <v>4.7917018997688707</v>
      </c>
      <c r="AJ27" s="131">
        <v>130.25</v>
      </c>
      <c r="AK27" s="115">
        <f t="shared" si="11"/>
        <v>734.25784993517118</v>
      </c>
      <c r="AL27" s="139">
        <v>27.97</v>
      </c>
      <c r="AM27" s="131"/>
      <c r="AN27" s="136">
        <v>10.85</v>
      </c>
      <c r="AO27" s="466">
        <v>45.88</v>
      </c>
      <c r="AP27" s="110">
        <f t="shared" si="12"/>
        <v>0.197375779737578</v>
      </c>
      <c r="AQ27" s="137" t="s">
        <v>204</v>
      </c>
      <c r="AR27" s="150">
        <v>7.77</v>
      </c>
      <c r="AS27" s="138">
        <v>7.42</v>
      </c>
      <c r="AT27" s="134"/>
      <c r="AU27" s="131">
        <v>7.33</v>
      </c>
      <c r="AV27" s="139">
        <v>232.45</v>
      </c>
      <c r="AW27" s="131">
        <v>1.67</v>
      </c>
      <c r="AX27" s="148"/>
      <c r="AY27" s="131"/>
      <c r="AZ27" s="109">
        <f t="shared" si="34"/>
        <v>0</v>
      </c>
      <c r="BA27" s="109">
        <f t="shared" si="13"/>
        <v>177.39</v>
      </c>
      <c r="BB27" s="115">
        <f t="shared" si="35"/>
        <v>179.42160721232881</v>
      </c>
      <c r="BC27" s="140">
        <f t="shared" si="14"/>
        <v>7.3958151408450696</v>
      </c>
      <c r="BD27" s="141">
        <f t="shared" si="37"/>
        <v>7.0955999999999992</v>
      </c>
      <c r="BE27" s="128">
        <f t="shared" si="16"/>
        <v>0.86311494142807377</v>
      </c>
      <c r="BF27" s="141">
        <f t="shared" si="17"/>
        <v>14.491415140845069</v>
      </c>
      <c r="BG27" s="535">
        <v>0.89800000000000002</v>
      </c>
      <c r="BH27" s="16">
        <f t="shared" si="28"/>
        <v>3854.2000000000003</v>
      </c>
      <c r="BI27" s="16">
        <f t="shared" si="18"/>
        <v>187.09677419354838</v>
      </c>
      <c r="BJ27" s="16">
        <f t="shared" si="29"/>
        <v>3929.0322580645147</v>
      </c>
      <c r="BK27" s="17">
        <f t="shared" si="19"/>
        <v>1</v>
      </c>
      <c r="BL27" s="16">
        <f t="shared" si="30"/>
        <v>3929.0322580645147</v>
      </c>
      <c r="BM27" s="254"/>
      <c r="BN27" s="197">
        <v>53.198</v>
      </c>
      <c r="BO27" s="197">
        <v>172.87299999999999</v>
      </c>
      <c r="BP27" s="197">
        <v>172.89500000000001</v>
      </c>
      <c r="BQ27" s="230"/>
      <c r="BR27" s="230"/>
      <c r="BS27" s="258"/>
      <c r="BT27" s="199"/>
      <c r="BU27" s="200"/>
      <c r="BV27" s="200"/>
      <c r="BW27" s="200"/>
      <c r="BX27" s="200">
        <v>1.62</v>
      </c>
      <c r="BY27" s="208"/>
      <c r="BZ27" s="208"/>
      <c r="CA27" s="201"/>
      <c r="CB27" s="202"/>
      <c r="CC27" s="200">
        <v>43.64</v>
      </c>
      <c r="CD27" s="200">
        <v>41.6</v>
      </c>
      <c r="CE27" s="200">
        <v>35.479999999999997</v>
      </c>
      <c r="CF27" s="208"/>
      <c r="CG27" s="208"/>
      <c r="CH27" s="209"/>
      <c r="CI27" s="199"/>
      <c r="CJ27" s="197"/>
      <c r="CK27" s="197"/>
      <c r="CL27" s="197">
        <v>251.37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53.198</v>
      </c>
      <c r="CV27" s="25">
        <f t="shared" si="20"/>
        <v>172.87299999999999</v>
      </c>
      <c r="CW27" s="24">
        <f t="shared" si="20"/>
        <v>170.09410100000002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0</v>
      </c>
      <c r="DC27" s="277">
        <f t="shared" si="21"/>
        <v>251.37</v>
      </c>
      <c r="DD27" s="280">
        <f t="shared" si="21"/>
        <v>0</v>
      </c>
      <c r="DE27" s="508">
        <f t="shared" si="31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2"/>
        <v>0</v>
      </c>
    </row>
    <row r="28" spans="1:115" ht="16.5" customHeight="1" thickBot="1">
      <c r="A28" s="534">
        <v>22</v>
      </c>
      <c r="B28" s="103">
        <f>'[1]август 20'!K27</f>
        <v>395.79599999999999</v>
      </c>
      <c r="C28" s="104">
        <f t="shared" si="0"/>
        <v>1.0432292393050964</v>
      </c>
      <c r="D28" s="143">
        <f t="shared" si="1"/>
        <v>391.66694040000004</v>
      </c>
      <c r="E28" s="104">
        <f t="shared" si="36"/>
        <v>39.883309533193867</v>
      </c>
      <c r="F28" s="128">
        <f t="shared" si="3"/>
        <v>2.2384805418071672</v>
      </c>
      <c r="G28" s="106"/>
      <c r="H28" s="107">
        <f t="shared" si="33"/>
        <v>0.95674081499685637</v>
      </c>
      <c r="I28" s="103">
        <f>'[1]сентябрь 20'!AE27</f>
        <v>0</v>
      </c>
      <c r="J28" s="328">
        <f>'[1]август 20'!AA27</f>
        <v>12.923999999999999</v>
      </c>
      <c r="K28" s="106"/>
      <c r="L28" s="328">
        <f>'[1]август 20'!AI27</f>
        <v>224.26599999999999</v>
      </c>
      <c r="M28" s="103">
        <f t="shared" si="5"/>
        <v>1.2817397268103103</v>
      </c>
      <c r="N28" s="103">
        <f>'[1]август 20'!W27</f>
        <v>0</v>
      </c>
      <c r="O28" s="103">
        <f>'[1]август 20'!AM27</f>
        <v>0</v>
      </c>
      <c r="P28" s="447">
        <f t="shared" si="24"/>
        <v>0</v>
      </c>
      <c r="Q28" s="103">
        <f t="shared" si="25"/>
        <v>0</v>
      </c>
      <c r="R28" s="103">
        <f>'[1]август 20'!S27</f>
        <v>260.04399999999998</v>
      </c>
      <c r="S28" s="108">
        <f t="shared" si="6"/>
        <v>3.3509713740751401</v>
      </c>
      <c r="T28" s="109">
        <f t="shared" si="7"/>
        <v>251.33</v>
      </c>
      <c r="U28" s="566">
        <v>11.98</v>
      </c>
      <c r="V28" s="109">
        <f t="shared" si="8"/>
        <v>251.33</v>
      </c>
      <c r="W28" s="110">
        <f t="shared" si="9"/>
        <v>1.4364176716008459</v>
      </c>
      <c r="X28" s="110">
        <f t="shared" si="26"/>
        <v>1.4364176716008459</v>
      </c>
      <c r="Y28" s="129">
        <v>174.97</v>
      </c>
      <c r="Z28" s="136">
        <v>174.97</v>
      </c>
      <c r="AA28" s="131">
        <v>0.62</v>
      </c>
      <c r="AB28" s="133">
        <v>664</v>
      </c>
      <c r="AC28" s="133">
        <v>1240</v>
      </c>
      <c r="AD28" s="144" t="s">
        <v>279</v>
      </c>
      <c r="AE28" s="131">
        <v>76.09</v>
      </c>
      <c r="AF28" s="133">
        <v>132</v>
      </c>
      <c r="AG28" s="134">
        <v>4</v>
      </c>
      <c r="AH28" s="131"/>
      <c r="AI28" s="115">
        <f t="shared" si="10"/>
        <v>0</v>
      </c>
      <c r="AJ28" s="131">
        <v>133.80000000000001</v>
      </c>
      <c r="AK28" s="115">
        <f t="shared" si="11"/>
        <v>764.70252043207415</v>
      </c>
      <c r="AL28" s="139">
        <v>22.18</v>
      </c>
      <c r="AM28" s="131"/>
      <c r="AN28" s="136">
        <v>12.37</v>
      </c>
      <c r="AO28" s="466">
        <v>51.68</v>
      </c>
      <c r="AP28" s="110">
        <f t="shared" si="12"/>
        <v>0.21828933474128828</v>
      </c>
      <c r="AQ28" s="137" t="s">
        <v>417</v>
      </c>
      <c r="AR28" s="150">
        <v>7.99</v>
      </c>
      <c r="AS28" s="138">
        <v>7.17</v>
      </c>
      <c r="AT28" s="134"/>
      <c r="AU28" s="131">
        <v>7.36</v>
      </c>
      <c r="AV28" s="139">
        <v>236.75</v>
      </c>
      <c r="AW28" s="131">
        <v>2.27</v>
      </c>
      <c r="AX28" s="148"/>
      <c r="AY28" s="131"/>
      <c r="AZ28" s="109">
        <f t="shared" si="34"/>
        <v>0</v>
      </c>
      <c r="BA28" s="109">
        <f t="shared" si="13"/>
        <v>174.97</v>
      </c>
      <c r="BB28" s="115">
        <f t="shared" si="35"/>
        <v>179.22342151425795</v>
      </c>
      <c r="BC28" s="140">
        <f t="shared" si="14"/>
        <v>7.6284845070422547</v>
      </c>
      <c r="BD28" s="141">
        <f t="shared" si="37"/>
        <v>6.9988000000000001</v>
      </c>
      <c r="BE28" s="128">
        <f t="shared" si="16"/>
        <v>0.85228151939866981</v>
      </c>
      <c r="BF28" s="141">
        <f t="shared" si="17"/>
        <v>14.627284507042255</v>
      </c>
      <c r="BG28" s="535">
        <v>0.89600000000000002</v>
      </c>
      <c r="BH28" s="16">
        <f t="shared" si="28"/>
        <v>4029.17</v>
      </c>
      <c r="BI28" s="16">
        <f t="shared" si="18"/>
        <v>187.09677419354838</v>
      </c>
      <c r="BJ28" s="16">
        <f t="shared" si="29"/>
        <v>4116.1290322580635</v>
      </c>
      <c r="BK28" s="17">
        <f t="shared" si="19"/>
        <v>1</v>
      </c>
      <c r="BL28" s="16">
        <f t="shared" si="30"/>
        <v>4116.1290322580635</v>
      </c>
      <c r="BM28" s="254"/>
      <c r="BN28" s="197">
        <v>52.755000000000003</v>
      </c>
      <c r="BO28" s="197">
        <v>171.511</v>
      </c>
      <c r="BP28" s="197">
        <v>163.178</v>
      </c>
      <c r="BQ28" s="230"/>
      <c r="BR28" s="230">
        <v>8.3520000000000003</v>
      </c>
      <c r="BS28" s="258"/>
      <c r="BT28" s="199"/>
      <c r="BU28" s="200"/>
      <c r="BV28" s="200"/>
      <c r="BW28" s="200"/>
      <c r="BX28" s="200">
        <v>2.34</v>
      </c>
      <c r="BY28" s="208"/>
      <c r="BZ28" s="208">
        <v>3.72</v>
      </c>
      <c r="CA28" s="201"/>
      <c r="CB28" s="202"/>
      <c r="CC28" s="200">
        <v>43.8</v>
      </c>
      <c r="CD28" s="200">
        <v>41.6</v>
      </c>
      <c r="CE28" s="200">
        <v>36.97</v>
      </c>
      <c r="CF28" s="208"/>
      <c r="CG28" s="208">
        <v>36.81</v>
      </c>
      <c r="CH28" s="209"/>
      <c r="CI28" s="199"/>
      <c r="CJ28" s="197"/>
      <c r="CK28" s="197"/>
      <c r="CL28" s="197">
        <v>251.33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52.755000000000003</v>
      </c>
      <c r="CV28" s="30">
        <f t="shared" si="20"/>
        <v>171.511</v>
      </c>
      <c r="CW28" s="29">
        <f t="shared" si="20"/>
        <v>159.35963479999998</v>
      </c>
      <c r="CX28" s="27">
        <f t="shared" si="20"/>
        <v>0</v>
      </c>
      <c r="CY28" s="24">
        <f t="shared" si="20"/>
        <v>8.0413055999999994</v>
      </c>
      <c r="CZ28" s="282">
        <f t="shared" si="20"/>
        <v>0</v>
      </c>
      <c r="DA28" s="25">
        <f t="shared" si="21"/>
        <v>0</v>
      </c>
      <c r="DB28" s="24">
        <f t="shared" si="21"/>
        <v>0</v>
      </c>
      <c r="DC28" s="277">
        <f t="shared" si="21"/>
        <v>251.33</v>
      </c>
      <c r="DD28" s="280">
        <f t="shared" si="21"/>
        <v>0</v>
      </c>
      <c r="DE28" s="508">
        <f t="shared" si="31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2"/>
        <v>0</v>
      </c>
    </row>
    <row r="29" spans="1:115" ht="16.5" customHeight="1" thickBot="1">
      <c r="A29" s="534">
        <v>23</v>
      </c>
      <c r="B29" s="103">
        <f>'[1]август 20'!K28</f>
        <v>396.29899999999998</v>
      </c>
      <c r="C29" s="104">
        <f t="shared" si="0"/>
        <v>1.0019182738285994</v>
      </c>
      <c r="D29" s="143">
        <f t="shared" si="1"/>
        <v>392.3284079</v>
      </c>
      <c r="E29" s="104">
        <f t="shared" si="36"/>
        <v>39.9844303669704</v>
      </c>
      <c r="F29" s="128">
        <f t="shared" si="3"/>
        <v>2.1437539363969185</v>
      </c>
      <c r="G29" s="106"/>
      <c r="H29" s="107">
        <f t="shared" si="33"/>
        <v>0.91767885853232078</v>
      </c>
      <c r="I29" s="103">
        <f>'[1]сентябрь 20'!AE28</f>
        <v>0</v>
      </c>
      <c r="J29" s="328">
        <f>'[1]август 20'!AA28</f>
        <v>13.404</v>
      </c>
      <c r="K29" s="106"/>
      <c r="L29" s="328">
        <f>'[1]август 20'!AI28</f>
        <v>224.38399999999999</v>
      </c>
      <c r="M29" s="103">
        <f t="shared" si="5"/>
        <v>1.2260750778645977</v>
      </c>
      <c r="N29" s="103">
        <f>'[1]август 20'!W28</f>
        <v>0</v>
      </c>
      <c r="O29" s="103">
        <f>'[1]август 20'!AM28</f>
        <v>0</v>
      </c>
      <c r="P29" s="447">
        <f t="shared" si="24"/>
        <v>0</v>
      </c>
      <c r="Q29" s="103">
        <f t="shared" si="25"/>
        <v>0</v>
      </c>
      <c r="R29" s="103">
        <f>'[1]август 20'!S28</f>
        <v>261.02</v>
      </c>
      <c r="S29" s="108">
        <f t="shared" si="6"/>
        <v>3.4097004060991365</v>
      </c>
      <c r="T29" s="109">
        <f t="shared" si="7"/>
        <v>252.12</v>
      </c>
      <c r="U29" s="566">
        <v>36.9</v>
      </c>
      <c r="V29" s="109">
        <f t="shared" si="8"/>
        <v>252.12</v>
      </c>
      <c r="W29" s="110">
        <f t="shared" si="9"/>
        <v>1.3776296377247146</v>
      </c>
      <c r="X29" s="110">
        <f t="shared" si="26"/>
        <v>1.3776296377247146</v>
      </c>
      <c r="Y29" s="129">
        <v>183.01</v>
      </c>
      <c r="Z29" s="136">
        <v>183.01</v>
      </c>
      <c r="AA29" s="131">
        <v>0.73</v>
      </c>
      <c r="AB29" s="133">
        <v>682</v>
      </c>
      <c r="AC29" s="133">
        <v>1224</v>
      </c>
      <c r="AD29" s="144" t="s">
        <v>418</v>
      </c>
      <c r="AE29" s="131">
        <v>75.709999999999994</v>
      </c>
      <c r="AF29" s="133">
        <v>132</v>
      </c>
      <c r="AG29" s="134">
        <v>4</v>
      </c>
      <c r="AH29" s="131">
        <v>0.9</v>
      </c>
      <c r="AI29" s="115">
        <f t="shared" si="10"/>
        <v>4.9177640566089291</v>
      </c>
      <c r="AJ29" s="131">
        <v>135.25</v>
      </c>
      <c r="AK29" s="115">
        <f t="shared" si="11"/>
        <v>739.03065406261953</v>
      </c>
      <c r="AL29" s="139">
        <v>29.9</v>
      </c>
      <c r="AM29" s="131"/>
      <c r="AN29" s="136">
        <v>12.97</v>
      </c>
      <c r="AO29" s="466">
        <v>51.5</v>
      </c>
      <c r="AP29" s="110">
        <f t="shared" si="12"/>
        <v>0.21063394683026584</v>
      </c>
      <c r="AQ29" s="137" t="s">
        <v>199</v>
      </c>
      <c r="AR29" s="150">
        <v>8.24</v>
      </c>
      <c r="AS29" s="138">
        <v>7.04</v>
      </c>
      <c r="AT29" s="134"/>
      <c r="AU29" s="131">
        <v>6.6</v>
      </c>
      <c r="AV29" s="139">
        <v>244.5</v>
      </c>
      <c r="AW29" s="131">
        <v>2.98</v>
      </c>
      <c r="AX29" s="148"/>
      <c r="AY29" s="131"/>
      <c r="AZ29" s="109">
        <f t="shared" si="34"/>
        <v>0</v>
      </c>
      <c r="BA29" s="109">
        <f t="shared" si="13"/>
        <v>183.01</v>
      </c>
      <c r="BB29" s="115">
        <f t="shared" si="35"/>
        <v>180.8846303330584</v>
      </c>
      <c r="BC29" s="140">
        <f t="shared" si="14"/>
        <v>6.9148943661971822</v>
      </c>
      <c r="BD29" s="141">
        <f t="shared" si="37"/>
        <v>7.3203999999999994</v>
      </c>
      <c r="BE29" s="128">
        <f t="shared" si="16"/>
        <v>0.88325763060036466</v>
      </c>
      <c r="BF29" s="141">
        <f t="shared" si="17"/>
        <v>14.235294366197181</v>
      </c>
      <c r="BG29" s="535">
        <v>0.89500000000000002</v>
      </c>
      <c r="BH29" s="16">
        <f t="shared" si="28"/>
        <v>4212.18</v>
      </c>
      <c r="BI29" s="16">
        <f t="shared" si="18"/>
        <v>187.09677419354838</v>
      </c>
      <c r="BJ29" s="16">
        <f t="shared" si="29"/>
        <v>4303.2258064516118</v>
      </c>
      <c r="BK29" s="17">
        <f t="shared" si="19"/>
        <v>1</v>
      </c>
      <c r="BL29" s="16">
        <f t="shared" si="30"/>
        <v>4303.2258064516118</v>
      </c>
      <c r="BM29" s="254"/>
      <c r="BN29" s="197">
        <v>52.831000000000003</v>
      </c>
      <c r="BO29" s="197">
        <v>171.553</v>
      </c>
      <c r="BP29" s="197">
        <v>158.46600000000001</v>
      </c>
      <c r="BQ29" s="230"/>
      <c r="BR29" s="230">
        <v>13.449</v>
      </c>
      <c r="BS29" s="258"/>
      <c r="BT29" s="199"/>
      <c r="BU29" s="200"/>
      <c r="BV29" s="200"/>
      <c r="BW29" s="200"/>
      <c r="BX29" s="200">
        <v>2.2400000000000002</v>
      </c>
      <c r="BY29" s="208"/>
      <c r="BZ29" s="208">
        <v>3.13</v>
      </c>
      <c r="CA29" s="201"/>
      <c r="CB29" s="202"/>
      <c r="CC29" s="200">
        <v>43.61</v>
      </c>
      <c r="CD29" s="200">
        <v>41.39</v>
      </c>
      <c r="CE29" s="200">
        <v>37.24</v>
      </c>
      <c r="CF29" s="208"/>
      <c r="CG29" s="208">
        <v>40.15</v>
      </c>
      <c r="CH29" s="201"/>
      <c r="CI29" s="199"/>
      <c r="CJ29" s="197"/>
      <c r="CK29" s="197"/>
      <c r="CL29" s="230">
        <v>252.12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52.831000000000003</v>
      </c>
      <c r="CV29" s="25">
        <f t="shared" si="20"/>
        <v>171.553</v>
      </c>
      <c r="CW29" s="24">
        <f t="shared" si="20"/>
        <v>154.91636160000002</v>
      </c>
      <c r="CX29" s="27">
        <f t="shared" si="20"/>
        <v>0</v>
      </c>
      <c r="CY29" s="29">
        <f t="shared" si="20"/>
        <v>13.0280463</v>
      </c>
      <c r="CZ29" s="280">
        <f t="shared" si="20"/>
        <v>0</v>
      </c>
      <c r="DA29" s="30">
        <f t="shared" si="21"/>
        <v>0</v>
      </c>
      <c r="DB29" s="29">
        <f t="shared" si="21"/>
        <v>0</v>
      </c>
      <c r="DC29" s="277">
        <f t="shared" si="21"/>
        <v>252.12</v>
      </c>
      <c r="DD29" s="280">
        <f t="shared" si="21"/>
        <v>0</v>
      </c>
      <c r="DE29" s="508">
        <f t="shared" si="31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2"/>
        <v>0</v>
      </c>
    </row>
    <row r="30" spans="1:115" ht="16.5" customHeight="1" thickBot="1">
      <c r="A30" s="534">
        <v>24</v>
      </c>
      <c r="B30" s="103">
        <f>'[1]август 20'!K29</f>
        <v>399.15</v>
      </c>
      <c r="C30" s="104">
        <f t="shared" si="0"/>
        <v>0.75042472754603529</v>
      </c>
      <c r="D30" s="143">
        <f t="shared" si="1"/>
        <v>396.15467970000003</v>
      </c>
      <c r="E30" s="104">
        <f t="shared" si="36"/>
        <v>39.825586696730554</v>
      </c>
      <c r="F30" s="128">
        <f t="shared" si="3"/>
        <v>2.1653713019950809</v>
      </c>
      <c r="G30" s="106"/>
      <c r="H30" s="107">
        <f t="shared" si="33"/>
        <v>0.88726799508062315</v>
      </c>
      <c r="I30" s="103">
        <f>'[1]сентябрь 20'!AE29</f>
        <v>0</v>
      </c>
      <c r="J30" s="328">
        <f>'[1]август 20'!AA29</f>
        <v>12.673</v>
      </c>
      <c r="K30" s="106"/>
      <c r="L30" s="328">
        <f>'[1]август 20'!AI29</f>
        <v>233.82900000000001</v>
      </c>
      <c r="M30" s="103">
        <f t="shared" si="5"/>
        <v>1.2781033069144576</v>
      </c>
      <c r="N30" s="103">
        <f>'[1]август 20'!W29</f>
        <v>0</v>
      </c>
      <c r="O30" s="103">
        <f>'[1]август 20'!AM29</f>
        <v>0</v>
      </c>
      <c r="P30" s="447">
        <f t="shared" si="24"/>
        <v>0</v>
      </c>
      <c r="Q30" s="103">
        <f t="shared" si="25"/>
        <v>0</v>
      </c>
      <c r="R30" s="103">
        <f>'[1]август 20'!S29</f>
        <v>271.791</v>
      </c>
      <c r="S30" s="108">
        <f t="shared" si="6"/>
        <v>2.9290888955116334</v>
      </c>
      <c r="T30" s="109">
        <f t="shared" si="7"/>
        <v>263.82999999999993</v>
      </c>
      <c r="U30" s="566">
        <v>27.34</v>
      </c>
      <c r="V30" s="109">
        <f t="shared" si="8"/>
        <v>263.83</v>
      </c>
      <c r="W30" s="110">
        <f t="shared" si="9"/>
        <v>1.4420880021863893</v>
      </c>
      <c r="X30" s="110">
        <f t="shared" si="26"/>
        <v>1.4420880021863893</v>
      </c>
      <c r="Y30" s="154">
        <v>182.95</v>
      </c>
      <c r="Z30" s="157">
        <v>182.95</v>
      </c>
      <c r="AA30" s="149">
        <v>0.61</v>
      </c>
      <c r="AB30" s="147">
        <v>653</v>
      </c>
      <c r="AC30" s="147">
        <v>1218</v>
      </c>
      <c r="AD30" s="144" t="s">
        <v>278</v>
      </c>
      <c r="AE30" s="149">
        <v>76.099999999999994</v>
      </c>
      <c r="AF30" s="147">
        <v>136</v>
      </c>
      <c r="AG30" s="155">
        <v>4</v>
      </c>
      <c r="AH30" s="149">
        <v>1</v>
      </c>
      <c r="AI30" s="115">
        <f t="shared" si="10"/>
        <v>5.4659743099207434</v>
      </c>
      <c r="AJ30" s="131">
        <v>140.80000000000001</v>
      </c>
      <c r="AK30" s="115">
        <f t="shared" si="11"/>
        <v>769.60918283684077</v>
      </c>
      <c r="AL30" s="139">
        <v>24.02</v>
      </c>
      <c r="AM30" s="131"/>
      <c r="AN30" s="157">
        <v>9.9600000000000009</v>
      </c>
      <c r="AO30" s="466">
        <v>54.93</v>
      </c>
      <c r="AP30" s="110">
        <f t="shared" si="12"/>
        <v>0.22443309499489275</v>
      </c>
      <c r="AQ30" s="158" t="s">
        <v>189</v>
      </c>
      <c r="AR30" s="404">
        <v>7.73</v>
      </c>
      <c r="AS30" s="159">
        <v>7.07</v>
      </c>
      <c r="AT30" s="155"/>
      <c r="AU30" s="149">
        <v>7</v>
      </c>
      <c r="AV30" s="156">
        <v>244.75</v>
      </c>
      <c r="AW30" s="131">
        <v>3.09</v>
      </c>
      <c r="AX30" s="164"/>
      <c r="AY30" s="149"/>
      <c r="AZ30" s="109">
        <f t="shared" si="34"/>
        <v>0</v>
      </c>
      <c r="BA30" s="109">
        <f t="shared" si="13"/>
        <v>182.95</v>
      </c>
      <c r="BB30" s="115">
        <f t="shared" si="35"/>
        <v>180.99082508424414</v>
      </c>
      <c r="BC30" s="140">
        <f t="shared" si="14"/>
        <v>7.6349295774647894</v>
      </c>
      <c r="BD30" s="141">
        <f t="shared" si="37"/>
        <v>7.3179999999999996</v>
      </c>
      <c r="BE30" s="128">
        <f t="shared" si="16"/>
        <v>0.88244998013384823</v>
      </c>
      <c r="BF30" s="141">
        <f t="shared" si="17"/>
        <v>14.95292957746479</v>
      </c>
      <c r="BG30" s="537">
        <v>0.89500000000000002</v>
      </c>
      <c r="BH30" s="16">
        <f t="shared" si="28"/>
        <v>4395.13</v>
      </c>
      <c r="BI30" s="16">
        <f t="shared" si="18"/>
        <v>187.09677419354838</v>
      </c>
      <c r="BJ30" s="16">
        <f t="shared" si="29"/>
        <v>4490.3225806451601</v>
      </c>
      <c r="BK30" s="17">
        <f t="shared" si="19"/>
        <v>1</v>
      </c>
      <c r="BL30" s="16">
        <f t="shared" si="30"/>
        <v>4490.3225806451601</v>
      </c>
      <c r="BM30" s="255">
        <v>16.773</v>
      </c>
      <c r="BN30" s="210">
        <v>53.145000000000003</v>
      </c>
      <c r="BO30" s="210">
        <v>180.684</v>
      </c>
      <c r="BP30" s="210">
        <v>127.23</v>
      </c>
      <c r="BQ30" s="233"/>
      <c r="BR30" s="233">
        <v>21.318000000000001</v>
      </c>
      <c r="BS30" s="260"/>
      <c r="BT30" s="212"/>
      <c r="BU30" s="213">
        <v>2.09</v>
      </c>
      <c r="BV30" s="213"/>
      <c r="BW30" s="213"/>
      <c r="BX30" s="213">
        <v>1.69</v>
      </c>
      <c r="BY30" s="235"/>
      <c r="BZ30" s="235">
        <v>2.3199999999999998</v>
      </c>
      <c r="CA30" s="214"/>
      <c r="CB30" s="215">
        <v>37.54</v>
      </c>
      <c r="CC30" s="213">
        <v>43.89</v>
      </c>
      <c r="CD30" s="216">
        <v>41.5</v>
      </c>
      <c r="CE30" s="213">
        <v>36.58</v>
      </c>
      <c r="CF30" s="235"/>
      <c r="CG30" s="235">
        <v>36.67</v>
      </c>
      <c r="CH30" s="214"/>
      <c r="CI30" s="212"/>
      <c r="CJ30" s="210"/>
      <c r="CK30" s="210"/>
      <c r="CL30" s="233">
        <v>263.83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16.422444299999999</v>
      </c>
      <c r="CU30" s="24">
        <f t="shared" si="20"/>
        <v>53.145000000000003</v>
      </c>
      <c r="CV30" s="25">
        <f t="shared" si="20"/>
        <v>180.684</v>
      </c>
      <c r="CW30" s="24">
        <f t="shared" si="20"/>
        <v>125.079813</v>
      </c>
      <c r="CX30" s="27">
        <f t="shared" si="20"/>
        <v>0</v>
      </c>
      <c r="CY30" s="24">
        <f t="shared" si="20"/>
        <v>20.823422400000005</v>
      </c>
      <c r="CZ30" s="280">
        <f t="shared" si="20"/>
        <v>0</v>
      </c>
      <c r="DA30" s="25">
        <f t="shared" si="21"/>
        <v>0</v>
      </c>
      <c r="DB30" s="26">
        <f t="shared" si="21"/>
        <v>0</v>
      </c>
      <c r="DC30" s="277">
        <f t="shared" si="21"/>
        <v>263.83</v>
      </c>
      <c r="DD30" s="280">
        <f t="shared" si="21"/>
        <v>0</v>
      </c>
      <c r="DE30" s="508">
        <f t="shared" si="31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2"/>
        <v>0</v>
      </c>
    </row>
    <row r="31" spans="1:115" ht="16.5" customHeight="1" thickBot="1">
      <c r="A31" s="534">
        <v>25</v>
      </c>
      <c r="B31" s="103">
        <f>'[1]август 20'!K30</f>
        <v>90.418000000000006</v>
      </c>
      <c r="C31" s="104">
        <f t="shared" si="0"/>
        <v>0.83959875246079307</v>
      </c>
      <c r="D31" s="143">
        <f t="shared" si="1"/>
        <v>89.658851600000006</v>
      </c>
      <c r="E31" s="104">
        <f t="shared" si="36"/>
        <v>39.952638744497776</v>
      </c>
      <c r="F31" s="128">
        <f t="shared" si="3"/>
        <v>1.1176620742956866</v>
      </c>
      <c r="G31" s="106"/>
      <c r="H31" s="107">
        <f t="shared" si="33"/>
        <v>0.44447583644976307</v>
      </c>
      <c r="I31" s="103">
        <f>'[1]сентябрь 20'!AE30</f>
        <v>0</v>
      </c>
      <c r="J31" s="328">
        <f>'[1]август 20'!AA30</f>
        <v>2.7</v>
      </c>
      <c r="K31" s="106"/>
      <c r="L31" s="328">
        <f>'[1]август 20'!AI30</f>
        <v>54.003</v>
      </c>
      <c r="M31" s="103">
        <f t="shared" si="5"/>
        <v>0.67318623784592357</v>
      </c>
      <c r="N31" s="103">
        <f>'[1]август 20'!W30</f>
        <v>0</v>
      </c>
      <c r="O31" s="103">
        <f>'[1]август 20'!AM30</f>
        <v>0</v>
      </c>
      <c r="P31" s="447">
        <f t="shared" si="24"/>
        <v>0</v>
      </c>
      <c r="Q31" s="103">
        <f t="shared" si="25"/>
        <v>0</v>
      </c>
      <c r="R31" s="103">
        <f>'[1]август 20'!S30</f>
        <v>66.688999999999993</v>
      </c>
      <c r="S31" s="108">
        <f t="shared" si="6"/>
        <v>2.3827017948987117</v>
      </c>
      <c r="T31" s="109">
        <f t="shared" si="7"/>
        <v>65.099999999999994</v>
      </c>
      <c r="U31" s="566">
        <v>36.25</v>
      </c>
      <c r="V31" s="109">
        <f t="shared" si="8"/>
        <v>65.099999999999994</v>
      </c>
      <c r="W31" s="110">
        <f t="shared" si="9"/>
        <v>0.81151832460732964</v>
      </c>
      <c r="X31" s="110">
        <f t="shared" si="26"/>
        <v>0.81151832460732964</v>
      </c>
      <c r="Y31" s="136">
        <v>33.72</v>
      </c>
      <c r="Z31" s="136">
        <v>80.22</v>
      </c>
      <c r="AA31" s="131">
        <v>0.45</v>
      </c>
      <c r="AB31" s="133">
        <v>670</v>
      </c>
      <c r="AC31" s="133">
        <v>1205</v>
      </c>
      <c r="AD31" s="144" t="s">
        <v>278</v>
      </c>
      <c r="AE31" s="131">
        <v>75.08</v>
      </c>
      <c r="AF31" s="133">
        <v>31</v>
      </c>
      <c r="AG31" s="134">
        <v>2</v>
      </c>
      <c r="AH31" s="131"/>
      <c r="AI31" s="115">
        <f t="shared" si="10"/>
        <v>0</v>
      </c>
      <c r="AJ31" s="131">
        <v>53.1</v>
      </c>
      <c r="AK31" s="115">
        <f t="shared" si="11"/>
        <v>661.92969334330587</v>
      </c>
      <c r="AL31" s="139">
        <v>11.31</v>
      </c>
      <c r="AM31" s="131"/>
      <c r="AN31" s="136">
        <v>12.79</v>
      </c>
      <c r="AO31" s="466"/>
      <c r="AP31" s="110">
        <f t="shared" si="12"/>
        <v>0</v>
      </c>
      <c r="AQ31" s="137" t="s">
        <v>419</v>
      </c>
      <c r="AR31" s="150">
        <v>7.14</v>
      </c>
      <c r="AS31" s="138">
        <v>7.09</v>
      </c>
      <c r="AT31" s="134"/>
      <c r="AU31" s="131">
        <v>9.06</v>
      </c>
      <c r="AV31" s="139">
        <v>91</v>
      </c>
      <c r="AW31" s="131">
        <v>2.0099999999999998</v>
      </c>
      <c r="AX31" s="148"/>
      <c r="AY31" s="131"/>
      <c r="AZ31" s="109">
        <f t="shared" si="34"/>
        <v>0</v>
      </c>
      <c r="BA31" s="109">
        <f t="shared" si="13"/>
        <v>80.220000000000013</v>
      </c>
      <c r="BB31" s="115">
        <f t="shared" si="35"/>
        <v>41.651305664321079</v>
      </c>
      <c r="BC31" s="140">
        <f t="shared" si="14"/>
        <v>3.7267225352112674</v>
      </c>
      <c r="BD31" s="141">
        <f t="shared" si="37"/>
        <v>3.2088000000000005</v>
      </c>
      <c r="BE31" s="128">
        <f t="shared" si="16"/>
        <v>1.681389307802424</v>
      </c>
      <c r="BF31" s="141">
        <f t="shared" si="17"/>
        <v>6.9355225352112679</v>
      </c>
      <c r="BG31" s="535">
        <v>0.90200000000000002</v>
      </c>
      <c r="BH31" s="16">
        <f t="shared" si="28"/>
        <v>4475.3500000000004</v>
      </c>
      <c r="BI31" s="16">
        <f t="shared" si="18"/>
        <v>187.09677419354838</v>
      </c>
      <c r="BJ31" s="16">
        <f t="shared" si="29"/>
        <v>4677.4193548387084</v>
      </c>
      <c r="BK31" s="17">
        <f t="shared" si="19"/>
        <v>1</v>
      </c>
      <c r="BL31" s="16">
        <f t="shared" si="30"/>
        <v>4677.4193548387084</v>
      </c>
      <c r="BM31" s="254">
        <v>29.998000000000001</v>
      </c>
      <c r="BN31" s="197">
        <v>12.004</v>
      </c>
      <c r="BO31" s="197">
        <v>41.999000000000002</v>
      </c>
      <c r="BP31" s="197"/>
      <c r="BQ31" s="230"/>
      <c r="BR31" s="230">
        <v>6.4169999999999998</v>
      </c>
      <c r="BS31" s="259"/>
      <c r="BT31" s="199"/>
      <c r="BU31" s="200">
        <v>2.09</v>
      </c>
      <c r="BV31" s="200"/>
      <c r="BW31" s="200"/>
      <c r="BX31" s="200"/>
      <c r="BY31" s="208"/>
      <c r="BZ31" s="208">
        <v>2.06</v>
      </c>
      <c r="CA31" s="201"/>
      <c r="CB31" s="202">
        <v>37.54</v>
      </c>
      <c r="CC31" s="200">
        <v>43.51</v>
      </c>
      <c r="CD31" s="200">
        <v>41.37</v>
      </c>
      <c r="CE31" s="200"/>
      <c r="CF31" s="208"/>
      <c r="CG31" s="208">
        <v>35.299999999999997</v>
      </c>
      <c r="CH31" s="209"/>
      <c r="CI31" s="199"/>
      <c r="CJ31" s="197"/>
      <c r="CK31" s="197"/>
      <c r="CL31" s="230">
        <v>65.099999999999994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29.3710418</v>
      </c>
      <c r="CU31" s="24">
        <f t="shared" si="20"/>
        <v>12.004</v>
      </c>
      <c r="CV31" s="25">
        <f t="shared" si="20"/>
        <v>41.999000000000002</v>
      </c>
      <c r="CW31" s="24">
        <f t="shared" si="20"/>
        <v>0</v>
      </c>
      <c r="CX31" s="27">
        <f t="shared" si="20"/>
        <v>0</v>
      </c>
      <c r="CY31" s="24">
        <f t="shared" si="20"/>
        <v>6.2848097999999997</v>
      </c>
      <c r="CZ31" s="280">
        <f t="shared" si="20"/>
        <v>0</v>
      </c>
      <c r="DA31" s="28">
        <f t="shared" si="21"/>
        <v>0</v>
      </c>
      <c r="DB31" s="24">
        <f t="shared" si="21"/>
        <v>0</v>
      </c>
      <c r="DC31" s="277">
        <f t="shared" si="21"/>
        <v>65.099999999999994</v>
      </c>
      <c r="DD31" s="280">
        <f t="shared" si="21"/>
        <v>0</v>
      </c>
      <c r="DE31" s="508">
        <f t="shared" si="31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2"/>
        <v>0</v>
      </c>
    </row>
    <row r="32" spans="1:115" ht="16.5" customHeight="1" thickBot="1">
      <c r="A32" s="534">
        <v>26</v>
      </c>
      <c r="B32" s="103">
        <f>'[1]август 20'!K31</f>
        <v>114.09</v>
      </c>
      <c r="C32" s="104">
        <f t="shared" si="0"/>
        <v>0.60549951792444556</v>
      </c>
      <c r="D32" s="143">
        <f t="shared" si="1"/>
        <v>113.39918560000001</v>
      </c>
      <c r="E32" s="104">
        <f t="shared" si="36"/>
        <v>40.128876939258483</v>
      </c>
      <c r="F32" s="128">
        <f t="shared" si="3"/>
        <v>0</v>
      </c>
      <c r="G32" s="106"/>
      <c r="H32" s="107">
        <f t="shared" si="33"/>
        <v>0</v>
      </c>
      <c r="I32" s="103">
        <f>'[1]сентябрь 20'!AE31</f>
        <v>0</v>
      </c>
      <c r="J32" s="328">
        <f>'[1]август 20'!AA31</f>
        <v>0</v>
      </c>
      <c r="K32" s="106"/>
      <c r="L32" s="328">
        <f>'[1]август 20'!AI31</f>
        <v>68.341999999999999</v>
      </c>
      <c r="M32" s="103">
        <f t="shared" si="5"/>
        <v>0</v>
      </c>
      <c r="N32" s="103">
        <f>'[1]август 20'!W31</f>
        <v>0</v>
      </c>
      <c r="O32" s="103">
        <f>'[1]август 20'!AM31</f>
        <v>0</v>
      </c>
      <c r="P32" s="447">
        <f t="shared" si="24"/>
        <v>0</v>
      </c>
      <c r="Q32" s="103">
        <f t="shared" si="25"/>
        <v>0</v>
      </c>
      <c r="R32" s="103">
        <f>'[1]август 20'!S31</f>
        <v>78.320999999999998</v>
      </c>
      <c r="S32" s="108">
        <f t="shared" si="6"/>
        <v>3.0145171793005798</v>
      </c>
      <c r="T32" s="109">
        <f t="shared" si="7"/>
        <v>75.959999999999994</v>
      </c>
      <c r="U32" s="566"/>
      <c r="V32" s="109">
        <f t="shared" si="8"/>
        <v>75.959999999999994</v>
      </c>
      <c r="W32" s="110">
        <f t="shared" si="9"/>
        <v>0</v>
      </c>
      <c r="X32" s="110">
        <f t="shared" si="26"/>
        <v>0</v>
      </c>
      <c r="Y32" s="136"/>
      <c r="Z32" s="136"/>
      <c r="AA32" s="131"/>
      <c r="AB32" s="133">
        <v>544</v>
      </c>
      <c r="AC32" s="133">
        <v>1001</v>
      </c>
      <c r="AD32" s="144" t="s">
        <v>421</v>
      </c>
      <c r="AE32" s="131"/>
      <c r="AF32" s="133">
        <v>39</v>
      </c>
      <c r="AG32" s="134"/>
      <c r="AH32" s="131"/>
      <c r="AI32" s="115">
        <f t="shared" si="10"/>
        <v>0</v>
      </c>
      <c r="AJ32" s="131">
        <v>27.25</v>
      </c>
      <c r="AK32" s="115">
        <f t="shared" si="11"/>
        <v>0</v>
      </c>
      <c r="AL32" s="139"/>
      <c r="AM32" s="131"/>
      <c r="AN32" s="136"/>
      <c r="AO32" s="466">
        <f t="shared" ref="AO32" si="38">AV32*0.19</f>
        <v>0</v>
      </c>
      <c r="AP32" s="110">
        <f t="shared" si="12"/>
        <v>0</v>
      </c>
      <c r="AQ32" s="137"/>
      <c r="AR32" s="150"/>
      <c r="AS32" s="138"/>
      <c r="AT32" s="134"/>
      <c r="AU32" s="131"/>
      <c r="AV32" s="139"/>
      <c r="AW32" s="131"/>
      <c r="AX32" s="148"/>
      <c r="AY32" s="131"/>
      <c r="AZ32" s="109">
        <f t="shared" si="34"/>
        <v>0</v>
      </c>
      <c r="BA32" s="109">
        <f t="shared" si="13"/>
        <v>0</v>
      </c>
      <c r="BB32" s="115">
        <f t="shared" si="35"/>
        <v>0</v>
      </c>
      <c r="BC32" s="140">
        <f t="shared" si="14"/>
        <v>0</v>
      </c>
      <c r="BD32" s="141">
        <f t="shared" si="37"/>
        <v>0</v>
      </c>
      <c r="BE32" s="128">
        <f t="shared" si="16"/>
        <v>0</v>
      </c>
      <c r="BF32" s="141">
        <f t="shared" si="17"/>
        <v>0</v>
      </c>
      <c r="BG32" s="535">
        <v>0.89100000000000001</v>
      </c>
      <c r="BH32" s="16">
        <f t="shared" si="28"/>
        <v>4475.3500000000004</v>
      </c>
      <c r="BI32" s="16">
        <f t="shared" si="18"/>
        <v>187.09677419354838</v>
      </c>
      <c r="BJ32" s="16">
        <f t="shared" si="29"/>
        <v>4864.5161290322567</v>
      </c>
      <c r="BK32" s="17">
        <v>1</v>
      </c>
      <c r="BL32" s="16">
        <f t="shared" si="30"/>
        <v>4864.5161290322567</v>
      </c>
      <c r="BM32" s="254">
        <v>34.304000000000002</v>
      </c>
      <c r="BN32" s="197">
        <v>22.742999999999999</v>
      </c>
      <c r="BO32" s="197">
        <v>45.598999999999997</v>
      </c>
      <c r="BP32" s="197"/>
      <c r="BQ32" s="230"/>
      <c r="BR32" s="230">
        <v>11.444000000000001</v>
      </c>
      <c r="BS32" s="258"/>
      <c r="BT32" s="199"/>
      <c r="BU32" s="200">
        <v>1.44</v>
      </c>
      <c r="BV32" s="200"/>
      <c r="BW32" s="200"/>
      <c r="BX32" s="200"/>
      <c r="BY32" s="208"/>
      <c r="BZ32" s="208">
        <v>1.72</v>
      </c>
      <c r="CA32" s="201"/>
      <c r="CB32" s="202">
        <v>37.39</v>
      </c>
      <c r="CC32" s="200">
        <v>43.78</v>
      </c>
      <c r="CD32" s="200">
        <v>41.53</v>
      </c>
      <c r="CE32" s="200"/>
      <c r="CF32" s="208"/>
      <c r="CG32" s="208">
        <v>35.5</v>
      </c>
      <c r="CH32" s="209"/>
      <c r="CI32" s="199"/>
      <c r="CJ32" s="197"/>
      <c r="CK32" s="197"/>
      <c r="CL32" s="230">
        <v>75.959999999999994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33.810022400000001</v>
      </c>
      <c r="CU32" s="24">
        <f t="shared" si="20"/>
        <v>22.742999999999999</v>
      </c>
      <c r="CV32" s="25">
        <f t="shared" si="20"/>
        <v>45.598999999999997</v>
      </c>
      <c r="CW32" s="24">
        <f t="shared" si="20"/>
        <v>0</v>
      </c>
      <c r="CX32" s="27">
        <f t="shared" si="20"/>
        <v>0</v>
      </c>
      <c r="CY32" s="24">
        <f t="shared" si="20"/>
        <v>11.247163200000001</v>
      </c>
      <c r="CZ32" s="280">
        <f t="shared" si="20"/>
        <v>0</v>
      </c>
      <c r="DA32" s="25">
        <f t="shared" si="21"/>
        <v>0</v>
      </c>
      <c r="DB32" s="24">
        <f t="shared" si="21"/>
        <v>0</v>
      </c>
      <c r="DC32" s="277">
        <f t="shared" si="21"/>
        <v>75.959999999999994</v>
      </c>
      <c r="DD32" s="280">
        <f t="shared" si="21"/>
        <v>0</v>
      </c>
      <c r="DE32" s="508">
        <f t="shared" si="31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2"/>
        <v>0</v>
      </c>
    </row>
    <row r="33" spans="1:115" ht="16.5" customHeight="1" thickBot="1">
      <c r="A33" s="534">
        <v>27</v>
      </c>
      <c r="B33" s="103">
        <f>'[1]август 20'!K32</f>
        <v>303.00200000000001</v>
      </c>
      <c r="C33" s="104">
        <f t="shared" si="0"/>
        <v>1.2758552418795914</v>
      </c>
      <c r="D33" s="143">
        <f t="shared" si="1"/>
        <v>299.1361331</v>
      </c>
      <c r="E33" s="104">
        <f t="shared" si="36"/>
        <v>39.635677718298894</v>
      </c>
      <c r="F33" s="128">
        <f t="shared" si="3"/>
        <v>3.6036156258282137</v>
      </c>
      <c r="G33" s="106"/>
      <c r="H33" s="107">
        <f t="shared" si="33"/>
        <v>1.4145179267558126</v>
      </c>
      <c r="I33" s="103">
        <f>'[1]сентябрь 20'!AE32</f>
        <v>0</v>
      </c>
      <c r="J33" s="328">
        <f>'[1]август 20'!AA32</f>
        <v>0</v>
      </c>
      <c r="K33" s="106"/>
      <c r="L33" s="328">
        <f>'[1]август 20'!AI32</f>
        <v>181.71700000000001</v>
      </c>
      <c r="M33" s="103">
        <f t="shared" si="5"/>
        <v>2.1890976990724011</v>
      </c>
      <c r="N33" s="103">
        <f>'[1]август 20'!W32</f>
        <v>0</v>
      </c>
      <c r="O33" s="103">
        <f>'[1]август 20'!AM32</f>
        <v>0</v>
      </c>
      <c r="P33" s="447">
        <f t="shared" si="24"/>
        <v>0</v>
      </c>
      <c r="Q33" s="103">
        <f t="shared" si="25"/>
        <v>0</v>
      </c>
      <c r="R33" s="103">
        <f>'[1]август 20'!S32</f>
        <v>201.803</v>
      </c>
      <c r="S33" s="108">
        <f t="shared" si="6"/>
        <v>3.0440578187638456</v>
      </c>
      <c r="T33" s="109">
        <f t="shared" si="7"/>
        <v>195.66</v>
      </c>
      <c r="U33" s="566">
        <v>4.25</v>
      </c>
      <c r="V33" s="109">
        <f t="shared" si="8"/>
        <v>195.66</v>
      </c>
      <c r="W33" s="110">
        <f t="shared" si="9"/>
        <v>2.3570654138055658</v>
      </c>
      <c r="X33" s="110">
        <f t="shared" si="26"/>
        <v>2.3570654138055658</v>
      </c>
      <c r="Y33" s="136">
        <v>84.01</v>
      </c>
      <c r="Z33" s="136">
        <v>84.01</v>
      </c>
      <c r="AA33" s="131">
        <v>0.48</v>
      </c>
      <c r="AB33" s="133">
        <v>600</v>
      </c>
      <c r="AC33" s="133">
        <v>1154</v>
      </c>
      <c r="AD33" s="144" t="s">
        <v>423</v>
      </c>
      <c r="AE33" s="131">
        <v>75.5</v>
      </c>
      <c r="AF33" s="133">
        <v>101</v>
      </c>
      <c r="AG33" s="134">
        <v>4</v>
      </c>
      <c r="AH33" s="131"/>
      <c r="AI33" s="115">
        <f t="shared" si="10"/>
        <v>0</v>
      </c>
      <c r="AJ33" s="131">
        <v>117.45</v>
      </c>
      <c r="AK33" s="115">
        <f t="shared" si="11"/>
        <v>1414.8897723165885</v>
      </c>
      <c r="AL33" s="139">
        <v>21.08</v>
      </c>
      <c r="AM33" s="131"/>
      <c r="AN33" s="136">
        <v>5.0599999999999996</v>
      </c>
      <c r="AO33" s="466">
        <v>55.44</v>
      </c>
      <c r="AP33" s="110">
        <f t="shared" si="12"/>
        <v>0.39124911785462246</v>
      </c>
      <c r="AQ33" s="137" t="s">
        <v>424</v>
      </c>
      <c r="AR33" s="150">
        <v>8.2799999999999994</v>
      </c>
      <c r="AS33" s="138">
        <v>6.28</v>
      </c>
      <c r="AT33" s="134"/>
      <c r="AU33" s="131">
        <v>9.26</v>
      </c>
      <c r="AV33" s="139">
        <v>141.69999999999999</v>
      </c>
      <c r="AW33" s="131">
        <v>1.81</v>
      </c>
      <c r="AX33" s="116"/>
      <c r="AY33" s="131"/>
      <c r="AZ33" s="109">
        <f t="shared" si="34"/>
        <v>0</v>
      </c>
      <c r="BA33" s="109">
        <f t="shared" si="13"/>
        <v>83.009999999999991</v>
      </c>
      <c r="BB33" s="115">
        <f t="shared" si="35"/>
        <v>137.09526513957141</v>
      </c>
      <c r="BC33" s="140">
        <f t="shared" si="14"/>
        <v>8.4249697183098586</v>
      </c>
      <c r="BD33" s="141">
        <f t="shared" si="37"/>
        <v>3.3203999999999998</v>
      </c>
      <c r="BE33" s="128">
        <f t="shared" si="16"/>
        <v>0.528593966583918</v>
      </c>
      <c r="BF33" s="141">
        <f t="shared" si="17"/>
        <v>11.745369718309858</v>
      </c>
      <c r="BG33" s="535">
        <v>0.88</v>
      </c>
      <c r="BH33" s="16">
        <f t="shared" si="28"/>
        <v>4558.3600000000006</v>
      </c>
      <c r="BI33" s="16">
        <f t="shared" si="18"/>
        <v>187.09677419354838</v>
      </c>
      <c r="BJ33" s="16">
        <f t="shared" si="29"/>
        <v>5051.612903225805</v>
      </c>
      <c r="BK33" s="17">
        <f t="shared" ref="BK33:BK37" si="39">IF(BA33&lt;&gt;0,1,0)</f>
        <v>1</v>
      </c>
      <c r="BL33" s="16">
        <f t="shared" si="30"/>
        <v>5051.612903225805</v>
      </c>
      <c r="BM33" s="254">
        <v>90.956999999999994</v>
      </c>
      <c r="BN33" s="197">
        <v>60.517000000000003</v>
      </c>
      <c r="BO33" s="197">
        <v>121.2</v>
      </c>
      <c r="BP33" s="197"/>
      <c r="BQ33" s="230"/>
      <c r="BR33" s="230">
        <v>30.327999999999999</v>
      </c>
      <c r="BS33" s="258"/>
      <c r="BT33" s="199"/>
      <c r="BU33" s="200">
        <v>3.53</v>
      </c>
      <c r="BV33" s="200"/>
      <c r="BW33" s="200"/>
      <c r="BX33" s="200"/>
      <c r="BY33" s="208"/>
      <c r="BZ33" s="208">
        <v>2.16</v>
      </c>
      <c r="CA33" s="201"/>
      <c r="CB33" s="202">
        <v>36.270000000000003</v>
      </c>
      <c r="CC33" s="200">
        <v>43.83</v>
      </c>
      <c r="CD33" s="200">
        <v>41.53</v>
      </c>
      <c r="CE33" s="200"/>
      <c r="CF33" s="208"/>
      <c r="CG33" s="208">
        <v>33.79</v>
      </c>
      <c r="CH33" s="209"/>
      <c r="CI33" s="199"/>
      <c r="CJ33" s="197"/>
      <c r="CK33" s="197"/>
      <c r="CL33" s="230">
        <v>195.66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87.746217899999991</v>
      </c>
      <c r="CU33" s="24">
        <f t="shared" si="20"/>
        <v>60.517000000000003</v>
      </c>
      <c r="CV33" s="25">
        <f t="shared" si="20"/>
        <v>121.2</v>
      </c>
      <c r="CW33" s="24">
        <f t="shared" si="20"/>
        <v>0</v>
      </c>
      <c r="CX33" s="27">
        <f t="shared" si="20"/>
        <v>0</v>
      </c>
      <c r="CY33" s="24">
        <f t="shared" si="20"/>
        <v>29.672915200000002</v>
      </c>
      <c r="CZ33" s="280">
        <f t="shared" si="20"/>
        <v>0</v>
      </c>
      <c r="DA33" s="25">
        <f t="shared" si="21"/>
        <v>0</v>
      </c>
      <c r="DB33" s="24">
        <f t="shared" si="21"/>
        <v>0</v>
      </c>
      <c r="DC33" s="277">
        <f t="shared" si="21"/>
        <v>195.66</v>
      </c>
      <c r="DD33" s="280">
        <f t="shared" si="21"/>
        <v>0</v>
      </c>
      <c r="DE33" s="508">
        <f t="shared" si="31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2"/>
        <v>0</v>
      </c>
    </row>
    <row r="34" spans="1:115" ht="16.5" customHeight="1" thickBot="1">
      <c r="A34" s="534">
        <v>28</v>
      </c>
      <c r="B34" s="103">
        <f>'[1]август 20'!K33</f>
        <v>429.37099999999998</v>
      </c>
      <c r="C34" s="104">
        <f t="shared" si="0"/>
        <v>0.61735496808121648</v>
      </c>
      <c r="D34" s="143">
        <f t="shared" si="1"/>
        <v>426.72025679999996</v>
      </c>
      <c r="E34" s="104">
        <f t="shared" si="36"/>
        <v>39.532461274748414</v>
      </c>
      <c r="F34" s="128">
        <f t="shared" si="3"/>
        <v>2.1292363494835587</v>
      </c>
      <c r="G34" s="106"/>
      <c r="H34" s="107">
        <f t="shared" si="33"/>
        <v>0.92080862631605209</v>
      </c>
      <c r="I34" s="103">
        <f>'[1]сентябрь 20'!AE33</f>
        <v>0</v>
      </c>
      <c r="J34" s="328">
        <f>'[1]август 20'!AA33</f>
        <v>0</v>
      </c>
      <c r="K34" s="106"/>
      <c r="L34" s="328">
        <f>'[1]август 20'!AI33</f>
        <v>242.18100000000001</v>
      </c>
      <c r="M34" s="103">
        <f t="shared" si="5"/>
        <v>1.2084277231675065</v>
      </c>
      <c r="N34" s="103">
        <f>'[1]август 20'!W33</f>
        <v>0</v>
      </c>
      <c r="O34" s="103">
        <f>'[1]август 20'!AM33</f>
        <v>0</v>
      </c>
      <c r="P34" s="447">
        <f t="shared" si="24"/>
        <v>0</v>
      </c>
      <c r="Q34" s="103">
        <f t="shared" si="25"/>
        <v>0</v>
      </c>
      <c r="R34" s="103">
        <f>'[1]август 20'!S33</f>
        <v>284.84500000000003</v>
      </c>
      <c r="S34" s="108">
        <f t="shared" si="6"/>
        <v>2.89104600747776</v>
      </c>
      <c r="T34" s="109">
        <f t="shared" si="7"/>
        <v>276.61</v>
      </c>
      <c r="U34" s="566">
        <v>28.9</v>
      </c>
      <c r="V34" s="109">
        <f t="shared" si="8"/>
        <v>276.61</v>
      </c>
      <c r="W34" s="110">
        <f t="shared" si="9"/>
        <v>1.3802205478768526</v>
      </c>
      <c r="X34" s="110">
        <f t="shared" si="26"/>
        <v>1.3802205478768526</v>
      </c>
      <c r="Y34" s="157">
        <v>200.41</v>
      </c>
      <c r="Z34" s="157">
        <v>80.91</v>
      </c>
      <c r="AA34" s="149">
        <v>1.0900000000000001</v>
      </c>
      <c r="AB34" s="147">
        <v>684</v>
      </c>
      <c r="AC34" s="147">
        <v>1221</v>
      </c>
      <c r="AD34" s="144" t="s">
        <v>181</v>
      </c>
      <c r="AE34" s="149">
        <v>75.459999999999994</v>
      </c>
      <c r="AF34" s="147">
        <v>143</v>
      </c>
      <c r="AG34" s="155">
        <v>5</v>
      </c>
      <c r="AH34" s="149">
        <v>2.2000000000000002</v>
      </c>
      <c r="AI34" s="115">
        <f t="shared" si="10"/>
        <v>10.9774961329275</v>
      </c>
      <c r="AJ34" s="149">
        <v>118.2</v>
      </c>
      <c r="AK34" s="115">
        <f t="shared" si="11"/>
        <v>589.79092859637751</v>
      </c>
      <c r="AL34" s="156">
        <v>24.82</v>
      </c>
      <c r="AM34" s="149"/>
      <c r="AN34" s="157">
        <v>10.75</v>
      </c>
      <c r="AO34" s="466">
        <v>48.54</v>
      </c>
      <c r="AP34" s="110">
        <f t="shared" si="12"/>
        <v>0.18927666211737182</v>
      </c>
      <c r="AQ34" s="158" t="s">
        <v>417</v>
      </c>
      <c r="AR34" s="404">
        <v>9.6999999999999993</v>
      </c>
      <c r="AS34" s="159">
        <v>6.87</v>
      </c>
      <c r="AT34" s="155"/>
      <c r="AU34" s="149">
        <v>6.16</v>
      </c>
      <c r="AV34" s="156">
        <v>256.45</v>
      </c>
      <c r="AW34" s="131">
        <v>3.25</v>
      </c>
      <c r="AX34" s="148"/>
      <c r="AY34" s="149"/>
      <c r="AZ34" s="109">
        <f t="shared" si="34"/>
        <v>0</v>
      </c>
      <c r="BA34" s="109">
        <f t="shared" si="13"/>
        <v>200.41</v>
      </c>
      <c r="BB34" s="115">
        <f t="shared" si="35"/>
        <v>195.16168393394406</v>
      </c>
      <c r="BC34" s="140">
        <f t="shared" si="14"/>
        <v>5.6403042253521125</v>
      </c>
      <c r="BD34" s="141">
        <f t="shared" si="37"/>
        <v>8.0164000000000009</v>
      </c>
      <c r="BE34" s="128">
        <f t="shared" si="16"/>
        <v>0.89647684152601204</v>
      </c>
      <c r="BF34" s="141">
        <f t="shared" si="17"/>
        <v>13.656704225352113</v>
      </c>
      <c r="BG34" s="538">
        <v>0.88100000000000001</v>
      </c>
      <c r="BH34" s="16">
        <f t="shared" si="28"/>
        <v>4758.7700000000004</v>
      </c>
      <c r="BI34" s="16">
        <f t="shared" si="18"/>
        <v>187.09677419354838</v>
      </c>
      <c r="BJ34" s="16">
        <f t="shared" si="29"/>
        <v>5238.7096774193533</v>
      </c>
      <c r="BK34" s="17">
        <f t="shared" si="39"/>
        <v>1</v>
      </c>
      <c r="BL34" s="16">
        <f t="shared" si="30"/>
        <v>5238.7096774193533</v>
      </c>
      <c r="BM34" s="255">
        <v>143.45699999999999</v>
      </c>
      <c r="BN34" s="210">
        <v>78.968999999999994</v>
      </c>
      <c r="BO34" s="210">
        <v>163.21199999999999</v>
      </c>
      <c r="BP34" s="210"/>
      <c r="BQ34" s="233"/>
      <c r="BR34" s="233">
        <v>43.732999999999997</v>
      </c>
      <c r="BS34" s="260"/>
      <c r="BT34" s="212"/>
      <c r="BU34" s="213">
        <v>1.36</v>
      </c>
      <c r="BV34" s="213"/>
      <c r="BW34" s="213"/>
      <c r="BX34" s="213"/>
      <c r="BY34" s="235"/>
      <c r="BZ34" s="235">
        <v>1.6</v>
      </c>
      <c r="CA34" s="214"/>
      <c r="CB34" s="215">
        <v>36.229999999999997</v>
      </c>
      <c r="CC34" s="213">
        <v>43.67</v>
      </c>
      <c r="CD34" s="213">
        <v>41.42</v>
      </c>
      <c r="CE34" s="213"/>
      <c r="CF34" s="235"/>
      <c r="CG34" s="235">
        <v>35.85</v>
      </c>
      <c r="CH34" s="211"/>
      <c r="CI34" s="212"/>
      <c r="CJ34" s="210"/>
      <c r="CK34" s="210"/>
      <c r="CL34" s="233">
        <v>276.61</v>
      </c>
      <c r="CM34" s="198"/>
      <c r="CN34" s="202"/>
      <c r="CO34" s="208"/>
      <c r="CP34" s="208"/>
      <c r="CQ34" s="209"/>
      <c r="CR34" s="201"/>
      <c r="CS34" s="284"/>
      <c r="CT34" s="286">
        <f t="shared" si="20"/>
        <v>141.50598479999999</v>
      </c>
      <c r="CU34" s="24">
        <f t="shared" si="20"/>
        <v>78.968999999999994</v>
      </c>
      <c r="CV34" s="25">
        <f t="shared" si="20"/>
        <v>163.21199999999999</v>
      </c>
      <c r="CW34" s="24">
        <f t="shared" si="20"/>
        <v>0</v>
      </c>
      <c r="CX34" s="27">
        <f t="shared" si="20"/>
        <v>0</v>
      </c>
      <c r="CY34" s="24">
        <f t="shared" si="20"/>
        <v>43.033272000000004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276.61</v>
      </c>
      <c r="DD34" s="280">
        <f t="shared" si="21"/>
        <v>0</v>
      </c>
      <c r="DE34" s="508">
        <f t="shared" si="31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2"/>
        <v>0</v>
      </c>
    </row>
    <row r="35" spans="1:115" ht="16.5" customHeight="1" thickBot="1">
      <c r="A35" s="534">
        <v>29</v>
      </c>
      <c r="B35" s="103">
        <f>'[1]август 20'!K34</f>
        <v>438.05799999999999</v>
      </c>
      <c r="C35" s="104">
        <f t="shared" si="0"/>
        <v>1.051039930785421</v>
      </c>
      <c r="D35" s="143">
        <f t="shared" si="1"/>
        <v>433.45383549999997</v>
      </c>
      <c r="E35" s="104">
        <f t="shared" si="36"/>
        <v>37.479201863680153</v>
      </c>
      <c r="F35" s="128">
        <f t="shared" si="3"/>
        <v>2.0338487026088585</v>
      </c>
      <c r="G35" s="106"/>
      <c r="H35" s="107">
        <f t="shared" si="33"/>
        <v>1.554264430837087</v>
      </c>
      <c r="I35" s="103">
        <f>'[1]сентябрь 20'!AE34</f>
        <v>0</v>
      </c>
      <c r="J35" s="328">
        <f>'[1]август 20'!AA34</f>
        <v>0</v>
      </c>
      <c r="K35" s="578">
        <v>22.46</v>
      </c>
      <c r="L35" s="328">
        <f>'[1]август 20'!AI34</f>
        <v>102.209</v>
      </c>
      <c r="M35" s="103">
        <f t="shared" si="5"/>
        <v>0.47958427177177171</v>
      </c>
      <c r="N35" s="103">
        <f>'[1]август 20'!W34</f>
        <v>0</v>
      </c>
      <c r="O35" s="103">
        <f>'[1]август 20'!AM34</f>
        <v>0</v>
      </c>
      <c r="P35" s="447">
        <f t="shared" si="24"/>
        <v>0</v>
      </c>
      <c r="Q35" s="103">
        <f t="shared" si="25"/>
        <v>0</v>
      </c>
      <c r="R35" s="103">
        <f>'[1]август 20'!S34</f>
        <v>287.63499999999999</v>
      </c>
      <c r="S35" s="108">
        <f t="shared" si="6"/>
        <v>2.915152884732386</v>
      </c>
      <c r="T35" s="109">
        <f t="shared" si="7"/>
        <v>279.25</v>
      </c>
      <c r="U35" s="566"/>
      <c r="V35" s="109">
        <f t="shared" si="8"/>
        <v>279.25</v>
      </c>
      <c r="W35" s="110">
        <f t="shared" si="9"/>
        <v>1.3102946696696696</v>
      </c>
      <c r="X35" s="110">
        <f t="shared" si="26"/>
        <v>1.3102946696696696</v>
      </c>
      <c r="Y35" s="136">
        <v>171.39</v>
      </c>
      <c r="Z35" s="136">
        <v>171.39</v>
      </c>
      <c r="AA35" s="131">
        <v>0.71</v>
      </c>
      <c r="AB35" s="133">
        <v>659</v>
      </c>
      <c r="AC35" s="133">
        <v>1200</v>
      </c>
      <c r="AD35" s="144" t="s">
        <v>198</v>
      </c>
      <c r="AE35" s="131">
        <v>75.489999999999995</v>
      </c>
      <c r="AF35" s="133">
        <v>146</v>
      </c>
      <c r="AG35" s="134">
        <v>5</v>
      </c>
      <c r="AH35" s="166">
        <v>2.4500000000000002</v>
      </c>
      <c r="AI35" s="115">
        <f t="shared" si="10"/>
        <v>11.495870870870871</v>
      </c>
      <c r="AJ35" s="166">
        <v>126.85</v>
      </c>
      <c r="AK35" s="115">
        <f t="shared" si="11"/>
        <v>595.20457957957956</v>
      </c>
      <c r="AL35" s="139">
        <v>22.75</v>
      </c>
      <c r="AM35" s="131"/>
      <c r="AN35" s="167">
        <v>9.2799999999999994</v>
      </c>
      <c r="AO35" s="466">
        <v>45.45</v>
      </c>
      <c r="AP35" s="110">
        <f t="shared" si="12"/>
        <v>0.17131549189596684</v>
      </c>
      <c r="AQ35" s="168" t="s">
        <v>168</v>
      </c>
      <c r="AR35" s="405">
        <v>9.44</v>
      </c>
      <c r="AS35" s="169">
        <v>7.75</v>
      </c>
      <c r="AT35" s="170"/>
      <c r="AU35" s="166">
        <v>5.29</v>
      </c>
      <c r="AV35" s="171">
        <v>265.3</v>
      </c>
      <c r="AW35" s="131">
        <v>2.5499999999999998</v>
      </c>
      <c r="AX35" s="116"/>
      <c r="AY35" s="131"/>
      <c r="AZ35" s="109">
        <f t="shared" si="34"/>
        <v>0</v>
      </c>
      <c r="BA35" s="109">
        <f t="shared" si="13"/>
        <v>213.12000000000003</v>
      </c>
      <c r="BB35" s="115">
        <f t="shared" si="35"/>
        <v>187.87024528786546</v>
      </c>
      <c r="BC35" s="140">
        <f t="shared" si="14"/>
        <v>5.1981700704225346</v>
      </c>
      <c r="BD35" s="141">
        <f t="shared" si="37"/>
        <v>8.5248000000000008</v>
      </c>
      <c r="BE35" s="128">
        <f t="shared" si="16"/>
        <v>0.99033117093618461</v>
      </c>
      <c r="BF35" s="141">
        <f t="shared" si="17"/>
        <v>13.722970070422535</v>
      </c>
      <c r="BG35" s="538">
        <v>0.88500000000000001</v>
      </c>
      <c r="BH35" s="16">
        <f t="shared" si="28"/>
        <v>4971.8900000000003</v>
      </c>
      <c r="BI35" s="16">
        <f t="shared" si="18"/>
        <v>187.09677419354838</v>
      </c>
      <c r="BJ35" s="16">
        <f t="shared" si="29"/>
        <v>5425.8064516129016</v>
      </c>
      <c r="BK35" s="17">
        <f t="shared" si="39"/>
        <v>1</v>
      </c>
      <c r="BL35" s="16">
        <f t="shared" si="30"/>
        <v>5425.8064516129016</v>
      </c>
      <c r="BM35" s="254">
        <v>284.733</v>
      </c>
      <c r="BN35" s="197">
        <v>14.592000000000001</v>
      </c>
      <c r="BO35" s="197">
        <v>87.617000000000004</v>
      </c>
      <c r="BP35" s="197"/>
      <c r="BQ35" s="230"/>
      <c r="BR35" s="230">
        <v>51.116</v>
      </c>
      <c r="BS35" s="259"/>
      <c r="BT35" s="199"/>
      <c r="BU35" s="200">
        <v>1.17</v>
      </c>
      <c r="BV35" s="200"/>
      <c r="BW35" s="200"/>
      <c r="BX35" s="200"/>
      <c r="BY35" s="208"/>
      <c r="BZ35" s="208">
        <v>2.4900000000000002</v>
      </c>
      <c r="CA35" s="201"/>
      <c r="CB35" s="202">
        <v>35.97</v>
      </c>
      <c r="CC35" s="200">
        <v>43.79</v>
      </c>
      <c r="CD35" s="200">
        <v>43.52</v>
      </c>
      <c r="CE35" s="200"/>
      <c r="CF35" s="208"/>
      <c r="CG35" s="208">
        <v>33.729999999999997</v>
      </c>
      <c r="CH35" s="209"/>
      <c r="CI35" s="199"/>
      <c r="CJ35" s="197"/>
      <c r="CK35" s="197"/>
      <c r="CL35" s="230">
        <v>279.25</v>
      </c>
      <c r="CM35" s="198"/>
      <c r="CN35" s="202"/>
      <c r="CO35" s="208"/>
      <c r="CP35" s="208"/>
      <c r="CQ35" s="209"/>
      <c r="CR35" s="201"/>
      <c r="CT35" s="286">
        <f t="shared" si="20"/>
        <v>281.4016239</v>
      </c>
      <c r="CU35" s="24">
        <f t="shared" si="20"/>
        <v>14.592000000000001</v>
      </c>
      <c r="CV35" s="24">
        <f t="shared" si="20"/>
        <v>87.617000000000004</v>
      </c>
      <c r="CW35" s="24">
        <f t="shared" si="20"/>
        <v>0</v>
      </c>
      <c r="CX35" s="27">
        <f t="shared" si="20"/>
        <v>0</v>
      </c>
      <c r="CY35" s="27">
        <f t="shared" si="20"/>
        <v>49.843211600000004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279.25</v>
      </c>
      <c r="DD35" s="280">
        <f t="shared" si="21"/>
        <v>0</v>
      </c>
      <c r="DE35" s="508">
        <f t="shared" si="31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2"/>
        <v>0</v>
      </c>
    </row>
    <row r="36" spans="1:115" ht="16.5" customHeight="1" thickBot="1">
      <c r="A36" s="534">
        <v>30</v>
      </c>
      <c r="B36" s="103">
        <f>'[1]август 20'!K35</f>
        <v>438.17500000000001</v>
      </c>
      <c r="C36" s="104">
        <f t="shared" si="0"/>
        <v>0.83363838648941624</v>
      </c>
      <c r="D36" s="143">
        <f t="shared" si="1"/>
        <v>434.52220500000004</v>
      </c>
      <c r="E36" s="104">
        <f t="shared" si="36"/>
        <v>37.458647503851203</v>
      </c>
      <c r="F36" s="128">
        <f t="shared" si="3"/>
        <v>2.159438450452241</v>
      </c>
      <c r="G36" s="106"/>
      <c r="H36" s="107">
        <f t="shared" si="33"/>
        <v>1.6513776215087963</v>
      </c>
      <c r="I36" s="103">
        <f>'[1]сентябрь 20'!AE35</f>
        <v>0</v>
      </c>
      <c r="J36" s="328">
        <f>'[1]август 20'!AA35</f>
        <v>0</v>
      </c>
      <c r="K36" s="578">
        <v>32.049999999999997</v>
      </c>
      <c r="L36" s="328">
        <f>'[1]август 20'!AI35</f>
        <v>102.232</v>
      </c>
      <c r="M36" s="103">
        <f t="shared" si="5"/>
        <v>0.50806082894344495</v>
      </c>
      <c r="N36" s="103">
        <f>'[1]август 20'!W35</f>
        <v>0</v>
      </c>
      <c r="O36" s="103">
        <f>'[1]август 20'!AM35</f>
        <v>0</v>
      </c>
      <c r="P36" s="447">
        <f t="shared" si="24"/>
        <v>0</v>
      </c>
      <c r="Q36" s="103">
        <f t="shared" si="25"/>
        <v>0</v>
      </c>
      <c r="R36" s="103">
        <f>'[1]август 20'!S35</f>
        <v>284.64100000000002</v>
      </c>
      <c r="S36" s="108">
        <f t="shared" si="6"/>
        <v>3.1025045583735311</v>
      </c>
      <c r="T36" s="109">
        <f t="shared" si="7"/>
        <v>275.81000000000006</v>
      </c>
      <c r="U36" s="566">
        <v>12.27</v>
      </c>
      <c r="V36" s="109">
        <f t="shared" si="8"/>
        <v>275.81</v>
      </c>
      <c r="W36" s="110">
        <f t="shared" si="9"/>
        <v>1.3706887983301859</v>
      </c>
      <c r="X36" s="110">
        <f t="shared" si="26"/>
        <v>1.3706887983301859</v>
      </c>
      <c r="Y36" s="136">
        <v>128.66999999999999</v>
      </c>
      <c r="Z36" s="136">
        <v>35.89</v>
      </c>
      <c r="AA36" s="131">
        <v>1.34</v>
      </c>
      <c r="AB36" s="133">
        <v>624</v>
      </c>
      <c r="AC36" s="133">
        <v>1197</v>
      </c>
      <c r="AD36" s="144" t="s">
        <v>200</v>
      </c>
      <c r="AE36" s="131">
        <v>75.37</v>
      </c>
      <c r="AF36" s="133">
        <v>146</v>
      </c>
      <c r="AG36" s="134">
        <v>5</v>
      </c>
      <c r="AH36" s="131"/>
      <c r="AI36" s="115">
        <f t="shared" si="10"/>
        <v>0</v>
      </c>
      <c r="AJ36" s="131">
        <v>120</v>
      </c>
      <c r="AK36" s="115">
        <f t="shared" si="11"/>
        <v>596.36219063711349</v>
      </c>
      <c r="AL36" s="139"/>
      <c r="AM36" s="131"/>
      <c r="AN36" s="136">
        <v>9.89</v>
      </c>
      <c r="AO36" s="466">
        <v>54.24</v>
      </c>
      <c r="AP36" s="110">
        <f t="shared" si="12"/>
        <v>0.20440927077444884</v>
      </c>
      <c r="AQ36" s="137" t="s">
        <v>218</v>
      </c>
      <c r="AR36" s="150">
        <v>9.7899999999999991</v>
      </c>
      <c r="AS36" s="138">
        <v>7.37</v>
      </c>
      <c r="AT36" s="134"/>
      <c r="AU36" s="131">
        <v>6.61</v>
      </c>
      <c r="AV36" s="139">
        <v>265.35000000000002</v>
      </c>
      <c r="AW36" s="131"/>
      <c r="AX36" s="116"/>
      <c r="AY36" s="131"/>
      <c r="AZ36" s="109">
        <f t="shared" si="34"/>
        <v>0</v>
      </c>
      <c r="BA36" s="109">
        <f t="shared" si="13"/>
        <v>201.22000000000003</v>
      </c>
      <c r="BB36" s="115">
        <f t="shared" si="35"/>
        <v>188.52970834231647</v>
      </c>
      <c r="BC36" s="140">
        <f t="shared" si="14"/>
        <v>6.1445070422535215</v>
      </c>
      <c r="BD36" s="141">
        <f t="shared" si="37"/>
        <v>8.0488000000000017</v>
      </c>
      <c r="BE36" s="128">
        <f t="shared" si="16"/>
        <v>0.93176328306328315</v>
      </c>
      <c r="BF36" s="141">
        <f t="shared" si="17"/>
        <v>14.193307042253522</v>
      </c>
      <c r="BG36" s="538">
        <v>0.88700000000000001</v>
      </c>
      <c r="BH36" s="16">
        <f t="shared" si="28"/>
        <v>5173.1100000000006</v>
      </c>
      <c r="BI36" s="16">
        <f t="shared" si="18"/>
        <v>187.09677419354838</v>
      </c>
      <c r="BJ36" s="16">
        <f t="shared" si="29"/>
        <v>5612.9032258064499</v>
      </c>
      <c r="BK36" s="17">
        <f t="shared" si="39"/>
        <v>1</v>
      </c>
      <c r="BL36" s="16">
        <f t="shared" si="30"/>
        <v>5612.9032258064499</v>
      </c>
      <c r="BM36" s="254">
        <v>278.14</v>
      </c>
      <c r="BN36" s="197">
        <v>14.59</v>
      </c>
      <c r="BO36" s="197">
        <v>87.641999999999996</v>
      </c>
      <c r="BP36" s="197"/>
      <c r="BQ36" s="230"/>
      <c r="BR36" s="230">
        <v>57.802999999999997</v>
      </c>
      <c r="BS36" s="258"/>
      <c r="BT36" s="199"/>
      <c r="BU36" s="200">
        <v>0.96</v>
      </c>
      <c r="BV36" s="200"/>
      <c r="BW36" s="200"/>
      <c r="BX36" s="200"/>
      <c r="BY36" s="208"/>
      <c r="BZ36" s="208">
        <v>1.7</v>
      </c>
      <c r="CA36" s="201"/>
      <c r="CB36" s="202">
        <v>36.06</v>
      </c>
      <c r="CC36" s="200">
        <v>43.94</v>
      </c>
      <c r="CD36" s="200">
        <v>42.13</v>
      </c>
      <c r="CE36" s="200"/>
      <c r="CF36" s="208"/>
      <c r="CG36" s="208">
        <v>35.47</v>
      </c>
      <c r="CH36" s="209"/>
      <c r="CI36" s="199"/>
      <c r="CJ36" s="197"/>
      <c r="CK36" s="197"/>
      <c r="CL36" s="230">
        <v>275.81</v>
      </c>
      <c r="CM36" s="198"/>
      <c r="CN36" s="202"/>
      <c r="CO36" s="208"/>
      <c r="CP36" s="208"/>
      <c r="CQ36" s="209"/>
      <c r="CR36" s="201"/>
      <c r="CT36" s="286">
        <f t="shared" si="20"/>
        <v>275.46985599999999</v>
      </c>
      <c r="CU36" s="27">
        <f t="shared" si="20"/>
        <v>14.59</v>
      </c>
      <c r="CV36" s="28">
        <f t="shared" si="20"/>
        <v>87.641999999999996</v>
      </c>
      <c r="CW36" s="27">
        <f t="shared" si="20"/>
        <v>0</v>
      </c>
      <c r="CX36" s="27">
        <f t="shared" si="20"/>
        <v>0</v>
      </c>
      <c r="CY36" s="29">
        <f t="shared" si="20"/>
        <v>56.820348999999993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275.81</v>
      </c>
      <c r="DD36" s="280">
        <f t="shared" si="21"/>
        <v>0</v>
      </c>
      <c r="DE36" s="508">
        <f t="shared" si="31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2"/>
        <v>0</v>
      </c>
    </row>
    <row r="37" spans="1:115" ht="16.5" customHeight="1" thickBot="1">
      <c r="A37" s="539">
        <v>31</v>
      </c>
      <c r="B37" s="540">
        <f>'[1]август 20'!K36</f>
        <v>459.33199999999999</v>
      </c>
      <c r="C37" s="541">
        <f t="shared" si="0"/>
        <v>1.0466357231806189</v>
      </c>
      <c r="D37" s="542">
        <f t="shared" si="1"/>
        <v>454.5244672</v>
      </c>
      <c r="E37" s="541">
        <f t="shared" si="36"/>
        <v>37.564547930472948</v>
      </c>
      <c r="F37" s="505">
        <f t="shared" si="3"/>
        <v>2.1708112866558413</v>
      </c>
      <c r="G37" s="543"/>
      <c r="H37" s="544">
        <f t="shared" si="33"/>
        <v>1.7050552450090746</v>
      </c>
      <c r="I37" s="540">
        <f>'[1]сентябрь 20'!AE36</f>
        <v>0</v>
      </c>
      <c r="J37" s="567">
        <f>'[1]август 20'!AA36</f>
        <v>1.998</v>
      </c>
      <c r="K37" s="543"/>
      <c r="L37" s="545">
        <f>'[1]август 20'!AI36</f>
        <v>97.52</v>
      </c>
      <c r="M37" s="540">
        <f t="shared" si="5"/>
        <v>0.46575604164676671</v>
      </c>
      <c r="N37" s="540">
        <f>'[1]август 20'!W36</f>
        <v>0</v>
      </c>
      <c r="O37" s="540">
        <f>'[1]август 20'!AM36</f>
        <v>0</v>
      </c>
      <c r="P37" s="447">
        <f t="shared" si="24"/>
        <v>0</v>
      </c>
      <c r="Q37" s="568">
        <f t="shared" si="25"/>
        <v>0</v>
      </c>
      <c r="R37" s="540">
        <f>'[1]август 20'!S36</f>
        <v>294.71800000000002</v>
      </c>
      <c r="S37" s="546">
        <f t="shared" si="6"/>
        <v>3.0938049253863009</v>
      </c>
      <c r="T37" s="547">
        <f t="shared" si="7"/>
        <v>285.60000000000008</v>
      </c>
      <c r="U37" s="579"/>
      <c r="V37" s="547">
        <f t="shared" si="8"/>
        <v>285.60000000000002</v>
      </c>
      <c r="W37" s="549">
        <f t="shared" si="9"/>
        <v>1.3640271277103837</v>
      </c>
      <c r="X37" s="581">
        <f t="shared" si="26"/>
        <v>1.3640271277103837</v>
      </c>
      <c r="Y37" s="550">
        <v>167.34</v>
      </c>
      <c r="Z37" s="550">
        <v>122.59</v>
      </c>
      <c r="AA37" s="548">
        <v>0.99</v>
      </c>
      <c r="AB37" s="551">
        <v>605</v>
      </c>
      <c r="AC37" s="551">
        <v>1212</v>
      </c>
      <c r="AD37" s="552" t="s">
        <v>207</v>
      </c>
      <c r="AE37" s="548">
        <v>75.36</v>
      </c>
      <c r="AF37" s="551">
        <v>153</v>
      </c>
      <c r="AG37" s="553">
        <v>5</v>
      </c>
      <c r="AH37" s="548"/>
      <c r="AI37" s="554">
        <f t="shared" si="10"/>
        <v>0</v>
      </c>
      <c r="AJ37" s="548">
        <v>119.55</v>
      </c>
      <c r="AK37" s="555">
        <f t="shared" si="11"/>
        <v>570.97143948801227</v>
      </c>
      <c r="AL37" s="556"/>
      <c r="AM37" s="548"/>
      <c r="AN37" s="550">
        <v>11.09</v>
      </c>
      <c r="AO37" s="557">
        <v>45.43</v>
      </c>
      <c r="AP37" s="549">
        <f t="shared" si="12"/>
        <v>0.17085370440015044</v>
      </c>
      <c r="AQ37" s="558" t="s">
        <v>206</v>
      </c>
      <c r="AR37" s="559">
        <v>9.89</v>
      </c>
      <c r="AS37" s="560">
        <v>7.71</v>
      </c>
      <c r="AT37" s="553"/>
      <c r="AU37" s="548">
        <v>6.55</v>
      </c>
      <c r="AV37" s="548">
        <v>265.89999999999998</v>
      </c>
      <c r="AW37" s="548"/>
      <c r="AX37" s="548"/>
      <c r="AY37" s="548"/>
      <c r="AZ37" s="547">
        <f t="shared" si="34"/>
        <v>0</v>
      </c>
      <c r="BA37" s="547">
        <f t="shared" si="13"/>
        <v>209.37999999999997</v>
      </c>
      <c r="BB37" s="554">
        <f t="shared" si="35"/>
        <v>197.79202965401115</v>
      </c>
      <c r="BC37" s="561">
        <f t="shared" si="14"/>
        <v>6.0658996478873233</v>
      </c>
      <c r="BD37" s="555">
        <f t="shared" si="37"/>
        <v>8.3751999999999995</v>
      </c>
      <c r="BE37" s="505">
        <f t="shared" si="16"/>
        <v>0.92414613632179332</v>
      </c>
      <c r="BF37" s="555">
        <f t="shared" si="17"/>
        <v>14.441099647887324</v>
      </c>
      <c r="BG37" s="562">
        <v>0.88800000000000001</v>
      </c>
      <c r="BH37" s="16">
        <f t="shared" si="28"/>
        <v>5382.4900000000007</v>
      </c>
      <c r="BI37" s="16">
        <f t="shared" si="18"/>
        <v>187.09677419354838</v>
      </c>
      <c r="BJ37" s="16">
        <f t="shared" si="29"/>
        <v>5799.9999999999982</v>
      </c>
      <c r="BK37" s="17">
        <f t="shared" si="39"/>
        <v>1</v>
      </c>
      <c r="BL37" s="16">
        <f t="shared" si="30"/>
        <v>5799.9999999999982</v>
      </c>
      <c r="BM37" s="256">
        <v>317.40100000000001</v>
      </c>
      <c r="BN37" s="257">
        <v>10.507999999999999</v>
      </c>
      <c r="BO37" s="257">
        <v>87.012</v>
      </c>
      <c r="BP37" s="257"/>
      <c r="BQ37" s="261"/>
      <c r="BR37" s="261">
        <v>44.411000000000001</v>
      </c>
      <c r="BS37" s="262"/>
      <c r="BT37" s="219"/>
      <c r="BU37" s="220">
        <v>1.26</v>
      </c>
      <c r="BV37" s="220"/>
      <c r="BW37" s="220"/>
      <c r="BX37" s="220"/>
      <c r="BY37" s="224"/>
      <c r="BZ37" s="224">
        <v>1.82</v>
      </c>
      <c r="CA37" s="221"/>
      <c r="CB37" s="222">
        <v>36.29</v>
      </c>
      <c r="CC37" s="220">
        <v>42.78</v>
      </c>
      <c r="CD37" s="220">
        <v>43.24</v>
      </c>
      <c r="CE37" s="220"/>
      <c r="CF37" s="224"/>
      <c r="CG37" s="224">
        <v>34.32</v>
      </c>
      <c r="CH37" s="221"/>
      <c r="CI37" s="219"/>
      <c r="CJ37" s="217"/>
      <c r="CK37" s="217"/>
      <c r="CL37" s="234">
        <v>285.60000000000002</v>
      </c>
      <c r="CM37" s="223"/>
      <c r="CN37" s="222"/>
      <c r="CO37" s="224"/>
      <c r="CP37" s="224"/>
      <c r="CQ37" s="218"/>
      <c r="CR37" s="221"/>
      <c r="CT37" s="287">
        <f t="shared" si="20"/>
        <v>313.40174739999998</v>
      </c>
      <c r="CU37" s="32">
        <f t="shared" si="20"/>
        <v>10.507999999999999</v>
      </c>
      <c r="CV37" s="30">
        <f t="shared" si="20"/>
        <v>87.012</v>
      </c>
      <c r="CW37" s="246">
        <f t="shared" si="20"/>
        <v>0</v>
      </c>
      <c r="CX37" s="27">
        <f t="shared" si="20"/>
        <v>0</v>
      </c>
      <c r="CY37" s="26">
        <f t="shared" si="20"/>
        <v>43.60271980000001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285.60000000000002</v>
      </c>
      <c r="DD37" s="280">
        <f t="shared" si="21"/>
        <v>0</v>
      </c>
      <c r="DE37" s="563">
        <f t="shared" si="31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2"/>
        <v>0</v>
      </c>
    </row>
    <row r="38" spans="1:115" ht="16.5" customHeight="1" thickBot="1">
      <c r="A38" s="55" t="s">
        <v>58</v>
      </c>
      <c r="B38" s="327">
        <f>SUM(B7:B37)</f>
        <v>11787.016999999998</v>
      </c>
      <c r="C38" s="527"/>
      <c r="D38" s="327">
        <f>SUM(D7:D37)</f>
        <v>11700.526015347365</v>
      </c>
      <c r="E38" s="528"/>
      <c r="F38" s="340"/>
      <c r="G38" s="343">
        <f>SUM(G7:G37)</f>
        <v>0</v>
      </c>
      <c r="H38" s="340"/>
      <c r="I38" s="327">
        <f>SUM(I7:I37)</f>
        <v>0</v>
      </c>
      <c r="J38" s="327">
        <f>SUM(J7:J37)</f>
        <v>125.28800000000001</v>
      </c>
      <c r="K38" s="327">
        <f>SUM(K7:K37)</f>
        <v>54.51</v>
      </c>
      <c r="L38" s="529">
        <f>SUM(L7:L37)</f>
        <v>6335.4139999999989</v>
      </c>
      <c r="M38" s="340"/>
      <c r="N38" s="340">
        <f>SUM(N7:N37)</f>
        <v>0</v>
      </c>
      <c r="O38" s="529">
        <f>SUM(O7:O37)</f>
        <v>86.415999999999997</v>
      </c>
      <c r="P38" s="529">
        <f>SUM(P7:P37)</f>
        <v>85.724671999999998</v>
      </c>
      <c r="Q38" s="569"/>
      <c r="R38" s="327">
        <f>SUM(R7:R37)</f>
        <v>7601.5269999999991</v>
      </c>
      <c r="S38" s="340"/>
      <c r="T38" s="343">
        <f>SUM(T7:T37)</f>
        <v>7398.9700002999998</v>
      </c>
      <c r="U38" s="580">
        <f>SUM(U7:U37)</f>
        <v>429.24599999999992</v>
      </c>
      <c r="V38" s="343">
        <f>SUM(V7:V37)</f>
        <v>7398.9700002999998</v>
      </c>
      <c r="W38" s="346"/>
      <c r="X38" s="346"/>
      <c r="Y38" s="194">
        <f>SUM(Y7:Y37)</f>
        <v>4319.04</v>
      </c>
      <c r="Z38" s="194">
        <f>SUM(Z7:Z37)</f>
        <v>3992.8399999999997</v>
      </c>
      <c r="AA38" s="345"/>
      <c r="AB38" s="346"/>
      <c r="AC38" s="347"/>
      <c r="AD38" s="348"/>
      <c r="AE38" s="345"/>
      <c r="AF38" s="345"/>
      <c r="AG38" s="347">
        <f>SUM(AG7:AG37)</f>
        <v>121</v>
      </c>
      <c r="AH38" s="194">
        <f>SUM(AH7:AH37)</f>
        <v>45.6</v>
      </c>
      <c r="AI38" s="351"/>
      <c r="AJ38" s="194">
        <f>SUM(AJ7:AJ37)</f>
        <v>3777.4</v>
      </c>
      <c r="AK38" s="343"/>
      <c r="AL38" s="338">
        <f>SUM(AL7:AL37)</f>
        <v>584.61</v>
      </c>
      <c r="AM38" s="343">
        <f>SUM(AM7:AM37)</f>
        <v>0</v>
      </c>
      <c r="AN38" s="337">
        <f>SUM(AN7:AN37)</f>
        <v>317.58999999999992</v>
      </c>
      <c r="AO38" s="395">
        <f>SUM(AO7:AO37)</f>
        <v>1382.9200000000003</v>
      </c>
      <c r="AP38" s="530"/>
      <c r="AQ38" s="351"/>
      <c r="AR38" s="343"/>
      <c r="AS38" s="351"/>
      <c r="AT38" s="351"/>
      <c r="AU38" s="352"/>
      <c r="AV38" s="337">
        <f>SUM(AV7:AV37)</f>
        <v>7000.6499999999987</v>
      </c>
      <c r="AW38" s="343">
        <f>SUM(AW7:AW37)</f>
        <v>82.350000000000009</v>
      </c>
      <c r="AX38" s="343">
        <f>SUM(AX7:AX36)</f>
        <v>0</v>
      </c>
      <c r="AY38" s="343">
        <f>SUM(AY7:AY37)</f>
        <v>0</v>
      </c>
      <c r="AZ38" s="340"/>
      <c r="BA38" s="194">
        <f>SUM(BA7:BA37)</f>
        <v>5382.4900000000007</v>
      </c>
      <c r="BB38" s="194">
        <f>SUM(BB7:BB37)</f>
        <v>5236.9231961420501</v>
      </c>
      <c r="BC38" s="351">
        <f>SUM(BC7:BC36)</f>
        <v>200.86996197183095</v>
      </c>
      <c r="BD38" s="351">
        <f>SUM(BD7:BD36)</f>
        <v>198.68239999999997</v>
      </c>
      <c r="BE38" s="340"/>
      <c r="BF38" s="351">
        <f>SUM(BF7:BF37)</f>
        <v>413.99346161971818</v>
      </c>
      <c r="BG38" s="353"/>
      <c r="BH38" s="16"/>
      <c r="BI38" s="16">
        <f t="shared" si="18"/>
        <v>0</v>
      </c>
      <c r="BJ38" s="16"/>
      <c r="BK38" s="17">
        <f>SUM(BK7:BK37)</f>
        <v>31</v>
      </c>
      <c r="BL38" s="33"/>
      <c r="BM38" s="228">
        <f t="shared" ref="BM38:BS38" si="40">SUM(BM7:BM37)</f>
        <v>1195.7630001</v>
      </c>
      <c r="BN38" s="38">
        <f t="shared" si="40"/>
        <v>1416.5029999999997</v>
      </c>
      <c r="BO38" s="38">
        <f t="shared" si="40"/>
        <v>4918.9109999999991</v>
      </c>
      <c r="BP38" s="38">
        <f t="shared" si="40"/>
        <v>3229.3599999999992</v>
      </c>
      <c r="BQ38" s="38">
        <f t="shared" si="40"/>
        <v>9.9999999999999995E-8</v>
      </c>
      <c r="BR38" s="38">
        <f t="shared" si="40"/>
        <v>1026.4799999999998</v>
      </c>
      <c r="BS38" s="38">
        <f t="shared" si="40"/>
        <v>1.0000000000000001E-5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9.9999999999999995E-8</v>
      </c>
      <c r="CL38" s="39">
        <f>SUM(CL7:CL37)</f>
        <v>7398.97</v>
      </c>
      <c r="CM38" s="40">
        <f>SUM(CM7:CM37)</f>
        <v>9.9999999999999995E-8</v>
      </c>
      <c r="CN38" s="34"/>
      <c r="CO38" s="35"/>
      <c r="CP38" s="236"/>
      <c r="CQ38" s="36"/>
      <c r="CR38" s="36"/>
      <c r="CT38" s="189">
        <f t="shared" ref="CT38:DE38" si="41">SUM(CT7:CT37)</f>
        <v>1179.1289385999999</v>
      </c>
      <c r="CU38" s="190">
        <f t="shared" si="41"/>
        <v>1416.5029999468568</v>
      </c>
      <c r="CV38" s="191">
        <f t="shared" si="41"/>
        <v>4918.9109998005069</v>
      </c>
      <c r="CW38" s="192">
        <f t="shared" si="41"/>
        <v>3189.4469408000004</v>
      </c>
      <c r="CX38" s="192">
        <f t="shared" si="41"/>
        <v>9.99999999E-8</v>
      </c>
      <c r="CY38" s="192">
        <f t="shared" si="41"/>
        <v>996.53613630000007</v>
      </c>
      <c r="CZ38" s="278">
        <f t="shared" si="41"/>
        <v>9.999999990000001E-6</v>
      </c>
      <c r="DA38" s="278">
        <f t="shared" si="41"/>
        <v>9.99999999E-8</v>
      </c>
      <c r="DB38" s="192">
        <f t="shared" si="41"/>
        <v>9.99999999E-8</v>
      </c>
      <c r="DC38" s="192">
        <f t="shared" si="41"/>
        <v>7398.9699997499611</v>
      </c>
      <c r="DD38" s="498">
        <f t="shared" si="41"/>
        <v>9.99999999E-8</v>
      </c>
      <c r="DE38" s="564">
        <f t="shared" si="41"/>
        <v>85.724671999999998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392.90056666666658</v>
      </c>
      <c r="C39" s="84">
        <f>(BM38*BU39+BN38*BV39+BP38*BX39+BS38*CA39+BO38*BW39+BR38*BZ39+BQ38*BY39)/B38</f>
        <v>0.7337817927354735</v>
      </c>
      <c r="D39" s="82"/>
      <c r="E39" s="354">
        <f>(BM38*CB39+BN38*CC39+BP38*CE39+BS38*CH39+BO38*CD39+BR38*CG39+BQ38*CF39)/B38</f>
        <v>39.183058770509959</v>
      </c>
      <c r="F39" s="355">
        <f>IF(BA38=0,0,D38/BA38)</f>
        <v>2.1738128664144964</v>
      </c>
      <c r="G39" s="354">
        <f>G38/AV2</f>
        <v>0</v>
      </c>
      <c r="H39" s="355">
        <f>IF(BA38=0,0,(CZ38+CW38+CY38+CT38+CX38)/BA38)</f>
        <v>0.99677138755483041</v>
      </c>
      <c r="I39" s="354">
        <f>I38/AV2</f>
        <v>0</v>
      </c>
      <c r="J39" s="354">
        <f>J38/AV2</f>
        <v>4.1762666666666668</v>
      </c>
      <c r="K39" s="354">
        <f>K38/AV2</f>
        <v>1.8169999999999999</v>
      </c>
      <c r="L39" s="354">
        <f>L38/AV2</f>
        <v>211.18046666666663</v>
      </c>
      <c r="M39" s="355">
        <f>IF($BA$38=0,0,(CV38+CU38)/$BA$38)</f>
        <v>1.1770414807546996</v>
      </c>
      <c r="N39" s="354">
        <f>N38/AV2</f>
        <v>0</v>
      </c>
      <c r="O39" s="354">
        <f>O38/AV2</f>
        <v>2.8805333333333332</v>
      </c>
      <c r="P39" s="354">
        <f>P38/AV2</f>
        <v>2.8574890666666666</v>
      </c>
      <c r="Q39" s="504">
        <f>IF(O39=0,0,P38/BA38)</f>
        <v>1.5926582678277151E-2</v>
      </c>
      <c r="R39" s="356">
        <f>R38/AV2</f>
        <v>253.3842333333333</v>
      </c>
      <c r="S39" s="354">
        <f>(SUMPRODUCT(R7:R37,S7:S37))/R38</f>
        <v>2.6646882882873419</v>
      </c>
      <c r="T39" s="357"/>
      <c r="U39" s="354">
        <f>U38/AV2</f>
        <v>14.308199999999998</v>
      </c>
      <c r="V39" s="354">
        <f>V38/AV2:AV2</f>
        <v>246.63233334333333</v>
      </c>
      <c r="W39" s="358">
        <f>IF($BA$38=0,0,T38/$BA$38)</f>
        <v>1.37463701749562</v>
      </c>
      <c r="X39" s="358">
        <f>Q39+W39</f>
        <v>1.390563600173897</v>
      </c>
      <c r="Y39" s="354">
        <f>Y38/AV2</f>
        <v>143.96799999999999</v>
      </c>
      <c r="Z39" s="354">
        <f>Z38/AV2</f>
        <v>133.09466666666665</v>
      </c>
      <c r="AA39" s="354">
        <f>(SUMPRODUCT(AA7:AA37,BA7:BA37))/BA38</f>
        <v>0.81027411105269109</v>
      </c>
      <c r="AB39" s="359">
        <f>AVERAGE(AB7:AB37)</f>
        <v>657.0322580645161</v>
      </c>
      <c r="AC39" s="359">
        <f>AVERAGE(AC7:AC37)</f>
        <v>1211.8064516129032</v>
      </c>
      <c r="AD39" s="359"/>
      <c r="AE39" s="354">
        <f>(SUMPRODUCT(AE7:AE37,BA7:BA37))/BA38</f>
        <v>75.659047782717664</v>
      </c>
      <c r="AF39" s="360">
        <f>AVERAGE(AF7:AF37)</f>
        <v>127</v>
      </c>
      <c r="AG39" s="360">
        <f>AVERAGE(AG7:AG37)</f>
        <v>4.0333333333333332</v>
      </c>
      <c r="AH39" s="354">
        <f>AH38/AV2</f>
        <v>1.52</v>
      </c>
      <c r="AI39" s="361">
        <f>IF(BA38=0,0,AH38/BA38*1000)</f>
        <v>8.471915414612937</v>
      </c>
      <c r="AJ39" s="361">
        <f>AJ38/AV2</f>
        <v>125.91333333333334</v>
      </c>
      <c r="AK39" s="361">
        <f>IF(BA38=0,0,AJ38/BA38*1000)</f>
        <v>701.79415103418671</v>
      </c>
      <c r="AL39" s="354">
        <f>AL38/AV2</f>
        <v>19.487000000000002</v>
      </c>
      <c r="AM39" s="359"/>
      <c r="AN39" s="354">
        <f>AN38/AV2</f>
        <v>10.58633333333333</v>
      </c>
      <c r="AO39" s="354">
        <f>AO38/AV2</f>
        <v>46.097333333333346</v>
      </c>
      <c r="AP39" s="346">
        <f>IF(AO39=0,0,AO39/AV39)</f>
        <v>0.19754165684615008</v>
      </c>
      <c r="AQ39" s="361">
        <f>SUM(AQ8:AQ38)</f>
        <v>0</v>
      </c>
      <c r="AR39" s="354">
        <f>AVERAGE(AR7:AR37)</f>
        <v>8.7569999999999997</v>
      </c>
      <c r="AS39" s="354">
        <f>AVERAGE(AS7:AS37)</f>
        <v>7.0656666666666661</v>
      </c>
      <c r="AT39" s="362"/>
      <c r="AU39" s="354">
        <f>AVERAGE(AU7:AU37)</f>
        <v>7.1526666666666676</v>
      </c>
      <c r="AV39" s="363">
        <f>AV38/AV2</f>
        <v>233.35499999999996</v>
      </c>
      <c r="AW39" s="363">
        <f>AW38/AV2</f>
        <v>2.7450000000000001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179.41633333333337</v>
      </c>
      <c r="BB39" s="354">
        <f>BB38/AV2</f>
        <v>174.56410653806833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0.88826056275877696</v>
      </c>
      <c r="BF39" s="354">
        <f>BF38/AV2</f>
        <v>13.799782053990606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1.3910834754553298</v>
      </c>
      <c r="BV39" s="42">
        <f t="shared" ref="BV39:CA39" si="42">(SUMPRODUCT(BN7:BN37,BV7:BV37))/BN38</f>
        <v>3.7517040203938868E-9</v>
      </c>
      <c r="BW39" s="42">
        <f t="shared" si="42"/>
        <v>4.0556131224980495E-9</v>
      </c>
      <c r="BX39" s="42">
        <f t="shared" si="42"/>
        <v>1.2359433200386456</v>
      </c>
      <c r="BY39" s="42">
        <f t="shared" si="42"/>
        <v>9.9999999999999982E-8</v>
      </c>
      <c r="BZ39" s="46">
        <f t="shared" si="42"/>
        <v>2.9171404898293205</v>
      </c>
      <c r="CA39" s="240">
        <f t="shared" si="42"/>
        <v>9.9999999999999995E-8</v>
      </c>
      <c r="CB39" s="41">
        <f t="shared" ref="CB39:CH39" si="43">(SUMPRODUCT(BM7:BM37,CB7:CB37))/BM38</f>
        <v>36.232032682376683</v>
      </c>
      <c r="CC39" s="42">
        <f t="shared" si="43"/>
        <v>43.802424117703957</v>
      </c>
      <c r="CD39" s="42">
        <f t="shared" si="43"/>
        <v>41.696350257201232</v>
      </c>
      <c r="CE39" s="42">
        <f t="shared" si="43"/>
        <v>36.041936343424091</v>
      </c>
      <c r="CF39" s="42">
        <f t="shared" si="43"/>
        <v>9.9999999999999982E-8</v>
      </c>
      <c r="CG39" s="46">
        <f t="shared" si="43"/>
        <v>34.084606694723725</v>
      </c>
      <c r="CH39" s="240">
        <f t="shared" si="43"/>
        <v>9.9999999999999995E-8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9.9999999999999982E-8</v>
      </c>
      <c r="CP39" s="46">
        <f>(SUMPRODUCT(CL7:CL37,CP7:CP37))/CL38</f>
        <v>3.3793892933746179E-9</v>
      </c>
      <c r="CQ39" s="44">
        <f>(SUMPRODUCT(CM7:CM37,CQ7:CQ37))/CM38</f>
        <v>9.9999999999999982E-8</v>
      </c>
      <c r="CR39" s="44">
        <f>(SUMPRODUCT(O7:O37,CR7:CR37))/O38</f>
        <v>0.8</v>
      </c>
      <c r="CT39" s="667">
        <f>CT38+CU38</f>
        <v>2595.6319385468569</v>
      </c>
      <c r="CU39" s="667"/>
      <c r="CV39" s="668">
        <f>CV38+CW38+CZ38+CY38+CX38</f>
        <v>9104.8940870005081</v>
      </c>
      <c r="CW39" s="668"/>
      <c r="CX39" s="668"/>
      <c r="CY39" s="668"/>
      <c r="CZ39" s="668"/>
      <c r="DA39" s="669">
        <f>DA38+DB38+DD38+DC38</f>
        <v>7398.9700000499606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38.299999999999997</v>
      </c>
      <c r="F40" s="366">
        <v>2.2200000000000002</v>
      </c>
      <c r="G40" s="366"/>
      <c r="H40" s="401">
        <v>0.75480000000000003</v>
      </c>
      <c r="I40" s="366"/>
      <c r="J40" s="408"/>
      <c r="K40" s="366"/>
      <c r="L40" s="366"/>
      <c r="M40" s="401">
        <v>1.4652000000000001</v>
      </c>
      <c r="N40" s="365"/>
      <c r="O40" s="366"/>
      <c r="P40" s="366"/>
      <c r="Q40" s="366"/>
      <c r="R40" s="367"/>
      <c r="S40" s="368"/>
      <c r="T40" s="367"/>
      <c r="U40" s="450">
        <v>22.227123599999999</v>
      </c>
      <c r="V40" s="367"/>
      <c r="W40" s="369">
        <v>1.32</v>
      </c>
      <c r="X40" s="484"/>
      <c r="Y40" s="370">
        <v>5800</v>
      </c>
      <c r="Z40" s="370">
        <v>5800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645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5800</v>
      </c>
      <c r="AW40" s="379">
        <v>40.6</v>
      </c>
      <c r="AX40" s="380"/>
      <c r="AY40" s="381"/>
      <c r="AZ40" s="382"/>
      <c r="BA40" s="365">
        <v>187.1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11700.526025547366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-4.6187133585503748E-2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2.6646882882873419</v>
      </c>
      <c r="T41" s="386"/>
      <c r="U41" s="388"/>
      <c r="V41" s="388"/>
      <c r="W41" s="385">
        <f>W39-W40</f>
        <v>5.4637017495619888E-2</v>
      </c>
      <c r="X41" s="385"/>
      <c r="Y41" s="385"/>
      <c r="Z41" s="385"/>
      <c r="AA41" s="385"/>
      <c r="AB41" s="385"/>
      <c r="AC41" s="389">
        <f>AC39-AC40</f>
        <v>-38.193548387096826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1200.6499999999987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187.09677419354838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0.19754165684615008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57.856611570247921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193.33333333333334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-417.50999999999749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-7.1984482758620256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'[4]август 20'!$G$38</f>
        <v>1382.9169999999997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'[4]август 20'!$C$38</f>
        <v>1382.9200000000003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3.0000000006111804E-3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88" zoomScaleNormal="88" workbookViewId="0">
      <pane xSplit="1" ySplit="6" topLeftCell="CV22" activePane="bottomRight" state="frozen"/>
      <selection pane="topRight" activeCell="B1" sqref="B1"/>
      <selection pane="bottomLeft" activeCell="A7" sqref="A7"/>
      <selection pane="bottomRight" activeCell="CU44" sqref="CU44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140625" customWidth="1"/>
    <col min="9" max="9" width="6.42578125" hidden="1" customWidth="1"/>
    <col min="10" max="10" width="7.42578125" customWidth="1"/>
    <col min="11" max="11" width="5.85546875" customWidth="1"/>
    <col min="12" max="12" width="8.85546875" customWidth="1"/>
    <col min="13" max="13" width="7.28515625" customWidth="1"/>
    <col min="14" max="14" width="4.5703125" hidden="1" customWidth="1"/>
    <col min="15" max="15" width="7.140625" customWidth="1"/>
    <col min="16" max="16" width="7.140625" hidden="1" customWidth="1"/>
    <col min="17" max="17" width="7.140625" customWidth="1"/>
    <col min="18" max="18" width="9" customWidth="1"/>
    <col min="19" max="19" width="5.140625" customWidth="1"/>
    <col min="20" max="20" width="8.85546875" hidden="1" customWidth="1"/>
    <col min="21" max="21" width="7.7109375" customWidth="1"/>
    <col min="22" max="22" width="7.85546875" hidden="1" customWidth="1"/>
    <col min="23" max="24" width="6.85546875" customWidth="1"/>
    <col min="25" max="26" width="8.42578125" customWidth="1"/>
    <col min="27" max="27" width="6.5703125" customWidth="1"/>
    <col min="28" max="28" width="4.85546875" customWidth="1"/>
    <col min="29" max="29" width="6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" customWidth="1"/>
    <col min="37" max="37" width="7.7109375" customWidth="1"/>
    <col min="38" max="38" width="7.2851562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383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8"/>
      <c r="Y3" s="704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41" t="s">
        <v>396</v>
      </c>
      <c r="Y4" s="645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644"/>
      <c r="Y5" s="645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644"/>
      <c r="Y6" s="645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15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420</v>
      </c>
      <c r="BO6" s="232" t="s">
        <v>390</v>
      </c>
      <c r="BP6" s="396" t="s">
        <v>388</v>
      </c>
      <c r="BQ6" s="232" t="s">
        <v>425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388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389</v>
      </c>
      <c r="CD6" s="232" t="s">
        <v>390</v>
      </c>
      <c r="CE6" s="396" t="s">
        <v>388</v>
      </c>
      <c r="CF6" s="232" t="s">
        <v>425</v>
      </c>
      <c r="CG6" s="310" t="s">
        <v>147</v>
      </c>
      <c r="CH6" s="334" t="s">
        <v>96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288" t="s">
        <v>102</v>
      </c>
      <c r="CR6" s="691"/>
      <c r="CS6"/>
      <c r="CT6" s="251" t="s">
        <v>384</v>
      </c>
      <c r="CU6" s="482" t="s">
        <v>391</v>
      </c>
      <c r="CV6" s="51" t="s">
        <v>390</v>
      </c>
      <c r="CW6" s="245" t="s">
        <v>388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'[1]август 20'!K6</f>
        <v>398.96199999999999</v>
      </c>
      <c r="C7" s="104">
        <f t="shared" ref="C7:C37" si="0">IF(B7=0,0,(BM7*BU7+BN7*BV7+BP7*BX7+BS7*CA7+BO7*BW7+BR7*BZ7+BQ7*BY7)/B7)</f>
        <v>0.26276844727944271</v>
      </c>
      <c r="D7" s="447">
        <f t="shared" ref="D7:D37" si="1">B7*((100-C7)/100)</f>
        <v>397.913653747365</v>
      </c>
      <c r="E7" s="104">
        <f t="shared" ref="E7:E37" si="2">IF(B7=0,0,(BM7*CB7+BN7*CC7+BP7*CE7+BS7*CH7+BO7*CD7+BR7*CG7+BQ7*CF7)/B7)</f>
        <v>39.066930660062866</v>
      </c>
      <c r="F7" s="103">
        <f t="shared" ref="F7:F37" si="3">IF(BA7=0,0,D7/BA7)</f>
        <v>1.9546388720925314</v>
      </c>
      <c r="G7" s="106"/>
      <c r="H7" s="107">
        <f t="shared" ref="H7:H37" si="4">IF(BA7=0,0,(CZ7+CW7+CY7+CT7+CX7)/BA7)</f>
        <v>0.71364056411918997</v>
      </c>
      <c r="I7" s="103">
        <f>'[1]сентябрь 20'!AE6</f>
        <v>0</v>
      </c>
      <c r="J7" s="328">
        <f>'[1]август 20'!AA6</f>
        <v>0</v>
      </c>
      <c r="K7" s="106"/>
      <c r="L7" s="328">
        <f>'[1]август 20'!AI6</f>
        <v>252.63499999999999</v>
      </c>
      <c r="M7" s="103">
        <f t="shared" ref="M7:M37" si="5">IF(BA7=0,0,(CV7+CU7)/BA7)</f>
        <v>1.2409983580779715</v>
      </c>
      <c r="N7" s="103">
        <f>'[1]август 20'!W6</f>
        <v>0</v>
      </c>
      <c r="O7" s="103">
        <f>'[1]август 20'!AM6</f>
        <v>6.6459999999999999</v>
      </c>
      <c r="P7" s="447">
        <f>O7*((100-CR7)/100)</f>
        <v>6.5928319999999996</v>
      </c>
      <c r="Q7" s="103">
        <f>IF(O7=0,0,P7/BA7)</f>
        <v>3.2385432324363618E-2</v>
      </c>
      <c r="R7" s="103">
        <f>'[1]август 20'!S6</f>
        <v>253.97200000000001</v>
      </c>
      <c r="S7" s="108">
        <f t="shared" ref="S7:S37" si="6">IF(R7=0,0,(1-(V7/R7))*100)</f>
        <v>1.5482020458948198</v>
      </c>
      <c r="T7" s="109">
        <f t="shared" ref="T7:T37" si="7">R7*((100-S7)/100)</f>
        <v>250.04000029999997</v>
      </c>
      <c r="U7" s="106">
        <v>20.306000000000001</v>
      </c>
      <c r="V7" s="109">
        <f t="shared" ref="V7:V37" si="8">CJ7+CK7+CM7+CL7</f>
        <v>250.0400003</v>
      </c>
      <c r="W7" s="110">
        <f t="shared" ref="W7:W37" si="9">IF(BA7=0,0,T7/BA7)</f>
        <v>1.2282511533889395</v>
      </c>
      <c r="X7" s="110">
        <f>Q7+W7</f>
        <v>1.2606365857133031</v>
      </c>
      <c r="Y7" s="136">
        <v>102.76</v>
      </c>
      <c r="Z7" s="111">
        <v>203.57</v>
      </c>
      <c r="AA7" s="106">
        <v>0.52</v>
      </c>
      <c r="AB7" s="112">
        <v>690</v>
      </c>
      <c r="AC7" s="238">
        <v>1240</v>
      </c>
      <c r="AD7" s="113" t="s">
        <v>288</v>
      </c>
      <c r="AE7" s="106">
        <v>74.55</v>
      </c>
      <c r="AF7" s="112">
        <v>133</v>
      </c>
      <c r="AG7" s="114">
        <v>4</v>
      </c>
      <c r="AH7" s="106">
        <v>4.8</v>
      </c>
      <c r="AI7" s="115">
        <f t="shared" ref="AI7:AI37" si="10">IF(BA7=0,0,AH7/BA7*1000)</f>
        <v>23.578649532848004</v>
      </c>
      <c r="AJ7" s="106">
        <v>121.05</v>
      </c>
      <c r="AK7" s="115">
        <f t="shared" ref="AK7:AK37" si="11">IF(BA7=0,0,AJ7/BA7*1000)</f>
        <v>594.62406790651062</v>
      </c>
      <c r="AL7" s="106">
        <v>19.95</v>
      </c>
      <c r="AM7" s="116"/>
      <c r="AN7" s="117">
        <v>11.17</v>
      </c>
      <c r="AO7" s="466">
        <f>AV7*0.19</f>
        <v>47.765999999999998</v>
      </c>
      <c r="AP7" s="110">
        <f t="shared" ref="AP7:AP37" si="12">IF(AO7=0,0,AO7/AV7)</f>
        <v>0.19</v>
      </c>
      <c r="AQ7" s="119" t="s">
        <v>247</v>
      </c>
      <c r="AR7" s="403">
        <v>9.3800000000000008</v>
      </c>
      <c r="AS7" s="120">
        <v>7.21</v>
      </c>
      <c r="AT7" s="106"/>
      <c r="AU7" s="106">
        <v>8.0399999999999991</v>
      </c>
      <c r="AV7" s="314">
        <v>251.4</v>
      </c>
      <c r="AW7" s="121">
        <v>11.11</v>
      </c>
      <c r="AX7" s="122"/>
      <c r="AY7" s="123"/>
      <c r="AZ7" s="124"/>
      <c r="BA7" s="109">
        <f t="shared" ref="BA7:BA37" si="13">AV7-AO7-AN7+AY7+AW7</f>
        <v>203.57400000000001</v>
      </c>
      <c r="BB7" s="115">
        <f>IF(AE7=0,0,((D7*0.97)*(E7/100)*0.9)/(AE7/100))</f>
        <v>182.03912071691781</v>
      </c>
      <c r="BC7" s="125">
        <f t="shared" ref="BC7:BC37" si="14">(AJ7*AU7)/100*(55/71)</f>
        <v>7.5391985915492938</v>
      </c>
      <c r="BD7" s="115">
        <f t="shared" ref="BD7:BD23" si="15">BA7*$BD$6</f>
        <v>8.1429600000000004</v>
      </c>
      <c r="BE7" s="103">
        <f t="shared" ref="BE7:BE37" si="16">IF((D7*E7)=0,0,(BA7*AE7)/(D7*E7))</f>
        <v>0.97627422775989947</v>
      </c>
      <c r="BF7" s="115">
        <f t="shared" ref="BF7:BF37" si="17">BC7+BD7</f>
        <v>15.682158591549294</v>
      </c>
      <c r="BG7" s="533">
        <v>0.97599999999999998</v>
      </c>
      <c r="BH7" s="16">
        <f>BA7</f>
        <v>203.57400000000001</v>
      </c>
      <c r="BI7" s="16">
        <f t="shared" ref="BI7:BI38" si="18">IF(A7&lt;=$BG$43,$AV$43,0)</f>
        <v>187.09677419354838</v>
      </c>
      <c r="BJ7" s="16">
        <f>BI7</f>
        <v>187.09677419354838</v>
      </c>
      <c r="BK7" s="17">
        <f t="shared" ref="BK7:BK37" si="19">IF(BA7&lt;&gt;0,1,0)</f>
        <v>1</v>
      </c>
      <c r="BL7" s="16">
        <f>BI7*BK7</f>
        <v>187.09677419354838</v>
      </c>
      <c r="BM7" s="336">
        <v>9.9999999999999995E-8</v>
      </c>
      <c r="BN7" s="336">
        <v>53.143000000000001</v>
      </c>
      <c r="BO7" s="336">
        <v>199.49199999999999</v>
      </c>
      <c r="BP7" s="336">
        <v>106.404</v>
      </c>
      <c r="BQ7" s="336">
        <v>9.9999999999999995E-8</v>
      </c>
      <c r="BR7" s="336">
        <v>39.923000000000002</v>
      </c>
      <c r="BS7" s="336">
        <v>1.0000000000000001E-5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0.52</v>
      </c>
      <c r="BY7" s="336">
        <v>9.9999999999999995E-8</v>
      </c>
      <c r="BZ7" s="336">
        <v>1.24</v>
      </c>
      <c r="CA7" s="336">
        <v>9.9999999999999995E-8</v>
      </c>
      <c r="CB7" s="336">
        <v>9.9999999999999995E-8</v>
      </c>
      <c r="CC7" s="336">
        <v>43.89</v>
      </c>
      <c r="CD7" s="336">
        <v>41.91</v>
      </c>
      <c r="CE7" s="336">
        <v>35.36</v>
      </c>
      <c r="CF7" s="336">
        <v>9.9999999999999995E-8</v>
      </c>
      <c r="CG7" s="336">
        <v>28.32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250.04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503">
        <v>0.8</v>
      </c>
      <c r="CS7" s="284"/>
      <c r="CT7" s="285">
        <f t="shared" ref="CT7:CZ37" si="20">BM7*((100-BU7)/100)</f>
        <v>9.99999999E-8</v>
      </c>
      <c r="CU7" s="22">
        <f t="shared" si="20"/>
        <v>53.142999946857003</v>
      </c>
      <c r="CV7" s="22">
        <f t="shared" si="20"/>
        <v>199.49199980050798</v>
      </c>
      <c r="CW7" s="27">
        <f t="shared" si="20"/>
        <v>105.85069919999999</v>
      </c>
      <c r="CX7" s="27">
        <f t="shared" si="20"/>
        <v>9.99999999E-8</v>
      </c>
      <c r="CY7" s="276">
        <f t="shared" si="20"/>
        <v>39.427954800000002</v>
      </c>
      <c r="CZ7" s="279">
        <f t="shared" si="20"/>
        <v>9.999999990000001E-6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250.03999974996</v>
      </c>
      <c r="DD7" s="279">
        <f t="shared" si="21"/>
        <v>9.99999999E-8</v>
      </c>
      <c r="DE7" s="508">
        <f>P7</f>
        <v>6.5928319999999996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'[1]август 20'!K7</f>
        <v>402.096</v>
      </c>
      <c r="C8" s="104">
        <f t="shared" si="0"/>
        <v>0.56435779017945964</v>
      </c>
      <c r="D8" s="447">
        <f t="shared" si="1"/>
        <v>399.82673990000001</v>
      </c>
      <c r="E8" s="104">
        <f t="shared" si="2"/>
        <v>39.381767040706698</v>
      </c>
      <c r="F8" s="128">
        <f t="shared" si="3"/>
        <v>2.2180435030317152</v>
      </c>
      <c r="G8" s="106"/>
      <c r="H8" s="107">
        <f t="shared" si="4"/>
        <v>0.80527535018667362</v>
      </c>
      <c r="I8" s="103">
        <f>'[1]сентябрь 20'!AE7</f>
        <v>0</v>
      </c>
      <c r="J8" s="328">
        <f>'[1]август 20'!AA7</f>
        <v>0</v>
      </c>
      <c r="K8" s="106"/>
      <c r="L8" s="328">
        <f>'[1]август 20'!AI7</f>
        <v>254.667</v>
      </c>
      <c r="M8" s="103">
        <f t="shared" si="5"/>
        <v>1.4127681528450413</v>
      </c>
      <c r="N8" s="103">
        <f>'[1]август 20'!W7</f>
        <v>0</v>
      </c>
      <c r="O8" s="103">
        <f>'[1]август 20'!AM7</f>
        <v>6.6959999999999997</v>
      </c>
      <c r="P8" s="447">
        <f t="shared" ref="P8:P37" si="24">O8*((100-CR8)/100)</f>
        <v>6.6424319999999994</v>
      </c>
      <c r="Q8" s="103">
        <f t="shared" ref="Q8:Q37" si="25">IF(O8=0,0,P8/BA8)</f>
        <v>3.6848968994957307E-2</v>
      </c>
      <c r="R8" s="103">
        <f>'[1]август 20'!S7</f>
        <v>254.87899999999999</v>
      </c>
      <c r="S8" s="108">
        <f t="shared" si="6"/>
        <v>1.5925203724120096</v>
      </c>
      <c r="T8" s="109">
        <f t="shared" si="7"/>
        <v>250.82</v>
      </c>
      <c r="U8" s="106">
        <v>3.6960000000000002</v>
      </c>
      <c r="V8" s="109">
        <f t="shared" si="8"/>
        <v>250.82</v>
      </c>
      <c r="W8" s="110">
        <f t="shared" si="9"/>
        <v>1.3914268754750057</v>
      </c>
      <c r="X8" s="110">
        <f t="shared" ref="X8:X37" si="26">Q8+W8</f>
        <v>1.428275844469963</v>
      </c>
      <c r="Y8" s="136">
        <v>44.39</v>
      </c>
      <c r="Z8" s="130">
        <v>91.13</v>
      </c>
      <c r="AA8" s="131">
        <v>0.82</v>
      </c>
      <c r="AB8" s="112">
        <v>714</v>
      </c>
      <c r="AC8" s="112">
        <v>1239</v>
      </c>
      <c r="AD8" s="132" t="s">
        <v>302</v>
      </c>
      <c r="AE8" s="131">
        <v>74.67</v>
      </c>
      <c r="AF8" s="133">
        <v>134</v>
      </c>
      <c r="AG8" s="134">
        <v>4</v>
      </c>
      <c r="AH8" s="131"/>
      <c r="AI8" s="115">
        <f t="shared" si="10"/>
        <v>0</v>
      </c>
      <c r="AJ8" s="131">
        <v>118.2</v>
      </c>
      <c r="AK8" s="115">
        <f t="shared" si="11"/>
        <v>655.71587864263495</v>
      </c>
      <c r="AL8" s="131">
        <v>17.79</v>
      </c>
      <c r="AM8" s="116"/>
      <c r="AN8" s="135">
        <v>12.95</v>
      </c>
      <c r="AO8" s="466">
        <f t="shared" ref="AO8:AO36" si="27">AV8*0.19</f>
        <v>44.668999999999997</v>
      </c>
      <c r="AP8" s="110">
        <f t="shared" si="12"/>
        <v>0.19</v>
      </c>
      <c r="AQ8" s="137" t="s">
        <v>394</v>
      </c>
      <c r="AR8" s="577">
        <v>10.15</v>
      </c>
      <c r="AS8" s="138">
        <v>6.74</v>
      </c>
      <c r="AT8" s="131"/>
      <c r="AU8" s="131">
        <v>6.1</v>
      </c>
      <c r="AV8" s="315">
        <v>235.1</v>
      </c>
      <c r="AW8" s="131">
        <v>2.78</v>
      </c>
      <c r="AX8" s="116"/>
      <c r="AY8" s="131"/>
      <c r="AZ8" s="109"/>
      <c r="BA8" s="109">
        <f t="shared" si="13"/>
        <v>180.261</v>
      </c>
      <c r="BB8" s="115">
        <f t="shared" ref="BB8:BB37" si="28">IF(AE8=0,0,((D8*0.97)*(E8/100)*0.9)/(AE8/100))</f>
        <v>184.09208945237546</v>
      </c>
      <c r="BC8" s="140">
        <f t="shared" si="14"/>
        <v>5.5853661971830979</v>
      </c>
      <c r="BD8" s="141">
        <f t="shared" si="15"/>
        <v>7.2104400000000002</v>
      </c>
      <c r="BE8" s="128">
        <f t="shared" si="16"/>
        <v>0.85483223895240201</v>
      </c>
      <c r="BF8" s="141">
        <f t="shared" si="17"/>
        <v>12.795806197183097</v>
      </c>
      <c r="BG8" s="535">
        <v>0.91500000000000004</v>
      </c>
      <c r="BH8" s="16">
        <f t="shared" ref="BH8:BH37" si="29">BH7+BA8</f>
        <v>383.83500000000004</v>
      </c>
      <c r="BI8" s="16">
        <f t="shared" si="18"/>
        <v>187.09677419354838</v>
      </c>
      <c r="BJ8" s="16">
        <f t="shared" ref="BJ8:BJ37" si="30">BI8+BJ7</f>
        <v>374.19354838709677</v>
      </c>
      <c r="BK8" s="17">
        <f t="shared" si="19"/>
        <v>1</v>
      </c>
      <c r="BL8" s="16">
        <f t="shared" ref="BL8:BL37" si="31">BL7+BI8*BK8</f>
        <v>374.19354838709677</v>
      </c>
      <c r="BM8" s="249"/>
      <c r="BN8" s="195">
        <v>53.597000000000001</v>
      </c>
      <c r="BO8" s="197">
        <v>201.07</v>
      </c>
      <c r="BP8" s="197">
        <v>103.508</v>
      </c>
      <c r="BQ8" s="230"/>
      <c r="BR8" s="230">
        <v>43.920999999999999</v>
      </c>
      <c r="BS8" s="250"/>
      <c r="BT8" s="199"/>
      <c r="BU8" s="200"/>
      <c r="BV8" s="200"/>
      <c r="BW8" s="200"/>
      <c r="BX8" s="200">
        <v>1</v>
      </c>
      <c r="BY8" s="208"/>
      <c r="BZ8" s="208">
        <v>2.81</v>
      </c>
      <c r="CA8" s="198"/>
      <c r="CB8" s="202"/>
      <c r="CC8" s="200">
        <v>43.74</v>
      </c>
      <c r="CD8" s="200">
        <v>41.63</v>
      </c>
      <c r="CE8" s="200">
        <v>35.89</v>
      </c>
      <c r="CF8" s="197"/>
      <c r="CG8" s="197">
        <v>32</v>
      </c>
      <c r="CH8" s="197"/>
      <c r="CI8" s="203"/>
      <c r="CJ8" s="204"/>
      <c r="CK8" s="197"/>
      <c r="CL8" s="197">
        <v>250.82</v>
      </c>
      <c r="CM8" s="198"/>
      <c r="CN8" s="205"/>
      <c r="CO8" s="206"/>
      <c r="CP8" s="269"/>
      <c r="CQ8" s="207"/>
      <c r="CR8" s="207">
        <v>0.8</v>
      </c>
      <c r="CS8" s="284"/>
      <c r="CT8" s="286">
        <f t="shared" si="20"/>
        <v>0</v>
      </c>
      <c r="CU8" s="24">
        <f t="shared" si="20"/>
        <v>53.597000000000001</v>
      </c>
      <c r="CV8" s="25">
        <f t="shared" si="20"/>
        <v>201.07</v>
      </c>
      <c r="CW8" s="24">
        <f t="shared" si="20"/>
        <v>102.47291999999999</v>
      </c>
      <c r="CX8" s="27">
        <f t="shared" si="20"/>
        <v>0</v>
      </c>
      <c r="CY8" s="237">
        <f t="shared" si="20"/>
        <v>42.686819899999996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250.82</v>
      </c>
      <c r="DD8" s="280">
        <f t="shared" si="21"/>
        <v>0</v>
      </c>
      <c r="DE8" s="508">
        <f t="shared" ref="DE8:DE37" si="32">P8</f>
        <v>6.6424319999999994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3">IF(I8=0,0,(DJ8*DI8%)/(AE8/100))</f>
        <v>0</v>
      </c>
      <c r="DM8" s="402"/>
    </row>
    <row r="9" spans="1:117" ht="16.5" customHeight="1" thickBot="1">
      <c r="A9" s="534">
        <v>3</v>
      </c>
      <c r="B9" s="103">
        <f>'[1]август 20'!K8</f>
        <v>404.87900000000002</v>
      </c>
      <c r="C9" s="104">
        <f t="shared" si="0"/>
        <v>0.41924031624263053</v>
      </c>
      <c r="D9" s="448">
        <f t="shared" si="1"/>
        <v>403.18158400000004</v>
      </c>
      <c r="E9" s="104">
        <f t="shared" si="2"/>
        <v>38.962637849826741</v>
      </c>
      <c r="F9" s="128">
        <f t="shared" si="3"/>
        <v>2.1130445793109232</v>
      </c>
      <c r="G9" s="106"/>
      <c r="H9" s="107">
        <f t="shared" si="4"/>
        <v>0.7692608408540611</v>
      </c>
      <c r="I9" s="103">
        <f>'[1]сентябрь 20'!AE8</f>
        <v>0</v>
      </c>
      <c r="J9" s="328">
        <f>'[1]август 20'!AA8</f>
        <v>0</v>
      </c>
      <c r="K9" s="106"/>
      <c r="L9" s="328">
        <f>'[1]август 20'!AI8</f>
        <v>256.40199999999999</v>
      </c>
      <c r="M9" s="103">
        <f t="shared" si="5"/>
        <v>1.3437837384568618</v>
      </c>
      <c r="N9" s="103">
        <f>'[1]август 20'!W8</f>
        <v>0</v>
      </c>
      <c r="O9" s="103">
        <f>'[1]август 20'!AM8</f>
        <v>6.7590000000000003</v>
      </c>
      <c r="P9" s="447">
        <f t="shared" si="24"/>
        <v>6.7049280000000007</v>
      </c>
      <c r="Q9" s="103">
        <f t="shared" si="25"/>
        <v>3.5140027043174746E-2</v>
      </c>
      <c r="R9" s="103">
        <f>'[1]август 20'!S8</f>
        <v>257.11900000000003</v>
      </c>
      <c r="S9" s="108">
        <f t="shared" si="6"/>
        <v>1.6369852091833059</v>
      </c>
      <c r="T9" s="109">
        <f t="shared" si="7"/>
        <v>252.91</v>
      </c>
      <c r="U9" s="106">
        <v>5.7590000000000003</v>
      </c>
      <c r="V9" s="109">
        <f t="shared" si="8"/>
        <v>252.91</v>
      </c>
      <c r="W9" s="110">
        <f t="shared" si="9"/>
        <v>1.3254824271773424</v>
      </c>
      <c r="X9" s="110">
        <f t="shared" si="26"/>
        <v>1.3606224542205172</v>
      </c>
      <c r="Y9" s="136">
        <v>94.85</v>
      </c>
      <c r="Z9" s="130">
        <v>190.81</v>
      </c>
      <c r="AA9" s="131">
        <v>0.54</v>
      </c>
      <c r="AB9" s="112">
        <v>690</v>
      </c>
      <c r="AC9" s="112">
        <v>1232</v>
      </c>
      <c r="AD9" s="144" t="s">
        <v>288</v>
      </c>
      <c r="AE9" s="131">
        <v>75.11</v>
      </c>
      <c r="AF9" s="133">
        <v>135</v>
      </c>
      <c r="AG9" s="134">
        <v>4</v>
      </c>
      <c r="AH9" s="131">
        <v>4.0999999999999996</v>
      </c>
      <c r="AI9" s="115">
        <f t="shared" si="10"/>
        <v>21.487793884888312</v>
      </c>
      <c r="AJ9" s="131">
        <v>124</v>
      </c>
      <c r="AK9" s="115">
        <f t="shared" si="11"/>
        <v>649.87474188442707</v>
      </c>
      <c r="AL9" s="131">
        <v>17.72</v>
      </c>
      <c r="AM9" s="116"/>
      <c r="AN9" s="135">
        <v>10.48</v>
      </c>
      <c r="AO9" s="466">
        <f t="shared" si="27"/>
        <v>46.283999999999999</v>
      </c>
      <c r="AP9" s="110">
        <f t="shared" si="12"/>
        <v>0.19</v>
      </c>
      <c r="AQ9" s="137" t="s">
        <v>228</v>
      </c>
      <c r="AR9" s="150">
        <v>9.2799999999999994</v>
      </c>
      <c r="AS9" s="131">
        <v>7.4</v>
      </c>
      <c r="AT9" s="131"/>
      <c r="AU9" s="131">
        <v>6.4</v>
      </c>
      <c r="AV9" s="315">
        <v>243.6</v>
      </c>
      <c r="AW9" s="131">
        <v>3.97</v>
      </c>
      <c r="AX9" s="116"/>
      <c r="AY9" s="131"/>
      <c r="AZ9" s="109"/>
      <c r="BA9" s="109">
        <f t="shared" si="13"/>
        <v>190.80600000000001</v>
      </c>
      <c r="BB9" s="115">
        <f t="shared" si="28"/>
        <v>182.58517845003783</v>
      </c>
      <c r="BC9" s="140">
        <f t="shared" si="14"/>
        <v>6.1476056338028169</v>
      </c>
      <c r="BD9" s="141">
        <f t="shared" si="15"/>
        <v>7.6322400000000004</v>
      </c>
      <c r="BE9" s="128">
        <f t="shared" si="16"/>
        <v>0.9123064610941618</v>
      </c>
      <c r="BF9" s="141">
        <f t="shared" si="17"/>
        <v>13.779845633802818</v>
      </c>
      <c r="BG9" s="535">
        <v>0.91400000000000003</v>
      </c>
      <c r="BH9" s="16">
        <f t="shared" si="29"/>
        <v>574.64100000000008</v>
      </c>
      <c r="BI9" s="16">
        <f t="shared" si="18"/>
        <v>187.09677419354838</v>
      </c>
      <c r="BJ9" s="16">
        <f t="shared" si="30"/>
        <v>561.29032258064512</v>
      </c>
      <c r="BK9" s="17">
        <f t="shared" si="19"/>
        <v>1</v>
      </c>
      <c r="BL9" s="16">
        <f t="shared" si="31"/>
        <v>561.29032258064512</v>
      </c>
      <c r="BM9" s="249"/>
      <c r="BN9" s="195">
        <v>53.902000000000001</v>
      </c>
      <c r="BO9" s="197">
        <v>202.5</v>
      </c>
      <c r="BP9" s="197">
        <v>101.26600000000001</v>
      </c>
      <c r="BQ9" s="230"/>
      <c r="BR9" s="230">
        <v>47.210999999999999</v>
      </c>
      <c r="BS9" s="250"/>
      <c r="BT9" s="199"/>
      <c r="BU9" s="200"/>
      <c r="BV9" s="200"/>
      <c r="BW9" s="200"/>
      <c r="BX9" s="200">
        <v>0.52</v>
      </c>
      <c r="BY9" s="208"/>
      <c r="BZ9" s="208">
        <v>2.48</v>
      </c>
      <c r="CA9" s="201"/>
      <c r="CB9" s="202"/>
      <c r="CC9" s="200">
        <v>43.9</v>
      </c>
      <c r="CD9" s="200">
        <v>41.63</v>
      </c>
      <c r="CE9" s="200">
        <v>36.340000000000003</v>
      </c>
      <c r="CF9" s="200"/>
      <c r="CG9" s="200">
        <v>27.51</v>
      </c>
      <c r="CH9" s="200"/>
      <c r="CI9" s="203"/>
      <c r="CJ9" s="204"/>
      <c r="CK9" s="197"/>
      <c r="CL9" s="197">
        <v>252.91</v>
      </c>
      <c r="CM9" s="198"/>
      <c r="CN9" s="202"/>
      <c r="CO9" s="208"/>
      <c r="CP9" s="208"/>
      <c r="CQ9" s="201"/>
      <c r="CR9" s="201">
        <v>0.8</v>
      </c>
      <c r="CS9" s="284"/>
      <c r="CT9" s="286">
        <f t="shared" si="20"/>
        <v>0</v>
      </c>
      <c r="CU9" s="27">
        <f t="shared" si="20"/>
        <v>53.902000000000001</v>
      </c>
      <c r="CV9" s="28">
        <f t="shared" si="20"/>
        <v>202.5</v>
      </c>
      <c r="CW9" s="27">
        <f t="shared" si="20"/>
        <v>100.7394168</v>
      </c>
      <c r="CX9" s="27">
        <f t="shared" si="20"/>
        <v>0</v>
      </c>
      <c r="CY9" s="237">
        <f t="shared" si="20"/>
        <v>46.040167199999999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252.91</v>
      </c>
      <c r="DD9" s="280">
        <f t="shared" si="21"/>
        <v>0</v>
      </c>
      <c r="DE9" s="508">
        <f t="shared" si="32"/>
        <v>6.7049280000000007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3"/>
        <v>0</v>
      </c>
      <c r="DM9" s="402"/>
    </row>
    <row r="10" spans="1:117" ht="16.5" customHeight="1" thickBot="1">
      <c r="A10" s="534">
        <v>4</v>
      </c>
      <c r="B10" s="103">
        <f>'[1]август 20'!K9</f>
        <v>381.27300000000002</v>
      </c>
      <c r="C10" s="104">
        <f t="shared" si="0"/>
        <v>0.4547651682652587</v>
      </c>
      <c r="D10" s="448">
        <f t="shared" si="1"/>
        <v>379.5391032</v>
      </c>
      <c r="E10" s="104">
        <f t="shared" si="2"/>
        <v>39.335452628431597</v>
      </c>
      <c r="F10" s="128">
        <f t="shared" si="3"/>
        <v>2.0486116119212054</v>
      </c>
      <c r="G10" s="106"/>
      <c r="H10" s="107">
        <f t="shared" si="4"/>
        <v>0.76440210831423927</v>
      </c>
      <c r="I10" s="103">
        <f>'[1]сентябрь 20'!AE9</f>
        <v>0</v>
      </c>
      <c r="J10" s="328">
        <f>'[1]август 20'!AA9</f>
        <v>0</v>
      </c>
      <c r="K10" s="106"/>
      <c r="L10" s="328">
        <f>'[1]август 20'!AI9</f>
        <v>237.92099999999999</v>
      </c>
      <c r="M10" s="103">
        <f t="shared" si="5"/>
        <v>1.2842095036069661</v>
      </c>
      <c r="N10" s="103">
        <f>'[1]август 20'!W9</f>
        <v>0</v>
      </c>
      <c r="O10" s="103">
        <f>'[1]август 20'!AM9</f>
        <v>5.6239999999999997</v>
      </c>
      <c r="P10" s="447">
        <f t="shared" si="24"/>
        <v>5.579008</v>
      </c>
      <c r="Q10" s="103">
        <f t="shared" si="25"/>
        <v>3.011342039710363E-2</v>
      </c>
      <c r="R10" s="103">
        <f>'[1]август 20'!S9</f>
        <v>240.37</v>
      </c>
      <c r="S10" s="108">
        <f t="shared" si="6"/>
        <v>1.306319424221003</v>
      </c>
      <c r="T10" s="109">
        <f t="shared" si="7"/>
        <v>237.23</v>
      </c>
      <c r="U10" s="106">
        <v>4.4340000000000002</v>
      </c>
      <c r="V10" s="109">
        <f t="shared" si="8"/>
        <v>237.23</v>
      </c>
      <c r="W10" s="110">
        <f t="shared" si="9"/>
        <v>1.2804797413455751</v>
      </c>
      <c r="X10" s="110">
        <f t="shared" si="26"/>
        <v>1.3105931617426787</v>
      </c>
      <c r="Y10" s="136"/>
      <c r="Z10" s="130">
        <v>47.89</v>
      </c>
      <c r="AA10" s="131">
        <v>1.53</v>
      </c>
      <c r="AB10" s="112">
        <v>690</v>
      </c>
      <c r="AC10" s="112">
        <v>1237</v>
      </c>
      <c r="AD10" s="144" t="s">
        <v>305</v>
      </c>
      <c r="AE10" s="131">
        <v>73.790000000000006</v>
      </c>
      <c r="AF10" s="133">
        <v>127</v>
      </c>
      <c r="AG10" s="134">
        <v>4</v>
      </c>
      <c r="AH10" s="131"/>
      <c r="AI10" s="115">
        <f t="shared" si="10"/>
        <v>0</v>
      </c>
      <c r="AJ10" s="131">
        <v>115.05</v>
      </c>
      <c r="AK10" s="115">
        <f t="shared" si="11"/>
        <v>620.99732007675425</v>
      </c>
      <c r="AL10" s="131">
        <v>19.68</v>
      </c>
      <c r="AM10" s="116"/>
      <c r="AN10" s="135">
        <v>9.5399999999999991</v>
      </c>
      <c r="AO10" s="466">
        <f t="shared" si="27"/>
        <v>44.963500000000003</v>
      </c>
      <c r="AP10" s="110">
        <f t="shared" si="12"/>
        <v>0.19</v>
      </c>
      <c r="AQ10" s="137" t="s">
        <v>224</v>
      </c>
      <c r="AR10" s="150">
        <v>9.8000000000000007</v>
      </c>
      <c r="AS10" s="138">
        <v>6.89</v>
      </c>
      <c r="AT10" s="131"/>
      <c r="AU10" s="131">
        <v>6.23</v>
      </c>
      <c r="AV10" s="315">
        <v>236.65</v>
      </c>
      <c r="AW10" s="131">
        <v>3.12</v>
      </c>
      <c r="AX10" s="116"/>
      <c r="AY10" s="131"/>
      <c r="AZ10" s="109"/>
      <c r="BA10" s="109">
        <f t="shared" si="13"/>
        <v>185.26650000000001</v>
      </c>
      <c r="BB10" s="115">
        <f>IF(AE10=0,0,((D10*0.97)*(E10/100)*0.9)/(AE10/100))</f>
        <v>176.62713007062965</v>
      </c>
      <c r="BC10" s="140">
        <f t="shared" si="14"/>
        <v>5.5523778169014086</v>
      </c>
      <c r="BD10" s="141">
        <f t="shared" si="15"/>
        <v>7.41066</v>
      </c>
      <c r="BE10" s="128">
        <f t="shared" si="16"/>
        <v>0.91570108417276752</v>
      </c>
      <c r="BF10" s="141">
        <f t="shared" si="17"/>
        <v>12.963037816901409</v>
      </c>
      <c r="BG10" s="535">
        <v>0.91500000000000004</v>
      </c>
      <c r="BH10" s="16">
        <f t="shared" si="29"/>
        <v>759.90750000000003</v>
      </c>
      <c r="BI10" s="16">
        <f t="shared" si="18"/>
        <v>187.09677419354838</v>
      </c>
      <c r="BJ10" s="16">
        <f t="shared" si="30"/>
        <v>748.38709677419354</v>
      </c>
      <c r="BK10" s="17">
        <f t="shared" si="19"/>
        <v>1</v>
      </c>
      <c r="BL10" s="16">
        <f t="shared" si="31"/>
        <v>748.38709677419354</v>
      </c>
      <c r="BM10" s="249"/>
      <c r="BN10" s="195">
        <v>50.808</v>
      </c>
      <c r="BO10" s="197">
        <v>187.113</v>
      </c>
      <c r="BP10" s="195">
        <v>96.965999999999994</v>
      </c>
      <c r="BQ10" s="195"/>
      <c r="BR10" s="230">
        <v>46.386000000000003</v>
      </c>
      <c r="BS10" s="250"/>
      <c r="BT10" s="199"/>
      <c r="BU10" s="200"/>
      <c r="BV10" s="200"/>
      <c r="BW10" s="200"/>
      <c r="BX10" s="200">
        <v>0.42</v>
      </c>
      <c r="BY10" s="208"/>
      <c r="BZ10" s="208">
        <v>2.86</v>
      </c>
      <c r="CA10" s="201"/>
      <c r="CB10" s="202"/>
      <c r="CC10" s="200">
        <v>43.81</v>
      </c>
      <c r="CD10" s="200">
        <v>41.61</v>
      </c>
      <c r="CE10" s="200">
        <v>36.24</v>
      </c>
      <c r="CF10" s="200"/>
      <c r="CG10" s="200">
        <v>31.73</v>
      </c>
      <c r="CH10" s="200"/>
      <c r="CI10" s="203"/>
      <c r="CJ10" s="204"/>
      <c r="CK10" s="197"/>
      <c r="CL10" s="197">
        <v>237.23</v>
      </c>
      <c r="CM10" s="198"/>
      <c r="CN10" s="202"/>
      <c r="CO10" s="208"/>
      <c r="CP10" s="208"/>
      <c r="CQ10" s="201"/>
      <c r="CR10" s="201">
        <v>0.8</v>
      </c>
      <c r="CS10" s="284"/>
      <c r="CT10" s="286">
        <f t="shared" si="20"/>
        <v>0</v>
      </c>
      <c r="CU10" s="29">
        <f t="shared" si="20"/>
        <v>50.808</v>
      </c>
      <c r="CV10" s="30">
        <f t="shared" si="20"/>
        <v>187.113</v>
      </c>
      <c r="CW10" s="29">
        <f t="shared" si="20"/>
        <v>96.55874279999999</v>
      </c>
      <c r="CX10" s="27">
        <f t="shared" si="20"/>
        <v>0</v>
      </c>
      <c r="CY10" s="24">
        <f t="shared" si="20"/>
        <v>45.059360400000003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237.23</v>
      </c>
      <c r="DD10" s="280">
        <f t="shared" si="21"/>
        <v>0</v>
      </c>
      <c r="DE10" s="508">
        <f t="shared" si="32"/>
        <v>5.579008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3"/>
        <v>0</v>
      </c>
      <c r="DM10" s="402"/>
    </row>
    <row r="11" spans="1:117" ht="16.5" customHeight="1" thickBot="1">
      <c r="A11" s="534">
        <v>5</v>
      </c>
      <c r="B11" s="103">
        <f>'[1]август 20'!K10</f>
        <v>411.07400000000001</v>
      </c>
      <c r="C11" s="104">
        <f t="shared" si="0"/>
        <v>0.49849156113011284</v>
      </c>
      <c r="D11" s="448">
        <f t="shared" si="1"/>
        <v>409.02483080000002</v>
      </c>
      <c r="E11" s="104">
        <f t="shared" si="2"/>
        <v>38.866531743676319</v>
      </c>
      <c r="F11" s="128">
        <f t="shared" si="3"/>
        <v>2.1367813918013172</v>
      </c>
      <c r="G11" s="106"/>
      <c r="H11" s="107">
        <f>IF(BA11=0,0,(CZ11+CW11+CY11+CT11+CX11)/BA11)</f>
        <v>0.84810355603617149</v>
      </c>
      <c r="I11" s="103">
        <f>'[1]сентябрь 20'!AE10</f>
        <v>0</v>
      </c>
      <c r="J11" s="328">
        <f>'[1]август 20'!AA10</f>
        <v>0</v>
      </c>
      <c r="K11" s="106"/>
      <c r="L11" s="328">
        <f>'[1]август 20'!AI10</f>
        <v>246.68</v>
      </c>
      <c r="M11" s="103">
        <f t="shared" si="5"/>
        <v>1.2886778357651458</v>
      </c>
      <c r="N11" s="103">
        <f>'[1]август 20'!W10</f>
        <v>0</v>
      </c>
      <c r="O11" s="103">
        <f>'[1]август 20'!AM10</f>
        <v>6.8259999999999996</v>
      </c>
      <c r="P11" s="447">
        <f t="shared" si="24"/>
        <v>6.7713919999999996</v>
      </c>
      <c r="Q11" s="103">
        <f t="shared" si="25"/>
        <v>3.5374342418021003E-2</v>
      </c>
      <c r="R11" s="103">
        <f>'[1]август 20'!S10</f>
        <v>256.834</v>
      </c>
      <c r="S11" s="108">
        <f t="shared" si="6"/>
        <v>1.4655380518155736</v>
      </c>
      <c r="T11" s="109">
        <f t="shared" si="7"/>
        <v>253.07</v>
      </c>
      <c r="U11" s="106">
        <v>4.8259999999999996</v>
      </c>
      <c r="V11" s="109">
        <f t="shared" si="8"/>
        <v>253.07</v>
      </c>
      <c r="W11" s="110">
        <f t="shared" si="9"/>
        <v>1.3220597531096376</v>
      </c>
      <c r="X11" s="110">
        <f t="shared" si="26"/>
        <v>1.3574340955276587</v>
      </c>
      <c r="Y11" s="136">
        <v>139.88999999999999</v>
      </c>
      <c r="Z11" s="130">
        <v>92.39</v>
      </c>
      <c r="AA11" s="131">
        <v>1.02</v>
      </c>
      <c r="AB11" s="112">
        <v>677</v>
      </c>
      <c r="AC11" s="112">
        <v>1238</v>
      </c>
      <c r="AD11" s="144" t="s">
        <v>400</v>
      </c>
      <c r="AE11" s="131">
        <v>75.239999999999995</v>
      </c>
      <c r="AF11" s="133">
        <v>137</v>
      </c>
      <c r="AG11" s="134">
        <v>4</v>
      </c>
      <c r="AH11" s="131">
        <v>3.4</v>
      </c>
      <c r="AI11" s="115">
        <f t="shared" si="10"/>
        <v>17.76189655262484</v>
      </c>
      <c r="AJ11" s="131">
        <v>135</v>
      </c>
      <c r="AK11" s="115">
        <f t="shared" si="11"/>
        <v>705.25177488363329</v>
      </c>
      <c r="AL11" s="131">
        <v>17.829999999999998</v>
      </c>
      <c r="AM11" s="116"/>
      <c r="AN11" s="135">
        <v>9.39</v>
      </c>
      <c r="AO11" s="466">
        <f t="shared" si="27"/>
        <v>46.759</v>
      </c>
      <c r="AP11" s="110">
        <f t="shared" si="12"/>
        <v>0.19</v>
      </c>
      <c r="AQ11" s="137" t="s">
        <v>215</v>
      </c>
      <c r="AR11" s="150">
        <v>9.69</v>
      </c>
      <c r="AS11" s="138">
        <v>6.95</v>
      </c>
      <c r="AT11" s="131"/>
      <c r="AU11" s="131">
        <v>7.41</v>
      </c>
      <c r="AV11" s="315">
        <v>246.1</v>
      </c>
      <c r="AW11" s="131">
        <v>1.47</v>
      </c>
      <c r="AX11" s="145"/>
      <c r="AY11" s="131"/>
      <c r="AZ11" s="109"/>
      <c r="BA11" s="109">
        <f t="shared" si="13"/>
        <v>191.42100000000002</v>
      </c>
      <c r="BB11" s="115">
        <f t="shared" si="28"/>
        <v>184.45520661642149</v>
      </c>
      <c r="BC11" s="140">
        <f t="shared" si="14"/>
        <v>7.7491901408450703</v>
      </c>
      <c r="BD11" s="141">
        <f t="shared" si="15"/>
        <v>7.6568400000000008</v>
      </c>
      <c r="BE11" s="128">
        <f t="shared" si="16"/>
        <v>0.90596809960214308</v>
      </c>
      <c r="BF11" s="141">
        <f t="shared" si="17"/>
        <v>15.406030140845072</v>
      </c>
      <c r="BG11" s="535">
        <v>0.91300000000000003</v>
      </c>
      <c r="BH11" s="16">
        <f t="shared" si="29"/>
        <v>951.32850000000008</v>
      </c>
      <c r="BI11" s="16">
        <f t="shared" si="18"/>
        <v>187.09677419354838</v>
      </c>
      <c r="BJ11" s="16">
        <f t="shared" si="30"/>
        <v>935.48387096774195</v>
      </c>
      <c r="BK11" s="17">
        <f t="shared" si="19"/>
        <v>1</v>
      </c>
      <c r="BL11" s="16">
        <f t="shared" si="31"/>
        <v>935.48387096774195</v>
      </c>
      <c r="BM11" s="249"/>
      <c r="BN11" s="195">
        <v>54.887</v>
      </c>
      <c r="BO11" s="197">
        <v>191.79300000000001</v>
      </c>
      <c r="BP11" s="197">
        <v>109.608</v>
      </c>
      <c r="BQ11" s="230"/>
      <c r="BR11" s="230">
        <v>54.786000000000001</v>
      </c>
      <c r="BS11" s="250"/>
      <c r="BT11" s="199"/>
      <c r="BU11" s="200"/>
      <c r="BV11" s="200"/>
      <c r="BW11" s="200"/>
      <c r="BX11" s="200">
        <v>0.48</v>
      </c>
      <c r="BY11" s="208"/>
      <c r="BZ11" s="208">
        <v>2.78</v>
      </c>
      <c r="CA11" s="201"/>
      <c r="CB11" s="202"/>
      <c r="CC11" s="200">
        <v>43.93</v>
      </c>
      <c r="CD11" s="200">
        <v>41.66</v>
      </c>
      <c r="CE11" s="200">
        <v>35.08</v>
      </c>
      <c r="CF11" s="200"/>
      <c r="CG11" s="200">
        <v>31.59</v>
      </c>
      <c r="CH11" s="200"/>
      <c r="CI11" s="203"/>
      <c r="CJ11" s="204"/>
      <c r="CK11" s="197"/>
      <c r="CL11" s="230">
        <v>253.07</v>
      </c>
      <c r="CM11" s="198"/>
      <c r="CN11" s="202"/>
      <c r="CO11" s="208"/>
      <c r="CP11" s="208"/>
      <c r="CQ11" s="201"/>
      <c r="CR11" s="201">
        <v>0.8</v>
      </c>
      <c r="CS11" s="284"/>
      <c r="CT11" s="286">
        <f t="shared" si="20"/>
        <v>0</v>
      </c>
      <c r="CU11" s="24">
        <f t="shared" si="20"/>
        <v>54.887</v>
      </c>
      <c r="CV11" s="25">
        <f t="shared" si="20"/>
        <v>191.79300000000001</v>
      </c>
      <c r="CW11" s="24">
        <f t="shared" si="20"/>
        <v>109.0818816</v>
      </c>
      <c r="CX11" s="27">
        <f t="shared" si="20"/>
        <v>0</v>
      </c>
      <c r="CY11" s="24">
        <f t="shared" si="20"/>
        <v>53.262949200000001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253.07</v>
      </c>
      <c r="DD11" s="280">
        <f t="shared" si="21"/>
        <v>0</v>
      </c>
      <c r="DE11" s="508">
        <f t="shared" si="32"/>
        <v>6.7713919999999996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3"/>
        <v>0</v>
      </c>
      <c r="DM11" s="402"/>
    </row>
    <row r="12" spans="1:117" ht="16.5" customHeight="1" thickBot="1">
      <c r="A12" s="534">
        <v>6</v>
      </c>
      <c r="B12" s="103">
        <f>'[1]август 20'!K11</f>
        <v>392.94600000000003</v>
      </c>
      <c r="C12" s="104">
        <f t="shared" si="0"/>
        <v>0.52033042708158372</v>
      </c>
      <c r="D12" s="448">
        <f t="shared" si="1"/>
        <v>390.90138239999999</v>
      </c>
      <c r="E12" s="104">
        <f t="shared" si="2"/>
        <v>39.07897764578339</v>
      </c>
      <c r="F12" s="128">
        <f t="shared" si="3"/>
        <v>2.1801709573699726</v>
      </c>
      <c r="G12" s="106"/>
      <c r="H12" s="107">
        <f t="shared" si="4"/>
        <v>0.89076251279291241</v>
      </c>
      <c r="I12" s="103">
        <f>'[1]сентябрь 20'!AE11</f>
        <v>0</v>
      </c>
      <c r="J12" s="328">
        <f>'[1]август 20'!AA11</f>
        <v>0</v>
      </c>
      <c r="K12" s="106"/>
      <c r="L12" s="328">
        <f>'[1]август 20'!AI11</f>
        <v>231.18899999999999</v>
      </c>
      <c r="M12" s="103">
        <f t="shared" si="5"/>
        <v>1.2894084445770602</v>
      </c>
      <c r="N12" s="103">
        <f>'[1]август 20'!W11</f>
        <v>0</v>
      </c>
      <c r="O12" s="103">
        <f>'[1]август 20'!AM11</f>
        <v>6.5579999999999998</v>
      </c>
      <c r="P12" s="447">
        <f t="shared" si="24"/>
        <v>6.5055360000000002</v>
      </c>
      <c r="Q12" s="103">
        <f t="shared" si="25"/>
        <v>3.6283270635281389E-2</v>
      </c>
      <c r="R12" s="103">
        <f>'[1]август 20'!S11</f>
        <v>245.02699999999999</v>
      </c>
      <c r="S12" s="108">
        <f t="shared" si="6"/>
        <v>1.4598391197704785</v>
      </c>
      <c r="T12" s="109">
        <f t="shared" si="7"/>
        <v>241.45</v>
      </c>
      <c r="U12" s="106">
        <v>4.5579999999999998</v>
      </c>
      <c r="V12" s="109">
        <f t="shared" si="8"/>
        <v>241.45</v>
      </c>
      <c r="W12" s="110">
        <f t="shared" si="9"/>
        <v>1.3466370326578303</v>
      </c>
      <c r="X12" s="110">
        <f t="shared" si="26"/>
        <v>1.3829203032931117</v>
      </c>
      <c r="Y12" s="136"/>
      <c r="Z12" s="130">
        <v>132.75</v>
      </c>
      <c r="AA12" s="131">
        <v>0.76</v>
      </c>
      <c r="AB12" s="112">
        <v>695</v>
      </c>
      <c r="AC12" s="133">
        <v>1233</v>
      </c>
      <c r="AD12" s="144" t="s">
        <v>366</v>
      </c>
      <c r="AE12" s="131">
        <v>74.16</v>
      </c>
      <c r="AF12" s="133">
        <v>131</v>
      </c>
      <c r="AG12" s="134">
        <v>4</v>
      </c>
      <c r="AH12" s="131">
        <v>3.8</v>
      </c>
      <c r="AI12" s="115">
        <f t="shared" si="10"/>
        <v>21.193707699729782</v>
      </c>
      <c r="AJ12" s="131">
        <v>129.80000000000001</v>
      </c>
      <c r="AK12" s="115">
        <f t="shared" si="11"/>
        <v>723.93243669077003</v>
      </c>
      <c r="AL12" s="131">
        <v>18.28</v>
      </c>
      <c r="AM12" s="116"/>
      <c r="AN12" s="135">
        <v>10.29</v>
      </c>
      <c r="AO12" s="466">
        <f t="shared" si="27"/>
        <v>44.051499999999997</v>
      </c>
      <c r="AP12" s="110">
        <f t="shared" si="12"/>
        <v>0.19</v>
      </c>
      <c r="AQ12" s="137" t="s">
        <v>401</v>
      </c>
      <c r="AR12" s="150">
        <v>9.4</v>
      </c>
      <c r="AS12" s="138">
        <v>6.4</v>
      </c>
      <c r="AT12" s="131"/>
      <c r="AU12" s="131">
        <v>7.63</v>
      </c>
      <c r="AV12" s="315">
        <v>231.85</v>
      </c>
      <c r="AW12" s="131">
        <v>1.79</v>
      </c>
      <c r="AX12" s="116"/>
      <c r="AY12" s="131"/>
      <c r="AZ12" s="109"/>
      <c r="BA12" s="109">
        <f t="shared" si="13"/>
        <v>179.29849999999999</v>
      </c>
      <c r="BB12" s="115">
        <f t="shared" si="28"/>
        <v>179.82700962354329</v>
      </c>
      <c r="BC12" s="140">
        <f t="shared" si="14"/>
        <v>7.6719112676056342</v>
      </c>
      <c r="BD12" s="141">
        <f t="shared" si="15"/>
        <v>7.1719399999999993</v>
      </c>
      <c r="BE12" s="128">
        <f t="shared" si="16"/>
        <v>0.87043426250417477</v>
      </c>
      <c r="BF12" s="141">
        <f t="shared" si="17"/>
        <v>14.843851267605633</v>
      </c>
      <c r="BG12" s="535">
        <v>0.90600000000000003</v>
      </c>
      <c r="BH12" s="16">
        <f t="shared" si="29"/>
        <v>1130.627</v>
      </c>
      <c r="BI12" s="16">
        <f t="shared" si="18"/>
        <v>187.09677419354838</v>
      </c>
      <c r="BJ12" s="16">
        <f t="shared" si="30"/>
        <v>1122.5806451612902</v>
      </c>
      <c r="BK12" s="17">
        <f t="shared" si="19"/>
        <v>1</v>
      </c>
      <c r="BL12" s="16">
        <f t="shared" si="31"/>
        <v>1122.5806451612902</v>
      </c>
      <c r="BM12" s="249"/>
      <c r="BN12" s="195">
        <v>50.063000000000002</v>
      </c>
      <c r="BO12" s="271">
        <v>181.126</v>
      </c>
      <c r="BP12" s="197">
        <v>109.40600000000001</v>
      </c>
      <c r="BQ12" s="230"/>
      <c r="BR12" s="230">
        <v>52.350999999999999</v>
      </c>
      <c r="BS12" s="250"/>
      <c r="BT12" s="199"/>
      <c r="BU12" s="200"/>
      <c r="BV12" s="200"/>
      <c r="BW12" s="200"/>
      <c r="BX12" s="200">
        <v>0.73</v>
      </c>
      <c r="BY12" s="208"/>
      <c r="BZ12" s="208">
        <v>2.38</v>
      </c>
      <c r="CA12" s="201"/>
      <c r="CB12" s="202"/>
      <c r="CC12" s="200">
        <v>43.78</v>
      </c>
      <c r="CD12" s="200">
        <v>41.75</v>
      </c>
      <c r="CE12" s="200">
        <v>36.520000000000003</v>
      </c>
      <c r="CF12" s="200"/>
      <c r="CG12" s="200">
        <v>30.69</v>
      </c>
      <c r="CH12" s="200"/>
      <c r="CI12" s="203"/>
      <c r="CJ12" s="204"/>
      <c r="CK12" s="197"/>
      <c r="CL12" s="230">
        <v>241.45</v>
      </c>
      <c r="CM12" s="198"/>
      <c r="CN12" s="202"/>
      <c r="CO12" s="202"/>
      <c r="CP12" s="270"/>
      <c r="CQ12" s="201"/>
      <c r="CR12" s="201">
        <v>0.8</v>
      </c>
      <c r="CS12" s="284"/>
      <c r="CT12" s="286">
        <f t="shared" si="20"/>
        <v>0</v>
      </c>
      <c r="CU12" s="24">
        <f t="shared" si="20"/>
        <v>50.063000000000002</v>
      </c>
      <c r="CV12" s="25">
        <f t="shared" si="20"/>
        <v>181.126</v>
      </c>
      <c r="CW12" s="24">
        <f t="shared" si="20"/>
        <v>108.60733619999999</v>
      </c>
      <c r="CX12" s="27">
        <f t="shared" si="20"/>
        <v>0</v>
      </c>
      <c r="CY12" s="30">
        <f t="shared" si="20"/>
        <v>51.105046200000004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241.45</v>
      </c>
      <c r="DD12" s="280">
        <f t="shared" si="21"/>
        <v>0</v>
      </c>
      <c r="DE12" s="508">
        <f t="shared" si="32"/>
        <v>6.5055360000000002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3"/>
        <v>0</v>
      </c>
    </row>
    <row r="13" spans="1:117" ht="16.5" customHeight="1" thickBot="1">
      <c r="A13" s="534">
        <v>7</v>
      </c>
      <c r="B13" s="103">
        <f>'[1]август 20'!K12</f>
        <v>398.89299999999997</v>
      </c>
      <c r="C13" s="104">
        <f t="shared" si="0"/>
        <v>0.51498935804839896</v>
      </c>
      <c r="D13" s="448">
        <f t="shared" si="1"/>
        <v>396.83874349999996</v>
      </c>
      <c r="E13" s="104">
        <f t="shared" si="2"/>
        <v>39.196179426563013</v>
      </c>
      <c r="F13" s="128">
        <f t="shared" si="3"/>
        <v>2.1866441677732893</v>
      </c>
      <c r="G13" s="106"/>
      <c r="H13" s="107">
        <f t="shared" si="4"/>
        <v>0.95328346732200786</v>
      </c>
      <c r="I13" s="103">
        <f>'[1]сентябрь 20'!AE12</f>
        <v>0</v>
      </c>
      <c r="J13" s="328">
        <f>'[1]август 20'!AA12</f>
        <v>0</v>
      </c>
      <c r="K13" s="106"/>
      <c r="L13" s="328">
        <f>'[1]август 20'!AI12</f>
        <v>223.834</v>
      </c>
      <c r="M13" s="103">
        <f t="shared" si="5"/>
        <v>1.2333607004512817</v>
      </c>
      <c r="N13" s="103">
        <f>'[1]август 20'!W12</f>
        <v>0</v>
      </c>
      <c r="O13" s="103">
        <f>'[1]август 20'!AM12</f>
        <v>6.6539999999999999</v>
      </c>
      <c r="P13" s="447">
        <f t="shared" si="24"/>
        <v>6.6007679999999995</v>
      </c>
      <c r="Q13" s="103">
        <f t="shared" si="25"/>
        <v>3.6371274444438315E-2</v>
      </c>
      <c r="R13" s="103">
        <f>'[1]август 20'!S12</f>
        <v>245.399</v>
      </c>
      <c r="S13" s="108">
        <f t="shared" si="6"/>
        <v>1.470666139633825</v>
      </c>
      <c r="T13" s="109">
        <f t="shared" si="7"/>
        <v>241.79</v>
      </c>
      <c r="U13" s="106">
        <v>22.053999999999998</v>
      </c>
      <c r="V13" s="109">
        <f t="shared" si="8"/>
        <v>241.79</v>
      </c>
      <c r="W13" s="110">
        <f t="shared" si="9"/>
        <v>1.3323010970724527</v>
      </c>
      <c r="X13" s="110">
        <f t="shared" si="26"/>
        <v>1.3686723715168909</v>
      </c>
      <c r="Y13" s="136">
        <v>138.1</v>
      </c>
      <c r="Z13" s="130">
        <v>91.52</v>
      </c>
      <c r="AA13" s="131">
        <v>0.89</v>
      </c>
      <c r="AB13" s="146">
        <v>678</v>
      </c>
      <c r="AC13" s="147">
        <v>1224</v>
      </c>
      <c r="AD13" s="144" t="s">
        <v>377</v>
      </c>
      <c r="AE13" s="131">
        <v>75.19</v>
      </c>
      <c r="AF13" s="133">
        <v>133</v>
      </c>
      <c r="AG13" s="134">
        <v>4</v>
      </c>
      <c r="AH13" s="131">
        <v>3.25</v>
      </c>
      <c r="AI13" s="115">
        <f t="shared" si="10"/>
        <v>17.908013422744826</v>
      </c>
      <c r="AJ13" s="131">
        <v>130.6</v>
      </c>
      <c r="AK13" s="115">
        <f t="shared" si="11"/>
        <v>719.62663169553059</v>
      </c>
      <c r="AL13" s="131">
        <v>18.64</v>
      </c>
      <c r="AM13" s="116"/>
      <c r="AN13" s="135">
        <v>10.67</v>
      </c>
      <c r="AO13" s="466">
        <f t="shared" si="27"/>
        <v>44.517000000000003</v>
      </c>
      <c r="AP13" s="110">
        <f t="shared" si="12"/>
        <v>0.19</v>
      </c>
      <c r="AQ13" s="137" t="s">
        <v>402</v>
      </c>
      <c r="AR13" s="150">
        <v>9.7200000000000006</v>
      </c>
      <c r="AS13" s="138">
        <v>6.53</v>
      </c>
      <c r="AT13" s="131"/>
      <c r="AU13" s="131">
        <v>7.5</v>
      </c>
      <c r="AV13" s="315">
        <v>234.3</v>
      </c>
      <c r="AW13" s="131">
        <v>2.37</v>
      </c>
      <c r="AX13" s="148"/>
      <c r="AY13" s="149"/>
      <c r="AZ13" s="109"/>
      <c r="BA13" s="109">
        <f t="shared" si="13"/>
        <v>181.48300000000003</v>
      </c>
      <c r="BB13" s="115">
        <f t="shared" si="28"/>
        <v>180.59759468341286</v>
      </c>
      <c r="BC13" s="140">
        <f t="shared" si="14"/>
        <v>7.5876760563380277</v>
      </c>
      <c r="BD13" s="141">
        <f t="shared" si="15"/>
        <v>7.2593200000000015</v>
      </c>
      <c r="BE13" s="128">
        <f t="shared" si="16"/>
        <v>0.87728000629097858</v>
      </c>
      <c r="BF13" s="141">
        <f t="shared" si="17"/>
        <v>14.846996056338028</v>
      </c>
      <c r="BG13" s="535">
        <v>0.90200000000000002</v>
      </c>
      <c r="BH13" s="16">
        <f t="shared" si="29"/>
        <v>1312.11</v>
      </c>
      <c r="BI13" s="16">
        <f t="shared" si="18"/>
        <v>187.09677419354838</v>
      </c>
      <c r="BJ13" s="16">
        <f t="shared" si="30"/>
        <v>1309.6774193548385</v>
      </c>
      <c r="BK13" s="17">
        <f t="shared" si="19"/>
        <v>1</v>
      </c>
      <c r="BL13" s="16">
        <f t="shared" si="31"/>
        <v>1309.6774193548385</v>
      </c>
      <c r="BM13" s="249"/>
      <c r="BN13" s="195">
        <v>44.276000000000003</v>
      </c>
      <c r="BO13" s="266">
        <v>179.55799999999999</v>
      </c>
      <c r="BP13" s="196">
        <v>121.97799999999999</v>
      </c>
      <c r="BQ13" s="313"/>
      <c r="BR13" s="230">
        <v>53.081000000000003</v>
      </c>
      <c r="BS13" s="250"/>
      <c r="BT13" s="199"/>
      <c r="BU13" s="200"/>
      <c r="BV13" s="200"/>
      <c r="BW13" s="200"/>
      <c r="BX13" s="200">
        <v>0.47</v>
      </c>
      <c r="BY13" s="208"/>
      <c r="BZ13" s="208">
        <v>2.79</v>
      </c>
      <c r="CA13" s="201"/>
      <c r="CB13" s="202"/>
      <c r="CC13" s="200">
        <v>43.99</v>
      </c>
      <c r="CD13" s="202">
        <v>41.79</v>
      </c>
      <c r="CE13" s="200">
        <v>35.96</v>
      </c>
      <c r="CF13" s="200"/>
      <c r="CG13" s="200">
        <v>33.86</v>
      </c>
      <c r="CH13" s="200"/>
      <c r="CI13" s="203"/>
      <c r="CJ13" s="204"/>
      <c r="CK13" s="197"/>
      <c r="CL13" s="264">
        <v>241.79</v>
      </c>
      <c r="CM13" s="265"/>
      <c r="CN13" s="202"/>
      <c r="CO13" s="202"/>
      <c r="CP13" s="270"/>
      <c r="CQ13" s="201"/>
      <c r="CR13" s="201">
        <v>0.8</v>
      </c>
      <c r="CS13" s="284"/>
      <c r="CT13" s="286">
        <f t="shared" si="20"/>
        <v>0</v>
      </c>
      <c r="CU13" s="24">
        <f t="shared" si="20"/>
        <v>44.276000000000003</v>
      </c>
      <c r="CV13" s="25">
        <f t="shared" si="20"/>
        <v>179.55799999999999</v>
      </c>
      <c r="CW13" s="24">
        <f t="shared" si="20"/>
        <v>121.40470339999999</v>
      </c>
      <c r="CX13" s="27">
        <f t="shared" si="20"/>
        <v>0</v>
      </c>
      <c r="CY13" s="24">
        <f t="shared" si="20"/>
        <v>51.600040100000001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241.79</v>
      </c>
      <c r="DD13" s="280">
        <f t="shared" si="21"/>
        <v>0</v>
      </c>
      <c r="DE13" s="508">
        <f t="shared" si="32"/>
        <v>6.6007679999999995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3"/>
        <v>0</v>
      </c>
    </row>
    <row r="14" spans="1:117" ht="16.5" customHeight="1" thickBot="1">
      <c r="A14" s="534">
        <v>8</v>
      </c>
      <c r="B14" s="103">
        <f>'[1]август 20'!K13</f>
        <v>407.94900000000001</v>
      </c>
      <c r="C14" s="104">
        <f>IF(B14=0,0,(BM14*BU14+BN14*BV14+BP14*BX14+BS14*CA14+BO14*BW14+BR14*BZ14+BQ14*BY14)/B14)</f>
        <v>0.49333098009800247</v>
      </c>
      <c r="D14" s="448">
        <f>B14*((100-C14)/100)</f>
        <v>405.9364612</v>
      </c>
      <c r="E14" s="104">
        <f>IF(B14=0,0,(BM14*CB14+BN14*CC14+BP14*CE14+BS14*CH14+BO14*CD14+BR14*CG14+BQ14*CF14)/B14)</f>
        <v>39.090441452240356</v>
      </c>
      <c r="F14" s="128">
        <f>IF(BA14=0,0,D14/BA14)</f>
        <v>2.241232214750279</v>
      </c>
      <c r="G14" s="106"/>
      <c r="H14" s="107">
        <f>IF(BA14=0,0,(CZ14+CW14+CY14+CT14+CX14)/BA14)</f>
        <v>1.0332011638564063</v>
      </c>
      <c r="I14" s="103">
        <f>'[1]сентябрь 20'!AE13</f>
        <v>0</v>
      </c>
      <c r="J14" s="328">
        <f>'[1]август 20'!AA13</f>
        <v>0</v>
      </c>
      <c r="K14" s="106"/>
      <c r="L14" s="328">
        <f>'[1]август 20'!AI13</f>
        <v>218.80099999999999</v>
      </c>
      <c r="M14" s="103">
        <f>IF(BA14=0,0,(CV14+CU14)/BA14)</f>
        <v>1.2080310508938727</v>
      </c>
      <c r="N14" s="103">
        <f>'[1]август 20'!W13</f>
        <v>0</v>
      </c>
      <c r="O14" s="103">
        <f>'[1]август 20'!AM13</f>
        <v>6.7939999999999996</v>
      </c>
      <c r="P14" s="447">
        <f t="shared" si="24"/>
        <v>6.7396479999999999</v>
      </c>
      <c r="Q14" s="103">
        <f t="shared" si="25"/>
        <v>3.7210543169797154E-2</v>
      </c>
      <c r="R14" s="103">
        <f>'[1]август 20'!S13</f>
        <v>249.93700000000001</v>
      </c>
      <c r="S14" s="108">
        <f>IF(R14=0,0,(1-(V14/R14))*100)</f>
        <v>1.5591929166149932</v>
      </c>
      <c r="T14" s="109">
        <f>R14*((100-S14)/100)</f>
        <v>246.04</v>
      </c>
      <c r="U14" s="106">
        <v>38.423999999999999</v>
      </c>
      <c r="V14" s="109">
        <f>CJ14+CK14+CM14+CL14</f>
        <v>246.04</v>
      </c>
      <c r="W14" s="110">
        <f>IF(BA14=0,0,T14/BA14)</f>
        <v>1.3584213955234594</v>
      </c>
      <c r="X14" s="110">
        <f t="shared" si="26"/>
        <v>1.3956319386932565</v>
      </c>
      <c r="Y14" s="136">
        <v>181.12</v>
      </c>
      <c r="Z14" s="130">
        <v>135.49</v>
      </c>
      <c r="AA14" s="131">
        <v>0.77</v>
      </c>
      <c r="AB14" s="146">
        <v>689</v>
      </c>
      <c r="AC14" s="147">
        <v>1233</v>
      </c>
      <c r="AD14" s="144" t="s">
        <v>318</v>
      </c>
      <c r="AE14" s="131">
        <v>75.900000000000006</v>
      </c>
      <c r="AF14" s="133">
        <v>136</v>
      </c>
      <c r="AG14" s="134">
        <v>4</v>
      </c>
      <c r="AH14" s="131">
        <v>3.35</v>
      </c>
      <c r="AI14" s="115">
        <f t="shared" si="10"/>
        <v>18.495820496681795</v>
      </c>
      <c r="AJ14" s="131">
        <v>131.85</v>
      </c>
      <c r="AK14" s="115">
        <f>IF(BA14=0,0,AJ14/BA14*1000)</f>
        <v>727.96236790671492</v>
      </c>
      <c r="AL14" s="131">
        <v>16.329999999999998</v>
      </c>
      <c r="AM14" s="116"/>
      <c r="AN14" s="135">
        <v>9.0399999999999991</v>
      </c>
      <c r="AO14" s="466">
        <f t="shared" si="27"/>
        <v>43.927999999999997</v>
      </c>
      <c r="AP14" s="110">
        <f>IF(AO14=0,0,AO14/AV14)</f>
        <v>0.19</v>
      </c>
      <c r="AQ14" s="137" t="s">
        <v>403</v>
      </c>
      <c r="AR14" s="150">
        <v>9.31</v>
      </c>
      <c r="AS14" s="138">
        <v>6.87</v>
      </c>
      <c r="AT14" s="131"/>
      <c r="AU14" s="131">
        <v>7.36</v>
      </c>
      <c r="AV14" s="315">
        <v>231.2</v>
      </c>
      <c r="AW14" s="131">
        <v>2.89</v>
      </c>
      <c r="AX14" s="148"/>
      <c r="AY14" s="149"/>
      <c r="AZ14" s="109"/>
      <c r="BA14" s="109">
        <f>AV14-AO14-AN14+AY14+AW14</f>
        <v>181.12199999999999</v>
      </c>
      <c r="BB14" s="115">
        <f>IF(AE14=0,0,((D14*0.97)*(E14/100)*0.9)/(AE14/100))</f>
        <v>182.51606805263469</v>
      </c>
      <c r="BC14" s="140">
        <f>(AJ14*AU14)/100*(55/71)</f>
        <v>7.5173070422535204</v>
      </c>
      <c r="BD14" s="141">
        <f>BA14*$BD$6</f>
        <v>7.2448799999999993</v>
      </c>
      <c r="BE14" s="128">
        <f>IF((D14*E14)=0,0,(BA14*AE14)/(D14*E14))</f>
        <v>0.86633197661479799</v>
      </c>
      <c r="BF14" s="141">
        <f>BC14+BD14</f>
        <v>14.762187042253519</v>
      </c>
      <c r="BG14" s="535">
        <v>0.89700000000000002</v>
      </c>
      <c r="BH14" s="16">
        <f>BH13+BA14</f>
        <v>1493.232</v>
      </c>
      <c r="BI14" s="16">
        <f>IF(A14&lt;=$BG$43,$AV$43,0)</f>
        <v>187.09677419354838</v>
      </c>
      <c r="BJ14" s="16">
        <f>BI14+BJ13</f>
        <v>1496.7741935483868</v>
      </c>
      <c r="BK14" s="17">
        <f>IF(BA14&lt;&gt;0,1,0)</f>
        <v>1</v>
      </c>
      <c r="BL14" s="16">
        <f>BL13+BI14*BK14</f>
        <v>1496.7741935483868</v>
      </c>
      <c r="BM14" s="249"/>
      <c r="BN14" s="195">
        <v>35.109000000000002</v>
      </c>
      <c r="BO14" s="266">
        <v>183.69200000000001</v>
      </c>
      <c r="BP14" s="196">
        <v>134.84399999999999</v>
      </c>
      <c r="BQ14" s="313"/>
      <c r="BR14" s="230">
        <v>54.304000000000002</v>
      </c>
      <c r="BS14" s="250"/>
      <c r="BT14" s="199"/>
      <c r="BU14" s="200"/>
      <c r="BV14" s="200"/>
      <c r="BW14" s="200"/>
      <c r="BX14" s="200">
        <v>0.53</v>
      </c>
      <c r="BY14" s="208"/>
      <c r="BZ14" s="208">
        <v>2.39</v>
      </c>
      <c r="CA14" s="201"/>
      <c r="CB14" s="202"/>
      <c r="CC14" s="200">
        <v>43.9</v>
      </c>
      <c r="CD14" s="202">
        <v>41.74</v>
      </c>
      <c r="CE14" s="200">
        <v>36.75</v>
      </c>
      <c r="CF14" s="200"/>
      <c r="CG14" s="200">
        <v>32.83</v>
      </c>
      <c r="CH14" s="200"/>
      <c r="CI14" s="203"/>
      <c r="CJ14" s="204"/>
      <c r="CK14" s="197"/>
      <c r="CL14" s="264">
        <v>246.04</v>
      </c>
      <c r="CM14" s="265"/>
      <c r="CN14" s="202"/>
      <c r="CO14" s="202"/>
      <c r="CP14" s="270"/>
      <c r="CQ14" s="201"/>
      <c r="CR14" s="201">
        <v>0.8</v>
      </c>
      <c r="CS14" s="284"/>
      <c r="CT14" s="286">
        <f t="shared" si="20"/>
        <v>0</v>
      </c>
      <c r="CU14" s="27">
        <f t="shared" si="20"/>
        <v>35.109000000000002</v>
      </c>
      <c r="CV14" s="28">
        <f t="shared" si="20"/>
        <v>183.69200000000001</v>
      </c>
      <c r="CW14" s="27">
        <f t="shared" si="20"/>
        <v>134.1293268</v>
      </c>
      <c r="CX14" s="27">
        <f t="shared" si="20"/>
        <v>0</v>
      </c>
      <c r="CY14" s="24">
        <f t="shared" si="20"/>
        <v>53.006134400000001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246.04</v>
      </c>
      <c r="DD14" s="280">
        <f t="shared" si="21"/>
        <v>0</v>
      </c>
      <c r="DE14" s="508">
        <f t="shared" si="32"/>
        <v>6.7396479999999999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3"/>
        <v>0</v>
      </c>
    </row>
    <row r="15" spans="1:117" ht="16.5" customHeight="1" thickBot="1">
      <c r="A15" s="536">
        <v>9</v>
      </c>
      <c r="B15" s="103">
        <f>'[1]август 20'!K14</f>
        <v>395.78800000000001</v>
      </c>
      <c r="C15" s="104">
        <f t="shared" si="0"/>
        <v>0.8177176670338665</v>
      </c>
      <c r="D15" s="448">
        <f t="shared" si="1"/>
        <v>392.55157160000005</v>
      </c>
      <c r="E15" s="104">
        <f t="shared" si="2"/>
        <v>38.680321611569823</v>
      </c>
      <c r="F15" s="128">
        <f t="shared" si="3"/>
        <v>2.2053025451746739</v>
      </c>
      <c r="G15" s="106"/>
      <c r="H15" s="107">
        <f t="shared" si="4"/>
        <v>1.0177303906945649</v>
      </c>
      <c r="I15" s="103">
        <f>'[1]сентябрь 20'!AE14</f>
        <v>0</v>
      </c>
      <c r="J15" s="328">
        <f>'[1]август 20'!AA14</f>
        <v>0</v>
      </c>
      <c r="K15" s="106"/>
      <c r="L15" s="328">
        <f>'[1]август 20'!AI14</f>
        <v>211.392</v>
      </c>
      <c r="M15" s="103">
        <f t="shared" si="5"/>
        <v>1.1875721544801086</v>
      </c>
      <c r="N15" s="103">
        <f>'[1]август 20'!W14</f>
        <v>0</v>
      </c>
      <c r="O15" s="103">
        <f>'[1]август 20'!AM14</f>
        <v>6.6470000000000002</v>
      </c>
      <c r="P15" s="447">
        <f t="shared" si="24"/>
        <v>6.5938240000000006</v>
      </c>
      <c r="Q15" s="103">
        <f t="shared" si="25"/>
        <v>3.7043226678127116E-2</v>
      </c>
      <c r="R15" s="103">
        <f>'[1]август 20'!S14</f>
        <v>243.988</v>
      </c>
      <c r="S15" s="108">
        <f t="shared" si="6"/>
        <v>1.8394347262980171</v>
      </c>
      <c r="T15" s="109">
        <f t="shared" si="7"/>
        <v>239.49999999999997</v>
      </c>
      <c r="U15" s="106">
        <v>4.6470000000000002</v>
      </c>
      <c r="V15" s="109">
        <f t="shared" si="8"/>
        <v>239.5</v>
      </c>
      <c r="W15" s="110">
        <f t="shared" si="9"/>
        <v>1.3454791619265911</v>
      </c>
      <c r="X15" s="110">
        <f t="shared" si="26"/>
        <v>1.3825223886047182</v>
      </c>
      <c r="Y15" s="136">
        <v>178</v>
      </c>
      <c r="Z15" s="130">
        <v>178</v>
      </c>
      <c r="AA15" s="131">
        <v>0.79</v>
      </c>
      <c r="AB15" s="112">
        <v>665</v>
      </c>
      <c r="AC15" s="133">
        <v>1236</v>
      </c>
      <c r="AD15" s="144" t="s">
        <v>404</v>
      </c>
      <c r="AE15" s="131">
        <v>77.14</v>
      </c>
      <c r="AF15" s="133">
        <v>133</v>
      </c>
      <c r="AG15" s="134">
        <v>4</v>
      </c>
      <c r="AH15" s="131"/>
      <c r="AI15" s="115">
        <f t="shared" si="10"/>
        <v>0</v>
      </c>
      <c r="AJ15" s="131">
        <v>136.9</v>
      </c>
      <c r="AK15" s="115">
        <f t="shared" si="11"/>
        <v>769.08600111795556</v>
      </c>
      <c r="AL15" s="131">
        <v>21.39</v>
      </c>
      <c r="AM15" s="116"/>
      <c r="AN15" s="135">
        <v>14.45</v>
      </c>
      <c r="AO15" s="466">
        <f t="shared" si="27"/>
        <v>44.716499999999996</v>
      </c>
      <c r="AP15" s="110">
        <f t="shared" si="12"/>
        <v>0.19</v>
      </c>
      <c r="AQ15" s="137" t="s">
        <v>117</v>
      </c>
      <c r="AR15" s="150">
        <v>9.19</v>
      </c>
      <c r="AS15" s="138">
        <v>7.08</v>
      </c>
      <c r="AT15" s="131"/>
      <c r="AU15" s="131">
        <v>8.5</v>
      </c>
      <c r="AV15" s="315">
        <v>235.35</v>
      </c>
      <c r="AW15" s="131">
        <v>1.82</v>
      </c>
      <c r="AX15" s="116"/>
      <c r="AY15" s="131"/>
      <c r="AZ15" s="109"/>
      <c r="BA15" s="109">
        <f t="shared" si="13"/>
        <v>178.0035</v>
      </c>
      <c r="BB15" s="115">
        <f t="shared" si="28"/>
        <v>171.83886915622313</v>
      </c>
      <c r="BC15" s="140">
        <f t="shared" si="14"/>
        <v>9.0141901408450718</v>
      </c>
      <c r="BD15" s="141">
        <f t="shared" si="15"/>
        <v>7.1201400000000001</v>
      </c>
      <c r="BE15" s="128">
        <f t="shared" si="16"/>
        <v>0.90431842494682935</v>
      </c>
      <c r="BF15" s="141">
        <f t="shared" si="17"/>
        <v>16.134330140845073</v>
      </c>
      <c r="BG15" s="535">
        <v>0.89800000000000002</v>
      </c>
      <c r="BH15" s="16">
        <f t="shared" si="29"/>
        <v>1671.2355</v>
      </c>
      <c r="BI15" s="16">
        <f t="shared" si="18"/>
        <v>187.09677419354838</v>
      </c>
      <c r="BJ15" s="16">
        <f t="shared" si="30"/>
        <v>1683.8709677419351</v>
      </c>
      <c r="BK15" s="17">
        <f t="shared" si="19"/>
        <v>1</v>
      </c>
      <c r="BL15" s="16">
        <f t="shared" si="31"/>
        <v>1683.8709677419351</v>
      </c>
      <c r="BM15" s="249"/>
      <c r="BN15" s="195">
        <v>33.215000000000003</v>
      </c>
      <c r="BO15" s="197">
        <v>178.17699999999999</v>
      </c>
      <c r="BP15" s="197">
        <v>131.208</v>
      </c>
      <c r="BQ15" s="230"/>
      <c r="BR15" s="195">
        <v>53.188000000000002</v>
      </c>
      <c r="BS15" s="329"/>
      <c r="BT15" s="199"/>
      <c r="BU15" s="200"/>
      <c r="BV15" s="200"/>
      <c r="BW15" s="200"/>
      <c r="BX15" s="200">
        <v>1.06</v>
      </c>
      <c r="BY15" s="208"/>
      <c r="BZ15" s="208">
        <v>3.47</v>
      </c>
      <c r="CA15" s="330"/>
      <c r="CB15" s="202"/>
      <c r="CC15" s="200">
        <v>43.71</v>
      </c>
      <c r="CD15" s="200">
        <v>41.68</v>
      </c>
      <c r="CE15" s="200">
        <v>35.770000000000003</v>
      </c>
      <c r="CF15" s="200"/>
      <c r="CG15" s="200">
        <v>32.67</v>
      </c>
      <c r="CH15" s="200"/>
      <c r="CI15" s="203"/>
      <c r="CJ15" s="204"/>
      <c r="CK15" s="230"/>
      <c r="CL15" s="266">
        <v>239.5</v>
      </c>
      <c r="CM15" s="265"/>
      <c r="CN15" s="202"/>
      <c r="CO15" s="208"/>
      <c r="CP15" s="208"/>
      <c r="CQ15" s="201"/>
      <c r="CR15" s="201">
        <v>0.8</v>
      </c>
      <c r="CS15" s="284"/>
      <c r="CT15" s="286">
        <f t="shared" si="20"/>
        <v>0</v>
      </c>
      <c r="CU15" s="29">
        <f t="shared" si="20"/>
        <v>33.215000000000003</v>
      </c>
      <c r="CV15" s="30">
        <f t="shared" si="20"/>
        <v>178.17699999999999</v>
      </c>
      <c r="CW15" s="29">
        <f t="shared" si="20"/>
        <v>129.81719519999999</v>
      </c>
      <c r="CX15" s="27">
        <f t="shared" si="20"/>
        <v>0</v>
      </c>
      <c r="CY15" s="24">
        <f t="shared" si="20"/>
        <v>51.342376400000006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239.5</v>
      </c>
      <c r="DD15" s="280">
        <f t="shared" si="21"/>
        <v>0</v>
      </c>
      <c r="DE15" s="508">
        <f t="shared" si="32"/>
        <v>6.5938240000000006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3"/>
        <v>0</v>
      </c>
    </row>
    <row r="16" spans="1:117" ht="16.5" customHeight="1" thickBot="1">
      <c r="A16" s="534">
        <v>10</v>
      </c>
      <c r="B16" s="103">
        <f>'[1]август 20'!K15</f>
        <v>428.68</v>
      </c>
      <c r="C16" s="104">
        <f t="shared" si="0"/>
        <v>1.6290775636838666</v>
      </c>
      <c r="D16" s="448">
        <f t="shared" si="1"/>
        <v>421.69647029999999</v>
      </c>
      <c r="E16" s="104">
        <f t="shared" si="2"/>
        <v>39.566472660259393</v>
      </c>
      <c r="F16" s="128">
        <f t="shared" si="3"/>
        <v>2.2586425551743812</v>
      </c>
      <c r="G16" s="106"/>
      <c r="H16" s="107">
        <f t="shared" si="4"/>
        <v>1.0014888328285223</v>
      </c>
      <c r="I16" s="103">
        <f>'[1]сентябрь 20'!AE15</f>
        <v>0</v>
      </c>
      <c r="J16" s="328">
        <f>'[1]август 20'!AA15</f>
        <v>0</v>
      </c>
      <c r="K16" s="106"/>
      <c r="L16" s="328">
        <f>'[1]август 20'!AI15</f>
        <v>234.715</v>
      </c>
      <c r="M16" s="103">
        <f t="shared" si="5"/>
        <v>1.2571537223458589</v>
      </c>
      <c r="N16" s="103">
        <f>'[1]август 20'!W15</f>
        <v>0</v>
      </c>
      <c r="O16" s="103">
        <f>'[1]август 20'!AM15</f>
        <v>7.1630000000000003</v>
      </c>
      <c r="P16" s="447">
        <f t="shared" si="24"/>
        <v>7.105696</v>
      </c>
      <c r="Q16" s="103">
        <f t="shared" si="25"/>
        <v>3.805871877067115E-2</v>
      </c>
      <c r="R16" s="103">
        <f>'[1]август 20'!S15</f>
        <v>264.91000000000003</v>
      </c>
      <c r="S16" s="108">
        <f t="shared" si="6"/>
        <v>2.0157789437922458</v>
      </c>
      <c r="T16" s="109">
        <f t="shared" si="7"/>
        <v>259.57</v>
      </c>
      <c r="U16" s="566">
        <v>4.9020000000000001</v>
      </c>
      <c r="V16" s="109">
        <f t="shared" si="8"/>
        <v>259.57</v>
      </c>
      <c r="W16" s="110">
        <f t="shared" si="9"/>
        <v>1.3902792395429118</v>
      </c>
      <c r="X16" s="110">
        <f t="shared" si="26"/>
        <v>1.4283379583135829</v>
      </c>
      <c r="Y16" s="136">
        <v>186.7</v>
      </c>
      <c r="Z16" s="130">
        <v>186.7</v>
      </c>
      <c r="AA16" s="131">
        <v>0.6</v>
      </c>
      <c r="AB16" s="112">
        <v>626</v>
      </c>
      <c r="AC16" s="133">
        <v>1230</v>
      </c>
      <c r="AD16" s="144" t="s">
        <v>332</v>
      </c>
      <c r="AE16" s="131">
        <v>77.67</v>
      </c>
      <c r="AF16" s="133">
        <v>143</v>
      </c>
      <c r="AG16" s="134">
        <v>4</v>
      </c>
      <c r="AH16" s="131">
        <v>4.05</v>
      </c>
      <c r="AI16" s="115">
        <f t="shared" si="10"/>
        <v>21.692148245747941</v>
      </c>
      <c r="AJ16" s="131">
        <v>137.35</v>
      </c>
      <c r="AK16" s="115">
        <f t="shared" si="11"/>
        <v>735.65841026011844</v>
      </c>
      <c r="AL16" s="139">
        <v>18.47</v>
      </c>
      <c r="AM16" s="131"/>
      <c r="AN16" s="136">
        <v>12.08</v>
      </c>
      <c r="AO16" s="466">
        <f t="shared" si="27"/>
        <v>45.476500000000001</v>
      </c>
      <c r="AP16" s="110">
        <f t="shared" si="12"/>
        <v>0.19</v>
      </c>
      <c r="AQ16" s="137" t="s">
        <v>242</v>
      </c>
      <c r="AR16" s="150">
        <v>8.68</v>
      </c>
      <c r="AS16" s="138">
        <v>6.97</v>
      </c>
      <c r="AT16" s="131"/>
      <c r="AU16" s="131">
        <v>7.83</v>
      </c>
      <c r="AV16" s="315">
        <v>239.35</v>
      </c>
      <c r="AW16" s="131">
        <v>4.91</v>
      </c>
      <c r="AX16" s="116"/>
      <c r="AY16" s="131"/>
      <c r="AZ16" s="109"/>
      <c r="BA16" s="109">
        <f t="shared" si="13"/>
        <v>186.70349999999996</v>
      </c>
      <c r="BB16" s="115">
        <f t="shared" si="28"/>
        <v>187.53755048854288</v>
      </c>
      <c r="BC16" s="140">
        <f t="shared" si="14"/>
        <v>8.3309545774647891</v>
      </c>
      <c r="BD16" s="141">
        <f t="shared" si="15"/>
        <v>7.4681399999999982</v>
      </c>
      <c r="BE16" s="128">
        <f t="shared" si="16"/>
        <v>0.86911743848311351</v>
      </c>
      <c r="BF16" s="141">
        <f t="shared" si="17"/>
        <v>15.799094577464787</v>
      </c>
      <c r="BG16" s="535">
        <v>0.89500000000000002</v>
      </c>
      <c r="BH16" s="16">
        <f t="shared" si="29"/>
        <v>1857.9389999999999</v>
      </c>
      <c r="BI16" s="16">
        <f t="shared" si="18"/>
        <v>187.09677419354838</v>
      </c>
      <c r="BJ16" s="16">
        <f t="shared" si="30"/>
        <v>1870.9677419354834</v>
      </c>
      <c r="BK16" s="17">
        <f t="shared" si="19"/>
        <v>1</v>
      </c>
      <c r="BL16" s="16">
        <f t="shared" si="31"/>
        <v>1870.9677419354834</v>
      </c>
      <c r="BM16" s="249"/>
      <c r="BN16" s="195">
        <v>41.640999999999998</v>
      </c>
      <c r="BO16" s="195">
        <v>193.07400000000001</v>
      </c>
      <c r="BP16" s="197">
        <v>136.79300000000001</v>
      </c>
      <c r="BQ16" s="230"/>
      <c r="BR16" s="230">
        <v>57.171999999999997</v>
      </c>
      <c r="BS16" s="250"/>
      <c r="BT16" s="199"/>
      <c r="BU16" s="200"/>
      <c r="BV16" s="200"/>
      <c r="BW16" s="200"/>
      <c r="BX16" s="200">
        <v>2.0499999999999998</v>
      </c>
      <c r="BY16" s="208"/>
      <c r="BZ16" s="208">
        <v>7.31</v>
      </c>
      <c r="CA16" s="201"/>
      <c r="CB16" s="202"/>
      <c r="CC16" s="200">
        <v>44.16</v>
      </c>
      <c r="CD16" s="200">
        <v>41.76</v>
      </c>
      <c r="CE16" s="200">
        <v>35.94</v>
      </c>
      <c r="CF16" s="200"/>
      <c r="CG16" s="200">
        <v>37.49</v>
      </c>
      <c r="CH16" s="200"/>
      <c r="CI16" s="203"/>
      <c r="CJ16" s="204"/>
      <c r="CK16" s="230"/>
      <c r="CL16" s="266">
        <v>259.57</v>
      </c>
      <c r="CM16" s="265"/>
      <c r="CN16" s="202"/>
      <c r="CO16" s="208"/>
      <c r="CP16" s="208"/>
      <c r="CQ16" s="201"/>
      <c r="CR16" s="201">
        <v>0.8</v>
      </c>
      <c r="CS16" s="284"/>
      <c r="CT16" s="286">
        <f t="shared" si="20"/>
        <v>0</v>
      </c>
      <c r="CU16" s="24">
        <f t="shared" si="20"/>
        <v>41.640999999999998</v>
      </c>
      <c r="CV16" s="25">
        <f t="shared" si="20"/>
        <v>193.07400000000001</v>
      </c>
      <c r="CW16" s="24">
        <f t="shared" si="20"/>
        <v>133.9887435</v>
      </c>
      <c r="CX16" s="27">
        <f t="shared" si="20"/>
        <v>0</v>
      </c>
      <c r="CY16" s="24">
        <f t="shared" si="20"/>
        <v>52.992726799999993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259.57</v>
      </c>
      <c r="DD16" s="280">
        <f t="shared" si="21"/>
        <v>0</v>
      </c>
      <c r="DE16" s="508">
        <f t="shared" si="32"/>
        <v>7.105696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3"/>
        <v>0</v>
      </c>
    </row>
    <row r="17" spans="1:115" ht="16.5" customHeight="1" thickBot="1">
      <c r="A17" s="534">
        <v>11</v>
      </c>
      <c r="B17" s="103">
        <f>'[1]август 20'!K16</f>
        <v>399.06099999999998</v>
      </c>
      <c r="C17" s="104">
        <f t="shared" si="0"/>
        <v>0.88933772029840064</v>
      </c>
      <c r="D17" s="448">
        <f t="shared" si="1"/>
        <v>395.512</v>
      </c>
      <c r="E17" s="104">
        <f t="shared" si="2"/>
        <v>39.435601875402511</v>
      </c>
      <c r="F17" s="128">
        <f t="shared" si="3"/>
        <v>2.1428196049854935</v>
      </c>
      <c r="G17" s="106"/>
      <c r="H17" s="107">
        <f t="shared" si="4"/>
        <v>0.91779244807680316</v>
      </c>
      <c r="I17" s="103">
        <f>'[1]сентябрь 20'!AE16</f>
        <v>0</v>
      </c>
      <c r="J17" s="328">
        <f>'[1]август 20'!AA16</f>
        <v>6.7069999999999999</v>
      </c>
      <c r="K17" s="106"/>
      <c r="L17" s="328">
        <f>'[1]август 20'!AI16</f>
        <v>226.11</v>
      </c>
      <c r="M17" s="103">
        <f t="shared" si="5"/>
        <v>1.2250271569086906</v>
      </c>
      <c r="N17" s="103">
        <f>'[1]август 20'!W16</f>
        <v>0</v>
      </c>
      <c r="O17" s="103">
        <f>'[1]август 20'!AM16</f>
        <v>6.65</v>
      </c>
      <c r="P17" s="447">
        <f t="shared" si="24"/>
        <v>6.5968</v>
      </c>
      <c r="Q17" s="103">
        <f t="shared" si="25"/>
        <v>3.5740388079674709E-2</v>
      </c>
      <c r="R17" s="103">
        <f>'[1]август 20'!S16</f>
        <v>250.93899999999999</v>
      </c>
      <c r="S17" s="108">
        <f t="shared" si="6"/>
        <v>2.4782915369870762</v>
      </c>
      <c r="T17" s="109">
        <f t="shared" si="7"/>
        <v>244.72</v>
      </c>
      <c r="U17" s="566">
        <v>12.272</v>
      </c>
      <c r="V17" s="109">
        <f t="shared" si="8"/>
        <v>244.72</v>
      </c>
      <c r="W17" s="110">
        <f t="shared" si="9"/>
        <v>1.3258531061814813</v>
      </c>
      <c r="X17" s="110">
        <f t="shared" si="26"/>
        <v>1.3615934942611561</v>
      </c>
      <c r="Y17" s="136">
        <v>184.58</v>
      </c>
      <c r="Z17" s="130">
        <v>184.58</v>
      </c>
      <c r="AA17" s="131">
        <v>0.59</v>
      </c>
      <c r="AB17" s="112">
        <v>656</v>
      </c>
      <c r="AC17" s="133">
        <v>1229</v>
      </c>
      <c r="AD17" s="144" t="s">
        <v>405</v>
      </c>
      <c r="AE17" s="131">
        <v>76.45</v>
      </c>
      <c r="AF17" s="133">
        <v>133</v>
      </c>
      <c r="AG17" s="134">
        <v>4</v>
      </c>
      <c r="AH17" s="131">
        <v>2.95</v>
      </c>
      <c r="AI17" s="115">
        <f t="shared" si="10"/>
        <v>15.982619578438092</v>
      </c>
      <c r="AJ17" s="131">
        <v>125.35</v>
      </c>
      <c r="AK17" s="115">
        <f t="shared" si="11"/>
        <v>679.12588615498805</v>
      </c>
      <c r="AL17" s="139">
        <v>20.68</v>
      </c>
      <c r="AM17" s="131"/>
      <c r="AN17" s="136">
        <v>10.029999999999999</v>
      </c>
      <c r="AO17" s="466">
        <f t="shared" si="27"/>
        <v>44.944500000000005</v>
      </c>
      <c r="AP17" s="110">
        <f t="shared" si="12"/>
        <v>0.19</v>
      </c>
      <c r="AQ17" s="137" t="s">
        <v>406</v>
      </c>
      <c r="AR17" s="150">
        <v>9.3000000000000007</v>
      </c>
      <c r="AS17" s="138">
        <v>6.97</v>
      </c>
      <c r="AT17" s="131"/>
      <c r="AU17" s="131">
        <v>5.79</v>
      </c>
      <c r="AV17" s="315">
        <v>236.55</v>
      </c>
      <c r="AW17" s="131">
        <v>3</v>
      </c>
      <c r="AX17" s="116"/>
      <c r="AY17" s="131"/>
      <c r="AZ17" s="109"/>
      <c r="BA17" s="109">
        <f t="shared" si="13"/>
        <v>184.57550000000001</v>
      </c>
      <c r="BB17" s="115">
        <f t="shared" si="28"/>
        <v>178.10860091940199</v>
      </c>
      <c r="BC17" s="140">
        <f t="shared" si="14"/>
        <v>5.6222123239436614</v>
      </c>
      <c r="BD17" s="141">
        <f t="shared" si="15"/>
        <v>7.3830200000000001</v>
      </c>
      <c r="BE17" s="128">
        <f t="shared" si="16"/>
        <v>0.90469753099075101</v>
      </c>
      <c r="BF17" s="141">
        <f t="shared" si="17"/>
        <v>13.005232323943662</v>
      </c>
      <c r="BG17" s="535">
        <v>0.89600000000000002</v>
      </c>
      <c r="BH17" s="16">
        <f t="shared" si="29"/>
        <v>2042.5144999999998</v>
      </c>
      <c r="BI17" s="16">
        <f t="shared" si="18"/>
        <v>187.09677419354838</v>
      </c>
      <c r="BJ17" s="16">
        <f t="shared" si="30"/>
        <v>2058.0645161290317</v>
      </c>
      <c r="BK17" s="17">
        <f t="shared" si="19"/>
        <v>1</v>
      </c>
      <c r="BL17" s="16">
        <f t="shared" si="31"/>
        <v>2058.0645161290317</v>
      </c>
      <c r="BM17" s="249"/>
      <c r="BN17" s="195">
        <v>53.161999999999999</v>
      </c>
      <c r="BO17" s="195">
        <v>172.94800000000001</v>
      </c>
      <c r="BP17" s="197">
        <v>146.27500000000001</v>
      </c>
      <c r="BQ17" s="230"/>
      <c r="BR17" s="230">
        <v>26.675999999999998</v>
      </c>
      <c r="BS17" s="250"/>
      <c r="BT17" s="199"/>
      <c r="BU17" s="200"/>
      <c r="BV17" s="200"/>
      <c r="BW17" s="200"/>
      <c r="BX17" s="200">
        <v>1.56</v>
      </c>
      <c r="BY17" s="208"/>
      <c r="BZ17" s="208">
        <v>4.75</v>
      </c>
      <c r="CA17" s="201"/>
      <c r="CB17" s="202"/>
      <c r="CC17" s="200">
        <v>43.81</v>
      </c>
      <c r="CD17" s="200">
        <v>41.6</v>
      </c>
      <c r="CE17" s="200">
        <v>35.74</v>
      </c>
      <c r="CF17" s="208"/>
      <c r="CG17" s="208">
        <v>36.950000000000003</v>
      </c>
      <c r="CH17" s="201"/>
      <c r="CI17" s="199"/>
      <c r="CJ17" s="197"/>
      <c r="CK17" s="244"/>
      <c r="CL17" s="266">
        <v>244.72</v>
      </c>
      <c r="CM17" s="265"/>
      <c r="CN17" s="231"/>
      <c r="CO17" s="208"/>
      <c r="CP17" s="208"/>
      <c r="CQ17" s="201"/>
      <c r="CR17" s="201">
        <v>0.8</v>
      </c>
      <c r="CS17" s="284"/>
      <c r="CT17" s="286">
        <f t="shared" si="20"/>
        <v>0</v>
      </c>
      <c r="CU17" s="24">
        <f t="shared" si="20"/>
        <v>53.161999999999999</v>
      </c>
      <c r="CV17" s="25">
        <f t="shared" si="20"/>
        <v>172.94800000000001</v>
      </c>
      <c r="CW17" s="24">
        <f t="shared" si="20"/>
        <v>143.99311</v>
      </c>
      <c r="CX17" s="27">
        <f t="shared" si="20"/>
        <v>0</v>
      </c>
      <c r="CY17" s="27">
        <f t="shared" si="20"/>
        <v>25.40889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244.72</v>
      </c>
      <c r="DD17" s="280">
        <f t="shared" si="21"/>
        <v>0</v>
      </c>
      <c r="DE17" s="508">
        <f t="shared" si="32"/>
        <v>6.5968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3"/>
        <v>0</v>
      </c>
    </row>
    <row r="18" spans="1:115" ht="16.5" customHeight="1" thickBot="1">
      <c r="A18" s="534">
        <v>12</v>
      </c>
      <c r="B18" s="103">
        <f>'[1]август 20'!K17</f>
        <v>156.03700000000001</v>
      </c>
      <c r="C18" s="104">
        <f t="shared" si="0"/>
        <v>0.92727506937457138</v>
      </c>
      <c r="D18" s="143">
        <f t="shared" si="1"/>
        <v>154.5901078</v>
      </c>
      <c r="E18" s="104">
        <f t="shared" si="2"/>
        <v>39.504645693008712</v>
      </c>
      <c r="F18" s="128">
        <f t="shared" si="3"/>
        <v>2.0345890130427344</v>
      </c>
      <c r="G18" s="106"/>
      <c r="H18" s="107">
        <f t="shared" si="4"/>
        <v>0.87100864426632985</v>
      </c>
      <c r="I18" s="103">
        <f>'[1]сентябрь 20'!AE17</f>
        <v>0</v>
      </c>
      <c r="J18" s="328">
        <f>'[1]август 20'!AA17</f>
        <v>2.5840000000000001</v>
      </c>
      <c r="K18" s="106"/>
      <c r="L18" s="328">
        <f>'[1]август 20'!AI17</f>
        <v>88.41</v>
      </c>
      <c r="M18" s="103">
        <f t="shared" si="5"/>
        <v>1.1635803687764046</v>
      </c>
      <c r="N18" s="103">
        <f>'[1]август 20'!W17</f>
        <v>0</v>
      </c>
      <c r="O18" s="103">
        <f>'[1]август 20'!AM17</f>
        <v>2.6040000000000001</v>
      </c>
      <c r="P18" s="447">
        <f t="shared" si="24"/>
        <v>2.5831680000000001</v>
      </c>
      <c r="Q18" s="103">
        <f t="shared" si="25"/>
        <v>3.3997552019583849E-2</v>
      </c>
      <c r="R18" s="103">
        <f>'[1]август 20'!S17</f>
        <v>108.592</v>
      </c>
      <c r="S18" s="108">
        <f t="shared" si="6"/>
        <v>3.4367172535730073</v>
      </c>
      <c r="T18" s="109">
        <f t="shared" si="7"/>
        <v>104.86</v>
      </c>
      <c r="U18" s="566">
        <v>16.853999999999999</v>
      </c>
      <c r="V18" s="109">
        <f t="shared" si="8"/>
        <v>104.86</v>
      </c>
      <c r="W18" s="110">
        <f t="shared" si="9"/>
        <v>1.3800818625709059</v>
      </c>
      <c r="X18" s="110">
        <f t="shared" si="26"/>
        <v>1.4140794145904898</v>
      </c>
      <c r="Y18" s="136">
        <v>75.98</v>
      </c>
      <c r="Z18" s="130">
        <v>75.98</v>
      </c>
      <c r="AA18" s="131">
        <v>0.41</v>
      </c>
      <c r="AB18" s="112">
        <v>625</v>
      </c>
      <c r="AC18" s="133">
        <v>1139</v>
      </c>
      <c r="AD18" s="144" t="s">
        <v>407</v>
      </c>
      <c r="AE18" s="131">
        <v>76.48</v>
      </c>
      <c r="AF18" s="133">
        <v>54</v>
      </c>
      <c r="AG18" s="134">
        <v>2</v>
      </c>
      <c r="AH18" s="131"/>
      <c r="AI18" s="115">
        <f t="shared" si="10"/>
        <v>0</v>
      </c>
      <c r="AJ18" s="131">
        <v>60.75</v>
      </c>
      <c r="AK18" s="115">
        <f t="shared" si="11"/>
        <v>799.54199076084819</v>
      </c>
      <c r="AL18" s="139">
        <v>9.4600000000000009</v>
      </c>
      <c r="AM18" s="131"/>
      <c r="AN18" s="136">
        <v>6.6</v>
      </c>
      <c r="AO18" s="466">
        <f t="shared" si="27"/>
        <v>19.018999999999998</v>
      </c>
      <c r="AP18" s="110">
        <f t="shared" si="12"/>
        <v>0.19</v>
      </c>
      <c r="AQ18" s="137" t="s">
        <v>215</v>
      </c>
      <c r="AR18" s="150">
        <v>8.02</v>
      </c>
      <c r="AS18" s="138">
        <v>7.25</v>
      </c>
      <c r="AT18" s="131"/>
      <c r="AU18" s="131">
        <v>7.38</v>
      </c>
      <c r="AV18" s="315">
        <v>100.1</v>
      </c>
      <c r="AW18" s="131">
        <v>1.5</v>
      </c>
      <c r="AX18" s="116"/>
      <c r="AY18" s="131"/>
      <c r="AZ18" s="109">
        <f t="shared" ref="AZ18:AZ37" si="34">IF(BA18=0,0,AY18/BA18*100)</f>
        <v>0</v>
      </c>
      <c r="BA18" s="109">
        <f t="shared" si="13"/>
        <v>75.980999999999995</v>
      </c>
      <c r="BB18" s="115">
        <f>IF(AE18=0,0,((D18*0.97)*(E18/100)*0.9)/(AE18/100))</f>
        <v>69.710185040207605</v>
      </c>
      <c r="BC18" s="140">
        <f t="shared" si="14"/>
        <v>3.4730176056338022</v>
      </c>
      <c r="BD18" s="141">
        <f t="shared" si="15"/>
        <v>3.0392399999999999</v>
      </c>
      <c r="BE18" s="128">
        <f t="shared" si="16"/>
        <v>0.95153115662712984</v>
      </c>
      <c r="BF18" s="141">
        <f t="shared" si="17"/>
        <v>6.5122576056338026</v>
      </c>
      <c r="BG18" s="535">
        <v>0.89800000000000002</v>
      </c>
      <c r="BH18" s="16">
        <f t="shared" si="29"/>
        <v>2118.4955</v>
      </c>
      <c r="BI18" s="16">
        <f t="shared" si="18"/>
        <v>187.09677419354838</v>
      </c>
      <c r="BJ18" s="16">
        <f t="shared" si="30"/>
        <v>2245.16129032258</v>
      </c>
      <c r="BK18" s="17">
        <f t="shared" si="19"/>
        <v>1</v>
      </c>
      <c r="BL18" s="16">
        <f t="shared" si="31"/>
        <v>2245.16129032258</v>
      </c>
      <c r="BM18" s="249"/>
      <c r="BN18" s="195">
        <v>20.808</v>
      </c>
      <c r="BO18" s="195">
        <v>67.602000000000004</v>
      </c>
      <c r="BP18" s="197">
        <v>57.186</v>
      </c>
      <c r="BQ18" s="230"/>
      <c r="BR18" s="230">
        <v>10.441000000000001</v>
      </c>
      <c r="BS18" s="250"/>
      <c r="BT18" s="199"/>
      <c r="BU18" s="200"/>
      <c r="BV18" s="200"/>
      <c r="BW18" s="200"/>
      <c r="BX18" s="200">
        <v>1.84</v>
      </c>
      <c r="BY18" s="208"/>
      <c r="BZ18" s="208">
        <v>3.78</v>
      </c>
      <c r="CA18" s="201"/>
      <c r="CB18" s="202"/>
      <c r="CC18" s="200">
        <v>44</v>
      </c>
      <c r="CD18" s="200">
        <v>41.44</v>
      </c>
      <c r="CE18" s="200">
        <v>36.21</v>
      </c>
      <c r="CF18" s="208"/>
      <c r="CG18" s="208">
        <v>36.06</v>
      </c>
      <c r="CH18" s="209"/>
      <c r="CI18" s="199"/>
      <c r="CJ18" s="197"/>
      <c r="CK18" s="268"/>
      <c r="CL18" s="289">
        <v>104.86</v>
      </c>
      <c r="CM18" s="267"/>
      <c r="CN18" s="202"/>
      <c r="CO18" s="208"/>
      <c r="CP18" s="208"/>
      <c r="CQ18" s="201"/>
      <c r="CR18" s="201">
        <v>0.8</v>
      </c>
      <c r="CS18" s="284"/>
      <c r="CT18" s="286">
        <f t="shared" si="20"/>
        <v>0</v>
      </c>
      <c r="CU18" s="24">
        <f t="shared" si="20"/>
        <v>20.808</v>
      </c>
      <c r="CV18" s="25">
        <f t="shared" si="20"/>
        <v>67.602000000000004</v>
      </c>
      <c r="CW18" s="24">
        <f t="shared" si="20"/>
        <v>56.133777599999995</v>
      </c>
      <c r="CX18" s="27">
        <f t="shared" si="20"/>
        <v>0</v>
      </c>
      <c r="CY18" s="30">
        <f t="shared" si="20"/>
        <v>10.0463302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104.86</v>
      </c>
      <c r="DD18" s="280">
        <f t="shared" si="21"/>
        <v>0</v>
      </c>
      <c r="DE18" s="508">
        <f t="shared" si="32"/>
        <v>2.5831680000000001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3"/>
        <v>0</v>
      </c>
    </row>
    <row r="19" spans="1:115" ht="16.5" customHeight="1" thickBot="1">
      <c r="A19" s="534">
        <v>13</v>
      </c>
      <c r="B19" s="103">
        <f>'[1]август 20'!K18</f>
        <v>393.36500000000001</v>
      </c>
      <c r="C19" s="104">
        <f t="shared" si="0"/>
        <v>0.5602385824870032</v>
      </c>
      <c r="D19" s="143">
        <f t="shared" si="1"/>
        <v>391.16121750000002</v>
      </c>
      <c r="E19" s="104">
        <f>IF(B19=0,0,(BM19*CB19+BN19*CC19+BP19*CE19+BS19*CH19+BO19*CD19+BR19*CG19+BQ19*CF19)/B19)</f>
        <v>39.200587469652866</v>
      </c>
      <c r="F19" s="128">
        <f t="shared" si="3"/>
        <v>1.9261245088190979</v>
      </c>
      <c r="G19" s="106"/>
      <c r="H19" s="107">
        <f t="shared" si="4"/>
        <v>0.82955268069055843</v>
      </c>
      <c r="I19" s="103">
        <f>'[1]сентябрь 20'!AE18</f>
        <v>0</v>
      </c>
      <c r="J19" s="328">
        <f>'[1]август 20'!AA18</f>
        <v>6.5890000000000004</v>
      </c>
      <c r="K19" s="106"/>
      <c r="L19" s="328">
        <f>'[1]август 20'!AI18</f>
        <v>222.69399999999999</v>
      </c>
      <c r="M19" s="103">
        <f t="shared" si="5"/>
        <v>1.0965718281285393</v>
      </c>
      <c r="N19" s="103">
        <f>'[1]август 20'!W18</f>
        <v>0</v>
      </c>
      <c r="O19" s="103">
        <f>'[1]август 20'!AM18</f>
        <v>6.5419999999999998</v>
      </c>
      <c r="P19" s="447">
        <f t="shared" si="24"/>
        <v>6.4896639999999994</v>
      </c>
      <c r="Q19" s="103">
        <f t="shared" si="25"/>
        <v>3.1955879890881514E-2</v>
      </c>
      <c r="R19" s="103">
        <f>'[1]август 20'!S18</f>
        <v>254.15</v>
      </c>
      <c r="S19" s="108">
        <f t="shared" si="6"/>
        <v>3.0965964981310212</v>
      </c>
      <c r="T19" s="109">
        <f t="shared" si="7"/>
        <v>246.28</v>
      </c>
      <c r="U19" s="566">
        <v>4.4130000000000003</v>
      </c>
      <c r="V19" s="109">
        <f t="shared" si="8"/>
        <v>246.28</v>
      </c>
      <c r="W19" s="110">
        <f t="shared" si="9"/>
        <v>1.2127121064397632</v>
      </c>
      <c r="X19" s="110">
        <f t="shared" si="26"/>
        <v>1.2446679863306447</v>
      </c>
      <c r="Y19" s="136">
        <v>171.97</v>
      </c>
      <c r="Z19" s="130">
        <v>122.75</v>
      </c>
      <c r="AA19" s="131">
        <v>0.94</v>
      </c>
      <c r="AB19" s="112">
        <v>677</v>
      </c>
      <c r="AC19" s="133">
        <v>1187</v>
      </c>
      <c r="AD19" s="144" t="s">
        <v>408</v>
      </c>
      <c r="AE19" s="131">
        <v>75.87</v>
      </c>
      <c r="AF19" s="133">
        <v>131</v>
      </c>
      <c r="AG19" s="134">
        <v>5</v>
      </c>
      <c r="AH19" s="131">
        <v>2.1</v>
      </c>
      <c r="AI19" s="115">
        <f t="shared" si="10"/>
        <v>10.340650574644727</v>
      </c>
      <c r="AJ19" s="131">
        <v>145.80000000000001</v>
      </c>
      <c r="AK19" s="115">
        <f t="shared" si="11"/>
        <v>717.93659703961953</v>
      </c>
      <c r="AL19" s="139">
        <v>22.84</v>
      </c>
      <c r="AM19" s="131"/>
      <c r="AN19" s="136">
        <v>9.7799999999999994</v>
      </c>
      <c r="AO19" s="466">
        <f t="shared" si="27"/>
        <v>49.437999999999995</v>
      </c>
      <c r="AP19" s="110">
        <f t="shared" si="12"/>
        <v>0.19</v>
      </c>
      <c r="AQ19" s="137" t="s">
        <v>409</v>
      </c>
      <c r="AR19" s="150">
        <v>8.19</v>
      </c>
      <c r="AS19" s="138">
        <v>7.06</v>
      </c>
      <c r="AT19" s="134"/>
      <c r="AU19" s="131">
        <v>5.71</v>
      </c>
      <c r="AV19" s="315">
        <v>260.2</v>
      </c>
      <c r="AW19" s="131">
        <v>2.1</v>
      </c>
      <c r="AX19" s="116"/>
      <c r="AY19" s="131"/>
      <c r="AZ19" s="109">
        <f t="shared" si="34"/>
        <v>0</v>
      </c>
      <c r="BA19" s="109">
        <f t="shared" si="13"/>
        <v>203.08199999999999</v>
      </c>
      <c r="BB19" s="115">
        <f t="shared" si="28"/>
        <v>176.43816175212714</v>
      </c>
      <c r="BC19" s="140">
        <f t="shared" si="14"/>
        <v>6.449083098591549</v>
      </c>
      <c r="BD19" s="141">
        <f t="shared" si="15"/>
        <v>8.1232799999999994</v>
      </c>
      <c r="BE19" s="128">
        <f t="shared" si="16"/>
        <v>1.0048312918214959</v>
      </c>
      <c r="BF19" s="141">
        <f t="shared" si="17"/>
        <v>14.572363098591548</v>
      </c>
      <c r="BG19" s="535">
        <v>0.90600000000000003</v>
      </c>
      <c r="BH19" s="16">
        <f t="shared" si="29"/>
        <v>2321.5774999999999</v>
      </c>
      <c r="BI19" s="16">
        <f t="shared" si="18"/>
        <v>187.09677419354838</v>
      </c>
      <c r="BJ19" s="16">
        <f t="shared" si="30"/>
        <v>2432.2580645161283</v>
      </c>
      <c r="BK19" s="17">
        <f t="shared" si="19"/>
        <v>1</v>
      </c>
      <c r="BL19" s="16">
        <f t="shared" si="31"/>
        <v>2432.2580645161283</v>
      </c>
      <c r="BM19" s="254"/>
      <c r="BN19" s="197">
        <v>52.371000000000002</v>
      </c>
      <c r="BO19" s="197">
        <v>170.32300000000001</v>
      </c>
      <c r="BP19" s="197">
        <v>144.364</v>
      </c>
      <c r="BQ19" s="230"/>
      <c r="BR19" s="230">
        <v>26.306999999999999</v>
      </c>
      <c r="BS19" s="258"/>
      <c r="BT19" s="199"/>
      <c r="BU19" s="200"/>
      <c r="BV19" s="200"/>
      <c r="BW19" s="200"/>
      <c r="BX19" s="200">
        <v>1.04</v>
      </c>
      <c r="BY19" s="208"/>
      <c r="BZ19" s="208">
        <v>2.67</v>
      </c>
      <c r="CA19" s="201"/>
      <c r="CB19" s="202"/>
      <c r="CC19" s="200">
        <v>43.64</v>
      </c>
      <c r="CD19" s="200">
        <v>41.37</v>
      </c>
      <c r="CE19" s="200">
        <v>35.53</v>
      </c>
      <c r="CF19" s="208"/>
      <c r="CG19" s="208">
        <v>36.46</v>
      </c>
      <c r="CH19" s="209"/>
      <c r="CI19" s="199"/>
      <c r="CJ19" s="197"/>
      <c r="CK19" s="197"/>
      <c r="CL19" s="197">
        <v>246.28</v>
      </c>
      <c r="CM19" s="198"/>
      <c r="CN19" s="202"/>
      <c r="CO19" s="208"/>
      <c r="CP19" s="208"/>
      <c r="CQ19" s="201"/>
      <c r="CR19" s="201">
        <v>0.8</v>
      </c>
      <c r="CS19" s="284"/>
      <c r="CT19" s="286">
        <f t="shared" si="20"/>
        <v>0</v>
      </c>
      <c r="CU19" s="24">
        <f t="shared" si="20"/>
        <v>52.371000000000002</v>
      </c>
      <c r="CV19" s="25">
        <f t="shared" si="20"/>
        <v>170.32300000000001</v>
      </c>
      <c r="CW19" s="24">
        <f t="shared" si="20"/>
        <v>142.86261439999998</v>
      </c>
      <c r="CX19" s="27">
        <f t="shared" si="20"/>
        <v>0</v>
      </c>
      <c r="CY19" s="24">
        <f t="shared" si="20"/>
        <v>25.604603099999999</v>
      </c>
      <c r="CZ19" s="280">
        <f t="shared" si="20"/>
        <v>0</v>
      </c>
      <c r="DA19" s="237">
        <f t="shared" si="21"/>
        <v>0</v>
      </c>
      <c r="DB19" s="24">
        <f t="shared" si="21"/>
        <v>0</v>
      </c>
      <c r="DC19" s="277">
        <f t="shared" si="21"/>
        <v>246.28</v>
      </c>
      <c r="DD19" s="280">
        <f t="shared" si="21"/>
        <v>0</v>
      </c>
      <c r="DE19" s="508">
        <f t="shared" si="32"/>
        <v>6.4896639999999994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3"/>
        <v>0</v>
      </c>
    </row>
    <row r="20" spans="1:115" ht="16.5" customHeight="1" thickBot="1">
      <c r="A20" s="534">
        <v>14</v>
      </c>
      <c r="B20" s="103">
        <f>'[1]август 20'!K19</f>
        <v>409.80700000000002</v>
      </c>
      <c r="C20" s="104">
        <f t="shared" si="0"/>
        <v>0.53119383026644251</v>
      </c>
      <c r="D20" s="143">
        <f t="shared" si="1"/>
        <v>407.63013050000001</v>
      </c>
      <c r="E20" s="104">
        <f t="shared" si="2"/>
        <v>39.77188647338869</v>
      </c>
      <c r="F20" s="128">
        <f t="shared" si="3"/>
        <v>2.2824466203977192</v>
      </c>
      <c r="G20" s="106"/>
      <c r="H20" s="107">
        <f t="shared" si="4"/>
        <v>0.98086509587415005</v>
      </c>
      <c r="I20" s="103">
        <f>'[1]сентябрь 20'!AE19</f>
        <v>0</v>
      </c>
      <c r="J20" s="328">
        <f>'[1]август 20'!AA19</f>
        <v>6.9690000000000003</v>
      </c>
      <c r="K20" s="106"/>
      <c r="L20" s="328">
        <f>'[1]август 20'!AI19</f>
        <v>232.45400000000001</v>
      </c>
      <c r="M20" s="103">
        <f t="shared" si="5"/>
        <v>1.3015815245235689</v>
      </c>
      <c r="N20" s="103">
        <f>'[1]август 20'!W19</f>
        <v>0</v>
      </c>
      <c r="O20" s="103">
        <f>'[1]август 20'!AM19</f>
        <v>4.2530000000000001</v>
      </c>
      <c r="P20" s="447">
        <f t="shared" si="24"/>
        <v>4.2189760000000005</v>
      </c>
      <c r="Q20" s="103">
        <f t="shared" si="25"/>
        <v>2.3623345754464755E-2</v>
      </c>
      <c r="R20" s="103">
        <f>'[1]август 20'!S19</f>
        <v>264.351</v>
      </c>
      <c r="S20" s="108">
        <f t="shared" si="6"/>
        <v>2.7959039307587363</v>
      </c>
      <c r="T20" s="109">
        <f t="shared" si="7"/>
        <v>256.95999999999998</v>
      </c>
      <c r="U20" s="566">
        <v>22.262</v>
      </c>
      <c r="V20" s="109">
        <f t="shared" si="8"/>
        <v>256.95999999999998</v>
      </c>
      <c r="W20" s="110">
        <f t="shared" si="9"/>
        <v>1.4387981645468622</v>
      </c>
      <c r="X20" s="110">
        <f t="shared" si="26"/>
        <v>1.4624215103013269</v>
      </c>
      <c r="Y20" s="136">
        <v>130.68</v>
      </c>
      <c r="Z20" s="130">
        <v>130.68</v>
      </c>
      <c r="AA20" s="131">
        <v>0.97</v>
      </c>
      <c r="AB20" s="112">
        <v>666</v>
      </c>
      <c r="AC20" s="133">
        <v>1215</v>
      </c>
      <c r="AD20" s="151" t="s">
        <v>410</v>
      </c>
      <c r="AE20" s="131">
        <v>75.92</v>
      </c>
      <c r="AF20" s="133">
        <v>137</v>
      </c>
      <c r="AG20" s="134">
        <v>4</v>
      </c>
      <c r="AH20" s="131">
        <v>0.6</v>
      </c>
      <c r="AI20" s="115">
        <f t="shared" si="10"/>
        <v>3.3595847553242422</v>
      </c>
      <c r="AJ20" s="131">
        <v>120.5</v>
      </c>
      <c r="AK20" s="115">
        <f t="shared" si="11"/>
        <v>674.7166050276187</v>
      </c>
      <c r="AL20" s="139">
        <v>18.829999999999998</v>
      </c>
      <c r="AM20" s="131"/>
      <c r="AN20" s="136">
        <v>11.77</v>
      </c>
      <c r="AO20" s="466">
        <f t="shared" si="27"/>
        <v>43.956499999999998</v>
      </c>
      <c r="AP20" s="110">
        <f t="shared" si="12"/>
        <v>0.19</v>
      </c>
      <c r="AQ20" s="137" t="s">
        <v>224</v>
      </c>
      <c r="AR20" s="150">
        <v>8.65</v>
      </c>
      <c r="AS20" s="138">
        <v>7.03</v>
      </c>
      <c r="AT20" s="131"/>
      <c r="AU20" s="131">
        <v>6.29</v>
      </c>
      <c r="AV20" s="315">
        <v>231.35</v>
      </c>
      <c r="AW20" s="131">
        <v>2.97</v>
      </c>
      <c r="AX20" s="148"/>
      <c r="AY20" s="131"/>
      <c r="AZ20" s="109">
        <f t="shared" si="34"/>
        <v>0</v>
      </c>
      <c r="BA20" s="109">
        <f t="shared" si="13"/>
        <v>178.59349999999998</v>
      </c>
      <c r="BB20" s="115">
        <f t="shared" si="28"/>
        <v>186.42343816727521</v>
      </c>
      <c r="BC20" s="140">
        <f t="shared" si="14"/>
        <v>5.8714049295774648</v>
      </c>
      <c r="BD20" s="141">
        <f t="shared" si="15"/>
        <v>7.1437399999999993</v>
      </c>
      <c r="BE20" s="128">
        <f t="shared" si="16"/>
        <v>0.83633327993930773</v>
      </c>
      <c r="BF20" s="141">
        <f t="shared" si="17"/>
        <v>13.015144929577463</v>
      </c>
      <c r="BG20" s="535">
        <v>0.90100000000000002</v>
      </c>
      <c r="BH20" s="16">
        <f t="shared" si="29"/>
        <v>2500.1709999999998</v>
      </c>
      <c r="BI20" s="16">
        <f t="shared" si="18"/>
        <v>187.09677419354838</v>
      </c>
      <c r="BJ20" s="16">
        <f t="shared" si="30"/>
        <v>2619.3548387096766</v>
      </c>
      <c r="BK20" s="17">
        <f t="shared" si="19"/>
        <v>1</v>
      </c>
      <c r="BL20" s="16">
        <f t="shared" si="31"/>
        <v>2619.3548387096766</v>
      </c>
      <c r="BM20" s="254"/>
      <c r="BN20" s="197">
        <v>54.79</v>
      </c>
      <c r="BO20" s="197">
        <v>177.66399999999999</v>
      </c>
      <c r="BP20" s="197">
        <v>150.15700000000001</v>
      </c>
      <c r="BQ20" s="230"/>
      <c r="BR20" s="230">
        <v>27.196000000000002</v>
      </c>
      <c r="BS20" s="259"/>
      <c r="BT20" s="199"/>
      <c r="BU20" s="200"/>
      <c r="BV20" s="200"/>
      <c r="BW20" s="200"/>
      <c r="BX20" s="200">
        <v>0.91</v>
      </c>
      <c r="BY20" s="208"/>
      <c r="BZ20" s="208">
        <v>2.98</v>
      </c>
      <c r="CA20" s="201"/>
      <c r="CB20" s="202"/>
      <c r="CC20" s="200">
        <v>43.9</v>
      </c>
      <c r="CD20" s="200">
        <v>41.67</v>
      </c>
      <c r="CE20" s="200">
        <v>36.520000000000003</v>
      </c>
      <c r="CF20" s="208"/>
      <c r="CG20" s="208">
        <v>37.01</v>
      </c>
      <c r="CH20" s="209"/>
      <c r="CI20" s="199"/>
      <c r="CJ20" s="197"/>
      <c r="CK20" s="197"/>
      <c r="CL20" s="197">
        <v>256.95999999999998</v>
      </c>
      <c r="CM20" s="198"/>
      <c r="CN20" s="202"/>
      <c r="CO20" s="208"/>
      <c r="CP20" s="208"/>
      <c r="CQ20" s="201"/>
      <c r="CR20" s="201">
        <v>0.8</v>
      </c>
      <c r="CS20" s="284"/>
      <c r="CT20" s="286">
        <f t="shared" si="20"/>
        <v>0</v>
      </c>
      <c r="CU20" s="24">
        <f t="shared" si="20"/>
        <v>54.79</v>
      </c>
      <c r="CV20" s="25">
        <f t="shared" si="20"/>
        <v>177.66399999999999</v>
      </c>
      <c r="CW20" s="24">
        <f t="shared" si="20"/>
        <v>148.79057130000001</v>
      </c>
      <c r="CX20" s="27">
        <f t="shared" si="20"/>
        <v>0</v>
      </c>
      <c r="CY20" s="30">
        <f t="shared" si="20"/>
        <v>26.385559199999999</v>
      </c>
      <c r="CZ20" s="280">
        <f t="shared" si="20"/>
        <v>0</v>
      </c>
      <c r="DA20" s="237">
        <f t="shared" si="21"/>
        <v>0</v>
      </c>
      <c r="DB20" s="29">
        <f t="shared" si="21"/>
        <v>0</v>
      </c>
      <c r="DC20" s="277">
        <f t="shared" si="21"/>
        <v>256.95999999999998</v>
      </c>
      <c r="DD20" s="280">
        <f t="shared" si="21"/>
        <v>0</v>
      </c>
      <c r="DE20" s="508">
        <f t="shared" si="32"/>
        <v>4.2189760000000005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3"/>
        <v>0</v>
      </c>
    </row>
    <row r="21" spans="1:115" ht="16.5" customHeight="1" thickBot="1">
      <c r="A21" s="534">
        <v>15</v>
      </c>
      <c r="B21" s="103">
        <f>'[1]август 20'!K20</f>
        <v>417.04599999999999</v>
      </c>
      <c r="C21" s="104">
        <f t="shared" si="0"/>
        <v>0.65312466730288732</v>
      </c>
      <c r="D21" s="143">
        <f t="shared" si="1"/>
        <v>414.32216969999996</v>
      </c>
      <c r="E21" s="104">
        <f t="shared" si="2"/>
        <v>39.237048814759042</v>
      </c>
      <c r="F21" s="128">
        <f t="shared" si="3"/>
        <v>2.0398051861351867</v>
      </c>
      <c r="G21" s="106"/>
      <c r="H21" s="107">
        <f t="shared" si="4"/>
        <v>0.87663688782656435</v>
      </c>
      <c r="I21" s="103">
        <f>'[1]сентябрь 20'!AE20</f>
        <v>0</v>
      </c>
      <c r="J21" s="328">
        <f>'[1]август 20'!AA20</f>
        <v>6.9359999999999999</v>
      </c>
      <c r="K21" s="106"/>
      <c r="L21" s="328">
        <f>'[1]август 20'!AI20</f>
        <v>236.261</v>
      </c>
      <c r="M21" s="103">
        <f t="shared" si="5"/>
        <v>1.1631682983086227</v>
      </c>
      <c r="N21" s="103">
        <f>'[1]август 20'!W20</f>
        <v>0</v>
      </c>
      <c r="O21" s="103">
        <f>'[1]август 20'!AM20</f>
        <v>0</v>
      </c>
      <c r="P21" s="447">
        <f t="shared" si="24"/>
        <v>0</v>
      </c>
      <c r="Q21" s="103">
        <f t="shared" si="25"/>
        <v>0</v>
      </c>
      <c r="R21" s="103">
        <f>'[1]август 20'!S20</f>
        <v>268.20499999999998</v>
      </c>
      <c r="S21" s="108">
        <f t="shared" si="6"/>
        <v>3.2232806994649588</v>
      </c>
      <c r="T21" s="109">
        <f t="shared" si="7"/>
        <v>259.55999999999995</v>
      </c>
      <c r="U21" s="566"/>
      <c r="V21" s="109">
        <f t="shared" si="8"/>
        <v>259.56</v>
      </c>
      <c r="W21" s="110">
        <f t="shared" si="9"/>
        <v>1.2778747381454665</v>
      </c>
      <c r="X21" s="110">
        <f t="shared" si="26"/>
        <v>1.2778747381454665</v>
      </c>
      <c r="Y21" s="136">
        <v>203.12</v>
      </c>
      <c r="Z21" s="130">
        <v>155.37</v>
      </c>
      <c r="AA21" s="131">
        <v>0.8</v>
      </c>
      <c r="AB21" s="112">
        <v>640</v>
      </c>
      <c r="AC21" s="133">
        <v>1213</v>
      </c>
      <c r="AD21" s="151" t="s">
        <v>411</v>
      </c>
      <c r="AE21" s="131">
        <v>76.260000000000005</v>
      </c>
      <c r="AF21" s="133">
        <v>139</v>
      </c>
      <c r="AG21" s="134">
        <v>4</v>
      </c>
      <c r="AH21" s="131">
        <v>1.3</v>
      </c>
      <c r="AI21" s="115">
        <f t="shared" si="10"/>
        <v>6.4002048065538091</v>
      </c>
      <c r="AJ21" s="131">
        <v>143.30000000000001</v>
      </c>
      <c r="AK21" s="115">
        <f t="shared" si="11"/>
        <v>705.49949906089307</v>
      </c>
      <c r="AL21" s="139">
        <v>22.57</v>
      </c>
      <c r="AM21" s="131"/>
      <c r="AN21" s="136">
        <v>12.56</v>
      </c>
      <c r="AO21" s="466">
        <f t="shared" si="27"/>
        <v>49.751500000000007</v>
      </c>
      <c r="AP21" s="110">
        <f t="shared" si="12"/>
        <v>0.19</v>
      </c>
      <c r="AQ21" s="137" t="s">
        <v>212</v>
      </c>
      <c r="AR21" s="150">
        <v>8.1999999999999993</v>
      </c>
      <c r="AS21" s="138">
        <v>7.15</v>
      </c>
      <c r="AT21" s="131"/>
      <c r="AU21" s="131">
        <v>6.96</v>
      </c>
      <c r="AV21" s="315">
        <v>261.85000000000002</v>
      </c>
      <c r="AW21" s="131">
        <v>3.58</v>
      </c>
      <c r="AX21" s="116"/>
      <c r="AY21" s="131"/>
      <c r="AZ21" s="109">
        <f t="shared" si="34"/>
        <v>0</v>
      </c>
      <c r="BA21" s="109">
        <f t="shared" si="13"/>
        <v>203.11850000000001</v>
      </c>
      <c r="BB21" s="115">
        <f t="shared" si="28"/>
        <v>186.10238971238127</v>
      </c>
      <c r="BC21" s="140">
        <f t="shared" si="14"/>
        <v>7.72609014084507</v>
      </c>
      <c r="BD21" s="141">
        <f t="shared" si="15"/>
        <v>8.124740000000001</v>
      </c>
      <c r="BE21" s="128">
        <f t="shared" si="16"/>
        <v>0.95282199639698073</v>
      </c>
      <c r="BF21" s="141">
        <f t="shared" si="17"/>
        <v>15.850830140845071</v>
      </c>
      <c r="BG21" s="535">
        <v>0.90500000000000003</v>
      </c>
      <c r="BH21" s="16">
        <f t="shared" si="29"/>
        <v>2703.2894999999999</v>
      </c>
      <c r="BI21" s="16">
        <f t="shared" si="18"/>
        <v>187.09677419354838</v>
      </c>
      <c r="BJ21" s="16">
        <f t="shared" si="30"/>
        <v>2806.4516129032249</v>
      </c>
      <c r="BK21" s="17">
        <f t="shared" si="19"/>
        <v>1</v>
      </c>
      <c r="BL21" s="16">
        <f t="shared" si="31"/>
        <v>2806.4516129032249</v>
      </c>
      <c r="BM21" s="254"/>
      <c r="BN21" s="197">
        <v>55.578000000000003</v>
      </c>
      <c r="BO21" s="197">
        <v>180.68299999999999</v>
      </c>
      <c r="BP21" s="197">
        <v>152.791</v>
      </c>
      <c r="BQ21" s="230"/>
      <c r="BR21" s="230">
        <v>27.994</v>
      </c>
      <c r="BS21" s="259"/>
      <c r="BT21" s="199"/>
      <c r="BU21" s="200"/>
      <c r="BV21" s="200"/>
      <c r="BW21" s="200"/>
      <c r="BX21" s="200">
        <v>1.07</v>
      </c>
      <c r="BY21" s="208"/>
      <c r="BZ21" s="208">
        <v>3.89</v>
      </c>
      <c r="CA21" s="201"/>
      <c r="CB21" s="202"/>
      <c r="CC21" s="200">
        <v>43.69</v>
      </c>
      <c r="CD21" s="200">
        <v>41.58</v>
      </c>
      <c r="CE21" s="200">
        <v>35.24</v>
      </c>
      <c r="CF21" s="208"/>
      <c r="CG21" s="208">
        <v>37.090000000000003</v>
      </c>
      <c r="CH21" s="209"/>
      <c r="CI21" s="199"/>
      <c r="CJ21" s="197"/>
      <c r="CK21" s="197"/>
      <c r="CL21" s="197">
        <v>259.56</v>
      </c>
      <c r="CM21" s="198"/>
      <c r="CN21" s="202"/>
      <c r="CO21" s="208"/>
      <c r="CP21" s="208"/>
      <c r="CQ21" s="201"/>
      <c r="CR21" s="201">
        <v>0.8</v>
      </c>
      <c r="CS21" s="284"/>
      <c r="CT21" s="286">
        <f t="shared" si="20"/>
        <v>0</v>
      </c>
      <c r="CU21" s="27">
        <f t="shared" si="20"/>
        <v>55.578000000000003</v>
      </c>
      <c r="CV21" s="28">
        <f t="shared" si="20"/>
        <v>180.68299999999999</v>
      </c>
      <c r="CW21" s="27">
        <f t="shared" si="20"/>
        <v>151.15613630000001</v>
      </c>
      <c r="CX21" s="27">
        <f t="shared" si="20"/>
        <v>0</v>
      </c>
      <c r="CY21" s="24">
        <f t="shared" si="20"/>
        <v>26.905033399999997</v>
      </c>
      <c r="CZ21" s="281">
        <f t="shared" si="20"/>
        <v>0</v>
      </c>
      <c r="DA21" s="237">
        <f t="shared" si="21"/>
        <v>0</v>
      </c>
      <c r="DB21" s="24">
        <f t="shared" si="21"/>
        <v>0</v>
      </c>
      <c r="DC21" s="277">
        <f t="shared" si="21"/>
        <v>259.56</v>
      </c>
      <c r="DD21" s="280">
        <f t="shared" si="21"/>
        <v>0</v>
      </c>
      <c r="DE21" s="508">
        <f t="shared" si="32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3"/>
        <v>0</v>
      </c>
    </row>
    <row r="22" spans="1:115" ht="16.5" customHeight="1" thickBot="1">
      <c r="A22" s="534">
        <v>16</v>
      </c>
      <c r="B22" s="103">
        <f>'[1]август 20'!K21</f>
        <v>432.30599999999998</v>
      </c>
      <c r="C22" s="104">
        <f t="shared" si="0"/>
        <v>0.67820284705740852</v>
      </c>
      <c r="D22" s="143">
        <f t="shared" si="1"/>
        <v>429.37408840000001</v>
      </c>
      <c r="E22" s="104">
        <f t="shared" si="2"/>
        <v>39.389245950784861</v>
      </c>
      <c r="F22" s="128">
        <f t="shared" si="3"/>
        <v>2.1888024244463309</v>
      </c>
      <c r="G22" s="106"/>
      <c r="H22" s="107">
        <f t="shared" si="4"/>
        <v>0.94030432204966652</v>
      </c>
      <c r="I22" s="103">
        <f>'[1]сентябрь 20'!AE21</f>
        <v>0</v>
      </c>
      <c r="J22" s="328">
        <f>'[1]август 20'!AA21</f>
        <v>7.1970000000000001</v>
      </c>
      <c r="K22" s="106"/>
      <c r="L22" s="328">
        <f>'[1]август 20'!AI21</f>
        <v>244.916</v>
      </c>
      <c r="M22" s="103">
        <f t="shared" si="5"/>
        <v>1.2484981023966641</v>
      </c>
      <c r="N22" s="103">
        <f>'[1]август 20'!W21</f>
        <v>0</v>
      </c>
      <c r="O22" s="103">
        <f>'[1]август 20'!AM21</f>
        <v>0</v>
      </c>
      <c r="P22" s="447">
        <f t="shared" si="24"/>
        <v>0</v>
      </c>
      <c r="Q22" s="103">
        <f t="shared" si="25"/>
        <v>0</v>
      </c>
      <c r="R22" s="103">
        <f>'[1]август 20'!S21</f>
        <v>281.28699999999998</v>
      </c>
      <c r="S22" s="108">
        <f t="shared" si="6"/>
        <v>3.6962248521972163</v>
      </c>
      <c r="T22" s="109">
        <f t="shared" si="7"/>
        <v>270.89</v>
      </c>
      <c r="U22" s="566"/>
      <c r="V22" s="109">
        <f t="shared" si="8"/>
        <v>270.89</v>
      </c>
      <c r="W22" s="110">
        <f t="shared" si="9"/>
        <v>1.3809046814345829</v>
      </c>
      <c r="X22" s="110">
        <f t="shared" si="26"/>
        <v>1.3809046814345829</v>
      </c>
      <c r="Y22" s="136">
        <v>196.17</v>
      </c>
      <c r="Z22" s="129">
        <v>196.17</v>
      </c>
      <c r="AA22" s="131">
        <v>0.36</v>
      </c>
      <c r="AB22" s="112">
        <v>572</v>
      </c>
      <c r="AC22" s="152">
        <v>1216</v>
      </c>
      <c r="AD22" s="144" t="s">
        <v>412</v>
      </c>
      <c r="AE22" s="131">
        <v>75.77</v>
      </c>
      <c r="AF22" s="133">
        <v>144</v>
      </c>
      <c r="AG22" s="134">
        <v>4</v>
      </c>
      <c r="AH22" s="131">
        <v>1</v>
      </c>
      <c r="AI22" s="115">
        <f t="shared" si="10"/>
        <v>5.0976583906182702</v>
      </c>
      <c r="AJ22" s="131">
        <v>143</v>
      </c>
      <c r="AK22" s="115">
        <f t="shared" si="11"/>
        <v>728.96514985841259</v>
      </c>
      <c r="AL22" s="139">
        <v>19.18</v>
      </c>
      <c r="AM22" s="131"/>
      <c r="AN22" s="136">
        <v>10.44</v>
      </c>
      <c r="AO22" s="466">
        <f t="shared" si="27"/>
        <v>47.661499999999997</v>
      </c>
      <c r="AP22" s="110">
        <f t="shared" si="12"/>
        <v>0.19</v>
      </c>
      <c r="AQ22" s="137" t="s">
        <v>413</v>
      </c>
      <c r="AR22" s="150">
        <v>7.5</v>
      </c>
      <c r="AS22" s="138">
        <v>6.63</v>
      </c>
      <c r="AT22" s="134"/>
      <c r="AU22" s="131">
        <v>8.9</v>
      </c>
      <c r="AV22" s="315">
        <v>250.85</v>
      </c>
      <c r="AW22" s="131">
        <v>3.42</v>
      </c>
      <c r="AX22" s="116"/>
      <c r="AY22" s="131"/>
      <c r="AZ22" s="109">
        <f t="shared" si="34"/>
        <v>0</v>
      </c>
      <c r="BA22" s="109">
        <f t="shared" si="13"/>
        <v>196.16849999999999</v>
      </c>
      <c r="BB22" s="115">
        <f t="shared" si="28"/>
        <v>194.86348070642302</v>
      </c>
      <c r="BC22" s="140">
        <f t="shared" si="14"/>
        <v>9.8589436619718303</v>
      </c>
      <c r="BD22" s="141">
        <f t="shared" si="15"/>
        <v>7.8467399999999996</v>
      </c>
      <c r="BE22" s="128">
        <f t="shared" si="16"/>
        <v>0.87884656416462714</v>
      </c>
      <c r="BF22" s="141">
        <f t="shared" si="17"/>
        <v>17.705683661971829</v>
      </c>
      <c r="BG22" s="535">
        <v>0.90300000000000002</v>
      </c>
      <c r="BH22" s="16">
        <f t="shared" si="29"/>
        <v>2899.4579999999996</v>
      </c>
      <c r="BI22" s="16">
        <f t="shared" si="18"/>
        <v>187.09677419354838</v>
      </c>
      <c r="BJ22" s="16">
        <f t="shared" si="30"/>
        <v>2993.5483870967732</v>
      </c>
      <c r="BK22" s="17">
        <f t="shared" si="19"/>
        <v>1</v>
      </c>
      <c r="BL22" s="16">
        <f t="shared" si="31"/>
        <v>2993.5483870967732</v>
      </c>
      <c r="BM22" s="254"/>
      <c r="BN22" s="197">
        <v>57.502000000000002</v>
      </c>
      <c r="BO22" s="197">
        <v>187.41399999999999</v>
      </c>
      <c r="BP22" s="197">
        <v>158.56200000000001</v>
      </c>
      <c r="BQ22" s="230"/>
      <c r="BR22" s="230">
        <v>28.827999999999999</v>
      </c>
      <c r="BS22" s="258"/>
      <c r="BT22" s="199"/>
      <c r="BU22" s="200"/>
      <c r="BV22" s="200"/>
      <c r="BW22" s="200"/>
      <c r="BX22" s="200">
        <v>1.3</v>
      </c>
      <c r="BY22" s="208"/>
      <c r="BZ22" s="208">
        <v>3.02</v>
      </c>
      <c r="CA22" s="201"/>
      <c r="CB22" s="202"/>
      <c r="CC22" s="200">
        <v>43.64</v>
      </c>
      <c r="CD22" s="200">
        <v>41.62</v>
      </c>
      <c r="CE22" s="200">
        <v>35.5</v>
      </c>
      <c r="CF22" s="208"/>
      <c r="CG22" s="208">
        <v>37.799999999999997</v>
      </c>
      <c r="CH22" s="201"/>
      <c r="CI22" s="199"/>
      <c r="CJ22" s="197"/>
      <c r="CK22" s="197"/>
      <c r="CL22" s="197">
        <v>270.89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0</v>
      </c>
      <c r="CU22" s="29">
        <f t="shared" si="20"/>
        <v>57.502000000000002</v>
      </c>
      <c r="CV22" s="30">
        <f t="shared" si="20"/>
        <v>187.41399999999999</v>
      </c>
      <c r="CW22" s="29">
        <f t="shared" si="20"/>
        <v>156.50069400000001</v>
      </c>
      <c r="CX22" s="27">
        <f t="shared" si="20"/>
        <v>0</v>
      </c>
      <c r="CY22" s="24">
        <f t="shared" si="20"/>
        <v>27.957394399999998</v>
      </c>
      <c r="CZ22" s="282">
        <f t="shared" si="20"/>
        <v>0</v>
      </c>
      <c r="DA22" s="237">
        <f t="shared" si="21"/>
        <v>0</v>
      </c>
      <c r="DB22" s="24">
        <f t="shared" si="21"/>
        <v>0</v>
      </c>
      <c r="DC22" s="277">
        <f t="shared" si="21"/>
        <v>270.89</v>
      </c>
      <c r="DD22" s="280">
        <f t="shared" si="21"/>
        <v>0</v>
      </c>
      <c r="DE22" s="508">
        <f t="shared" si="32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3"/>
        <v>0</v>
      </c>
    </row>
    <row r="23" spans="1:115" ht="16.5" customHeight="1" thickBot="1">
      <c r="A23" s="534">
        <v>17</v>
      </c>
      <c r="B23" s="103">
        <f>'[1]август 20'!K22</f>
        <v>435.07400000000001</v>
      </c>
      <c r="C23" s="104">
        <f t="shared" si="0"/>
        <v>0.67567912584985534</v>
      </c>
      <c r="D23" s="143">
        <f t="shared" si="1"/>
        <v>432.13429580000002</v>
      </c>
      <c r="E23" s="104">
        <f t="shared" si="2"/>
        <v>39.709899833131836</v>
      </c>
      <c r="F23" s="128">
        <f t="shared" si="3"/>
        <v>2.2377565994598947</v>
      </c>
      <c r="G23" s="106"/>
      <c r="H23" s="107">
        <f t="shared" si="4"/>
        <v>0.96141481586967059</v>
      </c>
      <c r="I23" s="103">
        <f>'[1]сентябрь 20'!AE22</f>
        <v>0</v>
      </c>
      <c r="J23" s="328">
        <f>'[1]август 20'!AA22</f>
        <v>6.8019999999999996</v>
      </c>
      <c r="K23" s="106"/>
      <c r="L23" s="328">
        <f>'[1]август 20'!AI22</f>
        <v>246.47499999999999</v>
      </c>
      <c r="M23" s="103">
        <f t="shared" si="5"/>
        <v>1.2763417835902242</v>
      </c>
      <c r="N23" s="103">
        <f>'[1]август 20'!W22</f>
        <v>0</v>
      </c>
      <c r="O23" s="103">
        <f>'[1]август 20'!AM22</f>
        <v>0</v>
      </c>
      <c r="P23" s="447">
        <f t="shared" si="24"/>
        <v>0</v>
      </c>
      <c r="Q23" s="103">
        <f t="shared" si="25"/>
        <v>0</v>
      </c>
      <c r="R23" s="103">
        <f>'[1]август 20'!S22</f>
        <v>283.97800000000001</v>
      </c>
      <c r="S23" s="108">
        <f t="shared" si="6"/>
        <v>3.4185746783201632</v>
      </c>
      <c r="T23" s="109">
        <f t="shared" si="7"/>
        <v>274.26999999999992</v>
      </c>
      <c r="U23" s="566">
        <v>23.928999999999998</v>
      </c>
      <c r="V23" s="109">
        <f t="shared" si="8"/>
        <v>274.27</v>
      </c>
      <c r="W23" s="110">
        <f t="shared" si="9"/>
        <v>1.4202749203176415</v>
      </c>
      <c r="X23" s="110">
        <f t="shared" si="26"/>
        <v>1.4202749203176415</v>
      </c>
      <c r="Y23" s="136">
        <v>193.11</v>
      </c>
      <c r="Z23" s="129">
        <v>193.11</v>
      </c>
      <c r="AA23" s="131">
        <v>0.81</v>
      </c>
      <c r="AB23" s="112">
        <v>649</v>
      </c>
      <c r="AC23" s="133">
        <v>1219</v>
      </c>
      <c r="AD23" s="144" t="s">
        <v>414</v>
      </c>
      <c r="AE23" s="131">
        <v>76.33</v>
      </c>
      <c r="AF23" s="133">
        <v>145</v>
      </c>
      <c r="AG23" s="134">
        <v>4</v>
      </c>
      <c r="AH23" s="131"/>
      <c r="AI23" s="115">
        <f t="shared" si="10"/>
        <v>0</v>
      </c>
      <c r="AJ23" s="131">
        <v>136.94999999999999</v>
      </c>
      <c r="AK23" s="115">
        <f t="shared" si="11"/>
        <v>709.17945942866902</v>
      </c>
      <c r="AL23" s="139">
        <v>17.940000000000001</v>
      </c>
      <c r="AM23" s="131"/>
      <c r="AN23" s="136">
        <v>10.51</v>
      </c>
      <c r="AO23" s="466">
        <f t="shared" si="27"/>
        <v>47.319500000000005</v>
      </c>
      <c r="AP23" s="110">
        <f t="shared" si="12"/>
        <v>0.19</v>
      </c>
      <c r="AQ23" s="137" t="s">
        <v>415</v>
      </c>
      <c r="AR23" s="150">
        <v>8.08</v>
      </c>
      <c r="AS23" s="138">
        <v>7.16</v>
      </c>
      <c r="AT23" s="134"/>
      <c r="AU23" s="131">
        <v>7.4</v>
      </c>
      <c r="AV23" s="315">
        <v>249.05</v>
      </c>
      <c r="AW23" s="131">
        <v>1.89</v>
      </c>
      <c r="AX23" s="116"/>
      <c r="AY23" s="131"/>
      <c r="AZ23" s="109">
        <f t="shared" si="34"/>
        <v>0</v>
      </c>
      <c r="BA23" s="109">
        <f t="shared" si="13"/>
        <v>193.1105</v>
      </c>
      <c r="BB23" s="115">
        <f t="shared" si="28"/>
        <v>196.26212998025332</v>
      </c>
      <c r="BC23" s="140">
        <f t="shared" si="14"/>
        <v>7.8505140845070418</v>
      </c>
      <c r="BD23" s="141">
        <f t="shared" si="15"/>
        <v>7.7244200000000003</v>
      </c>
      <c r="BE23" s="128">
        <f t="shared" si="16"/>
        <v>0.85898113159661527</v>
      </c>
      <c r="BF23" s="141">
        <f t="shared" si="17"/>
        <v>15.574934084507042</v>
      </c>
      <c r="BG23" s="535">
        <v>0.9</v>
      </c>
      <c r="BH23" s="16">
        <f t="shared" si="29"/>
        <v>3092.5684999999994</v>
      </c>
      <c r="BI23" s="16">
        <f t="shared" si="18"/>
        <v>187.09677419354838</v>
      </c>
      <c r="BJ23" s="16">
        <f t="shared" si="30"/>
        <v>3180.6451612903215</v>
      </c>
      <c r="BK23" s="17">
        <f t="shared" si="19"/>
        <v>1</v>
      </c>
      <c r="BL23" s="16">
        <f t="shared" si="31"/>
        <v>3180.6451612903215</v>
      </c>
      <c r="BM23" s="254"/>
      <c r="BN23" s="197">
        <v>57.981999999999999</v>
      </c>
      <c r="BO23" s="197">
        <v>188.49299999999999</v>
      </c>
      <c r="BP23" s="197">
        <v>159.54400000000001</v>
      </c>
      <c r="BQ23" s="230"/>
      <c r="BR23" s="230">
        <v>29.055</v>
      </c>
      <c r="BS23" s="258"/>
      <c r="BT23" s="199"/>
      <c r="BU23" s="200"/>
      <c r="BV23" s="200"/>
      <c r="BW23" s="200"/>
      <c r="BX23" s="200">
        <v>1.38</v>
      </c>
      <c r="BY23" s="208"/>
      <c r="BZ23" s="208">
        <v>2.54</v>
      </c>
      <c r="CA23" s="201"/>
      <c r="CB23" s="202"/>
      <c r="CC23" s="200">
        <v>43.71</v>
      </c>
      <c r="CD23" s="200">
        <v>41.69</v>
      </c>
      <c r="CE23" s="200">
        <v>36.229999999999997</v>
      </c>
      <c r="CF23" s="208"/>
      <c r="CG23" s="208">
        <v>37.99</v>
      </c>
      <c r="CH23" s="209"/>
      <c r="CI23" s="199"/>
      <c r="CJ23" s="197"/>
      <c r="CK23" s="197"/>
      <c r="CL23" s="197">
        <v>274.27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0</v>
      </c>
      <c r="CU23" s="24">
        <f t="shared" si="20"/>
        <v>57.981999999999999</v>
      </c>
      <c r="CV23" s="25">
        <f t="shared" si="20"/>
        <v>188.49299999999999</v>
      </c>
      <c r="CW23" s="24">
        <f t="shared" si="20"/>
        <v>157.34229280000002</v>
      </c>
      <c r="CX23" s="27">
        <f t="shared" si="20"/>
        <v>0</v>
      </c>
      <c r="CY23" s="24">
        <f t="shared" si="20"/>
        <v>28.317002999999996</v>
      </c>
      <c r="CZ23" s="280">
        <f t="shared" si="20"/>
        <v>0</v>
      </c>
      <c r="DA23" s="237">
        <f t="shared" si="21"/>
        <v>0</v>
      </c>
      <c r="DB23" s="29">
        <f t="shared" si="21"/>
        <v>0</v>
      </c>
      <c r="DC23" s="277">
        <f t="shared" si="21"/>
        <v>274.27</v>
      </c>
      <c r="DD23" s="280">
        <f t="shared" si="21"/>
        <v>0</v>
      </c>
      <c r="DE23" s="508">
        <f t="shared" si="32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3"/>
        <v>0</v>
      </c>
    </row>
    <row r="24" spans="1:115" ht="16.5" customHeight="1" thickBot="1">
      <c r="A24" s="534">
        <v>18</v>
      </c>
      <c r="B24" s="103">
        <f>'[1]август 20'!K23</f>
        <v>440.96800000000002</v>
      </c>
      <c r="C24" s="104">
        <f t="shared" si="0"/>
        <v>0.64900575551967499</v>
      </c>
      <c r="D24" s="143">
        <f t="shared" si="1"/>
        <v>438.1060923</v>
      </c>
      <c r="E24" s="104">
        <f t="shared" si="2"/>
        <v>39.208467961394021</v>
      </c>
      <c r="F24" s="128">
        <f t="shared" si="3"/>
        <v>2.1268163603838026</v>
      </c>
      <c r="G24" s="106"/>
      <c r="H24" s="107">
        <f t="shared" si="4"/>
        <v>0.91378087105535921</v>
      </c>
      <c r="I24" s="103">
        <f>'[1]сентябрь 20'!AE23</f>
        <v>0</v>
      </c>
      <c r="J24" s="328">
        <f>'[1]август 20'!AA23</f>
        <v>7.3040000000000003</v>
      </c>
      <c r="K24" s="106"/>
      <c r="L24" s="328">
        <f>'[1]август 20'!AI23</f>
        <v>249.875</v>
      </c>
      <c r="M24" s="103">
        <f t="shared" si="5"/>
        <v>1.2130354893284434</v>
      </c>
      <c r="N24" s="103">
        <f>'[1]август 20'!W23</f>
        <v>0</v>
      </c>
      <c r="O24" s="103">
        <f>'[1]август 20'!AM23</f>
        <v>0</v>
      </c>
      <c r="P24" s="447">
        <f t="shared" si="24"/>
        <v>0</v>
      </c>
      <c r="Q24" s="103">
        <f t="shared" si="25"/>
        <v>0</v>
      </c>
      <c r="R24" s="103">
        <f>'[1]август 20'!S23</f>
        <v>289.577</v>
      </c>
      <c r="S24" s="108">
        <f t="shared" si="6"/>
        <v>3.6801955956446752</v>
      </c>
      <c r="T24" s="109">
        <f t="shared" si="7"/>
        <v>278.92</v>
      </c>
      <c r="U24" s="106">
        <v>5.31</v>
      </c>
      <c r="V24" s="109">
        <f t="shared" si="8"/>
        <v>278.92</v>
      </c>
      <c r="W24" s="110">
        <f t="shared" si="9"/>
        <v>1.3540364529604378</v>
      </c>
      <c r="X24" s="110">
        <f t="shared" si="26"/>
        <v>1.3540364529604378</v>
      </c>
      <c r="Y24" s="136">
        <v>205.99</v>
      </c>
      <c r="Z24" s="129">
        <v>205.99</v>
      </c>
      <c r="AA24" s="131">
        <v>0.57999999999999996</v>
      </c>
      <c r="AB24" s="133">
        <v>643</v>
      </c>
      <c r="AC24" s="133">
        <v>1229</v>
      </c>
      <c r="AD24" s="144" t="s">
        <v>363</v>
      </c>
      <c r="AE24" s="131">
        <v>76.040000000000006</v>
      </c>
      <c r="AF24" s="133">
        <v>147</v>
      </c>
      <c r="AG24" s="134">
        <v>4</v>
      </c>
      <c r="AH24" s="131">
        <v>1.2</v>
      </c>
      <c r="AI24" s="115">
        <f t="shared" si="10"/>
        <v>5.825483090321689</v>
      </c>
      <c r="AJ24" s="131">
        <v>142.05000000000001</v>
      </c>
      <c r="AK24" s="115">
        <f t="shared" si="11"/>
        <v>689.59156081682988</v>
      </c>
      <c r="AL24" s="139">
        <v>27.96</v>
      </c>
      <c r="AM24" s="131"/>
      <c r="AN24" s="136">
        <v>10.73</v>
      </c>
      <c r="AO24" s="466">
        <f t="shared" si="27"/>
        <v>50.188499999999998</v>
      </c>
      <c r="AP24" s="110">
        <f t="shared" si="12"/>
        <v>0.19</v>
      </c>
      <c r="AQ24" s="137" t="s">
        <v>202</v>
      </c>
      <c r="AR24" s="150">
        <v>7.9</v>
      </c>
      <c r="AS24" s="138">
        <v>7.47</v>
      </c>
      <c r="AT24" s="134"/>
      <c r="AU24" s="131">
        <v>7.27</v>
      </c>
      <c r="AV24" s="315">
        <v>264.14999999999998</v>
      </c>
      <c r="AW24" s="131">
        <v>2.76</v>
      </c>
      <c r="AX24" s="116"/>
      <c r="AY24" s="131"/>
      <c r="AZ24" s="109">
        <f t="shared" si="34"/>
        <v>0</v>
      </c>
      <c r="BA24" s="109">
        <f t="shared" si="13"/>
        <v>205.99149999999997</v>
      </c>
      <c r="BB24" s="115">
        <f t="shared" si="28"/>
        <v>197.21107523427534</v>
      </c>
      <c r="BC24" s="140">
        <f t="shared" si="14"/>
        <v>7.9998158450704224</v>
      </c>
      <c r="BD24" s="141"/>
      <c r="BE24" s="128">
        <f t="shared" si="16"/>
        <v>0.91186856157227292</v>
      </c>
      <c r="BF24" s="141">
        <f t="shared" si="17"/>
        <v>7.9998158450704224</v>
      </c>
      <c r="BG24" s="535">
        <v>0.90100000000000002</v>
      </c>
      <c r="BH24" s="16">
        <f t="shared" si="29"/>
        <v>3298.5599999999995</v>
      </c>
      <c r="BI24" s="16">
        <f t="shared" si="18"/>
        <v>187.09677419354838</v>
      </c>
      <c r="BJ24" s="16">
        <f t="shared" si="30"/>
        <v>3367.7419354838698</v>
      </c>
      <c r="BK24" s="17">
        <f t="shared" si="19"/>
        <v>1</v>
      </c>
      <c r="BL24" s="16">
        <f t="shared" si="31"/>
        <v>3367.7419354838698</v>
      </c>
      <c r="BM24" s="254"/>
      <c r="BN24" s="197">
        <v>58.779000000000003</v>
      </c>
      <c r="BO24" s="197">
        <v>191.096</v>
      </c>
      <c r="BP24" s="197">
        <v>161.697</v>
      </c>
      <c r="BQ24" s="230"/>
      <c r="BR24" s="230">
        <v>29.396000000000001</v>
      </c>
      <c r="BS24" s="258"/>
      <c r="BT24" s="199"/>
      <c r="BU24" s="200"/>
      <c r="BV24" s="200"/>
      <c r="BW24" s="200"/>
      <c r="BX24" s="200">
        <v>1.0900000000000001</v>
      </c>
      <c r="BY24" s="208"/>
      <c r="BZ24" s="208">
        <v>3.74</v>
      </c>
      <c r="CA24" s="201"/>
      <c r="CB24" s="202"/>
      <c r="CC24" s="200">
        <v>44.16</v>
      </c>
      <c r="CD24" s="200">
        <v>41.7</v>
      </c>
      <c r="CE24" s="200">
        <v>35.1</v>
      </c>
      <c r="CF24" s="208"/>
      <c r="CG24" s="208">
        <v>35.71</v>
      </c>
      <c r="CH24" s="209"/>
      <c r="CI24" s="199"/>
      <c r="CJ24" s="197"/>
      <c r="CK24" s="197"/>
      <c r="CL24" s="197">
        <v>278.92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0</v>
      </c>
      <c r="CU24" s="29">
        <f t="shared" si="20"/>
        <v>58.779000000000003</v>
      </c>
      <c r="CV24" s="30">
        <f t="shared" si="20"/>
        <v>191.096</v>
      </c>
      <c r="CW24" s="29">
        <f t="shared" si="20"/>
        <v>159.9345027</v>
      </c>
      <c r="CX24" s="27">
        <f t="shared" si="20"/>
        <v>0</v>
      </c>
      <c r="CY24" s="27">
        <f t="shared" si="20"/>
        <v>28.296589600000001</v>
      </c>
      <c r="CZ24" s="282">
        <f t="shared" si="20"/>
        <v>0</v>
      </c>
      <c r="DA24" s="25">
        <f t="shared" si="21"/>
        <v>0</v>
      </c>
      <c r="DB24" s="26">
        <f t="shared" si="21"/>
        <v>0</v>
      </c>
      <c r="DC24" s="277">
        <f t="shared" si="21"/>
        <v>278.92</v>
      </c>
      <c r="DD24" s="280">
        <f t="shared" si="21"/>
        <v>0</v>
      </c>
      <c r="DE24" s="508">
        <f t="shared" si="32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3"/>
        <v>0</v>
      </c>
    </row>
    <row r="25" spans="1:115" ht="16.5" customHeight="1" thickBot="1">
      <c r="A25" s="534">
        <v>19</v>
      </c>
      <c r="B25" s="103">
        <f>'[1]август 20'!K24</f>
        <v>416.23399999999998</v>
      </c>
      <c r="C25" s="104">
        <f t="shared" si="0"/>
        <v>0.60691248192122704</v>
      </c>
      <c r="D25" s="143">
        <f t="shared" si="1"/>
        <v>413.70782389999999</v>
      </c>
      <c r="E25" s="104">
        <f t="shared" si="2"/>
        <v>39.466727153476171</v>
      </c>
      <c r="F25" s="128">
        <f t="shared" si="3"/>
        <v>2.3264231226452226</v>
      </c>
      <c r="G25" s="106"/>
      <c r="H25" s="107">
        <f t="shared" si="4"/>
        <v>1.0020402851037506</v>
      </c>
      <c r="I25" s="103">
        <f>'[1]сентябрь 20'!AE24</f>
        <v>0</v>
      </c>
      <c r="J25" s="328">
        <f>'[1]август 20'!AA24</f>
        <v>7.8680000000000003</v>
      </c>
      <c r="K25" s="106"/>
      <c r="L25" s="328">
        <f>'[1]август 20'!AI24</f>
        <v>235.51499999999999</v>
      </c>
      <c r="M25" s="103">
        <f t="shared" si="5"/>
        <v>1.3243828375414721</v>
      </c>
      <c r="N25" s="103">
        <f>'[1]август 20'!W24</f>
        <v>0</v>
      </c>
      <c r="O25" s="103">
        <f>'[1]август 20'!AM24</f>
        <v>0</v>
      </c>
      <c r="P25" s="447">
        <f t="shared" si="24"/>
        <v>0</v>
      </c>
      <c r="Q25" s="103">
        <f t="shared" si="25"/>
        <v>0</v>
      </c>
      <c r="R25" s="103">
        <f>'[1]август 20'!S24</f>
        <v>272.13600000000002</v>
      </c>
      <c r="S25" s="108">
        <f t="shared" si="6"/>
        <v>3.158714760266923</v>
      </c>
      <c r="T25" s="109">
        <f t="shared" si="7"/>
        <v>263.54000000000002</v>
      </c>
      <c r="U25" s="566">
        <v>34.979999999999997</v>
      </c>
      <c r="V25" s="109">
        <f t="shared" si="8"/>
        <v>263.54000000000002</v>
      </c>
      <c r="W25" s="110">
        <f t="shared" si="9"/>
        <v>1.4819771692065455</v>
      </c>
      <c r="X25" s="110">
        <f t="shared" si="26"/>
        <v>1.4819771692065455</v>
      </c>
      <c r="Y25" s="136">
        <v>177.83</v>
      </c>
      <c r="Z25" s="129">
        <v>107.04</v>
      </c>
      <c r="AA25" s="131">
        <v>1.04</v>
      </c>
      <c r="AB25" s="133">
        <v>687</v>
      </c>
      <c r="AC25" s="133">
        <v>1231</v>
      </c>
      <c r="AD25" s="144" t="s">
        <v>160</v>
      </c>
      <c r="AE25" s="131">
        <v>75.72</v>
      </c>
      <c r="AF25" s="133">
        <v>139</v>
      </c>
      <c r="AG25" s="134">
        <v>4</v>
      </c>
      <c r="AH25" s="131">
        <v>1.75</v>
      </c>
      <c r="AI25" s="115">
        <f t="shared" si="10"/>
        <v>9.8408592475960184</v>
      </c>
      <c r="AJ25" s="131">
        <v>128.55000000000001</v>
      </c>
      <c r="AK25" s="115">
        <f t="shared" si="11"/>
        <v>722.88140358769613</v>
      </c>
      <c r="AL25" s="139">
        <v>27.96</v>
      </c>
      <c r="AM25" s="131"/>
      <c r="AN25" s="136">
        <v>10.44</v>
      </c>
      <c r="AO25" s="466">
        <v>76.27</v>
      </c>
      <c r="AP25" s="110">
        <f t="shared" si="12"/>
        <v>0.29171925798431825</v>
      </c>
      <c r="AQ25" s="137" t="s">
        <v>416</v>
      </c>
      <c r="AR25" s="150">
        <v>8.0500000000000007</v>
      </c>
      <c r="AS25" s="138">
        <v>7.03</v>
      </c>
      <c r="AT25" s="153"/>
      <c r="AU25" s="131">
        <v>7.89</v>
      </c>
      <c r="AV25" s="315">
        <v>261.45</v>
      </c>
      <c r="AW25" s="131">
        <v>3.09</v>
      </c>
      <c r="AX25" s="148"/>
      <c r="AY25" s="131"/>
      <c r="AZ25" s="109">
        <f t="shared" si="34"/>
        <v>0</v>
      </c>
      <c r="BA25" s="109">
        <f t="shared" si="13"/>
        <v>177.83</v>
      </c>
      <c r="BB25" s="115">
        <f t="shared" si="28"/>
        <v>188.2471829584716</v>
      </c>
      <c r="BC25" s="140">
        <f t="shared" si="14"/>
        <v>7.8569397887323937</v>
      </c>
      <c r="BD25" s="141">
        <f t="shared" ref="BD25:BD37" si="35">BA25*$BD$6</f>
        <v>7.1132000000000009</v>
      </c>
      <c r="BE25" s="128">
        <f t="shared" si="16"/>
        <v>0.82469010988731806</v>
      </c>
      <c r="BF25" s="141">
        <f t="shared" si="17"/>
        <v>14.970139788732395</v>
      </c>
      <c r="BG25" s="535">
        <v>0.89600000000000002</v>
      </c>
      <c r="BH25" s="16">
        <f t="shared" si="29"/>
        <v>3476.3899999999994</v>
      </c>
      <c r="BI25" s="16">
        <f t="shared" si="18"/>
        <v>187.09677419354838</v>
      </c>
      <c r="BJ25" s="16">
        <f t="shared" si="30"/>
        <v>3554.8387096774181</v>
      </c>
      <c r="BK25" s="17">
        <f t="shared" si="19"/>
        <v>1</v>
      </c>
      <c r="BL25" s="16">
        <f t="shared" si="31"/>
        <v>3554.8387096774181</v>
      </c>
      <c r="BM25" s="254"/>
      <c r="BN25" s="197">
        <v>55.415999999999997</v>
      </c>
      <c r="BO25" s="197">
        <v>180.09899999999999</v>
      </c>
      <c r="BP25" s="197">
        <v>160.07499999999999</v>
      </c>
      <c r="BQ25" s="230"/>
      <c r="BR25" s="230">
        <v>20.643999999999998</v>
      </c>
      <c r="BS25" s="258"/>
      <c r="BT25" s="199"/>
      <c r="BU25" s="200"/>
      <c r="BV25" s="200"/>
      <c r="BW25" s="200"/>
      <c r="BX25" s="200">
        <v>1.07</v>
      </c>
      <c r="BY25" s="208"/>
      <c r="BZ25" s="208">
        <v>3.94</v>
      </c>
      <c r="CA25" s="201"/>
      <c r="CB25" s="202"/>
      <c r="CC25" s="200">
        <v>43.84</v>
      </c>
      <c r="CD25" s="200">
        <v>41.56</v>
      </c>
      <c r="CE25" s="200">
        <v>35.81</v>
      </c>
      <c r="CF25" s="208"/>
      <c r="CG25" s="208">
        <v>37.82</v>
      </c>
      <c r="CH25" s="201"/>
      <c r="CI25" s="199"/>
      <c r="CJ25" s="197"/>
      <c r="CK25" s="197"/>
      <c r="CL25" s="197">
        <v>263.54000000000002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0</v>
      </c>
      <c r="CU25" s="24">
        <f t="shared" si="20"/>
        <v>55.415999999999997</v>
      </c>
      <c r="CV25" s="25">
        <f t="shared" si="20"/>
        <v>180.09899999999999</v>
      </c>
      <c r="CW25" s="24">
        <f t="shared" si="20"/>
        <v>158.36219750000001</v>
      </c>
      <c r="CX25" s="27">
        <f t="shared" si="20"/>
        <v>0</v>
      </c>
      <c r="CY25" s="30">
        <f t="shared" si="20"/>
        <v>19.8306264</v>
      </c>
      <c r="CZ25" s="280">
        <f t="shared" si="20"/>
        <v>0</v>
      </c>
      <c r="DA25" s="25">
        <f t="shared" si="21"/>
        <v>0</v>
      </c>
      <c r="DB25" s="26">
        <f t="shared" si="21"/>
        <v>0</v>
      </c>
      <c r="DC25" s="277">
        <f t="shared" si="21"/>
        <v>263.54000000000002</v>
      </c>
      <c r="DD25" s="280">
        <f t="shared" si="21"/>
        <v>0</v>
      </c>
      <c r="DE25" s="508">
        <f t="shared" si="32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3"/>
        <v>0</v>
      </c>
    </row>
    <row r="26" spans="1:115" ht="16.5" customHeight="1" thickBot="1">
      <c r="A26" s="534">
        <v>20</v>
      </c>
      <c r="B26" s="103">
        <f>'[1]август 20'!K25</f>
        <v>401.92200000000003</v>
      </c>
      <c r="C26" s="104">
        <f t="shared" si="0"/>
        <v>0.76495315011370368</v>
      </c>
      <c r="D26" s="143">
        <f t="shared" si="1"/>
        <v>398.84748500000006</v>
      </c>
      <c r="E26" s="104">
        <f t="shared" si="2"/>
        <v>39.882978836689702</v>
      </c>
      <c r="F26" s="128">
        <f t="shared" si="3"/>
        <v>1.9950304496037174</v>
      </c>
      <c r="G26" s="106"/>
      <c r="H26" s="107">
        <f t="shared" si="4"/>
        <v>0.85600768805600214</v>
      </c>
      <c r="I26" s="103">
        <f>'[1]сентябрь 20'!AE25</f>
        <v>0</v>
      </c>
      <c r="J26" s="328">
        <f>'[1]август 20'!AA25</f>
        <v>10.717000000000001</v>
      </c>
      <c r="K26" s="106"/>
      <c r="L26" s="328">
        <f>'[1]август 20'!AI25</f>
        <v>227.714</v>
      </c>
      <c r="M26" s="103">
        <f t="shared" si="5"/>
        <v>1.1390227615477151</v>
      </c>
      <c r="N26" s="103">
        <f>'[1]август 20'!W25</f>
        <v>0</v>
      </c>
      <c r="O26" s="103">
        <f>'[1]август 20'!AM25</f>
        <v>0</v>
      </c>
      <c r="P26" s="447">
        <f t="shared" si="24"/>
        <v>0</v>
      </c>
      <c r="Q26" s="103">
        <f t="shared" si="25"/>
        <v>0</v>
      </c>
      <c r="R26" s="103">
        <f>'[1]август 20'!S25</f>
        <v>264.03100000000001</v>
      </c>
      <c r="S26" s="108">
        <f t="shared" si="6"/>
        <v>3.8332620033253662</v>
      </c>
      <c r="T26" s="109">
        <f t="shared" si="7"/>
        <v>253.91000000000003</v>
      </c>
      <c r="U26" s="566">
        <v>28.31</v>
      </c>
      <c r="V26" s="109">
        <f t="shared" si="8"/>
        <v>253.91</v>
      </c>
      <c r="W26" s="110">
        <f t="shared" si="9"/>
        <v>1.2700548468016035</v>
      </c>
      <c r="X26" s="110">
        <f t="shared" si="26"/>
        <v>1.2700548468016035</v>
      </c>
      <c r="Y26" s="136">
        <v>199.92</v>
      </c>
      <c r="Z26" s="154">
        <v>95.91</v>
      </c>
      <c r="AA26" s="149">
        <v>0.93</v>
      </c>
      <c r="AB26" s="147">
        <v>682</v>
      </c>
      <c r="AC26" s="147">
        <v>1237</v>
      </c>
      <c r="AD26" s="144" t="s">
        <v>305</v>
      </c>
      <c r="AE26" s="149">
        <v>75.959999999999994</v>
      </c>
      <c r="AF26" s="147">
        <v>134</v>
      </c>
      <c r="AG26" s="155">
        <v>4</v>
      </c>
      <c r="AH26" s="149">
        <v>0.55000000000000004</v>
      </c>
      <c r="AI26" s="115">
        <f t="shared" si="10"/>
        <v>2.7510935596899766</v>
      </c>
      <c r="AJ26" s="149">
        <v>128.85</v>
      </c>
      <c r="AK26" s="115">
        <f t="shared" si="11"/>
        <v>644.50619121100624</v>
      </c>
      <c r="AL26" s="156">
        <v>27.08</v>
      </c>
      <c r="AM26" s="149"/>
      <c r="AN26" s="157">
        <v>9.66</v>
      </c>
      <c r="AO26" s="466">
        <f t="shared" si="27"/>
        <v>48.649500000000003</v>
      </c>
      <c r="AP26" s="110">
        <f t="shared" si="12"/>
        <v>0.19</v>
      </c>
      <c r="AQ26" s="158" t="s">
        <v>150</v>
      </c>
      <c r="AR26" s="404">
        <v>8.25</v>
      </c>
      <c r="AS26" s="159">
        <v>7.41</v>
      </c>
      <c r="AT26" s="155"/>
      <c r="AU26" s="149">
        <v>6.77</v>
      </c>
      <c r="AV26" s="315">
        <v>256.05</v>
      </c>
      <c r="AW26" s="131">
        <v>2.1800000000000002</v>
      </c>
      <c r="AX26" s="148"/>
      <c r="AY26" s="149"/>
      <c r="AZ26" s="160">
        <f t="shared" si="34"/>
        <v>0</v>
      </c>
      <c r="BA26" s="109">
        <f t="shared" si="13"/>
        <v>199.92050000000003</v>
      </c>
      <c r="BB26" s="115">
        <f t="shared" si="28"/>
        <v>182.82001219457655</v>
      </c>
      <c r="BC26" s="140">
        <f t="shared" si="14"/>
        <v>6.7573658450704217</v>
      </c>
      <c r="BD26" s="140">
        <f t="shared" si="35"/>
        <v>7.9968200000000014</v>
      </c>
      <c r="BE26" s="161">
        <f t="shared" si="16"/>
        <v>0.95465805086067923</v>
      </c>
      <c r="BF26" s="140">
        <f t="shared" si="17"/>
        <v>14.754185845070424</v>
      </c>
      <c r="BG26" s="537">
        <v>0.89900000000000002</v>
      </c>
      <c r="BH26" s="16">
        <f t="shared" si="29"/>
        <v>3676.3104999999996</v>
      </c>
      <c r="BI26" s="16">
        <f t="shared" si="18"/>
        <v>187.09677419354838</v>
      </c>
      <c r="BJ26" s="16">
        <f t="shared" si="30"/>
        <v>3741.9354838709664</v>
      </c>
      <c r="BK26" s="17">
        <f t="shared" si="19"/>
        <v>1</v>
      </c>
      <c r="BL26" s="16">
        <f t="shared" si="31"/>
        <v>3741.9354838709664</v>
      </c>
      <c r="BM26" s="254"/>
      <c r="BN26" s="197">
        <v>53.622</v>
      </c>
      <c r="BO26" s="197">
        <v>174.09200000000001</v>
      </c>
      <c r="BP26" s="197">
        <v>164.959</v>
      </c>
      <c r="BQ26" s="230"/>
      <c r="BR26" s="230">
        <v>9.2490000000000006</v>
      </c>
      <c r="BS26" s="258"/>
      <c r="BT26" s="199"/>
      <c r="BU26" s="200"/>
      <c r="BV26" s="200"/>
      <c r="BW26" s="200"/>
      <c r="BX26" s="200">
        <v>1.63</v>
      </c>
      <c r="BY26" s="208"/>
      <c r="BZ26" s="208">
        <v>4.17</v>
      </c>
      <c r="CA26" s="201"/>
      <c r="CB26" s="202"/>
      <c r="CC26" s="200">
        <v>43.73</v>
      </c>
      <c r="CD26" s="200">
        <v>41.66</v>
      </c>
      <c r="CE26" s="200">
        <v>36.94</v>
      </c>
      <c r="CF26" s="208"/>
      <c r="CG26" s="208">
        <v>36.619999999999997</v>
      </c>
      <c r="CH26" s="209"/>
      <c r="CI26" s="199"/>
      <c r="CJ26" s="197"/>
      <c r="CK26" s="197"/>
      <c r="CL26" s="197">
        <v>253.91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53.622</v>
      </c>
      <c r="CV26" s="25">
        <f t="shared" si="20"/>
        <v>174.09200000000001</v>
      </c>
      <c r="CW26" s="24">
        <f t="shared" si="20"/>
        <v>162.27016829999999</v>
      </c>
      <c r="CX26" s="27">
        <f t="shared" si="20"/>
        <v>0</v>
      </c>
      <c r="CY26" s="24">
        <f t="shared" si="20"/>
        <v>8.8633167000000004</v>
      </c>
      <c r="CZ26" s="280">
        <f t="shared" si="20"/>
        <v>0</v>
      </c>
      <c r="DA26" s="30">
        <f t="shared" si="21"/>
        <v>0</v>
      </c>
      <c r="DB26" s="26">
        <f t="shared" si="21"/>
        <v>0</v>
      </c>
      <c r="DC26" s="277">
        <f t="shared" si="21"/>
        <v>253.91</v>
      </c>
      <c r="DD26" s="280">
        <f t="shared" si="21"/>
        <v>0</v>
      </c>
      <c r="DE26" s="508">
        <f t="shared" si="32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3"/>
        <v>0</v>
      </c>
    </row>
    <row r="27" spans="1:115" ht="16.5" customHeight="1" thickBot="1">
      <c r="A27" s="534">
        <v>21</v>
      </c>
      <c r="B27" s="103">
        <f>'[1]август 20'!K26</f>
        <v>398.96600000000001</v>
      </c>
      <c r="C27" s="104">
        <f t="shared" si="0"/>
        <v>0.70203952216479615</v>
      </c>
      <c r="D27" s="143">
        <f t="shared" si="1"/>
        <v>396.16510099999999</v>
      </c>
      <c r="E27" s="104">
        <f t="shared" si="2"/>
        <v>39.219863647528861</v>
      </c>
      <c r="F27" s="128">
        <f t="shared" si="3"/>
        <v>2.2119215374264747</v>
      </c>
      <c r="G27" s="106"/>
      <c r="H27" s="107">
        <f t="shared" si="4"/>
        <v>0.94969194520517375</v>
      </c>
      <c r="I27" s="103">
        <f>'[1]сентябрь 20'!AE26</f>
        <v>0</v>
      </c>
      <c r="J27" s="328">
        <f>'[1]август 20'!AA26</f>
        <v>11.916</v>
      </c>
      <c r="K27" s="106"/>
      <c r="L27" s="328">
        <f>'[1]август 20'!AI26</f>
        <v>226.071</v>
      </c>
      <c r="M27" s="103">
        <f t="shared" si="5"/>
        <v>1.2622295922213012</v>
      </c>
      <c r="N27" s="103">
        <f>'[1]август 20'!W26</f>
        <v>0</v>
      </c>
      <c r="O27" s="103">
        <f>'[1]август 20'!AM26</f>
        <v>0</v>
      </c>
      <c r="P27" s="447">
        <f t="shared" si="24"/>
        <v>0</v>
      </c>
      <c r="Q27" s="103">
        <f t="shared" si="25"/>
        <v>0</v>
      </c>
      <c r="R27" s="103">
        <f>'[1]август 20'!S26</f>
        <v>260.339</v>
      </c>
      <c r="S27" s="108">
        <f t="shared" si="6"/>
        <v>3.4451234736247671</v>
      </c>
      <c r="T27" s="109">
        <f t="shared" si="7"/>
        <v>251.37000000000003</v>
      </c>
      <c r="U27" s="566">
        <v>9.42</v>
      </c>
      <c r="V27" s="109">
        <f t="shared" si="8"/>
        <v>251.37</v>
      </c>
      <c r="W27" s="110">
        <f t="shared" si="9"/>
        <v>1.4034823245647099</v>
      </c>
      <c r="X27" s="110">
        <f t="shared" si="26"/>
        <v>1.4034823245647099</v>
      </c>
      <c r="Y27" s="129">
        <v>179.1</v>
      </c>
      <c r="Z27" s="129">
        <v>82.8</v>
      </c>
      <c r="AA27" s="131">
        <v>0.92</v>
      </c>
      <c r="AB27" s="133">
        <v>672</v>
      </c>
      <c r="AC27" s="133">
        <v>1237</v>
      </c>
      <c r="AD27" s="144" t="s">
        <v>321</v>
      </c>
      <c r="AE27" s="131">
        <v>75.599999999999994</v>
      </c>
      <c r="AF27" s="133">
        <v>133</v>
      </c>
      <c r="AG27" s="134">
        <v>4</v>
      </c>
      <c r="AH27" s="131">
        <v>0.85</v>
      </c>
      <c r="AI27" s="115">
        <f t="shared" si="10"/>
        <v>4.7458327401042411</v>
      </c>
      <c r="AJ27" s="131">
        <v>130.25</v>
      </c>
      <c r="AK27" s="115">
        <f t="shared" si="11"/>
        <v>727.22907576303226</v>
      </c>
      <c r="AL27" s="139">
        <v>27.97</v>
      </c>
      <c r="AM27" s="131"/>
      <c r="AN27" s="136">
        <v>10.85</v>
      </c>
      <c r="AO27" s="466">
        <f t="shared" si="27"/>
        <v>44.165500000000002</v>
      </c>
      <c r="AP27" s="110">
        <f t="shared" si="12"/>
        <v>0.19</v>
      </c>
      <c r="AQ27" s="137" t="s">
        <v>204</v>
      </c>
      <c r="AR27" s="150">
        <v>7.77</v>
      </c>
      <c r="AS27" s="138">
        <v>7.42</v>
      </c>
      <c r="AT27" s="134"/>
      <c r="AU27" s="131">
        <v>7.33</v>
      </c>
      <c r="AV27" s="139">
        <v>232.45</v>
      </c>
      <c r="AW27" s="131">
        <v>1.67</v>
      </c>
      <c r="AX27" s="148"/>
      <c r="AY27" s="131"/>
      <c r="AZ27" s="109">
        <f t="shared" si="34"/>
        <v>0</v>
      </c>
      <c r="BA27" s="109">
        <f t="shared" si="13"/>
        <v>179.10449999999997</v>
      </c>
      <c r="BB27" s="115">
        <f t="shared" si="28"/>
        <v>179.42160721232881</v>
      </c>
      <c r="BC27" s="140">
        <f t="shared" si="14"/>
        <v>7.3958151408450696</v>
      </c>
      <c r="BD27" s="141">
        <f t="shared" si="35"/>
        <v>7.1641799999999991</v>
      </c>
      <c r="BE27" s="128">
        <f t="shared" si="16"/>
        <v>0.87145707214050638</v>
      </c>
      <c r="BF27" s="141">
        <f t="shared" si="17"/>
        <v>14.559995140845068</v>
      </c>
      <c r="BG27" s="535">
        <v>0.89800000000000002</v>
      </c>
      <c r="BH27" s="16">
        <f t="shared" si="29"/>
        <v>3855.4149999999995</v>
      </c>
      <c r="BI27" s="16">
        <f t="shared" si="18"/>
        <v>187.09677419354838</v>
      </c>
      <c r="BJ27" s="16">
        <f t="shared" si="30"/>
        <v>3929.0322580645147</v>
      </c>
      <c r="BK27" s="17">
        <f t="shared" si="19"/>
        <v>1</v>
      </c>
      <c r="BL27" s="16">
        <f t="shared" si="31"/>
        <v>3929.0322580645147</v>
      </c>
      <c r="BM27" s="254"/>
      <c r="BN27" s="197">
        <v>53.198</v>
      </c>
      <c r="BO27" s="197">
        <v>172.87299999999999</v>
      </c>
      <c r="BP27" s="197">
        <v>172.89500000000001</v>
      </c>
      <c r="BQ27" s="230"/>
      <c r="BR27" s="230"/>
      <c r="BS27" s="258"/>
      <c r="BT27" s="199"/>
      <c r="BU27" s="200"/>
      <c r="BV27" s="200"/>
      <c r="BW27" s="200"/>
      <c r="BX27" s="200">
        <v>1.62</v>
      </c>
      <c r="BY27" s="208"/>
      <c r="BZ27" s="208"/>
      <c r="CA27" s="201"/>
      <c r="CB27" s="202"/>
      <c r="CC27" s="200">
        <v>43.64</v>
      </c>
      <c r="CD27" s="200">
        <v>41.6</v>
      </c>
      <c r="CE27" s="200">
        <v>35.479999999999997</v>
      </c>
      <c r="CF27" s="208"/>
      <c r="CG27" s="208"/>
      <c r="CH27" s="209"/>
      <c r="CI27" s="199"/>
      <c r="CJ27" s="197"/>
      <c r="CK27" s="197"/>
      <c r="CL27" s="197">
        <v>251.37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53.198</v>
      </c>
      <c r="CV27" s="25">
        <f t="shared" si="20"/>
        <v>172.87299999999999</v>
      </c>
      <c r="CW27" s="24">
        <f t="shared" si="20"/>
        <v>170.09410100000002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0</v>
      </c>
      <c r="DC27" s="277">
        <f t="shared" si="21"/>
        <v>251.37</v>
      </c>
      <c r="DD27" s="280">
        <f t="shared" si="21"/>
        <v>0</v>
      </c>
      <c r="DE27" s="508">
        <f t="shared" si="32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3"/>
        <v>0</v>
      </c>
    </row>
    <row r="28" spans="1:115" ht="16.5" customHeight="1" thickBot="1">
      <c r="A28" s="534">
        <v>22</v>
      </c>
      <c r="B28" s="103">
        <f>'[1]август 20'!K27</f>
        <v>395.79599999999999</v>
      </c>
      <c r="C28" s="104">
        <f t="shared" si="0"/>
        <v>1.0432292393050964</v>
      </c>
      <c r="D28" s="143">
        <f t="shared" si="1"/>
        <v>391.66694040000004</v>
      </c>
      <c r="E28" s="104">
        <f t="shared" si="2"/>
        <v>39.883309533193867</v>
      </c>
      <c r="F28" s="128">
        <f t="shared" si="3"/>
        <v>2.1559549198398176</v>
      </c>
      <c r="G28" s="106"/>
      <c r="H28" s="107">
        <f t="shared" si="4"/>
        <v>0.9214688395007361</v>
      </c>
      <c r="I28" s="103">
        <f>'[1]сентябрь 20'!AE27</f>
        <v>0</v>
      </c>
      <c r="J28" s="328">
        <f>'[1]август 20'!AA27</f>
        <v>12.923999999999999</v>
      </c>
      <c r="K28" s="106"/>
      <c r="L28" s="328">
        <f>'[1]август 20'!AI27</f>
        <v>224.26599999999999</v>
      </c>
      <c r="M28" s="103">
        <f t="shared" si="5"/>
        <v>1.2344860803390811</v>
      </c>
      <c r="N28" s="103">
        <f>'[1]август 20'!W27</f>
        <v>0</v>
      </c>
      <c r="O28" s="103">
        <f>'[1]август 20'!AM27</f>
        <v>0</v>
      </c>
      <c r="P28" s="447">
        <f t="shared" si="24"/>
        <v>0</v>
      </c>
      <c r="Q28" s="103">
        <f t="shared" si="25"/>
        <v>0</v>
      </c>
      <c r="R28" s="103">
        <f>'[1]август 20'!S27</f>
        <v>260.04399999999998</v>
      </c>
      <c r="S28" s="108">
        <f t="shared" si="6"/>
        <v>3.3509713740751401</v>
      </c>
      <c r="T28" s="109">
        <f t="shared" si="7"/>
        <v>251.33</v>
      </c>
      <c r="U28" s="566">
        <v>11.98</v>
      </c>
      <c r="V28" s="109">
        <f t="shared" si="8"/>
        <v>251.33</v>
      </c>
      <c r="W28" s="110">
        <f t="shared" si="9"/>
        <v>1.3834615437543867</v>
      </c>
      <c r="X28" s="110">
        <f t="shared" si="26"/>
        <v>1.3834615437543867</v>
      </c>
      <c r="Y28" s="129">
        <v>181.67</v>
      </c>
      <c r="Z28" s="136">
        <v>181.67</v>
      </c>
      <c r="AA28" s="131">
        <v>0.62</v>
      </c>
      <c r="AB28" s="133">
        <v>664</v>
      </c>
      <c r="AC28" s="133">
        <v>1240</v>
      </c>
      <c r="AD28" s="144" t="s">
        <v>279</v>
      </c>
      <c r="AE28" s="131">
        <v>76.09</v>
      </c>
      <c r="AF28" s="133">
        <v>132</v>
      </c>
      <c r="AG28" s="134">
        <v>4</v>
      </c>
      <c r="AH28" s="131"/>
      <c r="AI28" s="115">
        <f t="shared" si="10"/>
        <v>0</v>
      </c>
      <c r="AJ28" s="131">
        <v>133.80000000000001</v>
      </c>
      <c r="AK28" s="115">
        <f t="shared" si="11"/>
        <v>736.51038297989464</v>
      </c>
      <c r="AL28" s="139">
        <v>22.18</v>
      </c>
      <c r="AM28" s="131"/>
      <c r="AN28" s="136">
        <v>12.37</v>
      </c>
      <c r="AO28" s="466">
        <f t="shared" si="27"/>
        <v>44.982500000000002</v>
      </c>
      <c r="AP28" s="110">
        <f t="shared" si="12"/>
        <v>0.19</v>
      </c>
      <c r="AQ28" s="137" t="s">
        <v>417</v>
      </c>
      <c r="AR28" s="150">
        <v>7.99</v>
      </c>
      <c r="AS28" s="138">
        <v>7.17</v>
      </c>
      <c r="AT28" s="134"/>
      <c r="AU28" s="131">
        <v>7.36</v>
      </c>
      <c r="AV28" s="139">
        <v>236.75</v>
      </c>
      <c r="AW28" s="131">
        <v>2.27</v>
      </c>
      <c r="AX28" s="148"/>
      <c r="AY28" s="131"/>
      <c r="AZ28" s="109">
        <f t="shared" si="34"/>
        <v>0</v>
      </c>
      <c r="BA28" s="109">
        <f t="shared" si="13"/>
        <v>181.66749999999999</v>
      </c>
      <c r="BB28" s="115">
        <f t="shared" si="28"/>
        <v>179.22342151425795</v>
      </c>
      <c r="BC28" s="140">
        <f t="shared" si="14"/>
        <v>7.6284845070422547</v>
      </c>
      <c r="BD28" s="141">
        <f t="shared" si="35"/>
        <v>7.2667000000000002</v>
      </c>
      <c r="BE28" s="128">
        <f t="shared" si="16"/>
        <v>0.88490514331232684</v>
      </c>
      <c r="BF28" s="141">
        <f t="shared" si="17"/>
        <v>14.895184507042256</v>
      </c>
      <c r="BG28" s="535">
        <v>0.89700000000000002</v>
      </c>
      <c r="BH28" s="16">
        <f t="shared" si="29"/>
        <v>4037.0824999999995</v>
      </c>
      <c r="BI28" s="16">
        <f t="shared" si="18"/>
        <v>187.09677419354838</v>
      </c>
      <c r="BJ28" s="16">
        <f t="shared" si="30"/>
        <v>4116.1290322580635</v>
      </c>
      <c r="BK28" s="17">
        <f t="shared" si="19"/>
        <v>1</v>
      </c>
      <c r="BL28" s="16">
        <f t="shared" si="31"/>
        <v>4116.1290322580635</v>
      </c>
      <c r="BM28" s="254"/>
      <c r="BN28" s="197">
        <v>52.755000000000003</v>
      </c>
      <c r="BO28" s="197">
        <v>171.511</v>
      </c>
      <c r="BP28" s="197">
        <v>163.178</v>
      </c>
      <c r="BQ28" s="230"/>
      <c r="BR28" s="230">
        <v>8.3520000000000003</v>
      </c>
      <c r="BS28" s="258"/>
      <c r="BT28" s="199"/>
      <c r="BU28" s="200"/>
      <c r="BV28" s="200"/>
      <c r="BW28" s="200"/>
      <c r="BX28" s="200">
        <v>2.34</v>
      </c>
      <c r="BY28" s="208"/>
      <c r="BZ28" s="208">
        <v>3.72</v>
      </c>
      <c r="CA28" s="201"/>
      <c r="CB28" s="202"/>
      <c r="CC28" s="200">
        <v>43.8</v>
      </c>
      <c r="CD28" s="200">
        <v>41.6</v>
      </c>
      <c r="CE28" s="200">
        <v>36.97</v>
      </c>
      <c r="CF28" s="208"/>
      <c r="CG28" s="208">
        <v>36.81</v>
      </c>
      <c r="CH28" s="209"/>
      <c r="CI28" s="199"/>
      <c r="CJ28" s="197"/>
      <c r="CK28" s="197"/>
      <c r="CL28" s="197">
        <v>251.33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52.755000000000003</v>
      </c>
      <c r="CV28" s="30">
        <f t="shared" si="20"/>
        <v>171.511</v>
      </c>
      <c r="CW28" s="29">
        <f t="shared" si="20"/>
        <v>159.35963479999998</v>
      </c>
      <c r="CX28" s="27">
        <f t="shared" si="20"/>
        <v>0</v>
      </c>
      <c r="CY28" s="24">
        <f t="shared" si="20"/>
        <v>8.0413055999999994</v>
      </c>
      <c r="CZ28" s="282">
        <f t="shared" si="20"/>
        <v>0</v>
      </c>
      <c r="DA28" s="25">
        <f t="shared" si="21"/>
        <v>0</v>
      </c>
      <c r="DB28" s="24">
        <f t="shared" si="21"/>
        <v>0</v>
      </c>
      <c r="DC28" s="277">
        <f t="shared" si="21"/>
        <v>251.33</v>
      </c>
      <c r="DD28" s="280">
        <f t="shared" si="21"/>
        <v>0</v>
      </c>
      <c r="DE28" s="508">
        <f t="shared" si="32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3"/>
        <v>0</v>
      </c>
    </row>
    <row r="29" spans="1:115" ht="16.5" customHeight="1" thickBot="1">
      <c r="A29" s="534">
        <v>23</v>
      </c>
      <c r="B29" s="103">
        <f>'[1]август 20'!K28</f>
        <v>396.29899999999998</v>
      </c>
      <c r="C29" s="104">
        <f t="shared" si="0"/>
        <v>1.0019182738285994</v>
      </c>
      <c r="D29" s="143">
        <f t="shared" si="1"/>
        <v>392.3284079</v>
      </c>
      <c r="E29" s="104">
        <f t="shared" si="2"/>
        <v>39.9844303669704</v>
      </c>
      <c r="F29" s="128">
        <f t="shared" si="3"/>
        <v>2.0862428964930473</v>
      </c>
      <c r="G29" s="106"/>
      <c r="H29" s="107">
        <f t="shared" si="4"/>
        <v>0.8930600510488953</v>
      </c>
      <c r="I29" s="103">
        <f>'[1]сентябрь 20'!AE28</f>
        <v>0</v>
      </c>
      <c r="J29" s="328">
        <f>'[1]август 20'!AA28</f>
        <v>13.404</v>
      </c>
      <c r="K29" s="106"/>
      <c r="L29" s="328">
        <f>'[1]август 20'!AI28</f>
        <v>224.38399999999999</v>
      </c>
      <c r="M29" s="103">
        <f t="shared" si="5"/>
        <v>1.193182845444152</v>
      </c>
      <c r="N29" s="103">
        <f>'[1]август 20'!W28</f>
        <v>0</v>
      </c>
      <c r="O29" s="103">
        <f>'[1]август 20'!AM28</f>
        <v>0</v>
      </c>
      <c r="P29" s="447">
        <f t="shared" si="24"/>
        <v>0</v>
      </c>
      <c r="Q29" s="103">
        <f t="shared" si="25"/>
        <v>0</v>
      </c>
      <c r="R29" s="103">
        <f>'[1]август 20'!S28</f>
        <v>261.02</v>
      </c>
      <c r="S29" s="108">
        <f t="shared" si="6"/>
        <v>3.4097004060991365</v>
      </c>
      <c r="T29" s="109">
        <f t="shared" si="7"/>
        <v>252.12</v>
      </c>
      <c r="U29" s="566">
        <v>36.9</v>
      </c>
      <c r="V29" s="109">
        <f t="shared" si="8"/>
        <v>252.12</v>
      </c>
      <c r="W29" s="110">
        <f t="shared" si="9"/>
        <v>1.3406716120283959</v>
      </c>
      <c r="X29" s="110">
        <f t="shared" si="26"/>
        <v>1.3406716120283959</v>
      </c>
      <c r="Y29" s="129">
        <v>188.06</v>
      </c>
      <c r="Z29" s="136">
        <v>188.06</v>
      </c>
      <c r="AA29" s="131">
        <v>0.73</v>
      </c>
      <c r="AB29" s="133">
        <v>682</v>
      </c>
      <c r="AC29" s="133">
        <v>1224</v>
      </c>
      <c r="AD29" s="144" t="s">
        <v>418</v>
      </c>
      <c r="AE29" s="131">
        <v>75.709999999999994</v>
      </c>
      <c r="AF29" s="133">
        <v>132</v>
      </c>
      <c r="AG29" s="134">
        <v>4</v>
      </c>
      <c r="AH29" s="131">
        <v>0.9</v>
      </c>
      <c r="AI29" s="115">
        <f t="shared" si="10"/>
        <v>4.7858339315625749</v>
      </c>
      <c r="AJ29" s="131">
        <v>135.25</v>
      </c>
      <c r="AK29" s="115">
        <f t="shared" si="11"/>
        <v>719.20448804870921</v>
      </c>
      <c r="AL29" s="139">
        <v>29.9</v>
      </c>
      <c r="AM29" s="131"/>
      <c r="AN29" s="136">
        <v>12.97</v>
      </c>
      <c r="AO29" s="466">
        <f t="shared" si="27"/>
        <v>46.454999999999998</v>
      </c>
      <c r="AP29" s="110">
        <f t="shared" si="12"/>
        <v>0.19</v>
      </c>
      <c r="AQ29" s="137" t="s">
        <v>199</v>
      </c>
      <c r="AR29" s="150">
        <v>8.24</v>
      </c>
      <c r="AS29" s="138">
        <v>7.04</v>
      </c>
      <c r="AT29" s="134"/>
      <c r="AU29" s="131">
        <v>6.6</v>
      </c>
      <c r="AV29" s="139">
        <v>244.5</v>
      </c>
      <c r="AW29" s="131">
        <v>2.98</v>
      </c>
      <c r="AX29" s="148"/>
      <c r="AY29" s="131"/>
      <c r="AZ29" s="109">
        <f t="shared" si="34"/>
        <v>0</v>
      </c>
      <c r="BA29" s="109">
        <f t="shared" si="13"/>
        <v>188.05500000000001</v>
      </c>
      <c r="BB29" s="115">
        <f t="shared" si="28"/>
        <v>180.8846303330584</v>
      </c>
      <c r="BC29" s="140">
        <f t="shared" si="14"/>
        <v>6.9148943661971822</v>
      </c>
      <c r="BD29" s="141">
        <f t="shared" si="35"/>
        <v>7.5222000000000007</v>
      </c>
      <c r="BE29" s="128">
        <f t="shared" si="16"/>
        <v>0.90760621672341191</v>
      </c>
      <c r="BF29" s="141">
        <f t="shared" si="17"/>
        <v>14.437094366197183</v>
      </c>
      <c r="BG29" s="535">
        <v>0.89800000000000002</v>
      </c>
      <c r="BH29" s="16">
        <f t="shared" si="29"/>
        <v>4225.1374999999998</v>
      </c>
      <c r="BI29" s="16">
        <f t="shared" si="18"/>
        <v>187.09677419354838</v>
      </c>
      <c r="BJ29" s="16">
        <f t="shared" si="30"/>
        <v>4303.2258064516118</v>
      </c>
      <c r="BK29" s="17">
        <f t="shared" si="19"/>
        <v>1</v>
      </c>
      <c r="BL29" s="16">
        <f t="shared" si="31"/>
        <v>4303.2258064516118</v>
      </c>
      <c r="BM29" s="254"/>
      <c r="BN29" s="197">
        <v>52.831000000000003</v>
      </c>
      <c r="BO29" s="197">
        <v>171.553</v>
      </c>
      <c r="BP29" s="197">
        <v>158.46600000000001</v>
      </c>
      <c r="BQ29" s="230"/>
      <c r="BR29" s="230">
        <v>13.449</v>
      </c>
      <c r="BS29" s="258"/>
      <c r="BT29" s="199"/>
      <c r="BU29" s="200"/>
      <c r="BV29" s="200"/>
      <c r="BW29" s="200"/>
      <c r="BX29" s="200">
        <v>2.2400000000000002</v>
      </c>
      <c r="BY29" s="208"/>
      <c r="BZ29" s="208">
        <v>3.13</v>
      </c>
      <c r="CA29" s="201"/>
      <c r="CB29" s="202"/>
      <c r="CC29" s="200">
        <v>43.61</v>
      </c>
      <c r="CD29" s="200">
        <v>41.39</v>
      </c>
      <c r="CE29" s="200">
        <v>37.24</v>
      </c>
      <c r="CF29" s="208"/>
      <c r="CG29" s="208">
        <v>40.15</v>
      </c>
      <c r="CH29" s="201"/>
      <c r="CI29" s="199"/>
      <c r="CJ29" s="197"/>
      <c r="CK29" s="197"/>
      <c r="CL29" s="230">
        <v>252.12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52.831000000000003</v>
      </c>
      <c r="CV29" s="25">
        <f t="shared" si="20"/>
        <v>171.553</v>
      </c>
      <c r="CW29" s="24">
        <f t="shared" si="20"/>
        <v>154.91636160000002</v>
      </c>
      <c r="CX29" s="27">
        <f t="shared" si="20"/>
        <v>0</v>
      </c>
      <c r="CY29" s="29">
        <f t="shared" si="20"/>
        <v>13.0280463</v>
      </c>
      <c r="CZ29" s="280">
        <f t="shared" si="20"/>
        <v>0</v>
      </c>
      <c r="DA29" s="30">
        <f t="shared" si="21"/>
        <v>0</v>
      </c>
      <c r="DB29" s="29">
        <f t="shared" si="21"/>
        <v>0</v>
      </c>
      <c r="DC29" s="277">
        <f t="shared" si="21"/>
        <v>252.12</v>
      </c>
      <c r="DD29" s="280">
        <f t="shared" si="21"/>
        <v>0</v>
      </c>
      <c r="DE29" s="508">
        <f t="shared" si="32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3"/>
        <v>0</v>
      </c>
    </row>
    <row r="30" spans="1:115" ht="16.5" customHeight="1" thickBot="1">
      <c r="A30" s="534">
        <v>24</v>
      </c>
      <c r="B30" s="103">
        <f>'[1]август 20'!K29</f>
        <v>399.15</v>
      </c>
      <c r="C30" s="104">
        <f t="shared" si="0"/>
        <v>0.75042472754603529</v>
      </c>
      <c r="D30" s="143">
        <f t="shared" si="1"/>
        <v>396.15467970000003</v>
      </c>
      <c r="E30" s="104">
        <f t="shared" si="2"/>
        <v>39.825586696730554</v>
      </c>
      <c r="F30" s="128">
        <f t="shared" si="3"/>
        <v>2.070017006701415</v>
      </c>
      <c r="G30" s="106"/>
      <c r="H30" s="107">
        <f t="shared" si="4"/>
        <v>0.84819625974840296</v>
      </c>
      <c r="I30" s="103">
        <f>'[1]сентябрь 20'!AE29</f>
        <v>0</v>
      </c>
      <c r="J30" s="328">
        <f>'[1]август 20'!AA29</f>
        <v>12.673</v>
      </c>
      <c r="K30" s="106"/>
      <c r="L30" s="328">
        <f>'[1]август 20'!AI29</f>
        <v>233.82900000000001</v>
      </c>
      <c r="M30" s="103">
        <f t="shared" si="5"/>
        <v>1.2218207469530118</v>
      </c>
      <c r="N30" s="103">
        <f>'[1]август 20'!W29</f>
        <v>0</v>
      </c>
      <c r="O30" s="103">
        <f>'[1]август 20'!AM29</f>
        <v>0</v>
      </c>
      <c r="P30" s="447">
        <f t="shared" si="24"/>
        <v>0</v>
      </c>
      <c r="Q30" s="103">
        <f t="shared" si="25"/>
        <v>0</v>
      </c>
      <c r="R30" s="103">
        <f>'[1]август 20'!S29</f>
        <v>271.791</v>
      </c>
      <c r="S30" s="108">
        <f t="shared" si="6"/>
        <v>2.9290888955116334</v>
      </c>
      <c r="T30" s="109">
        <f t="shared" si="7"/>
        <v>263.82999999999993</v>
      </c>
      <c r="U30" s="566">
        <v>27.34</v>
      </c>
      <c r="V30" s="109">
        <f t="shared" si="8"/>
        <v>263.83</v>
      </c>
      <c r="W30" s="110">
        <f t="shared" si="9"/>
        <v>1.3785842118326341</v>
      </c>
      <c r="X30" s="110">
        <f t="shared" si="26"/>
        <v>1.3785842118326341</v>
      </c>
      <c r="Y30" s="154">
        <v>191.38</v>
      </c>
      <c r="Z30" s="157">
        <v>191.38</v>
      </c>
      <c r="AA30" s="149">
        <v>0.61</v>
      </c>
      <c r="AB30" s="147">
        <v>653</v>
      </c>
      <c r="AC30" s="147">
        <v>1218</v>
      </c>
      <c r="AD30" s="144" t="s">
        <v>278</v>
      </c>
      <c r="AE30" s="149">
        <v>76.099999999999994</v>
      </c>
      <c r="AF30" s="147">
        <v>136</v>
      </c>
      <c r="AG30" s="155">
        <v>4</v>
      </c>
      <c r="AH30" s="149">
        <v>1</v>
      </c>
      <c r="AI30" s="115">
        <f t="shared" si="10"/>
        <v>5.2252746534989747</v>
      </c>
      <c r="AJ30" s="131">
        <v>140.80000000000001</v>
      </c>
      <c r="AK30" s="115">
        <f t="shared" si="11"/>
        <v>735.71867121265564</v>
      </c>
      <c r="AL30" s="139">
        <v>24.02</v>
      </c>
      <c r="AM30" s="131"/>
      <c r="AN30" s="157">
        <v>9.9600000000000009</v>
      </c>
      <c r="AO30" s="466">
        <f t="shared" si="27"/>
        <v>46.502499999999998</v>
      </c>
      <c r="AP30" s="110">
        <f t="shared" si="12"/>
        <v>0.19</v>
      </c>
      <c r="AQ30" s="158" t="s">
        <v>189</v>
      </c>
      <c r="AR30" s="404">
        <v>7.73</v>
      </c>
      <c r="AS30" s="159">
        <v>7.07</v>
      </c>
      <c r="AT30" s="155"/>
      <c r="AU30" s="149">
        <v>7</v>
      </c>
      <c r="AV30" s="156">
        <v>244.75</v>
      </c>
      <c r="AW30" s="131">
        <v>3.09</v>
      </c>
      <c r="AX30" s="164"/>
      <c r="AY30" s="149"/>
      <c r="AZ30" s="109">
        <f t="shared" si="34"/>
        <v>0</v>
      </c>
      <c r="BA30" s="109">
        <f t="shared" si="13"/>
        <v>191.3775</v>
      </c>
      <c r="BB30" s="115">
        <f t="shared" si="28"/>
        <v>180.99082508424414</v>
      </c>
      <c r="BC30" s="140">
        <f t="shared" si="14"/>
        <v>7.6349295774647894</v>
      </c>
      <c r="BD30" s="141">
        <f t="shared" si="35"/>
        <v>7.6551</v>
      </c>
      <c r="BE30" s="128">
        <f t="shared" si="16"/>
        <v>0.92309959591727542</v>
      </c>
      <c r="BF30" s="141">
        <f t="shared" si="17"/>
        <v>15.290029577464789</v>
      </c>
      <c r="BG30" s="537">
        <v>0.89900000000000002</v>
      </c>
      <c r="BH30" s="16">
        <f t="shared" si="29"/>
        <v>4416.5149999999994</v>
      </c>
      <c r="BI30" s="16">
        <f t="shared" si="18"/>
        <v>187.09677419354838</v>
      </c>
      <c r="BJ30" s="16">
        <f t="shared" si="30"/>
        <v>4490.3225806451601</v>
      </c>
      <c r="BK30" s="17">
        <f t="shared" si="19"/>
        <v>1</v>
      </c>
      <c r="BL30" s="16">
        <f t="shared" si="31"/>
        <v>4490.3225806451601</v>
      </c>
      <c r="BM30" s="255">
        <v>16.773</v>
      </c>
      <c r="BN30" s="210">
        <v>53.145000000000003</v>
      </c>
      <c r="BO30" s="210">
        <v>180.684</v>
      </c>
      <c r="BP30" s="210">
        <v>127.23</v>
      </c>
      <c r="BQ30" s="233"/>
      <c r="BR30" s="233">
        <v>21.318000000000001</v>
      </c>
      <c r="BS30" s="260"/>
      <c r="BT30" s="212"/>
      <c r="BU30" s="213">
        <v>2.09</v>
      </c>
      <c r="BV30" s="213"/>
      <c r="BW30" s="213"/>
      <c r="BX30" s="213">
        <v>1.69</v>
      </c>
      <c r="BY30" s="235"/>
      <c r="BZ30" s="235">
        <v>2.3199999999999998</v>
      </c>
      <c r="CA30" s="214"/>
      <c r="CB30" s="215">
        <v>37.54</v>
      </c>
      <c r="CC30" s="213">
        <v>43.89</v>
      </c>
      <c r="CD30" s="216">
        <v>41.5</v>
      </c>
      <c r="CE30" s="213">
        <v>36.58</v>
      </c>
      <c r="CF30" s="235"/>
      <c r="CG30" s="235">
        <v>36.67</v>
      </c>
      <c r="CH30" s="214"/>
      <c r="CI30" s="212"/>
      <c r="CJ30" s="210"/>
      <c r="CK30" s="210"/>
      <c r="CL30" s="233">
        <v>263.83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16.422444299999999</v>
      </c>
      <c r="CU30" s="24">
        <f t="shared" si="20"/>
        <v>53.145000000000003</v>
      </c>
      <c r="CV30" s="25">
        <f t="shared" si="20"/>
        <v>180.684</v>
      </c>
      <c r="CW30" s="24">
        <f t="shared" si="20"/>
        <v>125.079813</v>
      </c>
      <c r="CX30" s="27">
        <f t="shared" si="20"/>
        <v>0</v>
      </c>
      <c r="CY30" s="24">
        <f t="shared" si="20"/>
        <v>20.823422400000005</v>
      </c>
      <c r="CZ30" s="280">
        <f t="shared" si="20"/>
        <v>0</v>
      </c>
      <c r="DA30" s="25">
        <f t="shared" si="21"/>
        <v>0</v>
      </c>
      <c r="DB30" s="26">
        <f t="shared" si="21"/>
        <v>0</v>
      </c>
      <c r="DC30" s="277">
        <f t="shared" si="21"/>
        <v>263.83</v>
      </c>
      <c r="DD30" s="280">
        <f t="shared" si="21"/>
        <v>0</v>
      </c>
      <c r="DE30" s="508">
        <f t="shared" si="32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3"/>
        <v>0</v>
      </c>
    </row>
    <row r="31" spans="1:115" ht="16.5" customHeight="1" thickBot="1">
      <c r="A31" s="534">
        <v>25</v>
      </c>
      <c r="B31" s="103">
        <f>'[1]август 20'!K30</f>
        <v>90.418000000000006</v>
      </c>
      <c r="C31" s="104">
        <f t="shared" si="0"/>
        <v>0.83959875246079307</v>
      </c>
      <c r="D31" s="143">
        <f t="shared" si="1"/>
        <v>89.658851600000006</v>
      </c>
      <c r="E31" s="104">
        <f t="shared" si="2"/>
        <v>39.952638744497776</v>
      </c>
      <c r="F31" s="128">
        <f t="shared" si="3"/>
        <v>1.4247394184013984</v>
      </c>
      <c r="G31" s="106"/>
      <c r="H31" s="107">
        <f t="shared" si="4"/>
        <v>0.56659544891148883</v>
      </c>
      <c r="I31" s="103">
        <f>'[1]сентябрь 20'!AE30</f>
        <v>0</v>
      </c>
      <c r="J31" s="328">
        <f>'[1]август 20'!AA30</f>
        <v>2.7</v>
      </c>
      <c r="K31" s="106"/>
      <c r="L31" s="328">
        <f>'[1]август 20'!AI30</f>
        <v>54.003</v>
      </c>
      <c r="M31" s="103">
        <f t="shared" si="5"/>
        <v>0.85814396948990934</v>
      </c>
      <c r="N31" s="103">
        <f>'[1]август 20'!W30</f>
        <v>0</v>
      </c>
      <c r="O31" s="103">
        <f>'[1]август 20'!AM30</f>
        <v>0</v>
      </c>
      <c r="P31" s="447">
        <f t="shared" si="24"/>
        <v>0</v>
      </c>
      <c r="Q31" s="103">
        <f t="shared" si="25"/>
        <v>0</v>
      </c>
      <c r="R31" s="103">
        <f>'[1]август 20'!S30</f>
        <v>66.688999999999993</v>
      </c>
      <c r="S31" s="108">
        <f t="shared" si="6"/>
        <v>2.3827017948987117</v>
      </c>
      <c r="T31" s="109">
        <f t="shared" si="7"/>
        <v>65.099999999999994</v>
      </c>
      <c r="U31" s="566">
        <v>36.25</v>
      </c>
      <c r="V31" s="109">
        <f t="shared" si="8"/>
        <v>65.099999999999994</v>
      </c>
      <c r="W31" s="110">
        <f t="shared" si="9"/>
        <v>1.0344827586206895</v>
      </c>
      <c r="X31" s="110">
        <f t="shared" si="26"/>
        <v>1.0344827586206895</v>
      </c>
      <c r="Y31" s="136">
        <v>33.72</v>
      </c>
      <c r="Z31" s="136">
        <v>62.93</v>
      </c>
      <c r="AA31" s="131">
        <v>0.45</v>
      </c>
      <c r="AB31" s="133">
        <v>670</v>
      </c>
      <c r="AC31" s="133">
        <v>1205</v>
      </c>
      <c r="AD31" s="144" t="s">
        <v>278</v>
      </c>
      <c r="AE31" s="131">
        <v>75.08</v>
      </c>
      <c r="AF31" s="133">
        <v>31</v>
      </c>
      <c r="AG31" s="134">
        <v>2</v>
      </c>
      <c r="AH31" s="131"/>
      <c r="AI31" s="115">
        <f t="shared" si="10"/>
        <v>0</v>
      </c>
      <c r="AJ31" s="131">
        <v>53.1</v>
      </c>
      <c r="AK31" s="115">
        <f t="shared" si="11"/>
        <v>843.79469251549335</v>
      </c>
      <c r="AL31" s="139">
        <v>11.31</v>
      </c>
      <c r="AM31" s="131"/>
      <c r="AN31" s="136">
        <v>12.79</v>
      </c>
      <c r="AO31" s="466">
        <f t="shared" si="27"/>
        <v>17.29</v>
      </c>
      <c r="AP31" s="110">
        <f t="shared" si="12"/>
        <v>0.19</v>
      </c>
      <c r="AQ31" s="137" t="s">
        <v>419</v>
      </c>
      <c r="AR31" s="150">
        <v>7.14</v>
      </c>
      <c r="AS31" s="138">
        <v>7.09</v>
      </c>
      <c r="AT31" s="134"/>
      <c r="AU31" s="131">
        <v>9.06</v>
      </c>
      <c r="AV31" s="139">
        <v>91</v>
      </c>
      <c r="AW31" s="131">
        <v>2.0099999999999998</v>
      </c>
      <c r="AX31" s="148"/>
      <c r="AY31" s="131"/>
      <c r="AZ31" s="109">
        <f t="shared" si="34"/>
        <v>0</v>
      </c>
      <c r="BA31" s="109">
        <f t="shared" si="13"/>
        <v>62.930000000000007</v>
      </c>
      <c r="BB31" s="115">
        <f t="shared" si="28"/>
        <v>41.651305664321079</v>
      </c>
      <c r="BC31" s="140">
        <f t="shared" si="14"/>
        <v>3.7267225352112674</v>
      </c>
      <c r="BD31" s="141">
        <f t="shared" si="35"/>
        <v>2.5172000000000003</v>
      </c>
      <c r="BE31" s="128">
        <f t="shared" si="16"/>
        <v>1.3189956262778177</v>
      </c>
      <c r="BF31" s="141">
        <f t="shared" si="17"/>
        <v>6.2439225352112677</v>
      </c>
      <c r="BG31" s="535">
        <v>0.90300000000000002</v>
      </c>
      <c r="BH31" s="16">
        <f t="shared" si="29"/>
        <v>4479.4449999999997</v>
      </c>
      <c r="BI31" s="16">
        <f t="shared" si="18"/>
        <v>187.09677419354838</v>
      </c>
      <c r="BJ31" s="16">
        <f t="shared" si="30"/>
        <v>4677.4193548387084</v>
      </c>
      <c r="BK31" s="17">
        <f>IF(BA31&lt;&gt;0,1,0)</f>
        <v>1</v>
      </c>
      <c r="BL31" s="16">
        <f t="shared" si="31"/>
        <v>4677.4193548387084</v>
      </c>
      <c r="BM31" s="254">
        <v>29.998000000000001</v>
      </c>
      <c r="BN31" s="197">
        <v>12.004</v>
      </c>
      <c r="BO31" s="197">
        <v>41.999000000000002</v>
      </c>
      <c r="BP31" s="197"/>
      <c r="BQ31" s="230"/>
      <c r="BR31" s="230">
        <v>6.4169999999999998</v>
      </c>
      <c r="BS31" s="259"/>
      <c r="BT31" s="199"/>
      <c r="BU31" s="200">
        <v>2.09</v>
      </c>
      <c r="BV31" s="200"/>
      <c r="BW31" s="200"/>
      <c r="BX31" s="200"/>
      <c r="BY31" s="208"/>
      <c r="BZ31" s="208">
        <v>2.06</v>
      </c>
      <c r="CA31" s="201"/>
      <c r="CB31" s="202">
        <v>37.54</v>
      </c>
      <c r="CC31" s="200">
        <v>43.51</v>
      </c>
      <c r="CD31" s="200">
        <v>41.37</v>
      </c>
      <c r="CE31" s="200"/>
      <c r="CF31" s="208"/>
      <c r="CG31" s="208">
        <v>35.299999999999997</v>
      </c>
      <c r="CH31" s="209"/>
      <c r="CI31" s="199"/>
      <c r="CJ31" s="197"/>
      <c r="CK31" s="197"/>
      <c r="CL31" s="230">
        <v>65.099999999999994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29.3710418</v>
      </c>
      <c r="CU31" s="24">
        <f t="shared" si="20"/>
        <v>12.004</v>
      </c>
      <c r="CV31" s="25">
        <f t="shared" si="20"/>
        <v>41.999000000000002</v>
      </c>
      <c r="CW31" s="24">
        <f t="shared" si="20"/>
        <v>0</v>
      </c>
      <c r="CX31" s="27">
        <f t="shared" si="20"/>
        <v>0</v>
      </c>
      <c r="CY31" s="24">
        <f t="shared" si="20"/>
        <v>6.2848097999999997</v>
      </c>
      <c r="CZ31" s="280">
        <f t="shared" si="20"/>
        <v>0</v>
      </c>
      <c r="DA31" s="28">
        <f t="shared" si="21"/>
        <v>0</v>
      </c>
      <c r="DB31" s="24">
        <f t="shared" si="21"/>
        <v>0</v>
      </c>
      <c r="DC31" s="277">
        <f t="shared" si="21"/>
        <v>65.099999999999994</v>
      </c>
      <c r="DD31" s="280">
        <f t="shared" si="21"/>
        <v>0</v>
      </c>
      <c r="DE31" s="508">
        <f t="shared" si="32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3"/>
        <v>0</v>
      </c>
    </row>
    <row r="32" spans="1:115" ht="16.5" customHeight="1" thickBot="1">
      <c r="A32" s="534">
        <v>26</v>
      </c>
      <c r="B32" s="103">
        <f>'[1]август 20'!K31</f>
        <v>114.09</v>
      </c>
      <c r="C32" s="104">
        <f t="shared" si="0"/>
        <v>0.60549951792444556</v>
      </c>
      <c r="D32" s="143">
        <f t="shared" si="1"/>
        <v>113.39918560000001</v>
      </c>
      <c r="E32" s="104">
        <f t="shared" si="2"/>
        <v>40.128876939258483</v>
      </c>
      <c r="F32" s="128">
        <f t="shared" si="3"/>
        <v>0</v>
      </c>
      <c r="G32" s="106"/>
      <c r="H32" s="107">
        <f t="shared" si="4"/>
        <v>0</v>
      </c>
      <c r="I32" s="103">
        <f>'[1]сентябрь 20'!AE31</f>
        <v>0</v>
      </c>
      <c r="J32" s="328">
        <f>'[1]август 20'!AA31</f>
        <v>0</v>
      </c>
      <c r="K32" s="106"/>
      <c r="L32" s="328">
        <f>'[1]август 20'!AI31</f>
        <v>68.341999999999999</v>
      </c>
      <c r="M32" s="103">
        <f t="shared" si="5"/>
        <v>0</v>
      </c>
      <c r="N32" s="103">
        <f>'[1]август 20'!W31</f>
        <v>0</v>
      </c>
      <c r="O32" s="103">
        <f>'[1]август 20'!AM31</f>
        <v>0</v>
      </c>
      <c r="P32" s="447">
        <f t="shared" si="24"/>
        <v>0</v>
      </c>
      <c r="Q32" s="103">
        <f t="shared" si="25"/>
        <v>0</v>
      </c>
      <c r="R32" s="103">
        <f>'[1]август 20'!S31</f>
        <v>78.320999999999998</v>
      </c>
      <c r="S32" s="108">
        <f t="shared" si="6"/>
        <v>3.0145171793005798</v>
      </c>
      <c r="T32" s="109">
        <f t="shared" si="7"/>
        <v>75.959999999999994</v>
      </c>
      <c r="U32" s="566"/>
      <c r="V32" s="109">
        <f t="shared" si="8"/>
        <v>75.959999999999994</v>
      </c>
      <c r="W32" s="110">
        <f t="shared" si="9"/>
        <v>0</v>
      </c>
      <c r="X32" s="110">
        <f t="shared" si="26"/>
        <v>0</v>
      </c>
      <c r="Y32" s="136"/>
      <c r="Z32" s="136"/>
      <c r="AA32" s="131"/>
      <c r="AB32" s="133">
        <v>544</v>
      </c>
      <c r="AC32" s="133">
        <v>1001</v>
      </c>
      <c r="AD32" s="144" t="s">
        <v>421</v>
      </c>
      <c r="AE32" s="131"/>
      <c r="AF32" s="133">
        <v>39</v>
      </c>
      <c r="AG32" s="134"/>
      <c r="AH32" s="131"/>
      <c r="AI32" s="115">
        <f t="shared" si="10"/>
        <v>0</v>
      </c>
      <c r="AJ32" s="131">
        <v>27.25</v>
      </c>
      <c r="AK32" s="115">
        <f t="shared" si="11"/>
        <v>0</v>
      </c>
      <c r="AL32" s="139"/>
      <c r="AM32" s="131"/>
      <c r="AN32" s="136"/>
      <c r="AO32" s="466">
        <f t="shared" si="27"/>
        <v>0</v>
      </c>
      <c r="AP32" s="110">
        <f t="shared" si="12"/>
        <v>0</v>
      </c>
      <c r="AQ32" s="137"/>
      <c r="AR32" s="150"/>
      <c r="AS32" s="138"/>
      <c r="AT32" s="134"/>
      <c r="AU32" s="131"/>
      <c r="AV32" s="139"/>
      <c r="AW32" s="131"/>
      <c r="AX32" s="148"/>
      <c r="AY32" s="131"/>
      <c r="AZ32" s="109">
        <f t="shared" si="34"/>
        <v>0</v>
      </c>
      <c r="BA32" s="109">
        <f t="shared" si="13"/>
        <v>0</v>
      </c>
      <c r="BB32" s="115">
        <f t="shared" si="28"/>
        <v>0</v>
      </c>
      <c r="BC32" s="140">
        <f t="shared" si="14"/>
        <v>0</v>
      </c>
      <c r="BD32" s="141">
        <f t="shared" si="35"/>
        <v>0</v>
      </c>
      <c r="BE32" s="128">
        <f t="shared" si="16"/>
        <v>0</v>
      </c>
      <c r="BF32" s="141">
        <f t="shared" si="17"/>
        <v>0</v>
      </c>
      <c r="BG32" s="535">
        <v>0.89200000000000002</v>
      </c>
      <c r="BH32" s="16">
        <f t="shared" si="29"/>
        <v>4479.4449999999997</v>
      </c>
      <c r="BI32" s="16">
        <f t="shared" si="18"/>
        <v>187.09677419354838</v>
      </c>
      <c r="BJ32" s="16">
        <f t="shared" si="30"/>
        <v>4864.5161290322567</v>
      </c>
      <c r="BK32" s="17">
        <v>1</v>
      </c>
      <c r="BL32" s="16">
        <f t="shared" si="31"/>
        <v>4864.5161290322567</v>
      </c>
      <c r="BM32" s="254">
        <v>34.304000000000002</v>
      </c>
      <c r="BN32" s="197">
        <v>22.742999999999999</v>
      </c>
      <c r="BO32" s="197">
        <v>45.598999999999997</v>
      </c>
      <c r="BP32" s="197"/>
      <c r="BQ32" s="230"/>
      <c r="BR32" s="230">
        <v>11.444000000000001</v>
      </c>
      <c r="BS32" s="258"/>
      <c r="BT32" s="199"/>
      <c r="BU32" s="200">
        <v>1.44</v>
      </c>
      <c r="BV32" s="200"/>
      <c r="BW32" s="200"/>
      <c r="BX32" s="200"/>
      <c r="BY32" s="208"/>
      <c r="BZ32" s="208">
        <v>1.72</v>
      </c>
      <c r="CA32" s="201"/>
      <c r="CB32" s="202">
        <v>37.39</v>
      </c>
      <c r="CC32" s="200">
        <v>43.78</v>
      </c>
      <c r="CD32" s="200">
        <v>41.53</v>
      </c>
      <c r="CE32" s="200"/>
      <c r="CF32" s="208"/>
      <c r="CG32" s="208">
        <v>35.5</v>
      </c>
      <c r="CH32" s="209"/>
      <c r="CI32" s="199"/>
      <c r="CJ32" s="197"/>
      <c r="CK32" s="197"/>
      <c r="CL32" s="230">
        <v>75.959999999999994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33.810022400000001</v>
      </c>
      <c r="CU32" s="24">
        <f t="shared" si="20"/>
        <v>22.742999999999999</v>
      </c>
      <c r="CV32" s="25">
        <f t="shared" si="20"/>
        <v>45.598999999999997</v>
      </c>
      <c r="CW32" s="24">
        <f t="shared" si="20"/>
        <v>0</v>
      </c>
      <c r="CX32" s="27">
        <f t="shared" si="20"/>
        <v>0</v>
      </c>
      <c r="CY32" s="24">
        <f t="shared" si="20"/>
        <v>11.247163200000001</v>
      </c>
      <c r="CZ32" s="280">
        <f t="shared" si="20"/>
        <v>0</v>
      </c>
      <c r="DA32" s="25">
        <f t="shared" si="21"/>
        <v>0</v>
      </c>
      <c r="DB32" s="24">
        <f t="shared" si="21"/>
        <v>0</v>
      </c>
      <c r="DC32" s="277">
        <f t="shared" si="21"/>
        <v>75.959999999999994</v>
      </c>
      <c r="DD32" s="280">
        <f t="shared" si="21"/>
        <v>0</v>
      </c>
      <c r="DE32" s="508">
        <f t="shared" si="32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3"/>
        <v>0</v>
      </c>
    </row>
    <row r="33" spans="1:115" ht="16.5" customHeight="1" thickBot="1">
      <c r="A33" s="534">
        <v>27</v>
      </c>
      <c r="B33" s="103">
        <f>'[1]август 20'!K32</f>
        <v>303.00200000000001</v>
      </c>
      <c r="C33" s="104">
        <f t="shared" si="0"/>
        <v>1.2758552418795914</v>
      </c>
      <c r="D33" s="143">
        <f t="shared" si="1"/>
        <v>299.1361331</v>
      </c>
      <c r="E33" s="104">
        <f t="shared" si="2"/>
        <v>39.635677718298894</v>
      </c>
      <c r="F33" s="128">
        <f t="shared" si="3"/>
        <v>2.6821857765384172</v>
      </c>
      <c r="G33" s="106"/>
      <c r="H33" s="107">
        <f t="shared" si="4"/>
        <v>1.0528314497834605</v>
      </c>
      <c r="I33" s="103">
        <f>'[1]сентябрь 20'!AE32</f>
        <v>0</v>
      </c>
      <c r="J33" s="328">
        <f>'[1]август 20'!AA32</f>
        <v>0</v>
      </c>
      <c r="K33" s="106"/>
      <c r="L33" s="328">
        <f>'[1]август 20'!AI32</f>
        <v>181.71700000000001</v>
      </c>
      <c r="M33" s="103">
        <f t="shared" si="5"/>
        <v>1.6293543267549566</v>
      </c>
      <c r="N33" s="103">
        <f>'[1]август 20'!W32</f>
        <v>0</v>
      </c>
      <c r="O33" s="103">
        <f>'[1]август 20'!AM32</f>
        <v>0</v>
      </c>
      <c r="P33" s="447">
        <f t="shared" si="24"/>
        <v>0</v>
      </c>
      <c r="Q33" s="103">
        <f t="shared" si="25"/>
        <v>0</v>
      </c>
      <c r="R33" s="103">
        <f>'[1]август 20'!S32</f>
        <v>201.803</v>
      </c>
      <c r="S33" s="108">
        <f t="shared" si="6"/>
        <v>3.0440578187638456</v>
      </c>
      <c r="T33" s="109">
        <f t="shared" si="7"/>
        <v>195.66</v>
      </c>
      <c r="U33" s="566">
        <v>4.25</v>
      </c>
      <c r="V33" s="109">
        <f t="shared" si="8"/>
        <v>195.66</v>
      </c>
      <c r="W33" s="110">
        <f t="shared" si="9"/>
        <v>1.7543733804370243</v>
      </c>
      <c r="X33" s="110">
        <f t="shared" si="26"/>
        <v>1.7543733804370243</v>
      </c>
      <c r="Y33" s="136">
        <v>88.3</v>
      </c>
      <c r="Z33" s="136">
        <v>111.53</v>
      </c>
      <c r="AA33" s="131">
        <v>0.48</v>
      </c>
      <c r="AB33" s="133">
        <v>600</v>
      </c>
      <c r="AC33" s="133">
        <v>1154</v>
      </c>
      <c r="AD33" s="144" t="s">
        <v>423</v>
      </c>
      <c r="AE33" s="131">
        <v>75.5</v>
      </c>
      <c r="AF33" s="133">
        <v>101</v>
      </c>
      <c r="AG33" s="134">
        <v>4</v>
      </c>
      <c r="AH33" s="131"/>
      <c r="AI33" s="115">
        <f t="shared" si="10"/>
        <v>0</v>
      </c>
      <c r="AJ33" s="131">
        <v>117.45</v>
      </c>
      <c r="AK33" s="115">
        <f t="shared" si="11"/>
        <v>1053.1082159477078</v>
      </c>
      <c r="AL33" s="139">
        <v>21.08</v>
      </c>
      <c r="AM33" s="131"/>
      <c r="AN33" s="136">
        <v>5.0599999999999996</v>
      </c>
      <c r="AO33" s="466">
        <f t="shared" si="27"/>
        <v>26.922999999999998</v>
      </c>
      <c r="AP33" s="110">
        <f t="shared" si="12"/>
        <v>0.19</v>
      </c>
      <c r="AQ33" s="137" t="s">
        <v>424</v>
      </c>
      <c r="AR33" s="150">
        <v>8.2799999999999994</v>
      </c>
      <c r="AS33" s="138">
        <v>6.28</v>
      </c>
      <c r="AT33" s="134"/>
      <c r="AU33" s="131">
        <v>9.26</v>
      </c>
      <c r="AV33" s="139">
        <v>141.69999999999999</v>
      </c>
      <c r="AW33" s="131">
        <v>1.81</v>
      </c>
      <c r="AX33" s="116"/>
      <c r="AY33" s="131"/>
      <c r="AZ33" s="109">
        <f t="shared" si="34"/>
        <v>0</v>
      </c>
      <c r="BA33" s="109">
        <f t="shared" si="13"/>
        <v>111.52699999999999</v>
      </c>
      <c r="BB33" s="115">
        <f t="shared" si="28"/>
        <v>137.09526513957141</v>
      </c>
      <c r="BC33" s="140">
        <f t="shared" si="14"/>
        <v>8.4249697183098586</v>
      </c>
      <c r="BD33" s="141">
        <f t="shared" si="35"/>
        <v>4.4610799999999999</v>
      </c>
      <c r="BE33" s="128">
        <f t="shared" si="16"/>
        <v>0.71018551151914977</v>
      </c>
      <c r="BF33" s="141">
        <f t="shared" si="17"/>
        <v>12.886049718309859</v>
      </c>
      <c r="BG33" s="535">
        <v>0.88700000000000001</v>
      </c>
      <c r="BH33" s="16">
        <f t="shared" si="29"/>
        <v>4590.9719999999998</v>
      </c>
      <c r="BI33" s="16">
        <f t="shared" si="18"/>
        <v>187.09677419354838</v>
      </c>
      <c r="BJ33" s="16">
        <f t="shared" si="30"/>
        <v>5051.612903225805</v>
      </c>
      <c r="BK33" s="17">
        <f t="shared" si="19"/>
        <v>1</v>
      </c>
      <c r="BL33" s="16">
        <f t="shared" si="31"/>
        <v>5051.612903225805</v>
      </c>
      <c r="BM33" s="254">
        <v>90.956999999999994</v>
      </c>
      <c r="BN33" s="197">
        <v>60.517000000000003</v>
      </c>
      <c r="BO33" s="197">
        <v>121.2</v>
      </c>
      <c r="BP33" s="197"/>
      <c r="BQ33" s="230"/>
      <c r="BR33" s="230">
        <v>30.327999999999999</v>
      </c>
      <c r="BS33" s="258"/>
      <c r="BT33" s="199"/>
      <c r="BU33" s="200">
        <v>3.53</v>
      </c>
      <c r="BV33" s="200"/>
      <c r="BW33" s="200"/>
      <c r="BX33" s="200"/>
      <c r="BY33" s="208"/>
      <c r="BZ33" s="208">
        <v>2.16</v>
      </c>
      <c r="CA33" s="201"/>
      <c r="CB33" s="202">
        <v>36.270000000000003</v>
      </c>
      <c r="CC33" s="200">
        <v>43.83</v>
      </c>
      <c r="CD33" s="200">
        <v>41.53</v>
      </c>
      <c r="CE33" s="200"/>
      <c r="CF33" s="208"/>
      <c r="CG33" s="208">
        <v>33.79</v>
      </c>
      <c r="CH33" s="209"/>
      <c r="CI33" s="199"/>
      <c r="CJ33" s="197"/>
      <c r="CK33" s="197"/>
      <c r="CL33" s="230">
        <v>195.66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87.746217899999991</v>
      </c>
      <c r="CU33" s="24">
        <f t="shared" si="20"/>
        <v>60.517000000000003</v>
      </c>
      <c r="CV33" s="25">
        <f t="shared" si="20"/>
        <v>121.2</v>
      </c>
      <c r="CW33" s="24">
        <f t="shared" si="20"/>
        <v>0</v>
      </c>
      <c r="CX33" s="27">
        <f t="shared" si="20"/>
        <v>0</v>
      </c>
      <c r="CY33" s="24">
        <f t="shared" si="20"/>
        <v>29.672915200000002</v>
      </c>
      <c r="CZ33" s="280">
        <f t="shared" si="20"/>
        <v>0</v>
      </c>
      <c r="DA33" s="25">
        <f t="shared" si="21"/>
        <v>0</v>
      </c>
      <c r="DB33" s="24">
        <f t="shared" si="21"/>
        <v>0</v>
      </c>
      <c r="DC33" s="277">
        <f t="shared" si="21"/>
        <v>195.66</v>
      </c>
      <c r="DD33" s="280">
        <f t="shared" si="21"/>
        <v>0</v>
      </c>
      <c r="DE33" s="508">
        <f t="shared" si="32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3"/>
        <v>0</v>
      </c>
    </row>
    <row r="34" spans="1:115" ht="16.5" customHeight="1" thickBot="1">
      <c r="A34" s="534">
        <v>28</v>
      </c>
      <c r="B34" s="103">
        <f>'[1]август 20'!K33</f>
        <v>429.37099999999998</v>
      </c>
      <c r="C34" s="104">
        <f t="shared" si="0"/>
        <v>0.61735496808121648</v>
      </c>
      <c r="D34" s="143">
        <f t="shared" si="1"/>
        <v>426.72025679999996</v>
      </c>
      <c r="E34" s="104">
        <f t="shared" si="2"/>
        <v>39.532461274748414</v>
      </c>
      <c r="F34" s="128">
        <f t="shared" si="3"/>
        <v>2.1312090018953724</v>
      </c>
      <c r="G34" s="106"/>
      <c r="H34" s="107">
        <f t="shared" si="4"/>
        <v>0.9216617187207361</v>
      </c>
      <c r="I34" s="103">
        <f>'[1]сентябрь 20'!AE33</f>
        <v>0</v>
      </c>
      <c r="J34" s="328">
        <f>'[1]август 20'!AA33</f>
        <v>0</v>
      </c>
      <c r="K34" s="106"/>
      <c r="L34" s="328">
        <f>'[1]август 20'!AI33</f>
        <v>242.18100000000001</v>
      </c>
      <c r="M34" s="103">
        <f t="shared" si="5"/>
        <v>1.2095472831746366</v>
      </c>
      <c r="N34" s="103">
        <f>'[1]август 20'!W33</f>
        <v>0</v>
      </c>
      <c r="O34" s="103">
        <f>'[1]август 20'!AM33</f>
        <v>0</v>
      </c>
      <c r="P34" s="447">
        <f t="shared" si="24"/>
        <v>0</v>
      </c>
      <c r="Q34" s="103">
        <f t="shared" si="25"/>
        <v>0</v>
      </c>
      <c r="R34" s="103">
        <f>'[1]август 20'!S33</f>
        <v>284.84500000000003</v>
      </c>
      <c r="S34" s="108">
        <f t="shared" si="6"/>
        <v>2.89104600747776</v>
      </c>
      <c r="T34" s="109">
        <f t="shared" si="7"/>
        <v>276.61</v>
      </c>
      <c r="U34" s="566">
        <v>28.9</v>
      </c>
      <c r="V34" s="109">
        <f t="shared" si="8"/>
        <v>276.61</v>
      </c>
      <c r="W34" s="110">
        <f t="shared" si="9"/>
        <v>1.3814992670727111</v>
      </c>
      <c r="X34" s="110">
        <f t="shared" si="26"/>
        <v>1.3814992670727111</v>
      </c>
      <c r="Y34" s="157">
        <v>200.22</v>
      </c>
      <c r="Z34" s="157">
        <v>80.91</v>
      </c>
      <c r="AA34" s="149">
        <v>1.0900000000000001</v>
      </c>
      <c r="AB34" s="147">
        <v>684</v>
      </c>
      <c r="AC34" s="147">
        <v>1221</v>
      </c>
      <c r="AD34" s="144" t="s">
        <v>181</v>
      </c>
      <c r="AE34" s="149">
        <v>75.459999999999994</v>
      </c>
      <c r="AF34" s="147">
        <v>143</v>
      </c>
      <c r="AG34" s="155">
        <v>5</v>
      </c>
      <c r="AH34" s="149">
        <v>2.2000000000000002</v>
      </c>
      <c r="AI34" s="115">
        <f t="shared" si="10"/>
        <v>10.987666344528268</v>
      </c>
      <c r="AJ34" s="149">
        <v>118.2</v>
      </c>
      <c r="AK34" s="115">
        <f t="shared" si="11"/>
        <v>590.33734632874598</v>
      </c>
      <c r="AL34" s="156">
        <v>24.82</v>
      </c>
      <c r="AM34" s="149"/>
      <c r="AN34" s="157">
        <v>10.75</v>
      </c>
      <c r="AO34" s="466">
        <f t="shared" si="27"/>
        <v>48.725499999999997</v>
      </c>
      <c r="AP34" s="110">
        <f t="shared" si="12"/>
        <v>0.19</v>
      </c>
      <c r="AQ34" s="158" t="s">
        <v>417</v>
      </c>
      <c r="AR34" s="404">
        <v>9.6999999999999993</v>
      </c>
      <c r="AS34" s="159">
        <v>6.87</v>
      </c>
      <c r="AT34" s="155"/>
      <c r="AU34" s="149">
        <v>6.16</v>
      </c>
      <c r="AV34" s="156">
        <v>256.45</v>
      </c>
      <c r="AW34" s="131">
        <v>3.25</v>
      </c>
      <c r="AX34" s="148"/>
      <c r="AY34" s="149"/>
      <c r="AZ34" s="109">
        <f t="shared" si="34"/>
        <v>0</v>
      </c>
      <c r="BA34" s="109">
        <f t="shared" si="13"/>
        <v>200.22449999999998</v>
      </c>
      <c r="BB34" s="115">
        <f t="shared" si="28"/>
        <v>195.16168393394406</v>
      </c>
      <c r="BC34" s="140">
        <f t="shared" si="14"/>
        <v>5.6403042253521125</v>
      </c>
      <c r="BD34" s="141">
        <f t="shared" si="35"/>
        <v>8.0089799999999993</v>
      </c>
      <c r="BE34" s="128">
        <f t="shared" si="16"/>
        <v>0.89564706030699559</v>
      </c>
      <c r="BF34" s="141">
        <f t="shared" si="17"/>
        <v>13.649284225352112</v>
      </c>
      <c r="BG34" s="538">
        <v>0.88700000000000001</v>
      </c>
      <c r="BH34" s="16">
        <f t="shared" si="29"/>
        <v>4791.1965</v>
      </c>
      <c r="BI34" s="16">
        <f t="shared" si="18"/>
        <v>187.09677419354838</v>
      </c>
      <c r="BJ34" s="16">
        <f t="shared" si="30"/>
        <v>5238.7096774193533</v>
      </c>
      <c r="BK34" s="17">
        <f t="shared" si="19"/>
        <v>1</v>
      </c>
      <c r="BL34" s="16">
        <f t="shared" si="31"/>
        <v>5238.7096774193533</v>
      </c>
      <c r="BM34" s="255">
        <v>143.45699999999999</v>
      </c>
      <c r="BN34" s="210">
        <v>78.968999999999994</v>
      </c>
      <c r="BO34" s="210">
        <v>163.21199999999999</v>
      </c>
      <c r="BP34" s="210"/>
      <c r="BQ34" s="233"/>
      <c r="BR34" s="233">
        <v>43.732999999999997</v>
      </c>
      <c r="BS34" s="260"/>
      <c r="BT34" s="212"/>
      <c r="BU34" s="213">
        <v>1.36</v>
      </c>
      <c r="BV34" s="213"/>
      <c r="BW34" s="213"/>
      <c r="BX34" s="213"/>
      <c r="BY34" s="235"/>
      <c r="BZ34" s="235">
        <v>1.6</v>
      </c>
      <c r="CA34" s="214"/>
      <c r="CB34" s="215">
        <v>36.229999999999997</v>
      </c>
      <c r="CC34" s="213">
        <v>43.67</v>
      </c>
      <c r="CD34" s="213">
        <v>41.42</v>
      </c>
      <c r="CE34" s="213"/>
      <c r="CF34" s="235"/>
      <c r="CG34" s="235">
        <v>35.85</v>
      </c>
      <c r="CH34" s="211"/>
      <c r="CI34" s="212"/>
      <c r="CJ34" s="210"/>
      <c r="CK34" s="210"/>
      <c r="CL34" s="233">
        <v>276.61</v>
      </c>
      <c r="CM34" s="198"/>
      <c r="CN34" s="202"/>
      <c r="CO34" s="208"/>
      <c r="CP34" s="208"/>
      <c r="CQ34" s="209"/>
      <c r="CR34" s="201"/>
      <c r="CS34" s="284"/>
      <c r="CT34" s="286">
        <f t="shared" si="20"/>
        <v>141.50598479999999</v>
      </c>
      <c r="CU34" s="24">
        <f t="shared" si="20"/>
        <v>78.968999999999994</v>
      </c>
      <c r="CV34" s="25">
        <f t="shared" si="20"/>
        <v>163.21199999999999</v>
      </c>
      <c r="CW34" s="24">
        <f t="shared" si="20"/>
        <v>0</v>
      </c>
      <c r="CX34" s="27">
        <f t="shared" si="20"/>
        <v>0</v>
      </c>
      <c r="CY34" s="24">
        <f t="shared" si="20"/>
        <v>43.033272000000004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276.61</v>
      </c>
      <c r="DD34" s="280">
        <f t="shared" si="21"/>
        <v>0</v>
      </c>
      <c r="DE34" s="508">
        <f t="shared" si="32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3"/>
        <v>0</v>
      </c>
    </row>
    <row r="35" spans="1:115" ht="16.5" customHeight="1" thickBot="1">
      <c r="A35" s="534">
        <v>29</v>
      </c>
      <c r="B35" s="103">
        <f>'[1]август 20'!K34</f>
        <v>438.05799999999999</v>
      </c>
      <c r="C35" s="104">
        <f t="shared" si="0"/>
        <v>1.051039930785421</v>
      </c>
      <c r="D35" s="143">
        <f t="shared" si="1"/>
        <v>433.45383549999997</v>
      </c>
      <c r="E35" s="104">
        <f t="shared" si="2"/>
        <v>37.479201863680153</v>
      </c>
      <c r="F35" s="128">
        <f t="shared" si="3"/>
        <v>2.0822808832501449</v>
      </c>
      <c r="G35" s="106"/>
      <c r="H35" s="107">
        <f t="shared" si="4"/>
        <v>1.591276237852068</v>
      </c>
      <c r="I35" s="103">
        <f>'[1]сентябрь 20'!AE34</f>
        <v>0</v>
      </c>
      <c r="J35" s="328">
        <f>'[1]август 20'!AA34</f>
        <v>0</v>
      </c>
      <c r="K35" s="578">
        <v>22.46</v>
      </c>
      <c r="L35" s="328">
        <f>'[1]август 20'!AI34</f>
        <v>102.209</v>
      </c>
      <c r="M35" s="103">
        <f t="shared" si="5"/>
        <v>0.49100464539807748</v>
      </c>
      <c r="N35" s="103">
        <f>'[1]август 20'!W34</f>
        <v>0</v>
      </c>
      <c r="O35" s="103">
        <f>'[1]август 20'!AM34</f>
        <v>0</v>
      </c>
      <c r="P35" s="447">
        <f t="shared" si="24"/>
        <v>0</v>
      </c>
      <c r="Q35" s="103">
        <f t="shared" si="25"/>
        <v>0</v>
      </c>
      <c r="R35" s="103">
        <f>'[1]август 20'!S34</f>
        <v>287.63499999999999</v>
      </c>
      <c r="S35" s="108">
        <f t="shared" si="6"/>
        <v>2.915152884732386</v>
      </c>
      <c r="T35" s="109">
        <f t="shared" si="7"/>
        <v>279.25</v>
      </c>
      <c r="U35" s="566"/>
      <c r="V35" s="109">
        <f t="shared" si="8"/>
        <v>279.25</v>
      </c>
      <c r="W35" s="110">
        <f t="shared" si="9"/>
        <v>1.3414968077900491</v>
      </c>
      <c r="X35" s="110">
        <f t="shared" si="26"/>
        <v>1.3414968077900491</v>
      </c>
      <c r="Y35" s="136">
        <v>171.39</v>
      </c>
      <c r="Z35" s="136">
        <v>171.39</v>
      </c>
      <c r="AA35" s="131">
        <v>0.71</v>
      </c>
      <c r="AB35" s="133">
        <v>659</v>
      </c>
      <c r="AC35" s="133">
        <v>1200</v>
      </c>
      <c r="AD35" s="144" t="s">
        <v>198</v>
      </c>
      <c r="AE35" s="131">
        <v>75.489999999999995</v>
      </c>
      <c r="AF35" s="133">
        <v>146</v>
      </c>
      <c r="AG35" s="134">
        <v>5</v>
      </c>
      <c r="AH35" s="166">
        <v>2.4500000000000002</v>
      </c>
      <c r="AI35" s="115">
        <f t="shared" si="10"/>
        <v>11.769622843636958</v>
      </c>
      <c r="AJ35" s="166">
        <v>126.85</v>
      </c>
      <c r="AK35" s="115">
        <f t="shared" si="11"/>
        <v>609.37822763891745</v>
      </c>
      <c r="AL35" s="139">
        <v>22.75</v>
      </c>
      <c r="AM35" s="131"/>
      <c r="AN35" s="167">
        <v>9.2799999999999994</v>
      </c>
      <c r="AO35" s="466">
        <f t="shared" si="27"/>
        <v>50.407000000000004</v>
      </c>
      <c r="AP35" s="110">
        <f t="shared" si="12"/>
        <v>0.19</v>
      </c>
      <c r="AQ35" s="168" t="s">
        <v>168</v>
      </c>
      <c r="AR35" s="405">
        <v>9.44</v>
      </c>
      <c r="AS35" s="169">
        <v>7.75</v>
      </c>
      <c r="AT35" s="170"/>
      <c r="AU35" s="166">
        <v>5.29</v>
      </c>
      <c r="AV35" s="171">
        <v>265.3</v>
      </c>
      <c r="AW35" s="131">
        <v>2.5499999999999998</v>
      </c>
      <c r="AX35" s="116"/>
      <c r="AY35" s="131"/>
      <c r="AZ35" s="109">
        <f t="shared" si="34"/>
        <v>0</v>
      </c>
      <c r="BA35" s="109">
        <f t="shared" si="13"/>
        <v>208.16300000000001</v>
      </c>
      <c r="BB35" s="115">
        <f t="shared" si="28"/>
        <v>187.87024528786546</v>
      </c>
      <c r="BC35" s="140">
        <f t="shared" si="14"/>
        <v>5.1981700704225346</v>
      </c>
      <c r="BD35" s="141">
        <f t="shared" si="35"/>
        <v>8.3265200000000004</v>
      </c>
      <c r="BE35" s="128">
        <f t="shared" si="16"/>
        <v>0.96729686343650978</v>
      </c>
      <c r="BF35" s="141">
        <f t="shared" si="17"/>
        <v>13.524690070422535</v>
      </c>
      <c r="BG35" s="538">
        <v>0.89</v>
      </c>
      <c r="BH35" s="16">
        <f t="shared" si="29"/>
        <v>4999.3595000000005</v>
      </c>
      <c r="BI35" s="16">
        <f t="shared" si="18"/>
        <v>187.09677419354838</v>
      </c>
      <c r="BJ35" s="16">
        <f t="shared" si="30"/>
        <v>5425.8064516129016</v>
      </c>
      <c r="BK35" s="17">
        <f t="shared" si="19"/>
        <v>1</v>
      </c>
      <c r="BL35" s="16">
        <f t="shared" si="31"/>
        <v>5425.8064516129016</v>
      </c>
      <c r="BM35" s="254">
        <v>284.733</v>
      </c>
      <c r="BN35" s="197">
        <v>14.592000000000001</v>
      </c>
      <c r="BO35" s="197">
        <v>87.617000000000004</v>
      </c>
      <c r="BP35" s="197"/>
      <c r="BQ35" s="230"/>
      <c r="BR35" s="230">
        <v>51.116</v>
      </c>
      <c r="BS35" s="259"/>
      <c r="BT35" s="199"/>
      <c r="BU35" s="200">
        <v>1.17</v>
      </c>
      <c r="BV35" s="200"/>
      <c r="BW35" s="200"/>
      <c r="BX35" s="200"/>
      <c r="BY35" s="208"/>
      <c r="BZ35" s="208">
        <v>2.4900000000000002</v>
      </c>
      <c r="CA35" s="201"/>
      <c r="CB35" s="202">
        <v>35.97</v>
      </c>
      <c r="CC35" s="200">
        <v>43.79</v>
      </c>
      <c r="CD35" s="200">
        <v>43.52</v>
      </c>
      <c r="CE35" s="200"/>
      <c r="CF35" s="208"/>
      <c r="CG35" s="208">
        <v>33.729999999999997</v>
      </c>
      <c r="CH35" s="209"/>
      <c r="CI35" s="199"/>
      <c r="CJ35" s="197"/>
      <c r="CK35" s="197"/>
      <c r="CL35" s="230">
        <v>279.25</v>
      </c>
      <c r="CM35" s="198"/>
      <c r="CN35" s="202"/>
      <c r="CO35" s="208"/>
      <c r="CP35" s="208"/>
      <c r="CQ35" s="209"/>
      <c r="CR35" s="201"/>
      <c r="CT35" s="286">
        <f t="shared" si="20"/>
        <v>281.4016239</v>
      </c>
      <c r="CU35" s="24">
        <f t="shared" si="20"/>
        <v>14.592000000000001</v>
      </c>
      <c r="CV35" s="24">
        <f t="shared" si="20"/>
        <v>87.617000000000004</v>
      </c>
      <c r="CW35" s="24">
        <f t="shared" si="20"/>
        <v>0</v>
      </c>
      <c r="CX35" s="27">
        <f t="shared" si="20"/>
        <v>0</v>
      </c>
      <c r="CY35" s="27">
        <f t="shared" si="20"/>
        <v>49.843211600000004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279.25</v>
      </c>
      <c r="DD35" s="280">
        <f t="shared" si="21"/>
        <v>0</v>
      </c>
      <c r="DE35" s="508">
        <f t="shared" si="32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3"/>
        <v>0</v>
      </c>
    </row>
    <row r="36" spans="1:115" ht="16.5" customHeight="1" thickBot="1">
      <c r="A36" s="534">
        <v>30</v>
      </c>
      <c r="B36" s="103">
        <f>'[1]август 20'!K35</f>
        <v>438.17500000000001</v>
      </c>
      <c r="C36" s="104">
        <f t="shared" si="0"/>
        <v>0.83363838648941624</v>
      </c>
      <c r="D36" s="143">
        <f t="shared" si="1"/>
        <v>434.52220500000004</v>
      </c>
      <c r="E36" s="104">
        <f t="shared" si="2"/>
        <v>37.458647503851203</v>
      </c>
      <c r="F36" s="128">
        <f t="shared" si="3"/>
        <v>2.1191708344814639</v>
      </c>
      <c r="G36" s="106"/>
      <c r="H36" s="107">
        <f t="shared" si="4"/>
        <v>1.6205839492595475</v>
      </c>
      <c r="I36" s="103">
        <f>'[1]сентябрь 20'!AE35</f>
        <v>0</v>
      </c>
      <c r="J36" s="328">
        <f>'[1]август 20'!AA35</f>
        <v>0</v>
      </c>
      <c r="K36" s="578">
        <v>32.049999999999997</v>
      </c>
      <c r="L36" s="328">
        <f>'[1]август 20'!AI35</f>
        <v>102.232</v>
      </c>
      <c r="M36" s="103">
        <f t="shared" si="5"/>
        <v>0.49858688522191635</v>
      </c>
      <c r="N36" s="103">
        <f>'[1]август 20'!W35</f>
        <v>0</v>
      </c>
      <c r="O36" s="103">
        <f>'[1]август 20'!AM35</f>
        <v>0</v>
      </c>
      <c r="P36" s="447">
        <f t="shared" si="24"/>
        <v>0</v>
      </c>
      <c r="Q36" s="103">
        <f t="shared" si="25"/>
        <v>0</v>
      </c>
      <c r="R36" s="103">
        <f>'[1]август 20'!S35</f>
        <v>284.64100000000002</v>
      </c>
      <c r="S36" s="108">
        <f t="shared" si="6"/>
        <v>3.1025045583735311</v>
      </c>
      <c r="T36" s="109">
        <f t="shared" si="7"/>
        <v>275.81000000000006</v>
      </c>
      <c r="U36" s="566">
        <v>12.27</v>
      </c>
      <c r="V36" s="109">
        <f t="shared" si="8"/>
        <v>275.81</v>
      </c>
      <c r="W36" s="110">
        <f t="shared" si="9"/>
        <v>1.3451292042907972</v>
      </c>
      <c r="X36" s="110">
        <f t="shared" si="26"/>
        <v>1.3451292042907972</v>
      </c>
      <c r="Y36" s="136">
        <v>128.66999999999999</v>
      </c>
      <c r="Z36" s="136">
        <v>35.89</v>
      </c>
      <c r="AA36" s="131">
        <v>1.34</v>
      </c>
      <c r="AB36" s="133">
        <v>624</v>
      </c>
      <c r="AC36" s="133">
        <v>1197</v>
      </c>
      <c r="AD36" s="144" t="s">
        <v>200</v>
      </c>
      <c r="AE36" s="131">
        <v>75.37</v>
      </c>
      <c r="AF36" s="133">
        <v>146</v>
      </c>
      <c r="AG36" s="134">
        <v>5</v>
      </c>
      <c r="AH36" s="131"/>
      <c r="AI36" s="115">
        <f t="shared" si="10"/>
        <v>0</v>
      </c>
      <c r="AJ36" s="131">
        <v>120</v>
      </c>
      <c r="AK36" s="115">
        <f t="shared" si="11"/>
        <v>585.24166823137534</v>
      </c>
      <c r="AL36" s="139">
        <v>19.809999999999999</v>
      </c>
      <c r="AM36" s="131"/>
      <c r="AN36" s="136">
        <v>9.89</v>
      </c>
      <c r="AO36" s="466">
        <f t="shared" si="27"/>
        <v>50.416500000000006</v>
      </c>
      <c r="AP36" s="110">
        <f t="shared" si="12"/>
        <v>0.19</v>
      </c>
      <c r="AQ36" s="137" t="s">
        <v>218</v>
      </c>
      <c r="AR36" s="150">
        <v>9.7899999999999991</v>
      </c>
      <c r="AS36" s="138">
        <v>7.37</v>
      </c>
      <c r="AT36" s="134"/>
      <c r="AU36" s="131">
        <v>6.61</v>
      </c>
      <c r="AV36" s="139">
        <v>265.35000000000002</v>
      </c>
      <c r="AW36" s="131"/>
      <c r="AX36" s="116"/>
      <c r="AY36" s="131"/>
      <c r="AZ36" s="109">
        <f t="shared" si="34"/>
        <v>0</v>
      </c>
      <c r="BA36" s="109">
        <f t="shared" si="13"/>
        <v>205.04349999999999</v>
      </c>
      <c r="BB36" s="115">
        <f t="shared" si="28"/>
        <v>188.52970834231647</v>
      </c>
      <c r="BC36" s="140">
        <f t="shared" si="14"/>
        <v>6.1445070422535215</v>
      </c>
      <c r="BD36" s="141">
        <f t="shared" si="35"/>
        <v>8.2017399999999991</v>
      </c>
      <c r="BE36" s="128">
        <f t="shared" si="16"/>
        <v>0.94946826722386568</v>
      </c>
      <c r="BF36" s="141">
        <f t="shared" si="17"/>
        <v>14.34624704225352</v>
      </c>
      <c r="BG36" s="538">
        <v>0.89200000000000002</v>
      </c>
      <c r="BH36" s="16">
        <f t="shared" si="29"/>
        <v>5204.4030000000002</v>
      </c>
      <c r="BI36" s="16">
        <f t="shared" si="18"/>
        <v>187.09677419354838</v>
      </c>
      <c r="BJ36" s="16">
        <f t="shared" si="30"/>
        <v>5612.9032258064499</v>
      </c>
      <c r="BK36" s="17">
        <f t="shared" si="19"/>
        <v>1</v>
      </c>
      <c r="BL36" s="16">
        <f t="shared" si="31"/>
        <v>5612.9032258064499</v>
      </c>
      <c r="BM36" s="254">
        <v>278.14</v>
      </c>
      <c r="BN36" s="197">
        <v>14.59</v>
      </c>
      <c r="BO36" s="197">
        <v>87.641999999999996</v>
      </c>
      <c r="BP36" s="197"/>
      <c r="BQ36" s="230"/>
      <c r="BR36" s="230">
        <v>57.802999999999997</v>
      </c>
      <c r="BS36" s="258"/>
      <c r="BT36" s="199"/>
      <c r="BU36" s="200">
        <v>0.96</v>
      </c>
      <c r="BV36" s="200"/>
      <c r="BW36" s="200"/>
      <c r="BX36" s="200"/>
      <c r="BY36" s="208"/>
      <c r="BZ36" s="208">
        <v>1.7</v>
      </c>
      <c r="CA36" s="201"/>
      <c r="CB36" s="202">
        <v>36.06</v>
      </c>
      <c r="CC36" s="200">
        <v>43.94</v>
      </c>
      <c r="CD36" s="200">
        <v>42.13</v>
      </c>
      <c r="CE36" s="200"/>
      <c r="CF36" s="208"/>
      <c r="CG36" s="208">
        <v>35.47</v>
      </c>
      <c r="CH36" s="209"/>
      <c r="CI36" s="199"/>
      <c r="CJ36" s="197"/>
      <c r="CK36" s="197"/>
      <c r="CL36" s="230">
        <v>275.81</v>
      </c>
      <c r="CM36" s="198"/>
      <c r="CN36" s="202"/>
      <c r="CO36" s="208"/>
      <c r="CP36" s="208"/>
      <c r="CQ36" s="209"/>
      <c r="CR36" s="201"/>
      <c r="CT36" s="286">
        <f t="shared" si="20"/>
        <v>275.46985599999999</v>
      </c>
      <c r="CU36" s="27">
        <f t="shared" si="20"/>
        <v>14.59</v>
      </c>
      <c r="CV36" s="28">
        <f t="shared" si="20"/>
        <v>87.641999999999996</v>
      </c>
      <c r="CW36" s="27">
        <f t="shared" si="20"/>
        <v>0</v>
      </c>
      <c r="CX36" s="27">
        <f t="shared" si="20"/>
        <v>0</v>
      </c>
      <c r="CY36" s="29">
        <f t="shared" si="20"/>
        <v>56.820348999999993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275.81</v>
      </c>
      <c r="DD36" s="280">
        <f t="shared" si="21"/>
        <v>0</v>
      </c>
      <c r="DE36" s="508">
        <f t="shared" si="32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3"/>
        <v>0</v>
      </c>
    </row>
    <row r="37" spans="1:115" ht="16.5" customHeight="1" thickBot="1">
      <c r="A37" s="539">
        <v>31</v>
      </c>
      <c r="B37" s="540">
        <f>'[1]август 20'!K36</f>
        <v>459.33199999999999</v>
      </c>
      <c r="C37" s="541">
        <f t="shared" si="0"/>
        <v>1.0466357231806189</v>
      </c>
      <c r="D37" s="542">
        <f t="shared" si="1"/>
        <v>454.5244672</v>
      </c>
      <c r="E37" s="541">
        <f t="shared" si="2"/>
        <v>37.564547930472948</v>
      </c>
      <c r="F37" s="505">
        <f t="shared" si="3"/>
        <v>2.5522177954966594</v>
      </c>
      <c r="G37" s="543"/>
      <c r="H37" s="544">
        <f t="shared" si="4"/>
        <v>2.0046294974451122</v>
      </c>
      <c r="I37" s="540">
        <f>'[1]сентябрь 20'!AE36</f>
        <v>0</v>
      </c>
      <c r="J37" s="567">
        <f>'[1]август 20'!AA36</f>
        <v>1.998</v>
      </c>
      <c r="K37" s="543"/>
      <c r="L37" s="545">
        <f>'[1]август 20'!AI36</f>
        <v>97.52</v>
      </c>
      <c r="M37" s="540">
        <f t="shared" si="5"/>
        <v>0.54758829805154707</v>
      </c>
      <c r="N37" s="540">
        <f>'[1]август 20'!W36</f>
        <v>0</v>
      </c>
      <c r="O37" s="540">
        <f>'[1]август 20'!AM36</f>
        <v>0</v>
      </c>
      <c r="P37" s="447">
        <f t="shared" si="24"/>
        <v>0</v>
      </c>
      <c r="Q37" s="568">
        <f t="shared" si="25"/>
        <v>0</v>
      </c>
      <c r="R37" s="540">
        <f>'[1]август 20'!S36</f>
        <v>294.71800000000002</v>
      </c>
      <c r="S37" s="546">
        <f t="shared" si="6"/>
        <v>3.0938049253863009</v>
      </c>
      <c r="T37" s="547">
        <f t="shared" si="7"/>
        <v>285.60000000000008</v>
      </c>
      <c r="U37" s="579"/>
      <c r="V37" s="547">
        <f t="shared" si="8"/>
        <v>285.60000000000002</v>
      </c>
      <c r="W37" s="549">
        <f t="shared" si="9"/>
        <v>1.6036835307990349</v>
      </c>
      <c r="X37" s="227">
        <f t="shared" si="26"/>
        <v>1.6036835307990349</v>
      </c>
      <c r="Y37" s="550">
        <v>167.34</v>
      </c>
      <c r="Z37" s="550">
        <v>122.59</v>
      </c>
      <c r="AA37" s="548">
        <v>0.99</v>
      </c>
      <c r="AB37" s="551">
        <v>605</v>
      </c>
      <c r="AC37" s="551">
        <v>1212</v>
      </c>
      <c r="AD37" s="552" t="s">
        <v>207</v>
      </c>
      <c r="AE37" s="548">
        <v>75.36</v>
      </c>
      <c r="AF37" s="551">
        <v>153</v>
      </c>
      <c r="AG37" s="553">
        <v>5</v>
      </c>
      <c r="AH37" s="548"/>
      <c r="AI37" s="554">
        <f t="shared" si="10"/>
        <v>0</v>
      </c>
      <c r="AJ37" s="548">
        <v>119.55</v>
      </c>
      <c r="AK37" s="555">
        <f t="shared" si="11"/>
        <v>671.2897972935034</v>
      </c>
      <c r="AL37" s="556"/>
      <c r="AM37" s="548"/>
      <c r="AN37" s="550">
        <v>11.09</v>
      </c>
      <c r="AO37" s="557">
        <v>76.72</v>
      </c>
      <c r="AP37" s="549">
        <f t="shared" si="12"/>
        <v>0.28852952237683344</v>
      </c>
      <c r="AQ37" s="558" t="s">
        <v>206</v>
      </c>
      <c r="AR37" s="559">
        <v>9.89</v>
      </c>
      <c r="AS37" s="560">
        <v>7.71</v>
      </c>
      <c r="AT37" s="553"/>
      <c r="AU37" s="548">
        <v>6.55</v>
      </c>
      <c r="AV37" s="548">
        <v>265.89999999999998</v>
      </c>
      <c r="AW37" s="548"/>
      <c r="AX37" s="548"/>
      <c r="AY37" s="548"/>
      <c r="AZ37" s="547">
        <f t="shared" si="34"/>
        <v>0</v>
      </c>
      <c r="BA37" s="547">
        <f t="shared" si="13"/>
        <v>178.08999999999997</v>
      </c>
      <c r="BB37" s="554">
        <f t="shared" si="28"/>
        <v>197.79202965401115</v>
      </c>
      <c r="BC37" s="561">
        <f t="shared" si="14"/>
        <v>6.0658996478873233</v>
      </c>
      <c r="BD37" s="555">
        <f t="shared" si="35"/>
        <v>7.1235999999999988</v>
      </c>
      <c r="BE37" s="505">
        <f t="shared" si="16"/>
        <v>0.78604062191970658</v>
      </c>
      <c r="BF37" s="555">
        <f t="shared" si="17"/>
        <v>13.189499647887322</v>
      </c>
      <c r="BG37" s="562">
        <v>0.88800000000000001</v>
      </c>
      <c r="BH37" s="16">
        <f t="shared" si="29"/>
        <v>5382.4930000000004</v>
      </c>
      <c r="BI37" s="16">
        <f t="shared" si="18"/>
        <v>187.09677419354838</v>
      </c>
      <c r="BJ37" s="16">
        <f t="shared" si="30"/>
        <v>5799.9999999999982</v>
      </c>
      <c r="BK37" s="17">
        <f t="shared" si="19"/>
        <v>1</v>
      </c>
      <c r="BL37" s="16">
        <f t="shared" si="31"/>
        <v>5799.9999999999982</v>
      </c>
      <c r="BM37" s="256">
        <v>317.40100000000001</v>
      </c>
      <c r="BN37" s="257">
        <v>10.507999999999999</v>
      </c>
      <c r="BO37" s="257">
        <v>87.012</v>
      </c>
      <c r="BP37" s="257"/>
      <c r="BQ37" s="261"/>
      <c r="BR37" s="261">
        <v>44.411000000000001</v>
      </c>
      <c r="BS37" s="262"/>
      <c r="BT37" s="219"/>
      <c r="BU37" s="220">
        <v>1.26</v>
      </c>
      <c r="BV37" s="220"/>
      <c r="BW37" s="220"/>
      <c r="BX37" s="220"/>
      <c r="BY37" s="224"/>
      <c r="BZ37" s="224">
        <v>1.82</v>
      </c>
      <c r="CA37" s="221"/>
      <c r="CB37" s="222">
        <v>36.29</v>
      </c>
      <c r="CC37" s="220">
        <v>42.78</v>
      </c>
      <c r="CD37" s="220">
        <v>43.24</v>
      </c>
      <c r="CE37" s="220"/>
      <c r="CF37" s="224"/>
      <c r="CG37" s="224">
        <v>34.32</v>
      </c>
      <c r="CH37" s="221"/>
      <c r="CI37" s="219"/>
      <c r="CJ37" s="217"/>
      <c r="CK37" s="217"/>
      <c r="CL37" s="234">
        <v>285.60000000000002</v>
      </c>
      <c r="CM37" s="223"/>
      <c r="CN37" s="222"/>
      <c r="CO37" s="224"/>
      <c r="CP37" s="224"/>
      <c r="CQ37" s="218"/>
      <c r="CR37" s="221"/>
      <c r="CT37" s="287">
        <f t="shared" si="20"/>
        <v>313.40174739999998</v>
      </c>
      <c r="CU37" s="32">
        <f t="shared" si="20"/>
        <v>10.507999999999999</v>
      </c>
      <c r="CV37" s="30">
        <f t="shared" si="20"/>
        <v>87.012</v>
      </c>
      <c r="CW37" s="246">
        <f t="shared" si="20"/>
        <v>0</v>
      </c>
      <c r="CX37" s="27">
        <f t="shared" si="20"/>
        <v>0</v>
      </c>
      <c r="CY37" s="26">
        <f t="shared" si="20"/>
        <v>43.60271980000001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285.60000000000002</v>
      </c>
      <c r="DD37" s="280">
        <f t="shared" si="21"/>
        <v>0</v>
      </c>
      <c r="DE37" s="563">
        <f t="shared" si="32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3"/>
        <v>0</v>
      </c>
    </row>
    <row r="38" spans="1:115" ht="16.5" customHeight="1" thickBot="1">
      <c r="A38" s="55" t="s">
        <v>58</v>
      </c>
      <c r="B38" s="327">
        <f>SUM(B7:B37)</f>
        <v>11787.016999999998</v>
      </c>
      <c r="C38" s="527"/>
      <c r="D38" s="327">
        <f>SUM(D7:D37)</f>
        <v>11700.526015347365</v>
      </c>
      <c r="E38" s="528"/>
      <c r="F38" s="340"/>
      <c r="G38" s="343">
        <f>SUM(G7:G37)</f>
        <v>0</v>
      </c>
      <c r="H38" s="340"/>
      <c r="I38" s="327">
        <f>SUM(I7:I37)</f>
        <v>0</v>
      </c>
      <c r="J38" s="327">
        <f>SUM(J7:J37)</f>
        <v>125.28800000000001</v>
      </c>
      <c r="K38" s="529">
        <f>SUM(K7:K37)</f>
        <v>54.51</v>
      </c>
      <c r="L38" s="529">
        <f>SUM(L7:L37)</f>
        <v>6335.4139999999989</v>
      </c>
      <c r="M38" s="340"/>
      <c r="N38" s="340">
        <f>SUM(N7:N37)</f>
        <v>0</v>
      </c>
      <c r="O38" s="529">
        <f>SUM(O7:O37)</f>
        <v>86.415999999999997</v>
      </c>
      <c r="P38" s="529">
        <f>SUM(P7:P37)</f>
        <v>85.724671999999998</v>
      </c>
      <c r="Q38" s="569"/>
      <c r="R38" s="327">
        <f>SUM(R7:R37)</f>
        <v>7601.5269999999991</v>
      </c>
      <c r="S38" s="340"/>
      <c r="T38" s="343">
        <f>SUM(T7:T37)</f>
        <v>7398.9700002999998</v>
      </c>
      <c r="U38" s="574">
        <f>SUM(U7:U37)</f>
        <v>429.24599999999992</v>
      </c>
      <c r="V38" s="343">
        <f>SUM(V7:V37)</f>
        <v>7398.9700002999998</v>
      </c>
      <c r="W38" s="346"/>
      <c r="X38" s="344"/>
      <c r="Y38" s="194">
        <f>SUM(Y7:Y37)</f>
        <v>4335.0099999999993</v>
      </c>
      <c r="Z38" s="194">
        <f>SUM(Z7:Z37)</f>
        <v>4046.98</v>
      </c>
      <c r="AA38" s="345"/>
      <c r="AB38" s="346"/>
      <c r="AC38" s="347"/>
      <c r="AD38" s="348"/>
      <c r="AE38" s="345"/>
      <c r="AF38" s="345"/>
      <c r="AG38" s="347">
        <f>SUM(AG7:AG37)</f>
        <v>121</v>
      </c>
      <c r="AH38" s="194">
        <f>SUM(AH7:AH37)</f>
        <v>45.6</v>
      </c>
      <c r="AI38" s="351"/>
      <c r="AJ38" s="194">
        <f>SUM(AJ7:AJ37)</f>
        <v>3777.4</v>
      </c>
      <c r="AK38" s="343"/>
      <c r="AL38" s="338">
        <f>SUM(AL7:AL37)</f>
        <v>604.41999999999996</v>
      </c>
      <c r="AM38" s="343">
        <f>SUM(AM7:AM37)</f>
        <v>0</v>
      </c>
      <c r="AN38" s="337">
        <f>SUM(AN7:AN37)</f>
        <v>317.58999999999992</v>
      </c>
      <c r="AO38" s="395">
        <f>SUM(AO7:AO37)</f>
        <v>1382.9169999999997</v>
      </c>
      <c r="AP38" s="530"/>
      <c r="AQ38" s="351"/>
      <c r="AR38" s="343"/>
      <c r="AS38" s="351"/>
      <c r="AT38" s="351"/>
      <c r="AU38" s="352"/>
      <c r="AV38" s="337">
        <f>SUM(AV7:AV37)</f>
        <v>7000.6499999999987</v>
      </c>
      <c r="AW38" s="343">
        <f>SUM(AW7:AW37)</f>
        <v>82.350000000000009</v>
      </c>
      <c r="AX38" s="343">
        <f>SUM(AX7:AX36)</f>
        <v>0</v>
      </c>
      <c r="AY38" s="343">
        <f>SUM(AY7:AY37)</f>
        <v>0</v>
      </c>
      <c r="AZ38" s="340"/>
      <c r="BA38" s="194">
        <f>SUM(BA7:BA37)</f>
        <v>5382.4930000000004</v>
      </c>
      <c r="BB38" s="194">
        <f>SUM(BB7:BB37)</f>
        <v>5236.9231961420501</v>
      </c>
      <c r="BC38" s="351">
        <f>SUM(BC7:BC36)</f>
        <v>200.86996197183095</v>
      </c>
      <c r="BD38" s="351">
        <f>SUM(BD7:BD36)</f>
        <v>199.93646000000004</v>
      </c>
      <c r="BE38" s="340"/>
      <c r="BF38" s="351">
        <f>SUM(BF7:BF37)</f>
        <v>413.99592161971827</v>
      </c>
      <c r="BG38" s="353"/>
      <c r="BH38" s="16"/>
      <c r="BI38" s="16">
        <f t="shared" si="18"/>
        <v>0</v>
      </c>
      <c r="BJ38" s="16"/>
      <c r="BK38" s="17">
        <f>SUM(BK7:BK37)</f>
        <v>31</v>
      </c>
      <c r="BL38" s="33"/>
      <c r="BM38" s="228">
        <f t="shared" ref="BM38:BS38" si="36">SUM(BM7:BM37)</f>
        <v>1195.7630001</v>
      </c>
      <c r="BN38" s="38">
        <f t="shared" si="36"/>
        <v>1416.5029999999997</v>
      </c>
      <c r="BO38" s="38">
        <f t="shared" si="36"/>
        <v>4918.9109999999991</v>
      </c>
      <c r="BP38" s="38">
        <f t="shared" si="36"/>
        <v>3229.3599999999992</v>
      </c>
      <c r="BQ38" s="38">
        <f t="shared" si="36"/>
        <v>9.9999999999999995E-8</v>
      </c>
      <c r="BR38" s="38">
        <f t="shared" si="36"/>
        <v>1026.4799999999998</v>
      </c>
      <c r="BS38" s="38">
        <f t="shared" si="36"/>
        <v>1.0000000000000001E-5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9.9999999999999995E-8</v>
      </c>
      <c r="CL38" s="39">
        <f>SUM(CL7:CL37)</f>
        <v>7398.97</v>
      </c>
      <c r="CM38" s="40">
        <f>SUM(CM7:CM37)</f>
        <v>9.9999999999999995E-8</v>
      </c>
      <c r="CN38" s="34"/>
      <c r="CO38" s="35"/>
      <c r="CP38" s="236"/>
      <c r="CQ38" s="36"/>
      <c r="CR38" s="36"/>
      <c r="CT38" s="189">
        <f t="shared" ref="CT38:DE38" si="37">SUM(CT7:CT37)</f>
        <v>1179.1289385999999</v>
      </c>
      <c r="CU38" s="190">
        <f t="shared" si="37"/>
        <v>1416.5029999468568</v>
      </c>
      <c r="CV38" s="191">
        <f t="shared" si="37"/>
        <v>4918.9109998005069</v>
      </c>
      <c r="CW38" s="192">
        <f t="shared" si="37"/>
        <v>3189.4469408000004</v>
      </c>
      <c r="CX38" s="192">
        <f t="shared" si="37"/>
        <v>9.99999999E-8</v>
      </c>
      <c r="CY38" s="192">
        <f t="shared" si="37"/>
        <v>996.53613630000007</v>
      </c>
      <c r="CZ38" s="278">
        <f t="shared" si="37"/>
        <v>9.999999990000001E-6</v>
      </c>
      <c r="DA38" s="278">
        <f t="shared" si="37"/>
        <v>9.99999999E-8</v>
      </c>
      <c r="DB38" s="192">
        <f t="shared" si="37"/>
        <v>9.99999999E-8</v>
      </c>
      <c r="DC38" s="192">
        <f t="shared" si="37"/>
        <v>7398.9699997499611</v>
      </c>
      <c r="DD38" s="498">
        <f t="shared" si="37"/>
        <v>9.99999999E-8</v>
      </c>
      <c r="DE38" s="564">
        <f t="shared" si="37"/>
        <v>85.724671999999998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380.2263548387096</v>
      </c>
      <c r="C39" s="84">
        <f>(BM38*BU39+BN38*BV39+BP38*BX39+BS38*CA39+BO38*BW39+BR38*BZ39+BQ38*BY39)/B38</f>
        <v>0.7337817927354735</v>
      </c>
      <c r="D39" s="82"/>
      <c r="E39" s="354">
        <f>(BM38*CB39+BN38*CC39+BP38*CE39+BS38*CH39+BO38*CD39+BR38*CG39+BQ38*CF39)/B38</f>
        <v>39.183058770509959</v>
      </c>
      <c r="F39" s="355">
        <f>IF(BA38=0,0,D38/BA38)</f>
        <v>2.1738116548126238</v>
      </c>
      <c r="G39" s="354">
        <f>G38/AV2</f>
        <v>0</v>
      </c>
      <c r="H39" s="355">
        <f>IF(BA38=0,0,(CZ38+CW38+CY38+CT38+CX38)/BA38)</f>
        <v>0.99677083199179262</v>
      </c>
      <c r="I39" s="354">
        <f>I38/AV2</f>
        <v>0</v>
      </c>
      <c r="J39" s="572">
        <f>J38/AV2</f>
        <v>4.0415483870967748</v>
      </c>
      <c r="K39" s="354">
        <f>K38/AV2</f>
        <v>1.7583870967741935</v>
      </c>
      <c r="L39" s="354">
        <f>L38/AV2</f>
        <v>204.36819354838707</v>
      </c>
      <c r="M39" s="355">
        <f>IF($BA$38=0,0,(CV38+CU38)/$BA$38)</f>
        <v>1.1770408247158637</v>
      </c>
      <c r="N39" s="354">
        <f>N38/AV2</f>
        <v>0</v>
      </c>
      <c r="O39" s="354">
        <f>O38/AV2</f>
        <v>2.7876129032258063</v>
      </c>
      <c r="P39" s="354">
        <f>P38/AV2</f>
        <v>2.7653119999999998</v>
      </c>
      <c r="Q39" s="504">
        <f>IF(O39=0,0,P38/BA38)</f>
        <v>1.592657380139649E-2</v>
      </c>
      <c r="R39" s="356">
        <f>R38/AV2</f>
        <v>245.21054838709674</v>
      </c>
      <c r="S39" s="354">
        <f>(SUMPRODUCT(R7:R37,S7:S37))/R38</f>
        <v>2.6646882882873419</v>
      </c>
      <c r="T39" s="357"/>
      <c r="U39" s="354">
        <f>U38/AV2</f>
        <v>13.84664516129032</v>
      </c>
      <c r="V39" s="354">
        <f>V38/AV2:AV2</f>
        <v>238.67645162258063</v>
      </c>
      <c r="W39" s="358">
        <f>IF($BA$38=0,0,T38/$BA$38)</f>
        <v>1.3746362513244326</v>
      </c>
      <c r="X39" s="358">
        <f>Q39+W39</f>
        <v>1.3905628251258291</v>
      </c>
      <c r="Y39" s="354">
        <f>Y38/AV2</f>
        <v>139.83903225806449</v>
      </c>
      <c r="Z39" s="354">
        <f>Z38/AV2</f>
        <v>130.54774193548388</v>
      </c>
      <c r="AA39" s="354">
        <f>(SUMPRODUCT(AA7:AA37,BA7:BA37))/BA38</f>
        <v>0.80627396449934996</v>
      </c>
      <c r="AB39" s="359">
        <f>AVERAGE(AB7:AB37)</f>
        <v>657.0322580645161</v>
      </c>
      <c r="AC39" s="359">
        <f>AVERAGE(AC7:AC37)</f>
        <v>1211.8064516129032</v>
      </c>
      <c r="AD39" s="359"/>
      <c r="AE39" s="354">
        <f>(SUMPRODUCT(AE7:AE37,BA7:BA37))/BA38</f>
        <v>75.665387907610835</v>
      </c>
      <c r="AF39" s="360">
        <f>AVERAGE(AF7:AF37)</f>
        <v>127</v>
      </c>
      <c r="AG39" s="360">
        <f>AVERAGE(AG7:AG37)</f>
        <v>4.0333333333333332</v>
      </c>
      <c r="AH39" s="354">
        <f>AH38/AV2</f>
        <v>1.4709677419354839</v>
      </c>
      <c r="AI39" s="361">
        <f>IF(BA38=0,0,AH38/BA38*1000)</f>
        <v>8.4719106926845988</v>
      </c>
      <c r="AJ39" s="361">
        <f>AJ38/AV2</f>
        <v>121.85161290322581</v>
      </c>
      <c r="AK39" s="361">
        <f>IF(BA38=0,0,AJ38/BA38*1000)</f>
        <v>701.79375988041227</v>
      </c>
      <c r="AL39" s="354">
        <f>AL38/AV2</f>
        <v>19.497419354838708</v>
      </c>
      <c r="AM39" s="359"/>
      <c r="AN39" s="354">
        <f>AN38/AV2</f>
        <v>10.244838709677417</v>
      </c>
      <c r="AO39" s="354">
        <f>AO38/AV2</f>
        <v>44.610225806451602</v>
      </c>
      <c r="AP39" s="346">
        <f>IF(AO39=0,0,AO39/AV39)</f>
        <v>0.19754122831451365</v>
      </c>
      <c r="AQ39" s="361">
        <f>SUM(AQ8:AQ38)</f>
        <v>0</v>
      </c>
      <c r="AR39" s="354">
        <f>AVERAGE(AR7:AR37)</f>
        <v>8.7569999999999997</v>
      </c>
      <c r="AS39" s="354">
        <f>AVERAGE(AS7:AS37)</f>
        <v>7.0656666666666661</v>
      </c>
      <c r="AT39" s="362"/>
      <c r="AU39" s="354">
        <f>AVERAGE(AU7:AU37)</f>
        <v>7.1526666666666676</v>
      </c>
      <c r="AV39" s="363">
        <f>AV38/AV2</f>
        <v>225.82741935483867</v>
      </c>
      <c r="AW39" s="363">
        <f>AW38/AV2</f>
        <v>2.6564516129032261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173.62880645161292</v>
      </c>
      <c r="BB39" s="354">
        <f>BB38/AV2</f>
        <v>168.9330063271629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0.88833549290596447</v>
      </c>
      <c r="BF39" s="354">
        <f>BF38/AV2</f>
        <v>13.35470714902317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1.3910834754553298</v>
      </c>
      <c r="BV39" s="42">
        <f t="shared" ref="BV39:CA39" si="38">(SUMPRODUCT(BN7:BN37,BV7:BV37))/BN38</f>
        <v>3.7517040203938868E-9</v>
      </c>
      <c r="BW39" s="42">
        <f t="shared" si="38"/>
        <v>4.0556131224980495E-9</v>
      </c>
      <c r="BX39" s="42">
        <f>(SUMPRODUCT(BP7:BP37,BX7:BX37))/BP38</f>
        <v>1.2359433200386456</v>
      </c>
      <c r="BY39" s="42">
        <f t="shared" si="38"/>
        <v>9.9999999999999982E-8</v>
      </c>
      <c r="BZ39" s="46">
        <f t="shared" si="38"/>
        <v>2.9171404898293205</v>
      </c>
      <c r="CA39" s="240">
        <f t="shared" si="38"/>
        <v>9.9999999999999995E-8</v>
      </c>
      <c r="CB39" s="41">
        <f t="shared" ref="CB39:CH39" si="39">(SUMPRODUCT(BM7:BM37,CB7:CB37))/BM38</f>
        <v>36.232032682376683</v>
      </c>
      <c r="CC39" s="42">
        <f t="shared" si="39"/>
        <v>43.802424117703957</v>
      </c>
      <c r="CD39" s="42">
        <f t="shared" si="39"/>
        <v>41.696350257201232</v>
      </c>
      <c r="CE39" s="42">
        <f t="shared" si="39"/>
        <v>36.041936343424091</v>
      </c>
      <c r="CF39" s="42">
        <f t="shared" si="39"/>
        <v>9.9999999999999982E-8</v>
      </c>
      <c r="CG39" s="46">
        <f t="shared" si="39"/>
        <v>34.084606694723725</v>
      </c>
      <c r="CH39" s="240">
        <f t="shared" si="39"/>
        <v>9.9999999999999995E-8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9.9999999999999982E-8</v>
      </c>
      <c r="CP39" s="46">
        <f>(SUMPRODUCT(CL7:CL37,CP7:CP37))/CL38</f>
        <v>3.3793892933746179E-9</v>
      </c>
      <c r="CQ39" s="44">
        <f>(SUMPRODUCT(CM7:CM37,CQ7:CQ37))/CM38</f>
        <v>9.9999999999999982E-8</v>
      </c>
      <c r="CR39" s="44">
        <f>(SUMPRODUCT(O7:O37,CR7:CR37))/O38</f>
        <v>0.8</v>
      </c>
      <c r="CT39" s="667">
        <f>CT38+CU38</f>
        <v>2595.6319385468569</v>
      </c>
      <c r="CU39" s="667"/>
      <c r="CV39" s="668">
        <f>CV38+CW38+CZ38+CY38+CX38</f>
        <v>9104.8940870005081</v>
      </c>
      <c r="CW39" s="668"/>
      <c r="CX39" s="668"/>
      <c r="CY39" s="668"/>
      <c r="CZ39" s="668"/>
      <c r="DA39" s="669">
        <f>DA38+DB38+DD38+DC38</f>
        <v>7398.9700000499606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38.299999999999997</v>
      </c>
      <c r="F40" s="366">
        <v>2.2200000000000002</v>
      </c>
      <c r="G40" s="366"/>
      <c r="H40" s="401">
        <v>0.75480000000000003</v>
      </c>
      <c r="I40" s="366"/>
      <c r="J40" s="570"/>
      <c r="K40" s="366"/>
      <c r="L40" s="366"/>
      <c r="M40" s="401">
        <v>1.4652000000000001</v>
      </c>
      <c r="N40" s="365"/>
      <c r="O40" s="366"/>
      <c r="P40" s="366"/>
      <c r="Q40" s="366"/>
      <c r="R40" s="367"/>
      <c r="S40" s="368"/>
      <c r="T40" s="367"/>
      <c r="U40" s="450">
        <v>22.227123599999999</v>
      </c>
      <c r="V40" s="367"/>
      <c r="W40" s="369">
        <v>1.32</v>
      </c>
      <c r="X40" s="484"/>
      <c r="Y40" s="370">
        <v>5800</v>
      </c>
      <c r="Z40" s="370">
        <v>5800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645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5800</v>
      </c>
      <c r="AW40" s="379">
        <v>40.6</v>
      </c>
      <c r="AX40" s="380"/>
      <c r="AY40" s="381"/>
      <c r="AZ40" s="382"/>
      <c r="BA40" s="365">
        <v>187.1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11700.526025547366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-4.6188345187376356E-2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2.6646882882873419</v>
      </c>
      <c r="T41" s="386"/>
      <c r="U41" s="388"/>
      <c r="V41" s="388"/>
      <c r="W41" s="385">
        <f>W39-W40</f>
        <v>5.4636251324432505E-2</v>
      </c>
      <c r="X41" s="385"/>
      <c r="Y41" s="385"/>
      <c r="Z41" s="385"/>
      <c r="AA41" s="385"/>
      <c r="AB41" s="385"/>
      <c r="AC41" s="389">
        <f>AC39-AC40</f>
        <v>-38.193548387096826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1200.6499999999987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187.09677419354838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0.19754122831451365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W44">
        <v>11700.526</v>
      </c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57.856611570247921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193.33333333333334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-417.50699999999779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-7.1983965517241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'[4]август 20'!$G$38</f>
        <v>1382.9169999999997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'[4]август 20'!$C$38</f>
        <v>1382.9200000000003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3.0000000006111804E-3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DG5:DK5"/>
    <mergeCell ref="CT39:CU39"/>
    <mergeCell ref="CV39:CZ39"/>
    <mergeCell ref="DA39:DD39"/>
    <mergeCell ref="CJ3:CM5"/>
    <mergeCell ref="CN3:CQ5"/>
    <mergeCell ref="CR3:CR6"/>
    <mergeCell ref="Y3:Y6"/>
    <mergeCell ref="U4:U6"/>
    <mergeCell ref="V4:V6"/>
    <mergeCell ref="W4:W6"/>
    <mergeCell ref="AH5:AH6"/>
    <mergeCell ref="X4:X6"/>
    <mergeCell ref="P3:X3"/>
    <mergeCell ref="P4:P6"/>
    <mergeCell ref="Q4:Q6"/>
    <mergeCell ref="AN3:AN6"/>
    <mergeCell ref="F4:F6"/>
    <mergeCell ref="H4:H6"/>
    <mergeCell ref="I4:I6"/>
    <mergeCell ref="J4:J6"/>
    <mergeCell ref="K4:K6"/>
    <mergeCell ref="AJ5:AJ6"/>
    <mergeCell ref="M4:M6"/>
    <mergeCell ref="N4:N6"/>
    <mergeCell ref="O4:O6"/>
    <mergeCell ref="R4:R6"/>
    <mergeCell ref="S4:S6"/>
    <mergeCell ref="T4:T6"/>
    <mergeCell ref="AF3:AF6"/>
    <mergeCell ref="AG3:AG6"/>
    <mergeCell ref="AH3:AI4"/>
    <mergeCell ref="BG3:BG6"/>
    <mergeCell ref="BM3:BS5"/>
    <mergeCell ref="BU3:CA5"/>
    <mergeCell ref="CB3:CH5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O3"/>
    <mergeCell ref="B4:B6"/>
    <mergeCell ref="C4:C6"/>
    <mergeCell ref="D4:D6"/>
    <mergeCell ref="E4:E6"/>
    <mergeCell ref="L4:L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R88"/>
  <sheetViews>
    <sheetView showZeros="0" zoomScale="88" zoomScaleNormal="88" workbookViewId="0">
      <pane xSplit="1" ySplit="6" topLeftCell="AH23" activePane="bottomRight" state="frozen"/>
      <selection pane="topRight" activeCell="B1" sqref="B1"/>
      <selection pane="bottomLeft" activeCell="A7" sqref="A7"/>
      <selection pane="bottomRight" activeCell="AV38" sqref="AV38"/>
    </sheetView>
  </sheetViews>
  <sheetFormatPr defaultRowHeight="12.75"/>
  <cols>
    <col min="1" max="1" width="4.7109375" customWidth="1"/>
    <col min="2" max="2" width="9.28515625" customWidth="1"/>
    <col min="3" max="3" width="5.85546875" customWidth="1"/>
    <col min="4" max="4" width="10.5703125" hidden="1" customWidth="1"/>
    <col min="5" max="5" width="7.42578125" customWidth="1"/>
    <col min="6" max="6" width="7.28515625" customWidth="1"/>
    <col min="7" max="7" width="3.85546875" hidden="1" customWidth="1"/>
    <col min="8" max="8" width="7.140625" customWidth="1"/>
    <col min="9" max="9" width="6.42578125" hidden="1" customWidth="1"/>
    <col min="10" max="10" width="7.42578125" customWidth="1"/>
    <col min="11" max="11" width="5.85546875" customWidth="1"/>
    <col min="12" max="12" width="8.85546875" customWidth="1"/>
    <col min="13" max="13" width="7.28515625" customWidth="1"/>
    <col min="14" max="14" width="4.5703125" hidden="1" customWidth="1"/>
    <col min="15" max="15" width="7.140625" customWidth="1"/>
    <col min="16" max="16" width="7.140625" hidden="1" customWidth="1"/>
    <col min="17" max="17" width="7.140625" customWidth="1"/>
    <col min="18" max="18" width="9" customWidth="1"/>
    <col min="19" max="19" width="6.85546875" customWidth="1"/>
    <col min="20" max="20" width="9" hidden="1" customWidth="1"/>
    <col min="21" max="21" width="7.85546875" customWidth="1"/>
    <col min="22" max="22" width="9" hidden="1" customWidth="1"/>
    <col min="23" max="23" width="7.85546875" customWidth="1"/>
    <col min="24" max="24" width="6.85546875" customWidth="1"/>
    <col min="25" max="26" width="8.42578125" customWidth="1"/>
    <col min="27" max="27" width="6.5703125" customWidth="1"/>
    <col min="28" max="28" width="4.85546875" customWidth="1"/>
    <col min="29" max="29" width="6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" customWidth="1"/>
    <col min="37" max="37" width="7.7109375" customWidth="1"/>
    <col min="38" max="38" width="7.2851562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  <col min="118" max="118" width="13.140625" customWidth="1"/>
  </cols>
  <sheetData>
    <row r="1" spans="1:122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22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383</v>
      </c>
      <c r="BB2" s="526"/>
      <c r="BC2" s="526"/>
      <c r="BD2" s="526"/>
      <c r="BE2" s="526" t="s">
        <v>107</v>
      </c>
      <c r="BF2" s="324"/>
      <c r="BG2" s="49"/>
      <c r="BO2" s="2"/>
    </row>
    <row r="3" spans="1:122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8"/>
      <c r="Y3" s="704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22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41" t="s">
        <v>396</v>
      </c>
      <c r="Y4" s="645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22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644"/>
      <c r="Y5" s="645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22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644"/>
      <c r="Y6" s="645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82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420</v>
      </c>
      <c r="BO6" s="232" t="s">
        <v>390</v>
      </c>
      <c r="BP6" s="436" t="s">
        <v>388</v>
      </c>
      <c r="BQ6" s="232" t="s">
        <v>425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388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389</v>
      </c>
      <c r="CD6" s="232" t="s">
        <v>390</v>
      </c>
      <c r="CE6" s="396" t="s">
        <v>388</v>
      </c>
      <c r="CF6" s="232" t="s">
        <v>425</v>
      </c>
      <c r="CG6" s="310" t="s">
        <v>147</v>
      </c>
      <c r="CH6" s="334" t="s">
        <v>96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288" t="s">
        <v>102</v>
      </c>
      <c r="CR6" s="691"/>
      <c r="CS6"/>
      <c r="CT6" s="251" t="s">
        <v>384</v>
      </c>
      <c r="CU6" s="482" t="s">
        <v>391</v>
      </c>
      <c r="CV6" s="51" t="s">
        <v>390</v>
      </c>
      <c r="CW6" s="245" t="s">
        <v>388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22" ht="16.5" customHeight="1" thickBot="1">
      <c r="A7" s="532">
        <v>1</v>
      </c>
      <c r="B7" s="103">
        <f>BM7+BN7+BO7+BP7+BQ7+BR7+BS7</f>
        <v>401.11201019999999</v>
      </c>
      <c r="C7" s="104">
        <f t="shared" ref="C7:C37" si="0">IF(B7=0,0,(BM7*BU7+BN7*BV7+BP7*BX7+BS7*CA7+BO7*BW7+BR7*BZ7+BQ7*BY7)/B7)</f>
        <v>0.20950414682572133</v>
      </c>
      <c r="D7" s="447">
        <f t="shared" ref="D7:D37" si="1">B7*((100-C7)/100)</f>
        <v>400.27166390521495</v>
      </c>
      <c r="E7" s="104">
        <f t="shared" ref="E7:E37" si="2">IF(B7=0,0,(BM7*CB7+BN7*CC7+BP7*CE7+BS7*CH7+BO7*CD7+BR7*CG7+BQ7*CF7)/B7)</f>
        <v>39.735352930601429</v>
      </c>
      <c r="F7" s="103">
        <f t="shared" ref="F7:F37" si="3">IF(BA7=0,0,D7/BA7)</f>
        <v>1.966221933573123</v>
      </c>
      <c r="G7" s="106"/>
      <c r="H7" s="107">
        <f t="shared" ref="H7:H37" si="4">IF(BA7=0,0,(CZ7+CW7+CY7+CT7+CX7)/BA7)</f>
        <v>0.51817355949187993</v>
      </c>
      <c r="I7" s="103">
        <f>'[1]сентябрь 20'!AE6</f>
        <v>0</v>
      </c>
      <c r="J7" s="328">
        <f>'[1]август 20'!AA6</f>
        <v>0</v>
      </c>
      <c r="K7" s="106"/>
      <c r="L7" s="328">
        <f>BN7+BO7</f>
        <v>294.78499999999997</v>
      </c>
      <c r="M7" s="103">
        <f t="shared" ref="M7:M37" si="5">IF(BA7=0,0,(CV7+CU7)/BA7)</f>
        <v>1.4480483740812431</v>
      </c>
      <c r="N7" s="103">
        <f>'[1]август 20'!W6</f>
        <v>0</v>
      </c>
      <c r="O7" s="103">
        <f>'[1]август 20'!AM6</f>
        <v>6.6459999999999999</v>
      </c>
      <c r="P7" s="447">
        <f>O7*((100-CR7)/100)</f>
        <v>6.5928319999999996</v>
      </c>
      <c r="Q7" s="103">
        <f>IF(O7=0,0,P7/BA7)</f>
        <v>3.2385432324363618E-2</v>
      </c>
      <c r="R7" s="103">
        <v>273.08</v>
      </c>
      <c r="S7" s="108">
        <f t="shared" ref="S7:S37" si="6">IF(R7=0,0,(1-(V7/R7))*100)</f>
        <v>1.5526584517357556</v>
      </c>
      <c r="T7" s="109">
        <f t="shared" ref="T7:T37" si="7">R7*((100-S7)/100)</f>
        <v>268.84000029999999</v>
      </c>
      <c r="U7" s="106">
        <v>20.306000000000001</v>
      </c>
      <c r="V7" s="109">
        <f t="shared" ref="V7:V37" si="8">CJ7+CK7+CM7+CL7</f>
        <v>268.84000029999999</v>
      </c>
      <c r="W7" s="110">
        <f t="shared" ref="W7:W37" si="9">IF(BA7=0,0,T7/BA7)</f>
        <v>1.3206008640592608</v>
      </c>
      <c r="X7" s="110">
        <f>Q7+W7</f>
        <v>1.3529862963836243</v>
      </c>
      <c r="Y7" s="136">
        <v>102.76</v>
      </c>
      <c r="Z7" s="111">
        <v>203.57</v>
      </c>
      <c r="AA7" s="106">
        <v>0.52</v>
      </c>
      <c r="AB7" s="112">
        <v>690</v>
      </c>
      <c r="AC7" s="238">
        <v>1240</v>
      </c>
      <c r="AD7" s="113" t="s">
        <v>288</v>
      </c>
      <c r="AE7" s="106">
        <v>74.55</v>
      </c>
      <c r="AF7" s="112">
        <v>133</v>
      </c>
      <c r="AG7" s="114">
        <v>4</v>
      </c>
      <c r="AH7" s="106">
        <v>4.8</v>
      </c>
      <c r="AI7" s="115">
        <f t="shared" ref="AI7:AI37" si="10">IF(BA7=0,0,AH7/BA7*1000)</f>
        <v>23.578649532848004</v>
      </c>
      <c r="AJ7" s="106">
        <v>121.05</v>
      </c>
      <c r="AK7" s="115">
        <f t="shared" ref="AK7:AK37" si="11">IF(BA7=0,0,AJ7/BA7*1000)</f>
        <v>594.62406790651062</v>
      </c>
      <c r="AL7" s="106">
        <v>19.95</v>
      </c>
      <c r="AM7" s="116"/>
      <c r="AN7" s="117">
        <v>11.17</v>
      </c>
      <c r="AO7" s="466">
        <f>AV7*0.19</f>
        <v>47.765999999999998</v>
      </c>
      <c r="AP7" s="110">
        <f t="shared" ref="AP7:AP37" si="12">IF(AO7=0,0,AO7/AV7)</f>
        <v>0.19</v>
      </c>
      <c r="AQ7" s="119" t="s">
        <v>247</v>
      </c>
      <c r="AR7" s="403">
        <v>9.3800000000000008</v>
      </c>
      <c r="AS7" s="120">
        <v>7.21</v>
      </c>
      <c r="AT7" s="106"/>
      <c r="AU7" s="106">
        <v>8.0399999999999991</v>
      </c>
      <c r="AV7" s="314">
        <v>251.4</v>
      </c>
      <c r="AW7" s="121">
        <v>11.11</v>
      </c>
      <c r="AX7" s="122"/>
      <c r="AY7" s="123"/>
      <c r="AZ7" s="124"/>
      <c r="BA7" s="109">
        <f t="shared" ref="BA7:BA37" si="13">AV7-AO7-AN7+AY7+AW7</f>
        <v>203.57400000000001</v>
      </c>
      <c r="BB7" s="115">
        <f>IF(AE7=0,0,((D7*0.97)*(E7/100)*0.9)/(AE7/100))</f>
        <v>186.25095885381504</v>
      </c>
      <c r="BC7" s="125">
        <f t="shared" ref="BC7:BC37" si="14">(AJ7*AU7)/100*(55/71)</f>
        <v>7.5391985915492938</v>
      </c>
      <c r="BD7" s="115">
        <f t="shared" ref="BD7:BD23" si="15">BA7*$BD$6</f>
        <v>8.1429600000000004</v>
      </c>
      <c r="BE7" s="103">
        <f t="shared" ref="BE7:BE37" si="16">IF((D7*E7)=0,0,(BA7*AE7)/(D7*E7))</f>
        <v>0.95419697752798838</v>
      </c>
      <c r="BF7" s="115">
        <f t="shared" ref="BF7:BF37" si="17">BC7+BD7</f>
        <v>15.682158591549294</v>
      </c>
      <c r="BG7" s="533">
        <v>0.95399999999999996</v>
      </c>
      <c r="BH7" s="16">
        <f>BA7</f>
        <v>203.57400000000001</v>
      </c>
      <c r="BI7" s="16">
        <f t="shared" ref="BI7:BI38" si="18">IF(A7&lt;=$BG$43,$AV$43,0)</f>
        <v>187.09677419354838</v>
      </c>
      <c r="BJ7" s="16">
        <f>BI7</f>
        <v>187.09677419354838</v>
      </c>
      <c r="BK7" s="17">
        <f t="shared" ref="BK7:BK37" si="19">IF(BA7&lt;&gt;0,1,0)</f>
        <v>1</v>
      </c>
      <c r="BL7" s="16">
        <f>BI7*BK7</f>
        <v>187.09677419354838</v>
      </c>
      <c r="BM7" s="336">
        <v>9.9999999999999995E-8</v>
      </c>
      <c r="BN7" s="336">
        <v>53.143000000000001</v>
      </c>
      <c r="BO7" s="585">
        <f>DR7</f>
        <v>241.642</v>
      </c>
      <c r="BP7" s="266">
        <f>DP7</f>
        <v>66.403999999999996</v>
      </c>
      <c r="BQ7" s="432">
        <v>9.9999999999999995E-8</v>
      </c>
      <c r="BR7" s="336">
        <v>39.923000000000002</v>
      </c>
      <c r="BS7" s="336">
        <v>1.0000000000000001E-5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0.52</v>
      </c>
      <c r="BY7" s="336">
        <v>9.9999999999999995E-8</v>
      </c>
      <c r="BZ7" s="336">
        <v>1.24</v>
      </c>
      <c r="CA7" s="336">
        <v>9.9999999999999995E-8</v>
      </c>
      <c r="CB7" s="336">
        <v>9.9999999999999995E-8</v>
      </c>
      <c r="CC7" s="336">
        <v>43.89</v>
      </c>
      <c r="CD7" s="336">
        <v>41.91</v>
      </c>
      <c r="CE7" s="336">
        <v>35.36</v>
      </c>
      <c r="CF7" s="336">
        <v>9.9999999999999995E-8</v>
      </c>
      <c r="CG7" s="336">
        <v>28.32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268.83999999999997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503">
        <v>0.8</v>
      </c>
      <c r="CS7" s="284"/>
      <c r="CT7" s="285">
        <f t="shared" ref="CT7:CZ37" si="20">BM7*((100-BU7)/100)</f>
        <v>9.99999999E-8</v>
      </c>
      <c r="CU7" s="22">
        <f t="shared" si="20"/>
        <v>53.142999946857003</v>
      </c>
      <c r="CV7" s="22">
        <f t="shared" si="20"/>
        <v>241.641999758358</v>
      </c>
      <c r="CW7" s="27">
        <f t="shared" si="20"/>
        <v>66.058699199999992</v>
      </c>
      <c r="CX7" s="27">
        <f t="shared" si="20"/>
        <v>9.99999999E-8</v>
      </c>
      <c r="CY7" s="276">
        <f t="shared" si="20"/>
        <v>39.427954800000002</v>
      </c>
      <c r="CZ7" s="279">
        <f t="shared" si="20"/>
        <v>9.999999990000001E-6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268.83999973115999</v>
      </c>
      <c r="DD7" s="279">
        <f t="shared" si="21"/>
        <v>9.99999999E-8</v>
      </c>
      <c r="DE7" s="508">
        <f>P7</f>
        <v>6.5928319999999996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336">
        <v>250.04</v>
      </c>
      <c r="DN7" s="420">
        <f>DM7+21.6-2.8</f>
        <v>268.83999999999997</v>
      </c>
      <c r="DO7" s="336">
        <v>106.404</v>
      </c>
      <c r="DP7" s="247">
        <f>DO7-40</f>
        <v>66.403999999999996</v>
      </c>
      <c r="DQ7" s="518">
        <v>199.49199999999999</v>
      </c>
      <c r="DR7" s="247">
        <f>DQ7+42.15</f>
        <v>241.642</v>
      </c>
    </row>
    <row r="8" spans="1:122" ht="16.5" customHeight="1" thickBot="1">
      <c r="A8" s="534">
        <v>2</v>
      </c>
      <c r="B8" s="103">
        <f t="shared" ref="B8:B37" si="24">BM8+BN8+BO8+BP8+BQ8+BR8+BS8</f>
        <v>404.24599999999998</v>
      </c>
      <c r="C8" s="104">
        <f t="shared" si="0"/>
        <v>0.4624065791621933</v>
      </c>
      <c r="D8" s="447">
        <f t="shared" si="1"/>
        <v>402.37673990000002</v>
      </c>
      <c r="E8" s="104">
        <f t="shared" si="2"/>
        <v>39.961695353819209</v>
      </c>
      <c r="F8" s="128">
        <f t="shared" si="3"/>
        <v>2.2321896577740055</v>
      </c>
      <c r="G8" s="106"/>
      <c r="H8" s="107">
        <f t="shared" si="4"/>
        <v>0.58559388830640013</v>
      </c>
      <c r="I8" s="103">
        <f>'[1]сентябрь 20'!AE7</f>
        <v>0</v>
      </c>
      <c r="J8" s="328">
        <f>'[1]август 20'!AA7</f>
        <v>0</v>
      </c>
      <c r="K8" s="106"/>
      <c r="L8" s="328">
        <f t="shared" ref="L8:L37" si="25">BN8+BO8</f>
        <v>296.81700000000001</v>
      </c>
      <c r="M8" s="103">
        <f t="shared" si="5"/>
        <v>1.6465957694676054</v>
      </c>
      <c r="N8" s="103">
        <f>'[1]август 20'!W7</f>
        <v>0</v>
      </c>
      <c r="O8" s="103">
        <f>'[1]август 20'!AM7</f>
        <v>6.6959999999999997</v>
      </c>
      <c r="P8" s="447">
        <f t="shared" ref="P8:P37" si="26">O8*((100-CR8)/100)</f>
        <v>6.6424319999999994</v>
      </c>
      <c r="Q8" s="103">
        <f t="shared" ref="Q8:Q37" si="27">IF(O8=0,0,P8/BA8)</f>
        <v>3.6848968994957307E-2</v>
      </c>
      <c r="R8" s="103">
        <v>273.98</v>
      </c>
      <c r="S8" s="108">
        <f t="shared" si="6"/>
        <v>1.5913570333601079</v>
      </c>
      <c r="T8" s="109">
        <f t="shared" si="7"/>
        <v>269.62</v>
      </c>
      <c r="U8" s="106">
        <v>3.6960000000000002</v>
      </c>
      <c r="V8" s="109">
        <f t="shared" si="8"/>
        <v>269.62</v>
      </c>
      <c r="W8" s="110">
        <f t="shared" si="9"/>
        <v>1.4957200947514993</v>
      </c>
      <c r="X8" s="110">
        <f t="shared" ref="X8:X37" si="28">Q8+W8</f>
        <v>1.5325690637464566</v>
      </c>
      <c r="Y8" s="136">
        <v>44.39</v>
      </c>
      <c r="Z8" s="130">
        <v>91.13</v>
      </c>
      <c r="AA8" s="131">
        <v>0.82</v>
      </c>
      <c r="AB8" s="112">
        <v>714</v>
      </c>
      <c r="AC8" s="112">
        <v>1239</v>
      </c>
      <c r="AD8" s="132" t="s">
        <v>302</v>
      </c>
      <c r="AE8" s="131">
        <v>74.67</v>
      </c>
      <c r="AF8" s="133">
        <v>134</v>
      </c>
      <c r="AG8" s="134">
        <v>4</v>
      </c>
      <c r="AH8" s="131"/>
      <c r="AI8" s="115">
        <f t="shared" si="10"/>
        <v>0</v>
      </c>
      <c r="AJ8" s="131">
        <v>118.2</v>
      </c>
      <c r="AK8" s="115">
        <f t="shared" si="11"/>
        <v>655.71587864263495</v>
      </c>
      <c r="AL8" s="131">
        <v>17.79</v>
      </c>
      <c r="AM8" s="116"/>
      <c r="AN8" s="135">
        <v>12.95</v>
      </c>
      <c r="AO8" s="466">
        <f t="shared" ref="AO8:AO36" si="29">AV8*0.19</f>
        <v>44.668999999999997</v>
      </c>
      <c r="AP8" s="110">
        <f t="shared" si="12"/>
        <v>0.19</v>
      </c>
      <c r="AQ8" s="137" t="s">
        <v>394</v>
      </c>
      <c r="AR8" s="577">
        <v>10.15</v>
      </c>
      <c r="AS8" s="138">
        <v>6.74</v>
      </c>
      <c r="AT8" s="131"/>
      <c r="AU8" s="131">
        <v>6.1</v>
      </c>
      <c r="AV8" s="315">
        <v>235.1</v>
      </c>
      <c r="AW8" s="131">
        <v>2.78</v>
      </c>
      <c r="AX8" s="116"/>
      <c r="AY8" s="131"/>
      <c r="AZ8" s="109"/>
      <c r="BA8" s="109">
        <f t="shared" si="13"/>
        <v>180.261</v>
      </c>
      <c r="BB8" s="115">
        <f t="shared" ref="BB8:BB37" si="30">IF(AE8=0,0,((D8*0.97)*(E8/100)*0.9)/(AE8/100))</f>
        <v>187.99437922570928</v>
      </c>
      <c r="BC8" s="140">
        <f t="shared" si="14"/>
        <v>5.5853661971830979</v>
      </c>
      <c r="BD8" s="141">
        <f t="shared" si="15"/>
        <v>7.2104400000000002</v>
      </c>
      <c r="BE8" s="128">
        <f t="shared" si="16"/>
        <v>0.8370880749102686</v>
      </c>
      <c r="BF8" s="141">
        <f t="shared" si="17"/>
        <v>12.795806197183097</v>
      </c>
      <c r="BG8" s="535">
        <v>0.89500000000000002</v>
      </c>
      <c r="BH8" s="16">
        <f t="shared" ref="BH8:BH37" si="31">BH7+BA8</f>
        <v>383.83500000000004</v>
      </c>
      <c r="BI8" s="16">
        <f t="shared" si="18"/>
        <v>187.09677419354838</v>
      </c>
      <c r="BJ8" s="16">
        <f t="shared" ref="BJ8:BJ37" si="32">BI8+BJ7</f>
        <v>374.19354838709677</v>
      </c>
      <c r="BK8" s="17">
        <f t="shared" si="19"/>
        <v>1</v>
      </c>
      <c r="BL8" s="16">
        <f t="shared" ref="BL8:BL37" si="33">BL7+BI8*BK8</f>
        <v>374.19354838709677</v>
      </c>
      <c r="BM8" s="249"/>
      <c r="BN8" s="195">
        <v>53.597000000000001</v>
      </c>
      <c r="BO8" s="266">
        <f t="shared" ref="BO8:BO37" si="34">DR8</f>
        <v>243.22</v>
      </c>
      <c r="BP8" s="445">
        <f t="shared" ref="BP8:BP29" si="35">DP8</f>
        <v>63.507999999999996</v>
      </c>
      <c r="BQ8" s="313"/>
      <c r="BR8" s="230">
        <v>43.920999999999999</v>
      </c>
      <c r="BS8" s="250"/>
      <c r="BT8" s="199"/>
      <c r="BU8" s="200"/>
      <c r="BV8" s="200"/>
      <c r="BW8" s="200"/>
      <c r="BX8" s="200">
        <v>1</v>
      </c>
      <c r="BY8" s="208"/>
      <c r="BZ8" s="208">
        <v>2.81</v>
      </c>
      <c r="CA8" s="198"/>
      <c r="CB8" s="202"/>
      <c r="CC8" s="200">
        <v>43.74</v>
      </c>
      <c r="CD8" s="200">
        <v>41.63</v>
      </c>
      <c r="CE8" s="200">
        <v>35.89</v>
      </c>
      <c r="CF8" s="197"/>
      <c r="CG8" s="197">
        <v>32</v>
      </c>
      <c r="CH8" s="197"/>
      <c r="CI8" s="203"/>
      <c r="CJ8" s="204"/>
      <c r="CK8" s="197"/>
      <c r="CL8" s="197">
        <v>269.62</v>
      </c>
      <c r="CM8" s="198"/>
      <c r="CN8" s="205"/>
      <c r="CO8" s="206"/>
      <c r="CP8" s="269"/>
      <c r="CQ8" s="207"/>
      <c r="CR8" s="207">
        <v>0.8</v>
      </c>
      <c r="CS8" s="284"/>
      <c r="CT8" s="286">
        <f t="shared" si="20"/>
        <v>0</v>
      </c>
      <c r="CU8" s="24">
        <f t="shared" si="20"/>
        <v>53.597000000000001</v>
      </c>
      <c r="CV8" s="25">
        <f t="shared" si="20"/>
        <v>243.22</v>
      </c>
      <c r="CW8" s="24">
        <f t="shared" si="20"/>
        <v>62.872919999999993</v>
      </c>
      <c r="CX8" s="27">
        <f t="shared" si="20"/>
        <v>0</v>
      </c>
      <c r="CY8" s="237">
        <f t="shared" si="20"/>
        <v>42.686819899999996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269.62</v>
      </c>
      <c r="DD8" s="280">
        <f t="shared" si="21"/>
        <v>0</v>
      </c>
      <c r="DE8" s="508">
        <f t="shared" ref="DE8:DE37" si="36">P8</f>
        <v>6.6424319999999994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7">IF(I8=0,0,(DJ8*DI8%)/(AE8/100))</f>
        <v>0</v>
      </c>
      <c r="DM8" s="197">
        <v>250.82</v>
      </c>
      <c r="DN8" s="420">
        <f t="shared" ref="DN8:DN36" si="38">DM8+21.6-2.8</f>
        <v>269.62</v>
      </c>
      <c r="DO8" s="197">
        <v>103.508</v>
      </c>
      <c r="DP8" s="247">
        <f t="shared" ref="DP8:DP30" si="39">DO8-40</f>
        <v>63.507999999999996</v>
      </c>
      <c r="DQ8" s="230">
        <v>201.07</v>
      </c>
      <c r="DR8" s="247">
        <f t="shared" ref="DR8:DR36" si="40">DQ8+42.15</f>
        <v>243.22</v>
      </c>
    </row>
    <row r="9" spans="1:122" ht="16.5" customHeight="1" thickBot="1">
      <c r="A9" s="534">
        <v>3</v>
      </c>
      <c r="B9" s="103">
        <f t="shared" si="24"/>
        <v>407.02900000000005</v>
      </c>
      <c r="C9" s="104">
        <f t="shared" si="0"/>
        <v>0.36592380395500068</v>
      </c>
      <c r="D9" s="448">
        <f t="shared" si="1"/>
        <v>405.53958400000005</v>
      </c>
      <c r="E9" s="104">
        <f t="shared" si="2"/>
        <v>39.496592011871385</v>
      </c>
      <c r="F9" s="128">
        <f t="shared" si="3"/>
        <v>2.1254026812574027</v>
      </c>
      <c r="G9" s="106"/>
      <c r="H9" s="107">
        <f t="shared" si="4"/>
        <v>0.56071393981321338</v>
      </c>
      <c r="I9" s="103">
        <f>'[1]сентябрь 20'!AE8</f>
        <v>0</v>
      </c>
      <c r="J9" s="328">
        <f>'[1]август 20'!AA8</f>
        <v>0</v>
      </c>
      <c r="K9" s="106"/>
      <c r="L9" s="328">
        <f t="shared" si="25"/>
        <v>298.55200000000002</v>
      </c>
      <c r="M9" s="103">
        <f t="shared" si="5"/>
        <v>1.5646887414441895</v>
      </c>
      <c r="N9" s="103">
        <f>'[1]август 20'!W8</f>
        <v>0</v>
      </c>
      <c r="O9" s="103">
        <f>'[1]август 20'!AM8</f>
        <v>6.7590000000000003</v>
      </c>
      <c r="P9" s="447">
        <f t="shared" si="26"/>
        <v>6.7049280000000007</v>
      </c>
      <c r="Q9" s="103">
        <f t="shared" si="27"/>
        <v>3.5140027043174746E-2</v>
      </c>
      <c r="R9" s="103">
        <v>276.25</v>
      </c>
      <c r="S9" s="108">
        <f t="shared" si="6"/>
        <v>1.6434389140271621</v>
      </c>
      <c r="T9" s="109">
        <f t="shared" si="7"/>
        <v>271.70999999999998</v>
      </c>
      <c r="U9" s="106">
        <v>5.7590000000000003</v>
      </c>
      <c r="V9" s="109">
        <f t="shared" si="8"/>
        <v>271.70999999999998</v>
      </c>
      <c r="W9" s="110">
        <f t="shared" si="9"/>
        <v>1.4240118235275618</v>
      </c>
      <c r="X9" s="110">
        <f t="shared" si="28"/>
        <v>1.4591518505707366</v>
      </c>
      <c r="Y9" s="136">
        <v>94.85</v>
      </c>
      <c r="Z9" s="130">
        <v>190.81</v>
      </c>
      <c r="AA9" s="131">
        <v>0.54</v>
      </c>
      <c r="AB9" s="112">
        <v>690</v>
      </c>
      <c r="AC9" s="112">
        <v>1232</v>
      </c>
      <c r="AD9" s="144" t="s">
        <v>288</v>
      </c>
      <c r="AE9" s="131">
        <v>75.11</v>
      </c>
      <c r="AF9" s="133">
        <v>135</v>
      </c>
      <c r="AG9" s="134">
        <v>4</v>
      </c>
      <c r="AH9" s="131">
        <v>4.0999999999999996</v>
      </c>
      <c r="AI9" s="115">
        <f t="shared" si="10"/>
        <v>21.487793884888312</v>
      </c>
      <c r="AJ9" s="131">
        <v>124</v>
      </c>
      <c r="AK9" s="115">
        <f t="shared" si="11"/>
        <v>649.87474188442707</v>
      </c>
      <c r="AL9" s="131">
        <v>17.72</v>
      </c>
      <c r="AM9" s="116"/>
      <c r="AN9" s="135">
        <v>10.48</v>
      </c>
      <c r="AO9" s="466">
        <f t="shared" si="29"/>
        <v>46.283999999999999</v>
      </c>
      <c r="AP9" s="110">
        <f t="shared" si="12"/>
        <v>0.19</v>
      </c>
      <c r="AQ9" s="137" t="s">
        <v>228</v>
      </c>
      <c r="AR9" s="150">
        <v>9.2799999999999994</v>
      </c>
      <c r="AS9" s="131">
        <v>7.4</v>
      </c>
      <c r="AT9" s="131"/>
      <c r="AU9" s="131">
        <v>6.4</v>
      </c>
      <c r="AV9" s="315">
        <v>243.6</v>
      </c>
      <c r="AW9" s="131">
        <v>3.97</v>
      </c>
      <c r="AX9" s="116"/>
      <c r="AY9" s="131"/>
      <c r="AZ9" s="109"/>
      <c r="BA9" s="109">
        <f t="shared" si="13"/>
        <v>190.80600000000001</v>
      </c>
      <c r="BB9" s="115">
        <f t="shared" si="30"/>
        <v>186.16985347071252</v>
      </c>
      <c r="BC9" s="140">
        <f t="shared" si="14"/>
        <v>6.1476056338028169</v>
      </c>
      <c r="BD9" s="141">
        <f t="shared" si="15"/>
        <v>7.6322400000000004</v>
      </c>
      <c r="BE9" s="128">
        <f t="shared" si="16"/>
        <v>0.89474012518468626</v>
      </c>
      <c r="BF9" s="141">
        <f t="shared" si="17"/>
        <v>13.779845633802818</v>
      </c>
      <c r="BG9" s="535">
        <v>0.89500000000000002</v>
      </c>
      <c r="BH9" s="16">
        <f t="shared" si="31"/>
        <v>574.64100000000008</v>
      </c>
      <c r="BI9" s="16">
        <f t="shared" si="18"/>
        <v>187.09677419354838</v>
      </c>
      <c r="BJ9" s="16">
        <f t="shared" si="32"/>
        <v>561.29032258064512</v>
      </c>
      <c r="BK9" s="17">
        <f t="shared" si="19"/>
        <v>1</v>
      </c>
      <c r="BL9" s="16">
        <f t="shared" si="33"/>
        <v>561.29032258064512</v>
      </c>
      <c r="BM9" s="249"/>
      <c r="BN9" s="195">
        <v>53.902000000000001</v>
      </c>
      <c r="BO9" s="266">
        <f t="shared" si="34"/>
        <v>244.65</v>
      </c>
      <c r="BP9" s="445">
        <f t="shared" si="35"/>
        <v>61.266000000000005</v>
      </c>
      <c r="BQ9" s="313"/>
      <c r="BR9" s="230">
        <v>47.210999999999999</v>
      </c>
      <c r="BS9" s="250"/>
      <c r="BT9" s="199"/>
      <c r="BU9" s="200"/>
      <c r="BV9" s="200"/>
      <c r="BW9" s="200"/>
      <c r="BX9" s="200">
        <v>0.52</v>
      </c>
      <c r="BY9" s="208"/>
      <c r="BZ9" s="208">
        <v>2.48</v>
      </c>
      <c r="CA9" s="201"/>
      <c r="CB9" s="202"/>
      <c r="CC9" s="200">
        <v>43.9</v>
      </c>
      <c r="CD9" s="200">
        <v>41.63</v>
      </c>
      <c r="CE9" s="200">
        <v>36.340000000000003</v>
      </c>
      <c r="CF9" s="200"/>
      <c r="CG9" s="200">
        <v>27.51</v>
      </c>
      <c r="CH9" s="200"/>
      <c r="CI9" s="203"/>
      <c r="CJ9" s="204"/>
      <c r="CK9" s="197"/>
      <c r="CL9" s="197">
        <v>271.70999999999998</v>
      </c>
      <c r="CM9" s="198"/>
      <c r="CN9" s="202"/>
      <c r="CO9" s="208"/>
      <c r="CP9" s="208"/>
      <c r="CQ9" s="201"/>
      <c r="CR9" s="201">
        <v>0.8</v>
      </c>
      <c r="CS9" s="284"/>
      <c r="CT9" s="286">
        <f t="shared" si="20"/>
        <v>0</v>
      </c>
      <c r="CU9" s="27">
        <f t="shared" si="20"/>
        <v>53.902000000000001</v>
      </c>
      <c r="CV9" s="28">
        <f t="shared" si="20"/>
        <v>244.65</v>
      </c>
      <c r="CW9" s="27">
        <f t="shared" si="20"/>
        <v>60.947416800000006</v>
      </c>
      <c r="CX9" s="27">
        <f t="shared" si="20"/>
        <v>0</v>
      </c>
      <c r="CY9" s="237">
        <f t="shared" si="20"/>
        <v>46.040167199999999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271.70999999999998</v>
      </c>
      <c r="DD9" s="280">
        <f t="shared" si="21"/>
        <v>0</v>
      </c>
      <c r="DE9" s="508">
        <f t="shared" si="36"/>
        <v>6.7049280000000007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7"/>
        <v>0</v>
      </c>
      <c r="DM9" s="197">
        <v>252.91</v>
      </c>
      <c r="DN9" s="420">
        <f t="shared" si="38"/>
        <v>271.70999999999998</v>
      </c>
      <c r="DO9" s="197">
        <v>101.26600000000001</v>
      </c>
      <c r="DP9" s="247">
        <f t="shared" si="39"/>
        <v>61.266000000000005</v>
      </c>
      <c r="DQ9" s="230">
        <v>202.5</v>
      </c>
      <c r="DR9" s="247">
        <f t="shared" si="40"/>
        <v>244.65</v>
      </c>
    </row>
    <row r="10" spans="1:122" ht="16.5" customHeight="1" thickBot="1">
      <c r="A10" s="534">
        <v>4</v>
      </c>
      <c r="B10" s="103">
        <f t="shared" si="24"/>
        <v>383.42300000000006</v>
      </c>
      <c r="C10" s="104">
        <f t="shared" si="0"/>
        <v>0.40839928747101756</v>
      </c>
      <c r="D10" s="448">
        <f t="shared" si="1"/>
        <v>381.85710320000004</v>
      </c>
      <c r="E10" s="104">
        <f t="shared" si="2"/>
        <v>39.908423673071248</v>
      </c>
      <c r="F10" s="128">
        <f t="shared" si="3"/>
        <v>2.0611233180310529</v>
      </c>
      <c r="G10" s="106"/>
      <c r="H10" s="107">
        <f t="shared" si="4"/>
        <v>0.54940371410913469</v>
      </c>
      <c r="I10" s="103">
        <f>'[1]сентябрь 20'!AE9</f>
        <v>0</v>
      </c>
      <c r="J10" s="328">
        <f>'[1]август 20'!AA9</f>
        <v>0</v>
      </c>
      <c r="K10" s="106"/>
      <c r="L10" s="328">
        <f t="shared" si="25"/>
        <v>280.07100000000003</v>
      </c>
      <c r="M10" s="103">
        <f t="shared" si="5"/>
        <v>1.5117196039219181</v>
      </c>
      <c r="N10" s="103">
        <f>'[1]август 20'!W9</f>
        <v>0</v>
      </c>
      <c r="O10" s="103">
        <f>'[1]август 20'!AM9</f>
        <v>5.6239999999999997</v>
      </c>
      <c r="P10" s="447">
        <f t="shared" si="26"/>
        <v>5.579008</v>
      </c>
      <c r="Q10" s="103">
        <f t="shared" si="27"/>
        <v>3.011342039710363E-2</v>
      </c>
      <c r="R10" s="103">
        <v>259.43</v>
      </c>
      <c r="S10" s="108">
        <f t="shared" si="6"/>
        <v>1.3105654704544722</v>
      </c>
      <c r="T10" s="109">
        <f t="shared" si="7"/>
        <v>256.02999999999997</v>
      </c>
      <c r="U10" s="106">
        <v>4.4340000000000002</v>
      </c>
      <c r="V10" s="109">
        <f t="shared" si="8"/>
        <v>256.02999999999997</v>
      </c>
      <c r="W10" s="110">
        <f t="shared" si="9"/>
        <v>1.3819551834789341</v>
      </c>
      <c r="X10" s="110">
        <f t="shared" si="28"/>
        <v>1.4120686038760377</v>
      </c>
      <c r="Y10" s="136"/>
      <c r="Z10" s="130">
        <v>47.89</v>
      </c>
      <c r="AA10" s="131">
        <v>1.53</v>
      </c>
      <c r="AB10" s="112">
        <v>690</v>
      </c>
      <c r="AC10" s="112">
        <v>1237</v>
      </c>
      <c r="AD10" s="144" t="s">
        <v>305</v>
      </c>
      <c r="AE10" s="131">
        <v>73.790000000000006</v>
      </c>
      <c r="AF10" s="133">
        <v>127</v>
      </c>
      <c r="AG10" s="134">
        <v>4</v>
      </c>
      <c r="AH10" s="131"/>
      <c r="AI10" s="115">
        <f t="shared" si="10"/>
        <v>0</v>
      </c>
      <c r="AJ10" s="131">
        <v>115.05</v>
      </c>
      <c r="AK10" s="115">
        <f t="shared" si="11"/>
        <v>620.99732007675425</v>
      </c>
      <c r="AL10" s="131">
        <v>19.68</v>
      </c>
      <c r="AM10" s="116"/>
      <c r="AN10" s="135">
        <v>9.5399999999999991</v>
      </c>
      <c r="AO10" s="466">
        <f t="shared" si="29"/>
        <v>44.963500000000003</v>
      </c>
      <c r="AP10" s="110">
        <f t="shared" si="12"/>
        <v>0.19</v>
      </c>
      <c r="AQ10" s="137" t="s">
        <v>224</v>
      </c>
      <c r="AR10" s="150">
        <v>9.8000000000000007</v>
      </c>
      <c r="AS10" s="138">
        <v>6.89</v>
      </c>
      <c r="AT10" s="131"/>
      <c r="AU10" s="131">
        <v>6.23</v>
      </c>
      <c r="AV10" s="315">
        <v>236.65</v>
      </c>
      <c r="AW10" s="131">
        <v>3.12</v>
      </c>
      <c r="AX10" s="116"/>
      <c r="AY10" s="131"/>
      <c r="AZ10" s="109"/>
      <c r="BA10" s="109">
        <f t="shared" si="13"/>
        <v>185.26650000000001</v>
      </c>
      <c r="BB10" s="115">
        <f>IF(AE10=0,0,((D10*0.97)*(E10/100)*0.9)/(AE10/100))</f>
        <v>180.29437653921229</v>
      </c>
      <c r="BC10" s="140">
        <f t="shared" si="14"/>
        <v>5.5523778169014086</v>
      </c>
      <c r="BD10" s="141">
        <f t="shared" si="15"/>
        <v>7.41066</v>
      </c>
      <c r="BE10" s="128">
        <f t="shared" si="16"/>
        <v>0.89707542522727335</v>
      </c>
      <c r="BF10" s="141">
        <f t="shared" si="17"/>
        <v>12.963037816901409</v>
      </c>
      <c r="BG10" s="535">
        <v>0.89600000000000002</v>
      </c>
      <c r="BH10" s="16">
        <f t="shared" si="31"/>
        <v>759.90750000000003</v>
      </c>
      <c r="BI10" s="16">
        <f t="shared" si="18"/>
        <v>187.09677419354838</v>
      </c>
      <c r="BJ10" s="16">
        <f t="shared" si="32"/>
        <v>748.38709677419354</v>
      </c>
      <c r="BK10" s="17">
        <f t="shared" si="19"/>
        <v>1</v>
      </c>
      <c r="BL10" s="16">
        <f t="shared" si="33"/>
        <v>748.38709677419354</v>
      </c>
      <c r="BM10" s="249"/>
      <c r="BN10" s="195">
        <v>50.808</v>
      </c>
      <c r="BO10" s="266">
        <f t="shared" si="34"/>
        <v>229.26300000000001</v>
      </c>
      <c r="BP10" s="445">
        <f t="shared" si="35"/>
        <v>56.965999999999994</v>
      </c>
      <c r="BQ10" s="244"/>
      <c r="BR10" s="230">
        <v>46.386000000000003</v>
      </c>
      <c r="BS10" s="250"/>
      <c r="BT10" s="199"/>
      <c r="BU10" s="200"/>
      <c r="BV10" s="200"/>
      <c r="BW10" s="200"/>
      <c r="BX10" s="200">
        <v>0.42</v>
      </c>
      <c r="BY10" s="208"/>
      <c r="BZ10" s="208">
        <v>2.86</v>
      </c>
      <c r="CA10" s="201"/>
      <c r="CB10" s="202"/>
      <c r="CC10" s="200">
        <v>43.81</v>
      </c>
      <c r="CD10" s="200">
        <v>41.61</v>
      </c>
      <c r="CE10" s="200">
        <v>36.24</v>
      </c>
      <c r="CF10" s="200"/>
      <c r="CG10" s="200">
        <v>31.73</v>
      </c>
      <c r="CH10" s="200"/>
      <c r="CI10" s="203"/>
      <c r="CJ10" s="204"/>
      <c r="CK10" s="197"/>
      <c r="CL10" s="197">
        <v>256.02999999999997</v>
      </c>
      <c r="CM10" s="198"/>
      <c r="CN10" s="202"/>
      <c r="CO10" s="208"/>
      <c r="CP10" s="208"/>
      <c r="CQ10" s="201"/>
      <c r="CR10" s="201">
        <v>0.8</v>
      </c>
      <c r="CS10" s="284"/>
      <c r="CT10" s="286">
        <f t="shared" si="20"/>
        <v>0</v>
      </c>
      <c r="CU10" s="29">
        <f t="shared" si="20"/>
        <v>50.808</v>
      </c>
      <c r="CV10" s="30">
        <f t="shared" si="20"/>
        <v>229.26300000000001</v>
      </c>
      <c r="CW10" s="29">
        <f t="shared" si="20"/>
        <v>56.726742799999997</v>
      </c>
      <c r="CX10" s="27">
        <f t="shared" si="20"/>
        <v>0</v>
      </c>
      <c r="CY10" s="24">
        <f t="shared" si="20"/>
        <v>45.059360400000003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256.02999999999997</v>
      </c>
      <c r="DD10" s="280">
        <f t="shared" si="21"/>
        <v>0</v>
      </c>
      <c r="DE10" s="508">
        <f t="shared" si="36"/>
        <v>5.579008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7"/>
        <v>0</v>
      </c>
      <c r="DM10" s="197">
        <v>237.23</v>
      </c>
      <c r="DN10" s="420">
        <f t="shared" si="38"/>
        <v>256.02999999999997</v>
      </c>
      <c r="DO10" s="195">
        <v>96.965999999999994</v>
      </c>
      <c r="DP10" s="247">
        <f t="shared" si="39"/>
        <v>56.965999999999994</v>
      </c>
      <c r="DQ10" s="230">
        <v>187.113</v>
      </c>
      <c r="DR10" s="247">
        <f t="shared" si="40"/>
        <v>229.26300000000001</v>
      </c>
    </row>
    <row r="11" spans="1:122" ht="16.5" customHeight="1" thickBot="1">
      <c r="A11" s="534">
        <v>5</v>
      </c>
      <c r="B11" s="103">
        <f t="shared" si="24"/>
        <v>413.22400000000005</v>
      </c>
      <c r="C11" s="104">
        <f t="shared" si="0"/>
        <v>0.44943401157725593</v>
      </c>
      <c r="D11" s="448">
        <f t="shared" si="1"/>
        <v>411.36683080000006</v>
      </c>
      <c r="E11" s="104">
        <f t="shared" si="2"/>
        <v>39.518008803941683</v>
      </c>
      <c r="F11" s="128">
        <f t="shared" si="3"/>
        <v>2.1490162040737433</v>
      </c>
      <c r="G11" s="106"/>
      <c r="H11" s="107">
        <f>IF(BA11=0,0,(CZ11+CW11+CY11+CT11+CX11)/BA11)</f>
        <v>0.64014309192826269</v>
      </c>
      <c r="I11" s="103">
        <f>'[1]сентябрь 20'!AE10</f>
        <v>0</v>
      </c>
      <c r="J11" s="328">
        <f>'[1]август 20'!AA10</f>
        <v>0</v>
      </c>
      <c r="K11" s="106"/>
      <c r="L11" s="328">
        <f t="shared" si="25"/>
        <v>288.83000000000004</v>
      </c>
      <c r="M11" s="103">
        <f t="shared" si="5"/>
        <v>1.5088731121454804</v>
      </c>
      <c r="N11" s="103">
        <f>'[1]август 20'!W10</f>
        <v>0</v>
      </c>
      <c r="O11" s="103">
        <f>'[1]август 20'!AM10</f>
        <v>6.8259999999999996</v>
      </c>
      <c r="P11" s="447">
        <f t="shared" si="26"/>
        <v>6.7713919999999996</v>
      </c>
      <c r="Q11" s="103">
        <f t="shared" si="27"/>
        <v>3.5374342418021003E-2</v>
      </c>
      <c r="R11" s="103">
        <v>275.93</v>
      </c>
      <c r="S11" s="108">
        <f t="shared" si="6"/>
        <v>1.4713876707860729</v>
      </c>
      <c r="T11" s="109">
        <f t="shared" si="7"/>
        <v>271.87</v>
      </c>
      <c r="U11" s="106">
        <v>4.8259999999999996</v>
      </c>
      <c r="V11" s="109">
        <f t="shared" si="8"/>
        <v>271.87</v>
      </c>
      <c r="W11" s="110">
        <f t="shared" si="9"/>
        <v>1.4202725928712105</v>
      </c>
      <c r="X11" s="110">
        <f t="shared" si="28"/>
        <v>1.4556469352892316</v>
      </c>
      <c r="Y11" s="136">
        <v>139.88999999999999</v>
      </c>
      <c r="Z11" s="130">
        <v>92.39</v>
      </c>
      <c r="AA11" s="131">
        <v>1.02</v>
      </c>
      <c r="AB11" s="112">
        <v>677</v>
      </c>
      <c r="AC11" s="112">
        <v>1238</v>
      </c>
      <c r="AD11" s="144" t="s">
        <v>400</v>
      </c>
      <c r="AE11" s="131">
        <v>75.239999999999995</v>
      </c>
      <c r="AF11" s="133">
        <v>137</v>
      </c>
      <c r="AG11" s="134">
        <v>4</v>
      </c>
      <c r="AH11" s="131">
        <v>3.4</v>
      </c>
      <c r="AI11" s="115">
        <f t="shared" si="10"/>
        <v>17.76189655262484</v>
      </c>
      <c r="AJ11" s="131">
        <v>135</v>
      </c>
      <c r="AK11" s="115">
        <f t="shared" si="11"/>
        <v>705.25177488363329</v>
      </c>
      <c r="AL11" s="131">
        <v>17.829999999999998</v>
      </c>
      <c r="AM11" s="116"/>
      <c r="AN11" s="135">
        <v>9.39</v>
      </c>
      <c r="AO11" s="466">
        <f t="shared" si="29"/>
        <v>46.759</v>
      </c>
      <c r="AP11" s="110">
        <f t="shared" si="12"/>
        <v>0.19</v>
      </c>
      <c r="AQ11" s="137" t="s">
        <v>215</v>
      </c>
      <c r="AR11" s="150">
        <v>9.69</v>
      </c>
      <c r="AS11" s="138">
        <v>6.95</v>
      </c>
      <c r="AT11" s="131"/>
      <c r="AU11" s="131">
        <v>7.41</v>
      </c>
      <c r="AV11" s="315">
        <v>246.1</v>
      </c>
      <c r="AW11" s="131">
        <v>1.47</v>
      </c>
      <c r="AX11" s="145"/>
      <c r="AY11" s="131"/>
      <c r="AZ11" s="109"/>
      <c r="BA11" s="109">
        <f t="shared" si="13"/>
        <v>191.42100000000002</v>
      </c>
      <c r="BB11" s="115">
        <f t="shared" si="30"/>
        <v>188.62088636325208</v>
      </c>
      <c r="BC11" s="140">
        <f t="shared" si="14"/>
        <v>7.7491901408450703</v>
      </c>
      <c r="BD11" s="141">
        <f t="shared" si="15"/>
        <v>7.6568400000000008</v>
      </c>
      <c r="BE11" s="128">
        <f t="shared" si="16"/>
        <v>0.88595985429828417</v>
      </c>
      <c r="BF11" s="141">
        <f t="shared" si="17"/>
        <v>15.406030140845072</v>
      </c>
      <c r="BG11" s="535">
        <v>0.89400000000000002</v>
      </c>
      <c r="BH11" s="16">
        <f t="shared" si="31"/>
        <v>951.32850000000008</v>
      </c>
      <c r="BI11" s="16">
        <f t="shared" si="18"/>
        <v>187.09677419354838</v>
      </c>
      <c r="BJ11" s="16">
        <f t="shared" si="32"/>
        <v>935.48387096774195</v>
      </c>
      <c r="BK11" s="17">
        <f t="shared" si="19"/>
        <v>1</v>
      </c>
      <c r="BL11" s="16">
        <f t="shared" si="33"/>
        <v>935.48387096774195</v>
      </c>
      <c r="BM11" s="249"/>
      <c r="BN11" s="195">
        <v>54.887</v>
      </c>
      <c r="BO11" s="266">
        <f t="shared" si="34"/>
        <v>233.94300000000001</v>
      </c>
      <c r="BP11" s="445">
        <f t="shared" si="35"/>
        <v>69.608000000000004</v>
      </c>
      <c r="BQ11" s="313"/>
      <c r="BR11" s="230">
        <v>54.786000000000001</v>
      </c>
      <c r="BS11" s="250"/>
      <c r="BT11" s="199"/>
      <c r="BU11" s="200"/>
      <c r="BV11" s="200"/>
      <c r="BW11" s="200"/>
      <c r="BX11" s="200">
        <v>0.48</v>
      </c>
      <c r="BY11" s="208"/>
      <c r="BZ11" s="208">
        <v>2.78</v>
      </c>
      <c r="CA11" s="201"/>
      <c r="CB11" s="202"/>
      <c r="CC11" s="200">
        <v>43.93</v>
      </c>
      <c r="CD11" s="200">
        <v>41.66</v>
      </c>
      <c r="CE11" s="200">
        <v>35.08</v>
      </c>
      <c r="CF11" s="200"/>
      <c r="CG11" s="200">
        <v>31.59</v>
      </c>
      <c r="CH11" s="200"/>
      <c r="CI11" s="203"/>
      <c r="CJ11" s="204"/>
      <c r="CK11" s="197"/>
      <c r="CL11" s="230">
        <v>271.87</v>
      </c>
      <c r="CM11" s="198"/>
      <c r="CN11" s="202"/>
      <c r="CO11" s="208"/>
      <c r="CP11" s="208"/>
      <c r="CQ11" s="201"/>
      <c r="CR11" s="201">
        <v>0.8</v>
      </c>
      <c r="CS11" s="284"/>
      <c r="CT11" s="286">
        <f t="shared" si="20"/>
        <v>0</v>
      </c>
      <c r="CU11" s="24">
        <f t="shared" si="20"/>
        <v>54.887</v>
      </c>
      <c r="CV11" s="25">
        <f t="shared" si="20"/>
        <v>233.94300000000001</v>
      </c>
      <c r="CW11" s="24">
        <f t="shared" si="20"/>
        <v>69.273881599999996</v>
      </c>
      <c r="CX11" s="27">
        <f t="shared" si="20"/>
        <v>0</v>
      </c>
      <c r="CY11" s="24">
        <f t="shared" si="20"/>
        <v>53.262949200000001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271.87</v>
      </c>
      <c r="DD11" s="280">
        <f t="shared" si="21"/>
        <v>0</v>
      </c>
      <c r="DE11" s="508">
        <f t="shared" si="36"/>
        <v>6.7713919999999996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7"/>
        <v>0</v>
      </c>
      <c r="DM11" s="230">
        <v>253.07</v>
      </c>
      <c r="DN11" s="420">
        <f t="shared" si="38"/>
        <v>271.87</v>
      </c>
      <c r="DO11" s="197">
        <v>109.608</v>
      </c>
      <c r="DP11" s="247">
        <f t="shared" si="39"/>
        <v>69.608000000000004</v>
      </c>
      <c r="DQ11" s="230">
        <v>191.79300000000001</v>
      </c>
      <c r="DR11" s="247">
        <f t="shared" si="40"/>
        <v>233.94300000000001</v>
      </c>
    </row>
    <row r="12" spans="1:122" ht="16.5" customHeight="1" thickBot="1">
      <c r="A12" s="534">
        <v>6</v>
      </c>
      <c r="B12" s="103">
        <f t="shared" si="24"/>
        <v>395.096</v>
      </c>
      <c r="C12" s="104">
        <f t="shared" si="0"/>
        <v>0.44359284832040813</v>
      </c>
      <c r="D12" s="448">
        <f t="shared" si="1"/>
        <v>393.3433824</v>
      </c>
      <c r="E12" s="104">
        <f t="shared" si="2"/>
        <v>39.623004155951975</v>
      </c>
      <c r="F12" s="128">
        <f t="shared" si="3"/>
        <v>2.193790703212799</v>
      </c>
      <c r="G12" s="106"/>
      <c r="H12" s="107">
        <f t="shared" si="4"/>
        <v>0.66929942191373604</v>
      </c>
      <c r="I12" s="103">
        <f>'[1]сентябрь 20'!AE11</f>
        <v>0</v>
      </c>
      <c r="J12" s="328">
        <f>'[1]август 20'!AA11</f>
        <v>0</v>
      </c>
      <c r="K12" s="106"/>
      <c r="L12" s="328">
        <f t="shared" si="25"/>
        <v>273.339</v>
      </c>
      <c r="M12" s="103">
        <f t="shared" si="5"/>
        <v>1.5244912812990628</v>
      </c>
      <c r="N12" s="103">
        <f>'[1]август 20'!W11</f>
        <v>0</v>
      </c>
      <c r="O12" s="103">
        <f>'[1]август 20'!AM11</f>
        <v>6.5579999999999998</v>
      </c>
      <c r="P12" s="447">
        <f t="shared" si="26"/>
        <v>6.5055360000000002</v>
      </c>
      <c r="Q12" s="103">
        <f t="shared" si="27"/>
        <v>3.6283270635281389E-2</v>
      </c>
      <c r="R12" s="103">
        <v>264.10000000000002</v>
      </c>
      <c r="S12" s="108">
        <f t="shared" si="6"/>
        <v>1.4577811435062538</v>
      </c>
      <c r="T12" s="109">
        <f t="shared" si="7"/>
        <v>260.25</v>
      </c>
      <c r="U12" s="106">
        <v>4.5579999999999998</v>
      </c>
      <c r="V12" s="109">
        <f t="shared" si="8"/>
        <v>260.25</v>
      </c>
      <c r="W12" s="110">
        <f t="shared" si="9"/>
        <v>1.4514901128564937</v>
      </c>
      <c r="X12" s="110">
        <f t="shared" si="28"/>
        <v>1.487773383491775</v>
      </c>
      <c r="Y12" s="136"/>
      <c r="Z12" s="130">
        <v>132.75</v>
      </c>
      <c r="AA12" s="131">
        <v>0.76</v>
      </c>
      <c r="AB12" s="112">
        <v>695</v>
      </c>
      <c r="AC12" s="133">
        <v>1233</v>
      </c>
      <c r="AD12" s="144" t="s">
        <v>366</v>
      </c>
      <c r="AE12" s="131">
        <v>74.16</v>
      </c>
      <c r="AF12" s="133">
        <v>131</v>
      </c>
      <c r="AG12" s="134">
        <v>4</v>
      </c>
      <c r="AH12" s="131">
        <v>3.8</v>
      </c>
      <c r="AI12" s="115">
        <f t="shared" si="10"/>
        <v>21.193707699729782</v>
      </c>
      <c r="AJ12" s="131">
        <v>129.80000000000001</v>
      </c>
      <c r="AK12" s="115">
        <f t="shared" si="11"/>
        <v>723.93243669077003</v>
      </c>
      <c r="AL12" s="131">
        <v>18.28</v>
      </c>
      <c r="AM12" s="116"/>
      <c r="AN12" s="135">
        <v>10.29</v>
      </c>
      <c r="AO12" s="466">
        <f t="shared" si="29"/>
        <v>44.051499999999997</v>
      </c>
      <c r="AP12" s="110">
        <f t="shared" si="12"/>
        <v>0.19</v>
      </c>
      <c r="AQ12" s="137" t="s">
        <v>401</v>
      </c>
      <c r="AR12" s="150">
        <v>9.4</v>
      </c>
      <c r="AS12" s="138">
        <v>6.4</v>
      </c>
      <c r="AT12" s="131"/>
      <c r="AU12" s="131">
        <v>7.63</v>
      </c>
      <c r="AV12" s="315">
        <v>231.85</v>
      </c>
      <c r="AW12" s="131">
        <v>1.79</v>
      </c>
      <c r="AX12" s="116"/>
      <c r="AY12" s="131"/>
      <c r="AZ12" s="109"/>
      <c r="BA12" s="109">
        <f t="shared" si="13"/>
        <v>179.29849999999999</v>
      </c>
      <c r="BB12" s="115">
        <f t="shared" si="30"/>
        <v>183.46945486996196</v>
      </c>
      <c r="BC12" s="140">
        <f t="shared" si="14"/>
        <v>7.6719112676056342</v>
      </c>
      <c r="BD12" s="141">
        <f t="shared" si="15"/>
        <v>7.1719399999999993</v>
      </c>
      <c r="BE12" s="128">
        <f t="shared" si="16"/>
        <v>0.85315340698506126</v>
      </c>
      <c r="BF12" s="141">
        <f t="shared" si="17"/>
        <v>14.843851267605633</v>
      </c>
      <c r="BG12" s="535">
        <v>0.88700000000000001</v>
      </c>
      <c r="BH12" s="16">
        <f t="shared" si="31"/>
        <v>1130.627</v>
      </c>
      <c r="BI12" s="16">
        <f t="shared" si="18"/>
        <v>187.09677419354838</v>
      </c>
      <c r="BJ12" s="16">
        <f t="shared" si="32"/>
        <v>1122.5806451612902</v>
      </c>
      <c r="BK12" s="17">
        <f t="shared" si="19"/>
        <v>1</v>
      </c>
      <c r="BL12" s="16">
        <f t="shared" si="33"/>
        <v>1122.5806451612902</v>
      </c>
      <c r="BM12" s="249"/>
      <c r="BN12" s="195">
        <v>50.063000000000002</v>
      </c>
      <c r="BO12" s="266">
        <f t="shared" si="34"/>
        <v>223.27600000000001</v>
      </c>
      <c r="BP12" s="445">
        <f t="shared" si="35"/>
        <v>69.406000000000006</v>
      </c>
      <c r="BQ12" s="313"/>
      <c r="BR12" s="230">
        <v>52.350999999999999</v>
      </c>
      <c r="BS12" s="250"/>
      <c r="BT12" s="199"/>
      <c r="BU12" s="200"/>
      <c r="BV12" s="200"/>
      <c r="BW12" s="200"/>
      <c r="BX12" s="200">
        <v>0.73</v>
      </c>
      <c r="BY12" s="208"/>
      <c r="BZ12" s="208">
        <v>2.38</v>
      </c>
      <c r="CA12" s="201"/>
      <c r="CB12" s="202"/>
      <c r="CC12" s="200">
        <v>43.78</v>
      </c>
      <c r="CD12" s="200">
        <v>41.75</v>
      </c>
      <c r="CE12" s="200">
        <v>36.520000000000003</v>
      </c>
      <c r="CF12" s="200"/>
      <c r="CG12" s="200">
        <v>30.69</v>
      </c>
      <c r="CH12" s="200"/>
      <c r="CI12" s="203"/>
      <c r="CJ12" s="204"/>
      <c r="CK12" s="197"/>
      <c r="CL12" s="230">
        <v>260.25</v>
      </c>
      <c r="CM12" s="198"/>
      <c r="CN12" s="202"/>
      <c r="CO12" s="202"/>
      <c r="CP12" s="270"/>
      <c r="CQ12" s="201"/>
      <c r="CR12" s="201">
        <v>0.8</v>
      </c>
      <c r="CS12" s="284"/>
      <c r="CT12" s="286">
        <f t="shared" si="20"/>
        <v>0</v>
      </c>
      <c r="CU12" s="24">
        <f t="shared" si="20"/>
        <v>50.063000000000002</v>
      </c>
      <c r="CV12" s="25">
        <f t="shared" si="20"/>
        <v>223.27600000000001</v>
      </c>
      <c r="CW12" s="24">
        <f t="shared" si="20"/>
        <v>68.899336199999993</v>
      </c>
      <c r="CX12" s="27">
        <f t="shared" si="20"/>
        <v>0</v>
      </c>
      <c r="CY12" s="30">
        <f t="shared" si="20"/>
        <v>51.105046200000004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260.25</v>
      </c>
      <c r="DD12" s="280">
        <f t="shared" si="21"/>
        <v>0</v>
      </c>
      <c r="DE12" s="508">
        <f t="shared" si="36"/>
        <v>6.5055360000000002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7"/>
        <v>0</v>
      </c>
      <c r="DM12" s="230">
        <v>241.45</v>
      </c>
      <c r="DN12" s="420">
        <f t="shared" si="38"/>
        <v>260.25</v>
      </c>
      <c r="DO12" s="197">
        <v>109.40600000000001</v>
      </c>
      <c r="DP12" s="247">
        <f t="shared" si="39"/>
        <v>69.406000000000006</v>
      </c>
      <c r="DQ12" s="264">
        <v>181.126</v>
      </c>
      <c r="DR12" s="247">
        <f t="shared" si="40"/>
        <v>223.27600000000001</v>
      </c>
    </row>
    <row r="13" spans="1:122" ht="16.5" customHeight="1" thickBot="1">
      <c r="A13" s="534">
        <v>7</v>
      </c>
      <c r="B13" s="103">
        <f t="shared" si="24"/>
        <v>401.04300000000001</v>
      </c>
      <c r="C13" s="104">
        <f t="shared" si="0"/>
        <v>0.46535072298980412</v>
      </c>
      <c r="D13" s="448">
        <f t="shared" si="1"/>
        <v>399.17674349999999</v>
      </c>
      <c r="E13" s="104">
        <f t="shared" si="2"/>
        <v>39.791568734524724</v>
      </c>
      <c r="F13" s="128">
        <f t="shared" si="3"/>
        <v>2.1995269171217133</v>
      </c>
      <c r="G13" s="106"/>
      <c r="H13" s="107">
        <f t="shared" si="4"/>
        <v>0.73391305797237194</v>
      </c>
      <c r="I13" s="103">
        <f>'[1]сентябрь 20'!AE12</f>
        <v>0</v>
      </c>
      <c r="J13" s="328">
        <f>'[1]август 20'!AA12</f>
        <v>0</v>
      </c>
      <c r="K13" s="106"/>
      <c r="L13" s="328">
        <f t="shared" si="25"/>
        <v>265.98399999999998</v>
      </c>
      <c r="M13" s="103">
        <f t="shared" si="5"/>
        <v>1.4656138591493415</v>
      </c>
      <c r="N13" s="103">
        <f>'[1]август 20'!W12</f>
        <v>0</v>
      </c>
      <c r="O13" s="103">
        <f>'[1]август 20'!AM12</f>
        <v>6.6539999999999999</v>
      </c>
      <c r="P13" s="447">
        <f t="shared" si="26"/>
        <v>6.6007679999999995</v>
      </c>
      <c r="Q13" s="103">
        <f t="shared" si="27"/>
        <v>3.6371274444438315E-2</v>
      </c>
      <c r="R13" s="103">
        <v>264.47000000000003</v>
      </c>
      <c r="S13" s="108">
        <f t="shared" si="6"/>
        <v>1.4670851136234897</v>
      </c>
      <c r="T13" s="109">
        <f t="shared" si="7"/>
        <v>260.59000000000003</v>
      </c>
      <c r="U13" s="106">
        <v>22.053999999999998</v>
      </c>
      <c r="V13" s="109">
        <f t="shared" si="8"/>
        <v>260.58999999999997</v>
      </c>
      <c r="W13" s="110">
        <f t="shared" si="9"/>
        <v>1.4358920670255615</v>
      </c>
      <c r="X13" s="110">
        <f t="shared" si="28"/>
        <v>1.4722633414699997</v>
      </c>
      <c r="Y13" s="136">
        <v>138.1</v>
      </c>
      <c r="Z13" s="130">
        <v>91.52</v>
      </c>
      <c r="AA13" s="131">
        <v>0.89</v>
      </c>
      <c r="AB13" s="146">
        <v>678</v>
      </c>
      <c r="AC13" s="147">
        <v>1224</v>
      </c>
      <c r="AD13" s="144" t="s">
        <v>377</v>
      </c>
      <c r="AE13" s="131">
        <v>75.19</v>
      </c>
      <c r="AF13" s="133">
        <v>133</v>
      </c>
      <c r="AG13" s="134">
        <v>4</v>
      </c>
      <c r="AH13" s="131">
        <v>3.25</v>
      </c>
      <c r="AI13" s="115">
        <f t="shared" si="10"/>
        <v>17.908013422744826</v>
      </c>
      <c r="AJ13" s="131">
        <v>130.6</v>
      </c>
      <c r="AK13" s="115">
        <f t="shared" si="11"/>
        <v>719.62663169553059</v>
      </c>
      <c r="AL13" s="131">
        <v>18.64</v>
      </c>
      <c r="AM13" s="116"/>
      <c r="AN13" s="135">
        <v>10.67</v>
      </c>
      <c r="AO13" s="466">
        <f t="shared" si="29"/>
        <v>44.517000000000003</v>
      </c>
      <c r="AP13" s="110">
        <f t="shared" si="12"/>
        <v>0.19</v>
      </c>
      <c r="AQ13" s="137" t="s">
        <v>402</v>
      </c>
      <c r="AR13" s="150">
        <v>9.7200000000000006</v>
      </c>
      <c r="AS13" s="138">
        <v>6.53</v>
      </c>
      <c r="AT13" s="131"/>
      <c r="AU13" s="131">
        <v>7.5</v>
      </c>
      <c r="AV13" s="315">
        <v>234.3</v>
      </c>
      <c r="AW13" s="131">
        <v>2.37</v>
      </c>
      <c r="AX13" s="148"/>
      <c r="AY13" s="149"/>
      <c r="AZ13" s="109"/>
      <c r="BA13" s="109">
        <f t="shared" si="13"/>
        <v>181.48300000000003</v>
      </c>
      <c r="BB13" s="115">
        <f t="shared" si="30"/>
        <v>184.42103318627591</v>
      </c>
      <c r="BC13" s="140">
        <f t="shared" si="14"/>
        <v>7.5876760563380277</v>
      </c>
      <c r="BD13" s="141">
        <f t="shared" si="15"/>
        <v>7.2593200000000015</v>
      </c>
      <c r="BE13" s="128">
        <f t="shared" si="16"/>
        <v>0.85909213424681252</v>
      </c>
      <c r="BF13" s="141">
        <f t="shared" si="17"/>
        <v>14.846996056338028</v>
      </c>
      <c r="BG13" s="535">
        <v>0.88300000000000001</v>
      </c>
      <c r="BH13" s="16">
        <f t="shared" si="31"/>
        <v>1312.11</v>
      </c>
      <c r="BI13" s="16">
        <f t="shared" si="18"/>
        <v>187.09677419354838</v>
      </c>
      <c r="BJ13" s="16">
        <f t="shared" si="32"/>
        <v>1309.6774193548385</v>
      </c>
      <c r="BK13" s="17">
        <f t="shared" si="19"/>
        <v>1</v>
      </c>
      <c r="BL13" s="16">
        <f t="shared" si="33"/>
        <v>1309.6774193548385</v>
      </c>
      <c r="BM13" s="249"/>
      <c r="BN13" s="195">
        <v>44.276000000000003</v>
      </c>
      <c r="BO13" s="266">
        <f t="shared" si="34"/>
        <v>221.708</v>
      </c>
      <c r="BP13" s="445">
        <f t="shared" si="35"/>
        <v>81.977999999999994</v>
      </c>
      <c r="BQ13" s="313"/>
      <c r="BR13" s="230">
        <v>53.081000000000003</v>
      </c>
      <c r="BS13" s="250"/>
      <c r="BT13" s="199"/>
      <c r="BU13" s="200"/>
      <c r="BV13" s="200"/>
      <c r="BW13" s="200"/>
      <c r="BX13" s="200">
        <v>0.47</v>
      </c>
      <c r="BY13" s="208"/>
      <c r="BZ13" s="208">
        <v>2.79</v>
      </c>
      <c r="CA13" s="201"/>
      <c r="CB13" s="202"/>
      <c r="CC13" s="200">
        <v>43.99</v>
      </c>
      <c r="CD13" s="202">
        <v>41.79</v>
      </c>
      <c r="CE13" s="200">
        <v>35.96</v>
      </c>
      <c r="CF13" s="200"/>
      <c r="CG13" s="200">
        <v>33.86</v>
      </c>
      <c r="CH13" s="200"/>
      <c r="CI13" s="203"/>
      <c r="CJ13" s="204"/>
      <c r="CK13" s="197"/>
      <c r="CL13" s="264">
        <v>260.58999999999997</v>
      </c>
      <c r="CM13" s="265"/>
      <c r="CN13" s="202"/>
      <c r="CO13" s="202"/>
      <c r="CP13" s="270"/>
      <c r="CQ13" s="201"/>
      <c r="CR13" s="201">
        <v>0.8</v>
      </c>
      <c r="CS13" s="284"/>
      <c r="CT13" s="286">
        <f t="shared" si="20"/>
        <v>0</v>
      </c>
      <c r="CU13" s="24">
        <f t="shared" si="20"/>
        <v>44.276000000000003</v>
      </c>
      <c r="CV13" s="25">
        <f t="shared" si="20"/>
        <v>221.708</v>
      </c>
      <c r="CW13" s="24">
        <f t="shared" si="20"/>
        <v>81.592703399999991</v>
      </c>
      <c r="CX13" s="27">
        <f t="shared" si="20"/>
        <v>0</v>
      </c>
      <c r="CY13" s="24">
        <f t="shared" si="20"/>
        <v>51.600040100000001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260.58999999999997</v>
      </c>
      <c r="DD13" s="280">
        <f t="shared" si="21"/>
        <v>0</v>
      </c>
      <c r="DE13" s="508">
        <f t="shared" si="36"/>
        <v>6.6007679999999995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7"/>
        <v>0</v>
      </c>
      <c r="DM13" s="264">
        <v>241.79</v>
      </c>
      <c r="DN13" s="420">
        <f t="shared" si="38"/>
        <v>260.58999999999997</v>
      </c>
      <c r="DO13" s="196">
        <v>121.97799999999999</v>
      </c>
      <c r="DP13" s="247">
        <f t="shared" si="39"/>
        <v>81.977999999999994</v>
      </c>
      <c r="DQ13" s="583">
        <v>179.55799999999999</v>
      </c>
      <c r="DR13" s="247">
        <f t="shared" si="40"/>
        <v>221.708</v>
      </c>
    </row>
    <row r="14" spans="1:122" ht="16.5" customHeight="1" thickBot="1">
      <c r="A14" s="534">
        <v>8</v>
      </c>
      <c r="B14" s="103">
        <f t="shared" si="24"/>
        <v>410.09900000000005</v>
      </c>
      <c r="C14" s="104">
        <f>IF(B14=0,0,(BM14*BU14+BN14*BV14+BP14*BX14+BS14*CA14+BO14*BW14+BR14*BZ14+BQ14*BY14)/B14)</f>
        <v>0.43904979041646036</v>
      </c>
      <c r="D14" s="448">
        <f>B14*((100-C14)/100)</f>
        <v>408.29846120000008</v>
      </c>
      <c r="E14" s="104">
        <f>IF(B14=0,0,(BM14*CB14+BN14*CC14+BP14*CE14+BS14*CH14+BO14*CD14+BR14*CG14+BQ14*CF14)/B14)</f>
        <v>39.591043869894825</v>
      </c>
      <c r="F14" s="128">
        <f>IF(BA14=0,0,D14/BA14)</f>
        <v>2.2542731484855518</v>
      </c>
      <c r="G14" s="106"/>
      <c r="H14" s="107">
        <f>IF(BA14=0,0,(CZ14+CW14+CY14+CT14+CX14)/BA14)</f>
        <v>0.81352602776029426</v>
      </c>
      <c r="I14" s="103">
        <f>'[1]сентябрь 20'!AE13</f>
        <v>0</v>
      </c>
      <c r="J14" s="328">
        <f>'[1]август 20'!AA13</f>
        <v>0</v>
      </c>
      <c r="K14" s="106"/>
      <c r="L14" s="328">
        <f t="shared" si="25"/>
        <v>260.95100000000002</v>
      </c>
      <c r="M14" s="103">
        <f>IF(BA14=0,0,(CV14+CU14)/BA14)</f>
        <v>1.4407471207252573</v>
      </c>
      <c r="N14" s="103">
        <f>'[1]август 20'!W13</f>
        <v>0</v>
      </c>
      <c r="O14" s="103">
        <f>'[1]август 20'!AM13</f>
        <v>6.7939999999999996</v>
      </c>
      <c r="P14" s="447">
        <f t="shared" si="26"/>
        <v>6.7396479999999999</v>
      </c>
      <c r="Q14" s="103">
        <f t="shared" si="27"/>
        <v>3.7210543169797154E-2</v>
      </c>
      <c r="R14" s="103">
        <v>269.04000000000002</v>
      </c>
      <c r="S14" s="108">
        <f>IF(R14=0,0,(1-(V14/R14))*100)</f>
        <v>1.5611061552185723</v>
      </c>
      <c r="T14" s="109">
        <f>R14*((100-S14)/100)</f>
        <v>264.83999999999997</v>
      </c>
      <c r="U14" s="106">
        <v>38.423999999999999</v>
      </c>
      <c r="V14" s="109">
        <f>CJ14+CK14+CM14+CL14</f>
        <v>264.83999999999997</v>
      </c>
      <c r="W14" s="110">
        <f>IF(BA14=0,0,T14/BA14)</f>
        <v>1.4622188359227482</v>
      </c>
      <c r="X14" s="110">
        <f t="shared" si="28"/>
        <v>1.4994293790925453</v>
      </c>
      <c r="Y14" s="136">
        <v>181.12</v>
      </c>
      <c r="Z14" s="130">
        <v>135.49</v>
      </c>
      <c r="AA14" s="131">
        <v>0.77</v>
      </c>
      <c r="AB14" s="146">
        <v>689</v>
      </c>
      <c r="AC14" s="147">
        <v>1233</v>
      </c>
      <c r="AD14" s="144" t="s">
        <v>318</v>
      </c>
      <c r="AE14" s="131">
        <v>75.900000000000006</v>
      </c>
      <c r="AF14" s="133">
        <v>136</v>
      </c>
      <c r="AG14" s="134">
        <v>4</v>
      </c>
      <c r="AH14" s="131">
        <v>3.35</v>
      </c>
      <c r="AI14" s="115">
        <f t="shared" si="10"/>
        <v>18.495820496681795</v>
      </c>
      <c r="AJ14" s="131">
        <v>131.85</v>
      </c>
      <c r="AK14" s="115">
        <f>IF(BA14=0,0,AJ14/BA14*1000)</f>
        <v>727.96236790671492</v>
      </c>
      <c r="AL14" s="131">
        <v>16.329999999999998</v>
      </c>
      <c r="AM14" s="116"/>
      <c r="AN14" s="135">
        <v>9.0399999999999991</v>
      </c>
      <c r="AO14" s="466">
        <f t="shared" si="29"/>
        <v>43.927999999999997</v>
      </c>
      <c r="AP14" s="110">
        <f>IF(AO14=0,0,AO14/AV14)</f>
        <v>0.19</v>
      </c>
      <c r="AQ14" s="137" t="s">
        <v>403</v>
      </c>
      <c r="AR14" s="150">
        <v>9.31</v>
      </c>
      <c r="AS14" s="138">
        <v>6.87</v>
      </c>
      <c r="AT14" s="131"/>
      <c r="AU14" s="131">
        <v>7.36</v>
      </c>
      <c r="AV14" s="315">
        <v>231.2</v>
      </c>
      <c r="AW14" s="131">
        <v>2.89</v>
      </c>
      <c r="AX14" s="148"/>
      <c r="AY14" s="149"/>
      <c r="AZ14" s="109"/>
      <c r="BA14" s="109">
        <f>AV14-AO14-AN14+AY14+AW14</f>
        <v>181.12199999999999</v>
      </c>
      <c r="BB14" s="115">
        <f>IF(AE14=0,0,((D14*0.97)*(E14/100)*0.9)/(AE14/100))</f>
        <v>185.92901289365648</v>
      </c>
      <c r="BC14" s="140">
        <f>(AJ14*AU14)/100*(55/71)</f>
        <v>7.5173070422535204</v>
      </c>
      <c r="BD14" s="141">
        <f>BA14*$BD$6</f>
        <v>7.2448799999999993</v>
      </c>
      <c r="BE14" s="128">
        <f>IF((D14*E14)=0,0,(BA14*AE14)/(D14*E14))</f>
        <v>0.85042943830631579</v>
      </c>
      <c r="BF14" s="141">
        <f>BC14+BD14</f>
        <v>14.762187042253519</v>
      </c>
      <c r="BG14" s="535">
        <v>0.879</v>
      </c>
      <c r="BH14" s="16">
        <f>BH13+BA14</f>
        <v>1493.232</v>
      </c>
      <c r="BI14" s="16">
        <f>IF(A14&lt;=$BG$43,$AV$43,0)</f>
        <v>187.09677419354838</v>
      </c>
      <c r="BJ14" s="16">
        <f>BI14+BJ13</f>
        <v>1496.7741935483868</v>
      </c>
      <c r="BK14" s="17">
        <f>IF(BA14&lt;&gt;0,1,0)</f>
        <v>1</v>
      </c>
      <c r="BL14" s="16">
        <f>BL13+BI14*BK14</f>
        <v>1496.7741935483868</v>
      </c>
      <c r="BM14" s="249"/>
      <c r="BN14" s="195">
        <v>35.109000000000002</v>
      </c>
      <c r="BO14" s="266">
        <f t="shared" si="34"/>
        <v>225.84200000000001</v>
      </c>
      <c r="BP14" s="445">
        <f t="shared" si="35"/>
        <v>94.843999999999994</v>
      </c>
      <c r="BQ14" s="313"/>
      <c r="BR14" s="230">
        <v>54.304000000000002</v>
      </c>
      <c r="BS14" s="250"/>
      <c r="BT14" s="199"/>
      <c r="BU14" s="200"/>
      <c r="BV14" s="200"/>
      <c r="BW14" s="200"/>
      <c r="BX14" s="200">
        <v>0.53</v>
      </c>
      <c r="BY14" s="208"/>
      <c r="BZ14" s="208">
        <v>2.39</v>
      </c>
      <c r="CA14" s="201"/>
      <c r="CB14" s="202"/>
      <c r="CC14" s="200">
        <v>43.9</v>
      </c>
      <c r="CD14" s="202">
        <v>41.74</v>
      </c>
      <c r="CE14" s="200">
        <v>36.75</v>
      </c>
      <c r="CF14" s="200"/>
      <c r="CG14" s="200">
        <v>32.83</v>
      </c>
      <c r="CH14" s="200"/>
      <c r="CI14" s="203"/>
      <c r="CJ14" s="204"/>
      <c r="CK14" s="197"/>
      <c r="CL14" s="264">
        <v>264.83999999999997</v>
      </c>
      <c r="CM14" s="265"/>
      <c r="CN14" s="202"/>
      <c r="CO14" s="202"/>
      <c r="CP14" s="270"/>
      <c r="CQ14" s="201"/>
      <c r="CR14" s="201">
        <v>0.8</v>
      </c>
      <c r="CS14" s="284"/>
      <c r="CT14" s="286">
        <f t="shared" si="20"/>
        <v>0</v>
      </c>
      <c r="CU14" s="27">
        <f t="shared" si="20"/>
        <v>35.109000000000002</v>
      </c>
      <c r="CV14" s="28">
        <f t="shared" si="20"/>
        <v>225.84200000000001</v>
      </c>
      <c r="CW14" s="27">
        <f t="shared" si="20"/>
        <v>94.34132679999999</v>
      </c>
      <c r="CX14" s="27">
        <f t="shared" si="20"/>
        <v>0</v>
      </c>
      <c r="CY14" s="24">
        <f t="shared" si="20"/>
        <v>53.006134400000001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264.83999999999997</v>
      </c>
      <c r="DD14" s="280">
        <f t="shared" si="21"/>
        <v>0</v>
      </c>
      <c r="DE14" s="508">
        <f t="shared" si="36"/>
        <v>6.7396479999999999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7"/>
        <v>0</v>
      </c>
      <c r="DM14" s="264">
        <v>246.04</v>
      </c>
      <c r="DN14" s="420">
        <f t="shared" si="38"/>
        <v>264.83999999999997</v>
      </c>
      <c r="DO14" s="196">
        <v>134.84399999999999</v>
      </c>
      <c r="DP14" s="247">
        <f t="shared" si="39"/>
        <v>94.843999999999994</v>
      </c>
      <c r="DQ14" s="583">
        <v>183.69200000000001</v>
      </c>
      <c r="DR14" s="247">
        <f t="shared" si="40"/>
        <v>225.84200000000001</v>
      </c>
    </row>
    <row r="15" spans="1:122" ht="16.5" customHeight="1" thickBot="1">
      <c r="A15" s="536">
        <v>9</v>
      </c>
      <c r="B15" s="103">
        <f t="shared" si="24"/>
        <v>397.93799999999999</v>
      </c>
      <c r="C15" s="104">
        <f t="shared" si="0"/>
        <v>0.70675039830325326</v>
      </c>
      <c r="D15" s="448">
        <f t="shared" si="1"/>
        <v>395.12557159999994</v>
      </c>
      <c r="E15" s="104">
        <f t="shared" si="2"/>
        <v>39.290590820680613</v>
      </c>
      <c r="F15" s="128">
        <f t="shared" si="3"/>
        <v>2.2197629349984687</v>
      </c>
      <c r="G15" s="106"/>
      <c r="H15" s="107">
        <f t="shared" si="4"/>
        <v>0.79539768375340936</v>
      </c>
      <c r="I15" s="103">
        <f>'[1]сентябрь 20'!AE14</f>
        <v>0</v>
      </c>
      <c r="J15" s="328">
        <f>'[1]август 20'!AA14</f>
        <v>0</v>
      </c>
      <c r="K15" s="106"/>
      <c r="L15" s="328">
        <f t="shared" si="25"/>
        <v>253.542</v>
      </c>
      <c r="M15" s="103">
        <f t="shared" si="5"/>
        <v>1.4243652512450597</v>
      </c>
      <c r="N15" s="103">
        <f>'[1]август 20'!W14</f>
        <v>0</v>
      </c>
      <c r="O15" s="103">
        <f>'[1]август 20'!AM14</f>
        <v>6.6470000000000002</v>
      </c>
      <c r="P15" s="447">
        <f t="shared" si="26"/>
        <v>6.5938240000000006</v>
      </c>
      <c r="Q15" s="103">
        <f t="shared" si="27"/>
        <v>3.7043226678127116E-2</v>
      </c>
      <c r="R15" s="103">
        <v>263.14999999999998</v>
      </c>
      <c r="S15" s="108">
        <f t="shared" si="6"/>
        <v>1.8430552916587351</v>
      </c>
      <c r="T15" s="109">
        <f t="shared" si="7"/>
        <v>258.30000000000007</v>
      </c>
      <c r="U15" s="106">
        <v>4.6470000000000002</v>
      </c>
      <c r="V15" s="109">
        <f t="shared" si="8"/>
        <v>258.3</v>
      </c>
      <c r="W15" s="110">
        <f t="shared" si="9"/>
        <v>1.4510950627375307</v>
      </c>
      <c r="X15" s="110">
        <f t="shared" si="28"/>
        <v>1.4881382894156578</v>
      </c>
      <c r="Y15" s="136">
        <v>178</v>
      </c>
      <c r="Z15" s="130">
        <v>178</v>
      </c>
      <c r="AA15" s="131">
        <v>0.79</v>
      </c>
      <c r="AB15" s="112">
        <v>665</v>
      </c>
      <c r="AC15" s="133">
        <v>1236</v>
      </c>
      <c r="AD15" s="144" t="s">
        <v>404</v>
      </c>
      <c r="AE15" s="131">
        <v>77.14</v>
      </c>
      <c r="AF15" s="133">
        <v>133</v>
      </c>
      <c r="AG15" s="134">
        <v>4</v>
      </c>
      <c r="AH15" s="131"/>
      <c r="AI15" s="115">
        <f t="shared" si="10"/>
        <v>0</v>
      </c>
      <c r="AJ15" s="131">
        <v>136.9</v>
      </c>
      <c r="AK15" s="115">
        <f t="shared" si="11"/>
        <v>769.08600111795556</v>
      </c>
      <c r="AL15" s="131">
        <v>21.39</v>
      </c>
      <c r="AM15" s="116"/>
      <c r="AN15" s="135">
        <v>14.45</v>
      </c>
      <c r="AO15" s="466">
        <f t="shared" si="29"/>
        <v>44.716499999999996</v>
      </c>
      <c r="AP15" s="110">
        <f t="shared" si="12"/>
        <v>0.19</v>
      </c>
      <c r="AQ15" s="137" t="s">
        <v>117</v>
      </c>
      <c r="AR15" s="150">
        <v>9.19</v>
      </c>
      <c r="AS15" s="138">
        <v>7.08</v>
      </c>
      <c r="AT15" s="131"/>
      <c r="AU15" s="131">
        <v>8.5</v>
      </c>
      <c r="AV15" s="315">
        <v>235.35</v>
      </c>
      <c r="AW15" s="131">
        <v>1.82</v>
      </c>
      <c r="AX15" s="116"/>
      <c r="AY15" s="131"/>
      <c r="AZ15" s="109"/>
      <c r="BA15" s="109">
        <f t="shared" si="13"/>
        <v>178.0035</v>
      </c>
      <c r="BB15" s="115">
        <f t="shared" si="30"/>
        <v>175.69455636044466</v>
      </c>
      <c r="BC15" s="140">
        <f t="shared" si="14"/>
        <v>9.0141901408450718</v>
      </c>
      <c r="BD15" s="141">
        <f t="shared" si="15"/>
        <v>7.1201400000000001</v>
      </c>
      <c r="BE15" s="128">
        <f t="shared" si="16"/>
        <v>0.88447279596526895</v>
      </c>
      <c r="BF15" s="141">
        <f t="shared" si="17"/>
        <v>16.134330140845073</v>
      </c>
      <c r="BG15" s="535">
        <v>0.879</v>
      </c>
      <c r="BH15" s="16">
        <f t="shared" si="31"/>
        <v>1671.2355</v>
      </c>
      <c r="BI15" s="16">
        <f t="shared" si="18"/>
        <v>187.09677419354838</v>
      </c>
      <c r="BJ15" s="16">
        <f t="shared" si="32"/>
        <v>1683.8709677419351</v>
      </c>
      <c r="BK15" s="17">
        <f t="shared" si="19"/>
        <v>1</v>
      </c>
      <c r="BL15" s="16">
        <f t="shared" si="33"/>
        <v>1683.8709677419351</v>
      </c>
      <c r="BM15" s="249"/>
      <c r="BN15" s="195">
        <v>33.215000000000003</v>
      </c>
      <c r="BO15" s="266">
        <f t="shared" si="34"/>
        <v>220.327</v>
      </c>
      <c r="BP15" s="445">
        <f t="shared" si="35"/>
        <v>91.207999999999998</v>
      </c>
      <c r="BQ15" s="313"/>
      <c r="BR15" s="195">
        <v>53.188000000000002</v>
      </c>
      <c r="BS15" s="329"/>
      <c r="BT15" s="199"/>
      <c r="BU15" s="200"/>
      <c r="BV15" s="200"/>
      <c r="BW15" s="200"/>
      <c r="BX15" s="200">
        <v>1.06</v>
      </c>
      <c r="BY15" s="208"/>
      <c r="BZ15" s="208">
        <v>3.47</v>
      </c>
      <c r="CA15" s="330"/>
      <c r="CB15" s="202"/>
      <c r="CC15" s="200">
        <v>43.71</v>
      </c>
      <c r="CD15" s="200">
        <v>41.68</v>
      </c>
      <c r="CE15" s="200">
        <v>35.770000000000003</v>
      </c>
      <c r="CF15" s="200"/>
      <c r="CG15" s="200">
        <v>32.67</v>
      </c>
      <c r="CH15" s="200"/>
      <c r="CI15" s="203"/>
      <c r="CJ15" s="204"/>
      <c r="CK15" s="230"/>
      <c r="CL15" s="266">
        <v>258.3</v>
      </c>
      <c r="CM15" s="265"/>
      <c r="CN15" s="202"/>
      <c r="CO15" s="208"/>
      <c r="CP15" s="208"/>
      <c r="CQ15" s="201"/>
      <c r="CR15" s="201">
        <v>0.8</v>
      </c>
      <c r="CS15" s="284"/>
      <c r="CT15" s="286">
        <f t="shared" si="20"/>
        <v>0</v>
      </c>
      <c r="CU15" s="29">
        <f t="shared" si="20"/>
        <v>33.215000000000003</v>
      </c>
      <c r="CV15" s="30">
        <f t="shared" si="20"/>
        <v>220.327</v>
      </c>
      <c r="CW15" s="29">
        <f t="shared" si="20"/>
        <v>90.241195199999993</v>
      </c>
      <c r="CX15" s="27">
        <f t="shared" si="20"/>
        <v>0</v>
      </c>
      <c r="CY15" s="24">
        <f t="shared" si="20"/>
        <v>51.342376400000006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258.3</v>
      </c>
      <c r="DD15" s="280">
        <f t="shared" si="21"/>
        <v>0</v>
      </c>
      <c r="DE15" s="508">
        <f t="shared" si="36"/>
        <v>6.5938240000000006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7"/>
        <v>0</v>
      </c>
      <c r="DM15" s="266">
        <v>239.5</v>
      </c>
      <c r="DN15" s="420">
        <f t="shared" si="38"/>
        <v>258.3</v>
      </c>
      <c r="DO15" s="197">
        <v>131.208</v>
      </c>
      <c r="DP15" s="247">
        <f t="shared" si="39"/>
        <v>91.207999999999998</v>
      </c>
      <c r="DQ15" s="230">
        <v>178.17699999999999</v>
      </c>
      <c r="DR15" s="247">
        <f t="shared" si="40"/>
        <v>220.327</v>
      </c>
    </row>
    <row r="16" spans="1:122" ht="16.5" customHeight="1" thickBot="1">
      <c r="A16" s="534">
        <v>10</v>
      </c>
      <c r="B16" s="103">
        <f t="shared" si="24"/>
        <v>430.83000000000004</v>
      </c>
      <c r="C16" s="104">
        <f t="shared" si="0"/>
        <v>1.4306175753777588</v>
      </c>
      <c r="D16" s="448">
        <f t="shared" si="1"/>
        <v>424.66647030000007</v>
      </c>
      <c r="E16" s="104">
        <f t="shared" si="2"/>
        <v>40.117771510804722</v>
      </c>
      <c r="F16" s="128">
        <f t="shared" si="3"/>
        <v>2.2745501305545965</v>
      </c>
      <c r="G16" s="106"/>
      <c r="H16" s="107">
        <f t="shared" si="4"/>
        <v>0.79163738387336091</v>
      </c>
      <c r="I16" s="103">
        <f>'[1]сентябрь 20'!AE15</f>
        <v>0</v>
      </c>
      <c r="J16" s="328">
        <f>'[1]август 20'!AA15</f>
        <v>0</v>
      </c>
      <c r="K16" s="106"/>
      <c r="L16" s="328">
        <f t="shared" si="25"/>
        <v>276.86500000000001</v>
      </c>
      <c r="M16" s="103">
        <f t="shared" si="5"/>
        <v>1.4829127466812355</v>
      </c>
      <c r="N16" s="103">
        <f>'[1]август 20'!W15</f>
        <v>0</v>
      </c>
      <c r="O16" s="103">
        <f>'[1]август 20'!AM15</f>
        <v>7.1630000000000003</v>
      </c>
      <c r="P16" s="447">
        <f t="shared" si="26"/>
        <v>7.105696</v>
      </c>
      <c r="Q16" s="103">
        <f t="shared" si="27"/>
        <v>3.805871877067115E-2</v>
      </c>
      <c r="R16" s="103">
        <v>284.12</v>
      </c>
      <c r="S16" s="108">
        <f t="shared" si="6"/>
        <v>2.0237927636210018</v>
      </c>
      <c r="T16" s="109">
        <f t="shared" si="7"/>
        <v>278.37</v>
      </c>
      <c r="U16" s="566">
        <v>4.9020000000000001</v>
      </c>
      <c r="V16" s="109">
        <f t="shared" si="8"/>
        <v>278.37</v>
      </c>
      <c r="W16" s="110">
        <f t="shared" si="9"/>
        <v>1.4909736560910751</v>
      </c>
      <c r="X16" s="110">
        <f t="shared" si="28"/>
        <v>1.5290323748617463</v>
      </c>
      <c r="Y16" s="136">
        <v>186.7</v>
      </c>
      <c r="Z16" s="130">
        <v>186.7</v>
      </c>
      <c r="AA16" s="131">
        <v>0.6</v>
      </c>
      <c r="AB16" s="112">
        <v>626</v>
      </c>
      <c r="AC16" s="133">
        <v>1230</v>
      </c>
      <c r="AD16" s="144" t="s">
        <v>332</v>
      </c>
      <c r="AE16" s="131">
        <v>77.67</v>
      </c>
      <c r="AF16" s="133">
        <v>143</v>
      </c>
      <c r="AG16" s="134">
        <v>4</v>
      </c>
      <c r="AH16" s="131">
        <v>4.05</v>
      </c>
      <c r="AI16" s="115">
        <f t="shared" si="10"/>
        <v>21.692148245747941</v>
      </c>
      <c r="AJ16" s="131">
        <v>137.35</v>
      </c>
      <c r="AK16" s="115">
        <f t="shared" si="11"/>
        <v>735.65841026011844</v>
      </c>
      <c r="AL16" s="139">
        <v>18.47</v>
      </c>
      <c r="AM16" s="131"/>
      <c r="AN16" s="136">
        <v>12.08</v>
      </c>
      <c r="AO16" s="466">
        <f t="shared" si="29"/>
        <v>45.476500000000001</v>
      </c>
      <c r="AP16" s="110">
        <f t="shared" si="12"/>
        <v>0.19</v>
      </c>
      <c r="AQ16" s="137" t="s">
        <v>242</v>
      </c>
      <c r="AR16" s="150">
        <v>8.68</v>
      </c>
      <c r="AS16" s="138">
        <v>6.97</v>
      </c>
      <c r="AT16" s="131"/>
      <c r="AU16" s="131">
        <v>7.83</v>
      </c>
      <c r="AV16" s="315">
        <v>239.35</v>
      </c>
      <c r="AW16" s="131">
        <v>4.91</v>
      </c>
      <c r="AX16" s="116"/>
      <c r="AY16" s="131"/>
      <c r="AZ16" s="109"/>
      <c r="BA16" s="109">
        <f t="shared" si="13"/>
        <v>186.70349999999996</v>
      </c>
      <c r="BB16" s="115">
        <f t="shared" si="30"/>
        <v>191.48982909712029</v>
      </c>
      <c r="BC16" s="140">
        <f t="shared" si="14"/>
        <v>8.3309545774647891</v>
      </c>
      <c r="BD16" s="141">
        <f t="shared" si="15"/>
        <v>7.4681399999999982</v>
      </c>
      <c r="BE16" s="128">
        <f t="shared" si="16"/>
        <v>0.8511791789073726</v>
      </c>
      <c r="BF16" s="141">
        <f t="shared" si="17"/>
        <v>15.799094577464787</v>
      </c>
      <c r="BG16" s="535">
        <v>0.876</v>
      </c>
      <c r="BH16" s="16">
        <f t="shared" si="31"/>
        <v>1857.9389999999999</v>
      </c>
      <c r="BI16" s="16">
        <f t="shared" si="18"/>
        <v>187.09677419354838</v>
      </c>
      <c r="BJ16" s="16">
        <f t="shared" si="32"/>
        <v>1870.9677419354834</v>
      </c>
      <c r="BK16" s="17">
        <f t="shared" si="19"/>
        <v>1</v>
      </c>
      <c r="BL16" s="16">
        <f t="shared" si="33"/>
        <v>1870.9677419354834</v>
      </c>
      <c r="BM16" s="249"/>
      <c r="BN16" s="195">
        <v>41.640999999999998</v>
      </c>
      <c r="BO16" s="266">
        <f t="shared" si="34"/>
        <v>235.22400000000002</v>
      </c>
      <c r="BP16" s="445">
        <f t="shared" si="35"/>
        <v>96.793000000000006</v>
      </c>
      <c r="BQ16" s="313"/>
      <c r="BR16" s="230">
        <v>57.171999999999997</v>
      </c>
      <c r="BS16" s="250"/>
      <c r="BT16" s="199"/>
      <c r="BU16" s="200"/>
      <c r="BV16" s="200"/>
      <c r="BW16" s="200"/>
      <c r="BX16" s="200">
        <v>2.0499999999999998</v>
      </c>
      <c r="BY16" s="208"/>
      <c r="BZ16" s="208">
        <v>7.31</v>
      </c>
      <c r="CA16" s="201"/>
      <c r="CB16" s="202"/>
      <c r="CC16" s="200">
        <v>44.16</v>
      </c>
      <c r="CD16" s="200">
        <v>41.76</v>
      </c>
      <c r="CE16" s="200">
        <v>35.94</v>
      </c>
      <c r="CF16" s="200"/>
      <c r="CG16" s="200">
        <v>37.49</v>
      </c>
      <c r="CH16" s="200"/>
      <c r="CI16" s="203"/>
      <c r="CJ16" s="204"/>
      <c r="CK16" s="230"/>
      <c r="CL16" s="266">
        <v>278.37</v>
      </c>
      <c r="CM16" s="265"/>
      <c r="CN16" s="202"/>
      <c r="CO16" s="208"/>
      <c r="CP16" s="208"/>
      <c r="CQ16" s="201"/>
      <c r="CR16" s="201">
        <v>0.8</v>
      </c>
      <c r="CS16" s="284"/>
      <c r="CT16" s="286">
        <f t="shared" si="20"/>
        <v>0</v>
      </c>
      <c r="CU16" s="24">
        <f t="shared" si="20"/>
        <v>41.640999999999998</v>
      </c>
      <c r="CV16" s="25">
        <f t="shared" si="20"/>
        <v>235.22400000000002</v>
      </c>
      <c r="CW16" s="24">
        <f t="shared" si="20"/>
        <v>94.808743500000006</v>
      </c>
      <c r="CX16" s="27">
        <f t="shared" si="20"/>
        <v>0</v>
      </c>
      <c r="CY16" s="24">
        <f t="shared" si="20"/>
        <v>52.992726799999993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278.37</v>
      </c>
      <c r="DD16" s="280">
        <f t="shared" si="21"/>
        <v>0</v>
      </c>
      <c r="DE16" s="508">
        <f t="shared" si="36"/>
        <v>7.105696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7"/>
        <v>0</v>
      </c>
      <c r="DM16" s="266">
        <v>259.57</v>
      </c>
      <c r="DN16" s="420">
        <f t="shared" si="38"/>
        <v>278.37</v>
      </c>
      <c r="DO16" s="197">
        <v>136.79300000000001</v>
      </c>
      <c r="DP16" s="247">
        <f t="shared" si="39"/>
        <v>96.793000000000006</v>
      </c>
      <c r="DQ16" s="195">
        <v>193.07400000000001</v>
      </c>
      <c r="DR16" s="247">
        <f t="shared" si="40"/>
        <v>235.22400000000002</v>
      </c>
    </row>
    <row r="17" spans="1:122" ht="16.5" customHeight="1" thickBot="1">
      <c r="A17" s="534">
        <v>11</v>
      </c>
      <c r="B17" s="103">
        <f t="shared" si="24"/>
        <v>401.21099999999996</v>
      </c>
      <c r="C17" s="104">
        <f t="shared" si="0"/>
        <v>0.72904282285381017</v>
      </c>
      <c r="D17" s="448">
        <f t="shared" si="1"/>
        <v>398.28599999999994</v>
      </c>
      <c r="E17" s="104">
        <f t="shared" si="2"/>
        <v>40.031431640707765</v>
      </c>
      <c r="F17" s="128">
        <f t="shared" si="3"/>
        <v>2.1578486852263703</v>
      </c>
      <c r="G17" s="106"/>
      <c r="H17" s="107">
        <f t="shared" si="4"/>
        <v>0.70445969264609876</v>
      </c>
      <c r="I17" s="103">
        <f>'[1]сентябрь 20'!AE16</f>
        <v>0</v>
      </c>
      <c r="J17" s="328">
        <f>'[1]август 20'!AA16</f>
        <v>6.7069999999999999</v>
      </c>
      <c r="K17" s="106"/>
      <c r="L17" s="328">
        <f t="shared" si="25"/>
        <v>268.26</v>
      </c>
      <c r="M17" s="103">
        <f t="shared" si="5"/>
        <v>1.4533889925802719</v>
      </c>
      <c r="N17" s="103">
        <f>'[1]август 20'!W16</f>
        <v>0</v>
      </c>
      <c r="O17" s="103">
        <f>'[1]август 20'!AM16</f>
        <v>6.65</v>
      </c>
      <c r="P17" s="447">
        <f t="shared" si="26"/>
        <v>6.5968</v>
      </c>
      <c r="Q17" s="103">
        <f t="shared" si="27"/>
        <v>3.5740388079674709E-2</v>
      </c>
      <c r="R17" s="103">
        <v>270.20999999999998</v>
      </c>
      <c r="S17" s="108">
        <f t="shared" si="6"/>
        <v>2.4758521150216484</v>
      </c>
      <c r="T17" s="109">
        <f t="shared" si="7"/>
        <v>263.52</v>
      </c>
      <c r="U17" s="566">
        <v>12.272</v>
      </c>
      <c r="V17" s="109">
        <f t="shared" si="8"/>
        <v>263.52</v>
      </c>
      <c r="W17" s="110">
        <f t="shared" si="9"/>
        <v>1.4277084445118662</v>
      </c>
      <c r="X17" s="110">
        <f t="shared" si="28"/>
        <v>1.4634488325915409</v>
      </c>
      <c r="Y17" s="136">
        <v>184.58</v>
      </c>
      <c r="Z17" s="130">
        <v>184.58</v>
      </c>
      <c r="AA17" s="131">
        <v>0.59</v>
      </c>
      <c r="AB17" s="112">
        <v>656</v>
      </c>
      <c r="AC17" s="133">
        <v>1229</v>
      </c>
      <c r="AD17" s="144" t="s">
        <v>405</v>
      </c>
      <c r="AE17" s="131">
        <v>76.45</v>
      </c>
      <c r="AF17" s="133">
        <v>133</v>
      </c>
      <c r="AG17" s="134">
        <v>4</v>
      </c>
      <c r="AH17" s="131">
        <v>2.95</v>
      </c>
      <c r="AI17" s="115">
        <f t="shared" si="10"/>
        <v>15.982619578438092</v>
      </c>
      <c r="AJ17" s="131">
        <v>125.35</v>
      </c>
      <c r="AK17" s="115">
        <f t="shared" si="11"/>
        <v>679.12588615498805</v>
      </c>
      <c r="AL17" s="139">
        <v>20.68</v>
      </c>
      <c r="AM17" s="131"/>
      <c r="AN17" s="136">
        <v>10.029999999999999</v>
      </c>
      <c r="AO17" s="466">
        <f t="shared" si="29"/>
        <v>44.944500000000005</v>
      </c>
      <c r="AP17" s="110">
        <f t="shared" si="12"/>
        <v>0.19</v>
      </c>
      <c r="AQ17" s="137" t="s">
        <v>406</v>
      </c>
      <c r="AR17" s="150">
        <v>9.3000000000000007</v>
      </c>
      <c r="AS17" s="138">
        <v>6.97</v>
      </c>
      <c r="AT17" s="131"/>
      <c r="AU17" s="131">
        <v>5.79</v>
      </c>
      <c r="AV17" s="315">
        <v>236.55</v>
      </c>
      <c r="AW17" s="131">
        <v>3</v>
      </c>
      <c r="AX17" s="116"/>
      <c r="AY17" s="131"/>
      <c r="AZ17" s="109"/>
      <c r="BA17" s="109">
        <f t="shared" si="13"/>
        <v>184.57550000000001</v>
      </c>
      <c r="BB17" s="115">
        <f t="shared" si="30"/>
        <v>182.06770460535853</v>
      </c>
      <c r="BC17" s="140">
        <f t="shared" si="14"/>
        <v>5.6222123239436614</v>
      </c>
      <c r="BD17" s="141">
        <f t="shared" si="15"/>
        <v>7.3830200000000001</v>
      </c>
      <c r="BE17" s="128">
        <f t="shared" si="16"/>
        <v>0.88502467721701339</v>
      </c>
      <c r="BF17" s="141">
        <f t="shared" si="17"/>
        <v>13.005232323943662</v>
      </c>
      <c r="BG17" s="535">
        <v>0.877</v>
      </c>
      <c r="BH17" s="16">
        <f t="shared" si="31"/>
        <v>2042.5144999999998</v>
      </c>
      <c r="BI17" s="16">
        <f t="shared" si="18"/>
        <v>187.09677419354838</v>
      </c>
      <c r="BJ17" s="16">
        <f t="shared" si="32"/>
        <v>2058.0645161290317</v>
      </c>
      <c r="BK17" s="17">
        <f t="shared" si="19"/>
        <v>1</v>
      </c>
      <c r="BL17" s="16">
        <f t="shared" si="33"/>
        <v>2058.0645161290317</v>
      </c>
      <c r="BM17" s="249"/>
      <c r="BN17" s="195">
        <v>53.161999999999999</v>
      </c>
      <c r="BO17" s="266">
        <f t="shared" si="34"/>
        <v>215.09800000000001</v>
      </c>
      <c r="BP17" s="445">
        <f t="shared" si="35"/>
        <v>106.27500000000001</v>
      </c>
      <c r="BQ17" s="313"/>
      <c r="BR17" s="230">
        <v>26.675999999999998</v>
      </c>
      <c r="BS17" s="250"/>
      <c r="BT17" s="199"/>
      <c r="BU17" s="200"/>
      <c r="BV17" s="200"/>
      <c r="BW17" s="200"/>
      <c r="BX17" s="200">
        <v>1.56</v>
      </c>
      <c r="BY17" s="208"/>
      <c r="BZ17" s="208">
        <v>4.75</v>
      </c>
      <c r="CA17" s="201"/>
      <c r="CB17" s="202"/>
      <c r="CC17" s="200">
        <v>43.81</v>
      </c>
      <c r="CD17" s="200">
        <v>41.6</v>
      </c>
      <c r="CE17" s="200">
        <v>35.74</v>
      </c>
      <c r="CF17" s="208"/>
      <c r="CG17" s="208">
        <v>36.950000000000003</v>
      </c>
      <c r="CH17" s="201"/>
      <c r="CI17" s="199"/>
      <c r="CJ17" s="197"/>
      <c r="CK17" s="244"/>
      <c r="CL17" s="266">
        <v>263.52</v>
      </c>
      <c r="CM17" s="265"/>
      <c r="CN17" s="231"/>
      <c r="CO17" s="208"/>
      <c r="CP17" s="208"/>
      <c r="CQ17" s="201"/>
      <c r="CR17" s="201">
        <v>0.8</v>
      </c>
      <c r="CS17" s="284"/>
      <c r="CT17" s="286">
        <f t="shared" si="20"/>
        <v>0</v>
      </c>
      <c r="CU17" s="24">
        <f t="shared" si="20"/>
        <v>53.161999999999999</v>
      </c>
      <c r="CV17" s="25">
        <f t="shared" si="20"/>
        <v>215.09800000000001</v>
      </c>
      <c r="CW17" s="24">
        <f t="shared" si="20"/>
        <v>104.61711</v>
      </c>
      <c r="CX17" s="27">
        <f t="shared" si="20"/>
        <v>0</v>
      </c>
      <c r="CY17" s="27">
        <f t="shared" si="20"/>
        <v>25.40889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263.52</v>
      </c>
      <c r="DD17" s="280">
        <f t="shared" si="21"/>
        <v>0</v>
      </c>
      <c r="DE17" s="508">
        <f t="shared" si="36"/>
        <v>6.5968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7"/>
        <v>0</v>
      </c>
      <c r="DM17" s="266">
        <v>244.72</v>
      </c>
      <c r="DN17" s="420">
        <f t="shared" si="38"/>
        <v>263.52</v>
      </c>
      <c r="DO17" s="197">
        <v>146.27500000000001</v>
      </c>
      <c r="DP17" s="247">
        <f t="shared" si="39"/>
        <v>106.27500000000001</v>
      </c>
      <c r="DQ17" s="195">
        <v>172.94800000000001</v>
      </c>
      <c r="DR17" s="247">
        <f t="shared" si="40"/>
        <v>215.09800000000001</v>
      </c>
    </row>
    <row r="18" spans="1:122" ht="16.5" customHeight="1" thickBot="1">
      <c r="A18" s="534">
        <v>12</v>
      </c>
      <c r="B18" s="103">
        <f t="shared" si="24"/>
        <v>158.18700000000001</v>
      </c>
      <c r="C18" s="104">
        <f t="shared" si="0"/>
        <v>0.44939988747495047</v>
      </c>
      <c r="D18" s="143">
        <f t="shared" si="1"/>
        <v>157.47610779999999</v>
      </c>
      <c r="E18" s="104">
        <f t="shared" si="2"/>
        <v>40.853435490906328</v>
      </c>
      <c r="F18" s="128">
        <f t="shared" si="3"/>
        <v>2.0725721930482623</v>
      </c>
      <c r="G18" s="106"/>
      <c r="H18" s="107">
        <f t="shared" si="4"/>
        <v>0.35424787512667644</v>
      </c>
      <c r="I18" s="103">
        <f>'[1]сентябрь 20'!AE17</f>
        <v>0</v>
      </c>
      <c r="J18" s="328">
        <f>'[1]август 20'!AA17</f>
        <v>2.5840000000000001</v>
      </c>
      <c r="K18" s="106"/>
      <c r="L18" s="328">
        <f t="shared" si="25"/>
        <v>130.56</v>
      </c>
      <c r="M18" s="103">
        <f t="shared" si="5"/>
        <v>1.7183243179215859</v>
      </c>
      <c r="N18" s="103">
        <f>'[1]август 20'!W17</f>
        <v>0</v>
      </c>
      <c r="O18" s="103">
        <f>'[1]август 20'!AM17</f>
        <v>2.6040000000000001</v>
      </c>
      <c r="P18" s="447">
        <f t="shared" si="26"/>
        <v>2.5831680000000001</v>
      </c>
      <c r="Q18" s="103">
        <f t="shared" si="27"/>
        <v>3.3997552019583849E-2</v>
      </c>
      <c r="R18" s="103">
        <v>128.07</v>
      </c>
      <c r="S18" s="108">
        <f t="shared" si="6"/>
        <v>3.4434293745607802</v>
      </c>
      <c r="T18" s="109">
        <f t="shared" si="7"/>
        <v>123.66</v>
      </c>
      <c r="U18" s="566">
        <v>16.853999999999999</v>
      </c>
      <c r="V18" s="109">
        <f t="shared" si="8"/>
        <v>123.66</v>
      </c>
      <c r="W18" s="110">
        <f t="shared" si="9"/>
        <v>1.6275121411931932</v>
      </c>
      <c r="X18" s="110">
        <f t="shared" si="28"/>
        <v>1.6615096932127771</v>
      </c>
      <c r="Y18" s="136">
        <v>75.98</v>
      </c>
      <c r="Z18" s="130">
        <v>75.98</v>
      </c>
      <c r="AA18" s="131">
        <v>0.41</v>
      </c>
      <c r="AB18" s="112">
        <v>625</v>
      </c>
      <c r="AC18" s="133">
        <v>1139</v>
      </c>
      <c r="AD18" s="144" t="s">
        <v>407</v>
      </c>
      <c r="AE18" s="131">
        <v>76.48</v>
      </c>
      <c r="AF18" s="133">
        <v>54</v>
      </c>
      <c r="AG18" s="134">
        <v>2</v>
      </c>
      <c r="AH18" s="131"/>
      <c r="AI18" s="115">
        <f t="shared" si="10"/>
        <v>0</v>
      </c>
      <c r="AJ18" s="131">
        <v>60.75</v>
      </c>
      <c r="AK18" s="115">
        <f t="shared" si="11"/>
        <v>799.54199076084819</v>
      </c>
      <c r="AL18" s="139">
        <v>9.4600000000000009</v>
      </c>
      <c r="AM18" s="131"/>
      <c r="AN18" s="136">
        <v>6.6</v>
      </c>
      <c r="AO18" s="466">
        <f t="shared" si="29"/>
        <v>19.018999999999998</v>
      </c>
      <c r="AP18" s="110">
        <f t="shared" si="12"/>
        <v>0.19</v>
      </c>
      <c r="AQ18" s="137" t="s">
        <v>215</v>
      </c>
      <c r="AR18" s="150">
        <v>8.02</v>
      </c>
      <c r="AS18" s="138">
        <v>7.25</v>
      </c>
      <c r="AT18" s="131"/>
      <c r="AU18" s="131">
        <v>7.38</v>
      </c>
      <c r="AV18" s="315">
        <v>100.1</v>
      </c>
      <c r="AW18" s="131">
        <v>1.5</v>
      </c>
      <c r="AX18" s="116"/>
      <c r="AY18" s="131"/>
      <c r="AZ18" s="109">
        <f t="shared" ref="AZ18:AZ37" si="41">IF(BA18=0,0,AY18/BA18*100)</f>
        <v>0</v>
      </c>
      <c r="BA18" s="109">
        <f t="shared" si="13"/>
        <v>75.980999999999995</v>
      </c>
      <c r="BB18" s="115">
        <f>IF(AE18=0,0,((D18*0.97)*(E18/100)*0.9)/(AE18/100))</f>
        <v>73.436102640203814</v>
      </c>
      <c r="BC18" s="140">
        <f t="shared" si="14"/>
        <v>3.4730176056338022</v>
      </c>
      <c r="BD18" s="141">
        <f t="shared" si="15"/>
        <v>3.0392399999999999</v>
      </c>
      <c r="BE18" s="128">
        <f t="shared" si="16"/>
        <v>0.90325344912416072</v>
      </c>
      <c r="BF18" s="141">
        <f t="shared" si="17"/>
        <v>6.5122576056338026</v>
      </c>
      <c r="BG18" s="535">
        <v>0.878</v>
      </c>
      <c r="BH18" s="16">
        <f t="shared" si="31"/>
        <v>2118.4955</v>
      </c>
      <c r="BI18" s="16">
        <f t="shared" si="18"/>
        <v>187.09677419354838</v>
      </c>
      <c r="BJ18" s="16">
        <f t="shared" si="32"/>
        <v>2245.16129032258</v>
      </c>
      <c r="BK18" s="17">
        <f t="shared" si="19"/>
        <v>1</v>
      </c>
      <c r="BL18" s="16">
        <f t="shared" si="33"/>
        <v>2245.16129032258</v>
      </c>
      <c r="BM18" s="249"/>
      <c r="BN18" s="195">
        <v>20.808</v>
      </c>
      <c r="BO18" s="266">
        <f t="shared" si="34"/>
        <v>109.75200000000001</v>
      </c>
      <c r="BP18" s="445">
        <f t="shared" si="35"/>
        <v>17.186</v>
      </c>
      <c r="BQ18" s="313"/>
      <c r="BR18" s="230">
        <v>10.441000000000001</v>
      </c>
      <c r="BS18" s="250"/>
      <c r="BT18" s="199"/>
      <c r="BU18" s="200"/>
      <c r="BV18" s="200"/>
      <c r="BW18" s="200"/>
      <c r="BX18" s="200">
        <v>1.84</v>
      </c>
      <c r="BY18" s="208"/>
      <c r="BZ18" s="208">
        <v>3.78</v>
      </c>
      <c r="CA18" s="201"/>
      <c r="CB18" s="202"/>
      <c r="CC18" s="200">
        <v>44</v>
      </c>
      <c r="CD18" s="200">
        <v>41.44</v>
      </c>
      <c r="CE18" s="200">
        <v>36.21</v>
      </c>
      <c r="CF18" s="208"/>
      <c r="CG18" s="208">
        <v>36.06</v>
      </c>
      <c r="CH18" s="209"/>
      <c r="CI18" s="199"/>
      <c r="CJ18" s="197"/>
      <c r="CK18" s="268"/>
      <c r="CL18" s="289">
        <v>123.66</v>
      </c>
      <c r="CM18" s="267"/>
      <c r="CN18" s="202"/>
      <c r="CO18" s="208"/>
      <c r="CP18" s="208"/>
      <c r="CQ18" s="201"/>
      <c r="CR18" s="201">
        <v>0.8</v>
      </c>
      <c r="CS18" s="284"/>
      <c r="CT18" s="286">
        <f t="shared" si="20"/>
        <v>0</v>
      </c>
      <c r="CU18" s="24">
        <f t="shared" si="20"/>
        <v>20.808</v>
      </c>
      <c r="CV18" s="25">
        <f t="shared" si="20"/>
        <v>109.75200000000001</v>
      </c>
      <c r="CW18" s="24">
        <f t="shared" si="20"/>
        <v>16.869777599999999</v>
      </c>
      <c r="CX18" s="27">
        <f t="shared" si="20"/>
        <v>0</v>
      </c>
      <c r="CY18" s="30">
        <f t="shared" si="20"/>
        <v>10.0463302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123.66</v>
      </c>
      <c r="DD18" s="280">
        <f t="shared" si="21"/>
        <v>0</v>
      </c>
      <c r="DE18" s="508">
        <f t="shared" si="36"/>
        <v>2.5831680000000001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7"/>
        <v>0</v>
      </c>
      <c r="DM18" s="289">
        <v>104.86</v>
      </c>
      <c r="DN18" s="420">
        <f t="shared" si="38"/>
        <v>123.66000000000001</v>
      </c>
      <c r="DO18" s="197">
        <v>57.186</v>
      </c>
      <c r="DP18" s="247">
        <f t="shared" si="39"/>
        <v>17.186</v>
      </c>
      <c r="DQ18" s="195">
        <v>67.602000000000004</v>
      </c>
      <c r="DR18" s="247">
        <f t="shared" si="40"/>
        <v>109.75200000000001</v>
      </c>
    </row>
    <row r="19" spans="1:122" ht="16.5" customHeight="1" thickBot="1">
      <c r="A19" s="534">
        <v>13</v>
      </c>
      <c r="B19" s="103">
        <f t="shared" si="24"/>
        <v>395.51499999999999</v>
      </c>
      <c r="C19" s="104">
        <f t="shared" si="0"/>
        <v>0.45201383006965606</v>
      </c>
      <c r="D19" s="143">
        <f t="shared" si="1"/>
        <v>393.72721749999994</v>
      </c>
      <c r="E19" s="104">
        <f>IF(B19=0,0,(BM19*CB19+BN19*CC19+BP19*CE19+BS19*CH19+BO19*CD19+BR19*CG19+BQ19*CF19)/B19)</f>
        <v>39.803002642124831</v>
      </c>
      <c r="F19" s="128">
        <f t="shared" si="3"/>
        <v>1.938759798997449</v>
      </c>
      <c r="G19" s="106"/>
      <c r="H19" s="107">
        <f t="shared" si="4"/>
        <v>0.63463634147782666</v>
      </c>
      <c r="I19" s="103">
        <f>'[1]сентябрь 20'!AE18</f>
        <v>0</v>
      </c>
      <c r="J19" s="328">
        <f>'[1]август 20'!AA18</f>
        <v>6.5890000000000004</v>
      </c>
      <c r="K19" s="106"/>
      <c r="L19" s="328">
        <f t="shared" si="25"/>
        <v>264.84399999999999</v>
      </c>
      <c r="M19" s="103">
        <f t="shared" si="5"/>
        <v>1.3041234575196226</v>
      </c>
      <c r="N19" s="103">
        <f>'[1]август 20'!W18</f>
        <v>0</v>
      </c>
      <c r="O19" s="103">
        <f>'[1]август 20'!AM18</f>
        <v>6.5419999999999998</v>
      </c>
      <c r="P19" s="447">
        <f t="shared" si="26"/>
        <v>6.4896639999999994</v>
      </c>
      <c r="Q19" s="103">
        <f t="shared" si="27"/>
        <v>3.1955879890881514E-2</v>
      </c>
      <c r="R19" s="103">
        <v>273.55</v>
      </c>
      <c r="S19" s="108">
        <f t="shared" si="6"/>
        <v>3.0963260829830141</v>
      </c>
      <c r="T19" s="109">
        <f t="shared" si="7"/>
        <v>265.08</v>
      </c>
      <c r="U19" s="566">
        <v>4.4130000000000003</v>
      </c>
      <c r="V19" s="109">
        <f t="shared" si="8"/>
        <v>265.08</v>
      </c>
      <c r="W19" s="110">
        <f t="shared" si="9"/>
        <v>1.3052855496794398</v>
      </c>
      <c r="X19" s="110">
        <f t="shared" si="28"/>
        <v>1.3372414295703212</v>
      </c>
      <c r="Y19" s="136">
        <v>171.97</v>
      </c>
      <c r="Z19" s="130">
        <v>122.75</v>
      </c>
      <c r="AA19" s="131">
        <v>0.94</v>
      </c>
      <c r="AB19" s="112">
        <v>677</v>
      </c>
      <c r="AC19" s="133">
        <v>1187</v>
      </c>
      <c r="AD19" s="144" t="s">
        <v>408</v>
      </c>
      <c r="AE19" s="131">
        <v>75.87</v>
      </c>
      <c r="AF19" s="133">
        <v>131</v>
      </c>
      <c r="AG19" s="134">
        <v>5</v>
      </c>
      <c r="AH19" s="131">
        <v>2.1</v>
      </c>
      <c r="AI19" s="115">
        <f t="shared" si="10"/>
        <v>10.340650574644727</v>
      </c>
      <c r="AJ19" s="131">
        <v>145.80000000000001</v>
      </c>
      <c r="AK19" s="115">
        <f t="shared" si="11"/>
        <v>717.93659703961953</v>
      </c>
      <c r="AL19" s="139">
        <v>22.84</v>
      </c>
      <c r="AM19" s="131"/>
      <c r="AN19" s="136">
        <v>9.7799999999999994</v>
      </c>
      <c r="AO19" s="466">
        <f t="shared" si="29"/>
        <v>49.437999999999995</v>
      </c>
      <c r="AP19" s="110">
        <f t="shared" si="12"/>
        <v>0.19</v>
      </c>
      <c r="AQ19" s="137" t="s">
        <v>409</v>
      </c>
      <c r="AR19" s="150">
        <v>8.19</v>
      </c>
      <c r="AS19" s="138">
        <v>7.06</v>
      </c>
      <c r="AT19" s="134"/>
      <c r="AU19" s="131">
        <v>5.71</v>
      </c>
      <c r="AV19" s="315">
        <v>260.2</v>
      </c>
      <c r="AW19" s="131">
        <v>2.1</v>
      </c>
      <c r="AX19" s="116"/>
      <c r="AY19" s="131"/>
      <c r="AZ19" s="109">
        <f t="shared" si="41"/>
        <v>0</v>
      </c>
      <c r="BA19" s="109">
        <f t="shared" si="13"/>
        <v>203.08199999999999</v>
      </c>
      <c r="BB19" s="115">
        <f t="shared" si="30"/>
        <v>180.32478901632368</v>
      </c>
      <c r="BC19" s="140">
        <f t="shared" si="14"/>
        <v>6.449083098591549</v>
      </c>
      <c r="BD19" s="141">
        <f t="shared" si="15"/>
        <v>8.1232799999999994</v>
      </c>
      <c r="BE19" s="128">
        <f t="shared" si="16"/>
        <v>0.98317367771300146</v>
      </c>
      <c r="BF19" s="141">
        <f t="shared" si="17"/>
        <v>14.572363098591548</v>
      </c>
      <c r="BG19" s="535">
        <v>0.88600000000000001</v>
      </c>
      <c r="BH19" s="16">
        <f t="shared" si="31"/>
        <v>2321.5774999999999</v>
      </c>
      <c r="BI19" s="16">
        <f t="shared" si="18"/>
        <v>187.09677419354838</v>
      </c>
      <c r="BJ19" s="16">
        <f t="shared" si="32"/>
        <v>2432.2580645161283</v>
      </c>
      <c r="BK19" s="17">
        <f t="shared" si="19"/>
        <v>1</v>
      </c>
      <c r="BL19" s="16">
        <f t="shared" si="33"/>
        <v>2432.2580645161283</v>
      </c>
      <c r="BM19" s="254"/>
      <c r="BN19" s="230">
        <v>52.371000000000002</v>
      </c>
      <c r="BO19" s="266">
        <f t="shared" si="34"/>
        <v>212.47300000000001</v>
      </c>
      <c r="BP19" s="445">
        <f t="shared" si="35"/>
        <v>104.364</v>
      </c>
      <c r="BQ19" s="313"/>
      <c r="BR19" s="230">
        <v>26.306999999999999</v>
      </c>
      <c r="BS19" s="258"/>
      <c r="BT19" s="199"/>
      <c r="BU19" s="200"/>
      <c r="BV19" s="200"/>
      <c r="BW19" s="200"/>
      <c r="BX19" s="200">
        <v>1.04</v>
      </c>
      <c r="BY19" s="208"/>
      <c r="BZ19" s="208">
        <v>2.67</v>
      </c>
      <c r="CA19" s="201"/>
      <c r="CB19" s="202"/>
      <c r="CC19" s="200">
        <v>43.64</v>
      </c>
      <c r="CD19" s="200">
        <v>41.37</v>
      </c>
      <c r="CE19" s="200">
        <v>35.53</v>
      </c>
      <c r="CF19" s="208"/>
      <c r="CG19" s="208">
        <v>36.46</v>
      </c>
      <c r="CH19" s="209"/>
      <c r="CI19" s="199"/>
      <c r="CJ19" s="197"/>
      <c r="CK19" s="197"/>
      <c r="CL19" s="197">
        <v>265.08</v>
      </c>
      <c r="CM19" s="198"/>
      <c r="CN19" s="202"/>
      <c r="CO19" s="208"/>
      <c r="CP19" s="208"/>
      <c r="CQ19" s="201"/>
      <c r="CR19" s="201">
        <v>0.8</v>
      </c>
      <c r="CS19" s="284"/>
      <c r="CT19" s="286">
        <f t="shared" si="20"/>
        <v>0</v>
      </c>
      <c r="CU19" s="24">
        <f t="shared" si="20"/>
        <v>52.371000000000002</v>
      </c>
      <c r="CV19" s="25">
        <f t="shared" si="20"/>
        <v>212.47300000000001</v>
      </c>
      <c r="CW19" s="24">
        <f t="shared" si="20"/>
        <v>103.2786144</v>
      </c>
      <c r="CX19" s="27">
        <f t="shared" si="20"/>
        <v>0</v>
      </c>
      <c r="CY19" s="24">
        <f t="shared" si="20"/>
        <v>25.604603099999999</v>
      </c>
      <c r="CZ19" s="280">
        <f t="shared" si="20"/>
        <v>0</v>
      </c>
      <c r="DA19" s="237">
        <f t="shared" si="21"/>
        <v>0</v>
      </c>
      <c r="DB19" s="24">
        <f t="shared" si="21"/>
        <v>0</v>
      </c>
      <c r="DC19" s="277">
        <f t="shared" si="21"/>
        <v>265.08</v>
      </c>
      <c r="DD19" s="280">
        <f t="shared" si="21"/>
        <v>0</v>
      </c>
      <c r="DE19" s="508">
        <f t="shared" si="36"/>
        <v>6.4896639999999994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7"/>
        <v>0</v>
      </c>
      <c r="DM19" s="197">
        <v>246.28</v>
      </c>
      <c r="DN19" s="420">
        <f t="shared" si="38"/>
        <v>265.08</v>
      </c>
      <c r="DO19" s="197">
        <v>144.364</v>
      </c>
      <c r="DP19" s="247">
        <f t="shared" si="39"/>
        <v>104.364</v>
      </c>
      <c r="DQ19" s="230">
        <v>170.32300000000001</v>
      </c>
      <c r="DR19" s="247">
        <f t="shared" si="40"/>
        <v>212.47300000000001</v>
      </c>
    </row>
    <row r="20" spans="1:122" ht="16.5" customHeight="1" thickBot="1">
      <c r="A20" s="534">
        <v>14</v>
      </c>
      <c r="B20" s="103">
        <f t="shared" si="24"/>
        <v>411.95699999999999</v>
      </c>
      <c r="C20" s="104">
        <f t="shared" si="0"/>
        <v>0.440062797816277</v>
      </c>
      <c r="D20" s="143">
        <f t="shared" si="1"/>
        <v>410.14413050000002</v>
      </c>
      <c r="E20" s="104">
        <f t="shared" si="2"/>
        <v>40.281844901288238</v>
      </c>
      <c r="F20" s="128">
        <f t="shared" si="3"/>
        <v>2.296523280522528</v>
      </c>
      <c r="G20" s="106"/>
      <c r="H20" s="107">
        <f t="shared" si="4"/>
        <v>0.75893092693743069</v>
      </c>
      <c r="I20" s="103">
        <f>'[1]сентябрь 20'!AE19</f>
        <v>0</v>
      </c>
      <c r="J20" s="328">
        <f>'[1]август 20'!AA19</f>
        <v>6.9690000000000003</v>
      </c>
      <c r="K20" s="106"/>
      <c r="L20" s="328">
        <f t="shared" si="25"/>
        <v>274.60399999999998</v>
      </c>
      <c r="M20" s="103">
        <f t="shared" si="5"/>
        <v>1.537592353585097</v>
      </c>
      <c r="N20" s="103">
        <f>'[1]август 20'!W19</f>
        <v>0</v>
      </c>
      <c r="O20" s="103">
        <f>'[1]август 20'!AM19</f>
        <v>4.2530000000000001</v>
      </c>
      <c r="P20" s="447">
        <f t="shared" si="26"/>
        <v>4.2189760000000005</v>
      </c>
      <c r="Q20" s="103">
        <f t="shared" si="27"/>
        <v>2.3623345754464755E-2</v>
      </c>
      <c r="R20" s="103">
        <v>283.7</v>
      </c>
      <c r="S20" s="108">
        <f t="shared" si="6"/>
        <v>2.7987310539302035</v>
      </c>
      <c r="T20" s="109">
        <f t="shared" si="7"/>
        <v>275.76000000000005</v>
      </c>
      <c r="U20" s="566">
        <v>22.262</v>
      </c>
      <c r="V20" s="109">
        <f t="shared" si="8"/>
        <v>275.76</v>
      </c>
      <c r="W20" s="110">
        <f t="shared" si="9"/>
        <v>1.544065153547022</v>
      </c>
      <c r="X20" s="110">
        <f t="shared" si="28"/>
        <v>1.5676884993014868</v>
      </c>
      <c r="Y20" s="136">
        <v>130.68</v>
      </c>
      <c r="Z20" s="130">
        <v>130.68</v>
      </c>
      <c r="AA20" s="131">
        <v>0.97</v>
      </c>
      <c r="AB20" s="112">
        <v>666</v>
      </c>
      <c r="AC20" s="133">
        <v>1215</v>
      </c>
      <c r="AD20" s="151" t="s">
        <v>410</v>
      </c>
      <c r="AE20" s="131">
        <v>75.92</v>
      </c>
      <c r="AF20" s="133">
        <v>137</v>
      </c>
      <c r="AG20" s="134">
        <v>4</v>
      </c>
      <c r="AH20" s="131">
        <v>0.6</v>
      </c>
      <c r="AI20" s="115">
        <f t="shared" si="10"/>
        <v>3.3595847553242422</v>
      </c>
      <c r="AJ20" s="131">
        <v>120.5</v>
      </c>
      <c r="AK20" s="115">
        <f t="shared" si="11"/>
        <v>674.7166050276187</v>
      </c>
      <c r="AL20" s="139">
        <v>18.829999999999998</v>
      </c>
      <c r="AM20" s="131"/>
      <c r="AN20" s="136">
        <v>11.77</v>
      </c>
      <c r="AO20" s="466">
        <f t="shared" si="29"/>
        <v>43.956499999999998</v>
      </c>
      <c r="AP20" s="110">
        <f t="shared" si="12"/>
        <v>0.19</v>
      </c>
      <c r="AQ20" s="137" t="s">
        <v>224</v>
      </c>
      <c r="AR20" s="150">
        <v>8.65</v>
      </c>
      <c r="AS20" s="138">
        <v>7.03</v>
      </c>
      <c r="AT20" s="131"/>
      <c r="AU20" s="131">
        <v>6.29</v>
      </c>
      <c r="AV20" s="315">
        <v>231.35</v>
      </c>
      <c r="AW20" s="131">
        <v>2.97</v>
      </c>
      <c r="AX20" s="148"/>
      <c r="AY20" s="131"/>
      <c r="AZ20" s="109">
        <f t="shared" si="41"/>
        <v>0</v>
      </c>
      <c r="BA20" s="109">
        <f t="shared" si="13"/>
        <v>178.59349999999998</v>
      </c>
      <c r="BB20" s="115">
        <f t="shared" si="30"/>
        <v>189.97825666456711</v>
      </c>
      <c r="BC20" s="140">
        <f t="shared" si="14"/>
        <v>5.8714049295774648</v>
      </c>
      <c r="BD20" s="141">
        <f t="shared" si="15"/>
        <v>7.1437399999999993</v>
      </c>
      <c r="BE20" s="128">
        <f t="shared" si="16"/>
        <v>0.82068405215068607</v>
      </c>
      <c r="BF20" s="141">
        <f t="shared" si="17"/>
        <v>13.015144929577463</v>
      </c>
      <c r="BG20" s="535">
        <v>0.88100000000000001</v>
      </c>
      <c r="BH20" s="16">
        <f t="shared" si="31"/>
        <v>2500.1709999999998</v>
      </c>
      <c r="BI20" s="16">
        <f t="shared" si="18"/>
        <v>187.09677419354838</v>
      </c>
      <c r="BJ20" s="16">
        <f t="shared" si="32"/>
        <v>2619.3548387096766</v>
      </c>
      <c r="BK20" s="17">
        <f t="shared" si="19"/>
        <v>1</v>
      </c>
      <c r="BL20" s="16">
        <f t="shared" si="33"/>
        <v>2619.3548387096766</v>
      </c>
      <c r="BM20" s="254"/>
      <c r="BN20" s="230">
        <v>54.79</v>
      </c>
      <c r="BO20" s="266">
        <f t="shared" si="34"/>
        <v>219.81399999999999</v>
      </c>
      <c r="BP20" s="445">
        <f t="shared" si="35"/>
        <v>110.15700000000001</v>
      </c>
      <c r="BQ20" s="313"/>
      <c r="BR20" s="230">
        <v>27.196000000000002</v>
      </c>
      <c r="BS20" s="259"/>
      <c r="BT20" s="199"/>
      <c r="BU20" s="200"/>
      <c r="BV20" s="200"/>
      <c r="BW20" s="200"/>
      <c r="BX20" s="200">
        <v>0.91</v>
      </c>
      <c r="BY20" s="208"/>
      <c r="BZ20" s="208">
        <v>2.98</v>
      </c>
      <c r="CA20" s="201"/>
      <c r="CB20" s="202"/>
      <c r="CC20" s="200">
        <v>43.9</v>
      </c>
      <c r="CD20" s="200">
        <v>41.67</v>
      </c>
      <c r="CE20" s="200">
        <v>36.520000000000003</v>
      </c>
      <c r="CF20" s="208"/>
      <c r="CG20" s="208">
        <v>37.01</v>
      </c>
      <c r="CH20" s="209"/>
      <c r="CI20" s="199"/>
      <c r="CJ20" s="197"/>
      <c r="CK20" s="197"/>
      <c r="CL20" s="197">
        <v>275.76</v>
      </c>
      <c r="CM20" s="198"/>
      <c r="CN20" s="202"/>
      <c r="CO20" s="208"/>
      <c r="CP20" s="208"/>
      <c r="CQ20" s="201"/>
      <c r="CR20" s="201">
        <v>0.8</v>
      </c>
      <c r="CS20" s="284"/>
      <c r="CT20" s="286">
        <f t="shared" si="20"/>
        <v>0</v>
      </c>
      <c r="CU20" s="24">
        <f t="shared" si="20"/>
        <v>54.79</v>
      </c>
      <c r="CV20" s="25">
        <f t="shared" si="20"/>
        <v>219.81399999999999</v>
      </c>
      <c r="CW20" s="24">
        <f t="shared" si="20"/>
        <v>109.15457130000001</v>
      </c>
      <c r="CX20" s="27">
        <f t="shared" si="20"/>
        <v>0</v>
      </c>
      <c r="CY20" s="30">
        <f t="shared" si="20"/>
        <v>26.385559199999999</v>
      </c>
      <c r="CZ20" s="280">
        <f t="shared" si="20"/>
        <v>0</v>
      </c>
      <c r="DA20" s="237">
        <f t="shared" si="21"/>
        <v>0</v>
      </c>
      <c r="DB20" s="29">
        <f t="shared" si="21"/>
        <v>0</v>
      </c>
      <c r="DC20" s="277">
        <f t="shared" si="21"/>
        <v>275.76</v>
      </c>
      <c r="DD20" s="280">
        <f t="shared" si="21"/>
        <v>0</v>
      </c>
      <c r="DE20" s="508">
        <f t="shared" si="36"/>
        <v>4.2189760000000005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7"/>
        <v>0</v>
      </c>
      <c r="DM20" s="197">
        <v>256.95999999999998</v>
      </c>
      <c r="DN20" s="420">
        <f t="shared" si="38"/>
        <v>275.76</v>
      </c>
      <c r="DO20" s="197">
        <v>150.15700000000001</v>
      </c>
      <c r="DP20" s="247">
        <f t="shared" si="39"/>
        <v>110.15700000000001</v>
      </c>
      <c r="DQ20" s="230">
        <v>177.66399999999999</v>
      </c>
      <c r="DR20" s="247">
        <f t="shared" si="40"/>
        <v>219.81399999999999</v>
      </c>
    </row>
    <row r="21" spans="1:122" ht="16.5" customHeight="1" thickBot="1">
      <c r="A21" s="534">
        <v>15</v>
      </c>
      <c r="B21" s="103">
        <f t="shared" si="24"/>
        <v>419.19600000000003</v>
      </c>
      <c r="C21" s="104">
        <f t="shared" si="0"/>
        <v>0.54767466769721085</v>
      </c>
      <c r="D21" s="143">
        <f t="shared" si="1"/>
        <v>416.90016970000005</v>
      </c>
      <c r="E21" s="104">
        <f t="shared" si="2"/>
        <v>39.854033101460885</v>
      </c>
      <c r="F21" s="128">
        <f t="shared" si="3"/>
        <v>2.05249728459003</v>
      </c>
      <c r="G21" s="106"/>
      <c r="H21" s="107">
        <f t="shared" si="4"/>
        <v>0.68181465351506643</v>
      </c>
      <c r="I21" s="103">
        <f>'[1]сентябрь 20'!AE20</f>
        <v>0</v>
      </c>
      <c r="J21" s="328">
        <f>'[1]август 20'!AA20</f>
        <v>6.9359999999999999</v>
      </c>
      <c r="K21" s="106"/>
      <c r="L21" s="328">
        <f t="shared" si="25"/>
        <v>278.411</v>
      </c>
      <c r="M21" s="103">
        <f t="shared" si="5"/>
        <v>1.3706826310749636</v>
      </c>
      <c r="N21" s="103">
        <f>'[1]август 20'!W20</f>
        <v>0</v>
      </c>
      <c r="O21" s="103">
        <f>'[1]август 20'!AM20</f>
        <v>0</v>
      </c>
      <c r="P21" s="447">
        <f t="shared" si="26"/>
        <v>0</v>
      </c>
      <c r="Q21" s="103">
        <f t="shared" si="27"/>
        <v>0</v>
      </c>
      <c r="R21" s="103">
        <v>287.63</v>
      </c>
      <c r="S21" s="108">
        <f t="shared" si="6"/>
        <v>3.2228905190696322</v>
      </c>
      <c r="T21" s="109">
        <f t="shared" si="7"/>
        <v>278.36</v>
      </c>
      <c r="U21" s="566"/>
      <c r="V21" s="109">
        <f t="shared" si="8"/>
        <v>278.36</v>
      </c>
      <c r="W21" s="110">
        <f t="shared" si="9"/>
        <v>1.3704315461171681</v>
      </c>
      <c r="X21" s="110">
        <f t="shared" si="28"/>
        <v>1.3704315461171681</v>
      </c>
      <c r="Y21" s="136">
        <v>203.12</v>
      </c>
      <c r="Z21" s="130">
        <v>155.37</v>
      </c>
      <c r="AA21" s="131">
        <v>0.8</v>
      </c>
      <c r="AB21" s="112">
        <v>640</v>
      </c>
      <c r="AC21" s="133">
        <v>1213</v>
      </c>
      <c r="AD21" s="151" t="s">
        <v>411</v>
      </c>
      <c r="AE21" s="131">
        <v>76.260000000000005</v>
      </c>
      <c r="AF21" s="133">
        <v>139</v>
      </c>
      <c r="AG21" s="134">
        <v>4</v>
      </c>
      <c r="AH21" s="131">
        <v>1.3</v>
      </c>
      <c r="AI21" s="115">
        <f t="shared" si="10"/>
        <v>6.4002048065538091</v>
      </c>
      <c r="AJ21" s="131">
        <v>143.30000000000001</v>
      </c>
      <c r="AK21" s="115">
        <f t="shared" si="11"/>
        <v>705.49949906089307</v>
      </c>
      <c r="AL21" s="139">
        <v>22.57</v>
      </c>
      <c r="AM21" s="131"/>
      <c r="AN21" s="136">
        <v>12.56</v>
      </c>
      <c r="AO21" s="466">
        <f t="shared" si="29"/>
        <v>49.751500000000007</v>
      </c>
      <c r="AP21" s="110">
        <f t="shared" si="12"/>
        <v>0.19</v>
      </c>
      <c r="AQ21" s="137" t="s">
        <v>212</v>
      </c>
      <c r="AR21" s="150">
        <v>8.1999999999999993</v>
      </c>
      <c r="AS21" s="138">
        <v>7.15</v>
      </c>
      <c r="AT21" s="131"/>
      <c r="AU21" s="131">
        <v>6.96</v>
      </c>
      <c r="AV21" s="315">
        <v>261.85000000000002</v>
      </c>
      <c r="AW21" s="131">
        <v>3.58</v>
      </c>
      <c r="AX21" s="116"/>
      <c r="AY21" s="131"/>
      <c r="AZ21" s="109">
        <f t="shared" si="41"/>
        <v>0</v>
      </c>
      <c r="BA21" s="109">
        <f t="shared" si="13"/>
        <v>203.11850000000001</v>
      </c>
      <c r="BB21" s="115">
        <f t="shared" si="30"/>
        <v>190.2049398308215</v>
      </c>
      <c r="BC21" s="140">
        <f t="shared" si="14"/>
        <v>7.72609014084507</v>
      </c>
      <c r="BD21" s="141">
        <f t="shared" si="15"/>
        <v>8.124740000000001</v>
      </c>
      <c r="BE21" s="128">
        <f t="shared" si="16"/>
        <v>0.93227047971372423</v>
      </c>
      <c r="BF21" s="141">
        <f t="shared" si="17"/>
        <v>15.850830140845071</v>
      </c>
      <c r="BG21" s="535">
        <v>0.88500000000000001</v>
      </c>
      <c r="BH21" s="16">
        <f t="shared" si="31"/>
        <v>2703.2894999999999</v>
      </c>
      <c r="BI21" s="16">
        <f t="shared" si="18"/>
        <v>187.09677419354838</v>
      </c>
      <c r="BJ21" s="16">
        <f t="shared" si="32"/>
        <v>2806.4516129032249</v>
      </c>
      <c r="BK21" s="17">
        <f t="shared" si="19"/>
        <v>1</v>
      </c>
      <c r="BL21" s="16">
        <f t="shared" si="33"/>
        <v>2806.4516129032249</v>
      </c>
      <c r="BM21" s="254"/>
      <c r="BN21" s="230">
        <v>55.578000000000003</v>
      </c>
      <c r="BO21" s="266">
        <f t="shared" si="34"/>
        <v>222.833</v>
      </c>
      <c r="BP21" s="445">
        <f t="shared" si="35"/>
        <v>112.791</v>
      </c>
      <c r="BQ21" s="313"/>
      <c r="BR21" s="230">
        <v>27.994</v>
      </c>
      <c r="BS21" s="259"/>
      <c r="BT21" s="199"/>
      <c r="BU21" s="200"/>
      <c r="BV21" s="200"/>
      <c r="BW21" s="200"/>
      <c r="BX21" s="200">
        <v>1.07</v>
      </c>
      <c r="BY21" s="208"/>
      <c r="BZ21" s="208">
        <v>3.89</v>
      </c>
      <c r="CA21" s="201"/>
      <c r="CB21" s="202"/>
      <c r="CC21" s="200">
        <v>43.69</v>
      </c>
      <c r="CD21" s="200">
        <v>41.58</v>
      </c>
      <c r="CE21" s="200">
        <v>35.24</v>
      </c>
      <c r="CF21" s="208"/>
      <c r="CG21" s="208">
        <v>37.090000000000003</v>
      </c>
      <c r="CH21" s="209"/>
      <c r="CI21" s="199"/>
      <c r="CJ21" s="197"/>
      <c r="CK21" s="197"/>
      <c r="CL21" s="197">
        <v>278.36</v>
      </c>
      <c r="CM21" s="198"/>
      <c r="CN21" s="202"/>
      <c r="CO21" s="208"/>
      <c r="CP21" s="208"/>
      <c r="CQ21" s="201"/>
      <c r="CR21" s="201">
        <v>0.8</v>
      </c>
      <c r="CS21" s="284"/>
      <c r="CT21" s="286">
        <f t="shared" si="20"/>
        <v>0</v>
      </c>
      <c r="CU21" s="27">
        <f t="shared" si="20"/>
        <v>55.578000000000003</v>
      </c>
      <c r="CV21" s="28">
        <f t="shared" si="20"/>
        <v>222.833</v>
      </c>
      <c r="CW21" s="27">
        <f t="shared" si="20"/>
        <v>111.58413630000001</v>
      </c>
      <c r="CX21" s="27">
        <f t="shared" si="20"/>
        <v>0</v>
      </c>
      <c r="CY21" s="24">
        <f t="shared" si="20"/>
        <v>26.905033399999997</v>
      </c>
      <c r="CZ21" s="281">
        <f t="shared" si="20"/>
        <v>0</v>
      </c>
      <c r="DA21" s="237">
        <f t="shared" si="21"/>
        <v>0</v>
      </c>
      <c r="DB21" s="24">
        <f t="shared" si="21"/>
        <v>0</v>
      </c>
      <c r="DC21" s="277">
        <f t="shared" si="21"/>
        <v>278.36</v>
      </c>
      <c r="DD21" s="280">
        <f t="shared" si="21"/>
        <v>0</v>
      </c>
      <c r="DE21" s="508">
        <f t="shared" si="36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7"/>
        <v>0</v>
      </c>
      <c r="DM21" s="197">
        <v>259.56</v>
      </c>
      <c r="DN21" s="420">
        <f t="shared" si="38"/>
        <v>278.36</v>
      </c>
      <c r="DO21" s="197">
        <v>152.791</v>
      </c>
      <c r="DP21" s="247">
        <f t="shared" si="39"/>
        <v>112.791</v>
      </c>
      <c r="DQ21" s="230">
        <v>180.68299999999999</v>
      </c>
      <c r="DR21" s="247">
        <f t="shared" si="40"/>
        <v>222.833</v>
      </c>
    </row>
    <row r="22" spans="1:122" ht="16.5" customHeight="1" thickBot="1">
      <c r="A22" s="534">
        <v>16</v>
      </c>
      <c r="B22" s="103">
        <f t="shared" si="24"/>
        <v>434.45599999999996</v>
      </c>
      <c r="C22" s="104">
        <f t="shared" si="0"/>
        <v>0.55515670171432796</v>
      </c>
      <c r="D22" s="143">
        <f t="shared" si="1"/>
        <v>432.04408839999996</v>
      </c>
      <c r="E22" s="104">
        <f t="shared" si="2"/>
        <v>39.963748595945276</v>
      </c>
      <c r="F22" s="128">
        <f t="shared" si="3"/>
        <v>2.202413172349281</v>
      </c>
      <c r="G22" s="106"/>
      <c r="H22" s="107">
        <f t="shared" si="4"/>
        <v>0.73904876878805714</v>
      </c>
      <c r="I22" s="103">
        <f>'[1]сентябрь 20'!AE21</f>
        <v>0</v>
      </c>
      <c r="J22" s="328">
        <f>'[1]август 20'!AA21</f>
        <v>7.1970000000000001</v>
      </c>
      <c r="K22" s="106"/>
      <c r="L22" s="328">
        <f t="shared" si="25"/>
        <v>287.06599999999997</v>
      </c>
      <c r="M22" s="103">
        <f t="shared" si="5"/>
        <v>1.4633644035612241</v>
      </c>
      <c r="N22" s="103">
        <f>'[1]август 20'!W21</f>
        <v>0</v>
      </c>
      <c r="O22" s="103">
        <f>'[1]август 20'!AM21</f>
        <v>0</v>
      </c>
      <c r="P22" s="447">
        <f t="shared" si="26"/>
        <v>0</v>
      </c>
      <c r="Q22" s="103">
        <f t="shared" si="27"/>
        <v>0</v>
      </c>
      <c r="R22" s="103">
        <v>300.83</v>
      </c>
      <c r="S22" s="108">
        <f t="shared" si="6"/>
        <v>3.7030881228600876</v>
      </c>
      <c r="T22" s="109">
        <f t="shared" si="7"/>
        <v>289.68999999999994</v>
      </c>
      <c r="U22" s="566"/>
      <c r="V22" s="109">
        <f t="shared" si="8"/>
        <v>289.69</v>
      </c>
      <c r="W22" s="110">
        <f t="shared" si="9"/>
        <v>1.4767406591782062</v>
      </c>
      <c r="X22" s="110">
        <f t="shared" si="28"/>
        <v>1.4767406591782062</v>
      </c>
      <c r="Y22" s="136">
        <v>196.17</v>
      </c>
      <c r="Z22" s="129">
        <v>196.17</v>
      </c>
      <c r="AA22" s="131">
        <v>0.36</v>
      </c>
      <c r="AB22" s="112">
        <v>572</v>
      </c>
      <c r="AC22" s="152">
        <v>1216</v>
      </c>
      <c r="AD22" s="144" t="s">
        <v>412</v>
      </c>
      <c r="AE22" s="131">
        <v>75.77</v>
      </c>
      <c r="AF22" s="133">
        <v>144</v>
      </c>
      <c r="AG22" s="134">
        <v>4</v>
      </c>
      <c r="AH22" s="131">
        <v>1</v>
      </c>
      <c r="AI22" s="115">
        <f t="shared" si="10"/>
        <v>5.0976583906182702</v>
      </c>
      <c r="AJ22" s="131">
        <v>143</v>
      </c>
      <c r="AK22" s="115">
        <f t="shared" si="11"/>
        <v>728.96514985841259</v>
      </c>
      <c r="AL22" s="139">
        <v>19.18</v>
      </c>
      <c r="AM22" s="131"/>
      <c r="AN22" s="136">
        <v>10.44</v>
      </c>
      <c r="AO22" s="466">
        <f t="shared" si="29"/>
        <v>47.661499999999997</v>
      </c>
      <c r="AP22" s="110">
        <f t="shared" si="12"/>
        <v>0.19</v>
      </c>
      <c r="AQ22" s="137" t="s">
        <v>413</v>
      </c>
      <c r="AR22" s="150">
        <v>7.5</v>
      </c>
      <c r="AS22" s="138">
        <v>6.63</v>
      </c>
      <c r="AT22" s="134"/>
      <c r="AU22" s="131">
        <v>8.9</v>
      </c>
      <c r="AV22" s="315">
        <v>250.85</v>
      </c>
      <c r="AW22" s="131">
        <v>3.42</v>
      </c>
      <c r="AX22" s="116"/>
      <c r="AY22" s="131"/>
      <c r="AZ22" s="109">
        <f t="shared" si="41"/>
        <v>0</v>
      </c>
      <c r="BA22" s="109">
        <f t="shared" si="13"/>
        <v>196.16849999999999</v>
      </c>
      <c r="BB22" s="115">
        <f t="shared" si="30"/>
        <v>198.93501995673549</v>
      </c>
      <c r="BC22" s="140">
        <f t="shared" si="14"/>
        <v>9.8589436619718303</v>
      </c>
      <c r="BD22" s="141">
        <f t="shared" si="15"/>
        <v>7.8467399999999996</v>
      </c>
      <c r="BE22" s="128">
        <f t="shared" si="16"/>
        <v>0.86085949340264312</v>
      </c>
      <c r="BF22" s="141">
        <f t="shared" si="17"/>
        <v>17.705683661971829</v>
      </c>
      <c r="BG22" s="535">
        <v>0.88300000000000001</v>
      </c>
      <c r="BH22" s="16">
        <f t="shared" si="31"/>
        <v>2899.4579999999996</v>
      </c>
      <c r="BI22" s="16">
        <f t="shared" si="18"/>
        <v>187.09677419354838</v>
      </c>
      <c r="BJ22" s="16">
        <f t="shared" si="32"/>
        <v>2993.5483870967732</v>
      </c>
      <c r="BK22" s="17">
        <f t="shared" si="19"/>
        <v>1</v>
      </c>
      <c r="BL22" s="16">
        <f t="shared" si="33"/>
        <v>2993.5483870967732</v>
      </c>
      <c r="BM22" s="254"/>
      <c r="BN22" s="230">
        <v>57.502000000000002</v>
      </c>
      <c r="BO22" s="266">
        <f t="shared" si="34"/>
        <v>229.56399999999999</v>
      </c>
      <c r="BP22" s="445">
        <f t="shared" si="35"/>
        <v>118.56200000000001</v>
      </c>
      <c r="BQ22" s="313"/>
      <c r="BR22" s="230">
        <v>28.827999999999999</v>
      </c>
      <c r="BS22" s="258"/>
      <c r="BT22" s="199"/>
      <c r="BU22" s="200"/>
      <c r="BV22" s="200"/>
      <c r="BW22" s="200"/>
      <c r="BX22" s="200">
        <v>1.3</v>
      </c>
      <c r="BY22" s="208"/>
      <c r="BZ22" s="208">
        <v>3.02</v>
      </c>
      <c r="CA22" s="201"/>
      <c r="CB22" s="202"/>
      <c r="CC22" s="200">
        <v>43.64</v>
      </c>
      <c r="CD22" s="200">
        <v>41.62</v>
      </c>
      <c r="CE22" s="200">
        <v>35.5</v>
      </c>
      <c r="CF22" s="208"/>
      <c r="CG22" s="208">
        <v>37.799999999999997</v>
      </c>
      <c r="CH22" s="201"/>
      <c r="CI22" s="199"/>
      <c r="CJ22" s="197"/>
      <c r="CK22" s="197"/>
      <c r="CL22" s="197">
        <v>289.69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0</v>
      </c>
      <c r="CU22" s="29">
        <f t="shared" si="20"/>
        <v>57.502000000000002</v>
      </c>
      <c r="CV22" s="30">
        <f t="shared" si="20"/>
        <v>229.56399999999999</v>
      </c>
      <c r="CW22" s="29">
        <f t="shared" si="20"/>
        <v>117.02069400000001</v>
      </c>
      <c r="CX22" s="27">
        <f t="shared" si="20"/>
        <v>0</v>
      </c>
      <c r="CY22" s="24">
        <f t="shared" si="20"/>
        <v>27.957394399999998</v>
      </c>
      <c r="CZ22" s="282">
        <f t="shared" si="20"/>
        <v>0</v>
      </c>
      <c r="DA22" s="237">
        <f t="shared" si="21"/>
        <v>0</v>
      </c>
      <c r="DB22" s="24">
        <f t="shared" si="21"/>
        <v>0</v>
      </c>
      <c r="DC22" s="277">
        <f t="shared" si="21"/>
        <v>289.69</v>
      </c>
      <c r="DD22" s="280">
        <f t="shared" si="21"/>
        <v>0</v>
      </c>
      <c r="DE22" s="508">
        <f t="shared" si="36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7"/>
        <v>0</v>
      </c>
      <c r="DM22" s="197">
        <v>270.89</v>
      </c>
      <c r="DN22" s="420">
        <f t="shared" si="38"/>
        <v>289.69</v>
      </c>
      <c r="DO22" s="197">
        <v>158.56200000000001</v>
      </c>
      <c r="DP22" s="247">
        <f t="shared" si="39"/>
        <v>118.56200000000001</v>
      </c>
      <c r="DQ22" s="230">
        <v>187.41399999999999</v>
      </c>
      <c r="DR22" s="247">
        <f t="shared" si="40"/>
        <v>229.56399999999999</v>
      </c>
    </row>
    <row r="23" spans="1:122" ht="16.5" customHeight="1" thickBot="1">
      <c r="A23" s="534">
        <v>17</v>
      </c>
      <c r="B23" s="103">
        <f t="shared" si="24"/>
        <v>437.22399999999999</v>
      </c>
      <c r="C23" s="104">
        <f t="shared" si="0"/>
        <v>0.54610547453936653</v>
      </c>
      <c r="D23" s="143">
        <f t="shared" si="1"/>
        <v>434.83629580000002</v>
      </c>
      <c r="E23" s="104">
        <f t="shared" si="2"/>
        <v>40.219151876383727</v>
      </c>
      <c r="F23" s="128">
        <f t="shared" si="3"/>
        <v>2.251748588502438</v>
      </c>
      <c r="G23" s="106"/>
      <c r="H23" s="107">
        <f t="shared" si="4"/>
        <v>0.75713798990733294</v>
      </c>
      <c r="I23" s="103">
        <f>'[1]сентябрь 20'!AE22</f>
        <v>0</v>
      </c>
      <c r="J23" s="328">
        <f>'[1]август 20'!AA22</f>
        <v>6.8019999999999996</v>
      </c>
      <c r="K23" s="106"/>
      <c r="L23" s="328">
        <f t="shared" si="25"/>
        <v>288.625</v>
      </c>
      <c r="M23" s="103">
        <f t="shared" si="5"/>
        <v>1.4946105985951048</v>
      </c>
      <c r="N23" s="103">
        <f>'[1]август 20'!W22</f>
        <v>0</v>
      </c>
      <c r="O23" s="103">
        <f>'[1]август 20'!AM22</f>
        <v>0</v>
      </c>
      <c r="P23" s="447">
        <f t="shared" si="26"/>
        <v>0</v>
      </c>
      <c r="Q23" s="103">
        <f t="shared" si="27"/>
        <v>0</v>
      </c>
      <c r="R23" s="103">
        <v>303.45</v>
      </c>
      <c r="S23" s="108">
        <f t="shared" si="6"/>
        <v>3.4206623826000926</v>
      </c>
      <c r="T23" s="109">
        <f t="shared" si="7"/>
        <v>293.07</v>
      </c>
      <c r="U23" s="566">
        <v>23.928999999999998</v>
      </c>
      <c r="V23" s="109">
        <f t="shared" si="8"/>
        <v>293.07</v>
      </c>
      <c r="W23" s="110">
        <f t="shared" si="9"/>
        <v>1.5176285080303764</v>
      </c>
      <c r="X23" s="110">
        <f t="shared" si="28"/>
        <v>1.5176285080303764</v>
      </c>
      <c r="Y23" s="136">
        <v>193.11</v>
      </c>
      <c r="Z23" s="129">
        <v>193.11</v>
      </c>
      <c r="AA23" s="131">
        <v>0.81</v>
      </c>
      <c r="AB23" s="112">
        <v>649</v>
      </c>
      <c r="AC23" s="133">
        <v>1219</v>
      </c>
      <c r="AD23" s="144" t="s">
        <v>414</v>
      </c>
      <c r="AE23" s="131">
        <v>76.33</v>
      </c>
      <c r="AF23" s="133">
        <v>145</v>
      </c>
      <c r="AG23" s="134">
        <v>4</v>
      </c>
      <c r="AH23" s="131"/>
      <c r="AI23" s="115">
        <f t="shared" si="10"/>
        <v>0</v>
      </c>
      <c r="AJ23" s="131">
        <v>136.94999999999999</v>
      </c>
      <c r="AK23" s="115">
        <f t="shared" si="11"/>
        <v>709.17945942866902</v>
      </c>
      <c r="AL23" s="139">
        <v>17.940000000000001</v>
      </c>
      <c r="AM23" s="131"/>
      <c r="AN23" s="136">
        <v>10.51</v>
      </c>
      <c r="AO23" s="466">
        <f t="shared" si="29"/>
        <v>47.319500000000005</v>
      </c>
      <c r="AP23" s="110">
        <f t="shared" si="12"/>
        <v>0.19</v>
      </c>
      <c r="AQ23" s="137" t="s">
        <v>415</v>
      </c>
      <c r="AR23" s="150">
        <v>8.08</v>
      </c>
      <c r="AS23" s="138">
        <v>7.16</v>
      </c>
      <c r="AT23" s="134"/>
      <c r="AU23" s="131">
        <v>7.4</v>
      </c>
      <c r="AV23" s="315">
        <v>249.05</v>
      </c>
      <c r="AW23" s="131">
        <v>1.89</v>
      </c>
      <c r="AX23" s="116"/>
      <c r="AY23" s="131"/>
      <c r="AZ23" s="109">
        <f t="shared" si="41"/>
        <v>0</v>
      </c>
      <c r="BA23" s="109">
        <f t="shared" si="13"/>
        <v>193.1105</v>
      </c>
      <c r="BB23" s="115">
        <f t="shared" si="30"/>
        <v>200.02195926021213</v>
      </c>
      <c r="BC23" s="140">
        <f t="shared" si="14"/>
        <v>7.8505140845070418</v>
      </c>
      <c r="BD23" s="141">
        <f t="shared" si="15"/>
        <v>7.7244200000000003</v>
      </c>
      <c r="BE23" s="128">
        <f t="shared" si="16"/>
        <v>0.842834792357394</v>
      </c>
      <c r="BF23" s="141">
        <f t="shared" si="17"/>
        <v>15.574934084507042</v>
      </c>
      <c r="BG23" s="535">
        <v>0.88100000000000001</v>
      </c>
      <c r="BH23" s="16">
        <f t="shared" si="31"/>
        <v>3092.5684999999994</v>
      </c>
      <c r="BI23" s="16">
        <f t="shared" si="18"/>
        <v>187.09677419354838</v>
      </c>
      <c r="BJ23" s="16">
        <f t="shared" si="32"/>
        <v>3180.6451612903215</v>
      </c>
      <c r="BK23" s="17">
        <f t="shared" si="19"/>
        <v>1</v>
      </c>
      <c r="BL23" s="16">
        <f t="shared" si="33"/>
        <v>3180.6451612903215</v>
      </c>
      <c r="BM23" s="254"/>
      <c r="BN23" s="230">
        <v>57.981999999999999</v>
      </c>
      <c r="BO23" s="266">
        <f t="shared" si="34"/>
        <v>230.643</v>
      </c>
      <c r="BP23" s="445">
        <f t="shared" si="35"/>
        <v>119.54400000000001</v>
      </c>
      <c r="BQ23" s="313"/>
      <c r="BR23" s="230">
        <v>29.055</v>
      </c>
      <c r="BS23" s="258"/>
      <c r="BT23" s="199"/>
      <c r="BU23" s="200"/>
      <c r="BV23" s="200"/>
      <c r="BW23" s="200"/>
      <c r="BX23" s="200">
        <v>1.38</v>
      </c>
      <c r="BY23" s="208"/>
      <c r="BZ23" s="208">
        <v>2.54</v>
      </c>
      <c r="CA23" s="201"/>
      <c r="CB23" s="202"/>
      <c r="CC23" s="200">
        <v>43.71</v>
      </c>
      <c r="CD23" s="200">
        <v>41.69</v>
      </c>
      <c r="CE23" s="200">
        <v>36.229999999999997</v>
      </c>
      <c r="CF23" s="208"/>
      <c r="CG23" s="208">
        <v>37.99</v>
      </c>
      <c r="CH23" s="209"/>
      <c r="CI23" s="199"/>
      <c r="CJ23" s="197"/>
      <c r="CK23" s="197"/>
      <c r="CL23" s="197">
        <v>293.07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0</v>
      </c>
      <c r="CU23" s="24">
        <f t="shared" si="20"/>
        <v>57.981999999999999</v>
      </c>
      <c r="CV23" s="25">
        <f t="shared" si="20"/>
        <v>230.643</v>
      </c>
      <c r="CW23" s="24">
        <f t="shared" si="20"/>
        <v>117.89429280000002</v>
      </c>
      <c r="CX23" s="27">
        <f t="shared" si="20"/>
        <v>0</v>
      </c>
      <c r="CY23" s="24">
        <f t="shared" si="20"/>
        <v>28.317002999999996</v>
      </c>
      <c r="CZ23" s="280">
        <f t="shared" si="20"/>
        <v>0</v>
      </c>
      <c r="DA23" s="237">
        <f t="shared" si="21"/>
        <v>0</v>
      </c>
      <c r="DB23" s="29">
        <f t="shared" si="21"/>
        <v>0</v>
      </c>
      <c r="DC23" s="277">
        <f t="shared" si="21"/>
        <v>293.07</v>
      </c>
      <c r="DD23" s="280">
        <f t="shared" si="21"/>
        <v>0</v>
      </c>
      <c r="DE23" s="508">
        <f t="shared" si="36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7"/>
        <v>0</v>
      </c>
      <c r="DM23" s="197">
        <v>274.27</v>
      </c>
      <c r="DN23" s="420">
        <f t="shared" si="38"/>
        <v>293.07</v>
      </c>
      <c r="DO23" s="197">
        <v>159.54400000000001</v>
      </c>
      <c r="DP23" s="247">
        <f t="shared" si="39"/>
        <v>119.54400000000001</v>
      </c>
      <c r="DQ23" s="230">
        <v>188.49299999999999</v>
      </c>
      <c r="DR23" s="247">
        <f t="shared" si="40"/>
        <v>230.643</v>
      </c>
    </row>
    <row r="24" spans="1:122" ht="16.5" customHeight="1" thickBot="1">
      <c r="A24" s="534">
        <v>18</v>
      </c>
      <c r="B24" s="103">
        <f t="shared" si="24"/>
        <v>443.11800000000005</v>
      </c>
      <c r="C24" s="104">
        <f t="shared" si="0"/>
        <v>0.5474631362300787</v>
      </c>
      <c r="D24" s="143">
        <f t="shared" si="1"/>
        <v>440.69209230000007</v>
      </c>
      <c r="E24" s="104">
        <f t="shared" si="2"/>
        <v>39.816334926588397</v>
      </c>
      <c r="F24" s="128">
        <f t="shared" si="3"/>
        <v>2.1393702764434459</v>
      </c>
      <c r="G24" s="106"/>
      <c r="H24" s="107">
        <f t="shared" si="4"/>
        <v>0.7217146935674531</v>
      </c>
      <c r="I24" s="103">
        <f>'[1]сентябрь 20'!AE23</f>
        <v>0</v>
      </c>
      <c r="J24" s="328">
        <f>'[1]август 20'!AA23</f>
        <v>7.3040000000000003</v>
      </c>
      <c r="K24" s="106"/>
      <c r="L24" s="328">
        <f t="shared" si="25"/>
        <v>292.02500000000003</v>
      </c>
      <c r="M24" s="103">
        <f t="shared" si="5"/>
        <v>1.4176555828759927</v>
      </c>
      <c r="N24" s="103">
        <f>'[1]август 20'!W23</f>
        <v>0</v>
      </c>
      <c r="O24" s="103">
        <f>'[1]август 20'!AM23</f>
        <v>0</v>
      </c>
      <c r="P24" s="447">
        <f t="shared" si="26"/>
        <v>0</v>
      </c>
      <c r="Q24" s="103">
        <f t="shared" si="27"/>
        <v>0</v>
      </c>
      <c r="R24" s="103">
        <v>309.08</v>
      </c>
      <c r="S24" s="108">
        <f t="shared" si="6"/>
        <v>3.6754238384884008</v>
      </c>
      <c r="T24" s="109">
        <f t="shared" si="7"/>
        <v>297.72000000000003</v>
      </c>
      <c r="U24" s="106">
        <v>5.31</v>
      </c>
      <c r="V24" s="109">
        <f t="shared" si="8"/>
        <v>297.72000000000003</v>
      </c>
      <c r="W24" s="110">
        <f t="shared" si="9"/>
        <v>1.4453023547088111</v>
      </c>
      <c r="X24" s="110">
        <f t="shared" si="28"/>
        <v>1.4453023547088111</v>
      </c>
      <c r="Y24" s="136">
        <v>205.99</v>
      </c>
      <c r="Z24" s="129">
        <v>205.99</v>
      </c>
      <c r="AA24" s="131">
        <v>0.57999999999999996</v>
      </c>
      <c r="AB24" s="133">
        <v>643</v>
      </c>
      <c r="AC24" s="133">
        <v>1229</v>
      </c>
      <c r="AD24" s="144" t="s">
        <v>363</v>
      </c>
      <c r="AE24" s="131">
        <v>76.040000000000006</v>
      </c>
      <c r="AF24" s="133">
        <v>147</v>
      </c>
      <c r="AG24" s="134">
        <v>4</v>
      </c>
      <c r="AH24" s="131">
        <v>1.2</v>
      </c>
      <c r="AI24" s="115">
        <f t="shared" si="10"/>
        <v>5.825483090321689</v>
      </c>
      <c r="AJ24" s="131">
        <v>142.05000000000001</v>
      </c>
      <c r="AK24" s="115">
        <f t="shared" si="11"/>
        <v>689.59156081682988</v>
      </c>
      <c r="AL24" s="139">
        <v>27.96</v>
      </c>
      <c r="AM24" s="131"/>
      <c r="AN24" s="136">
        <v>10.73</v>
      </c>
      <c r="AO24" s="466">
        <f t="shared" si="29"/>
        <v>50.188499999999998</v>
      </c>
      <c r="AP24" s="110">
        <f t="shared" si="12"/>
        <v>0.19</v>
      </c>
      <c r="AQ24" s="137" t="s">
        <v>202</v>
      </c>
      <c r="AR24" s="150">
        <v>7.9</v>
      </c>
      <c r="AS24" s="138">
        <v>7.47</v>
      </c>
      <c r="AT24" s="134"/>
      <c r="AU24" s="131">
        <v>7.27</v>
      </c>
      <c r="AV24" s="315">
        <v>264.14999999999998</v>
      </c>
      <c r="AW24" s="131">
        <v>2.76</v>
      </c>
      <c r="AX24" s="116"/>
      <c r="AY24" s="131"/>
      <c r="AZ24" s="109">
        <f t="shared" si="41"/>
        <v>0</v>
      </c>
      <c r="BA24" s="109">
        <f t="shared" si="13"/>
        <v>205.99149999999997</v>
      </c>
      <c r="BB24" s="115">
        <f t="shared" si="30"/>
        <v>201.4506505169424</v>
      </c>
      <c r="BC24" s="140">
        <f t="shared" si="14"/>
        <v>7.9998158450704224</v>
      </c>
      <c r="BD24" s="141"/>
      <c r="BE24" s="128">
        <f t="shared" si="16"/>
        <v>0.89267807792398202</v>
      </c>
      <c r="BF24" s="141">
        <f t="shared" si="17"/>
        <v>7.9998158450704224</v>
      </c>
      <c r="BG24" s="535">
        <v>0.88100000000000001</v>
      </c>
      <c r="BH24" s="16">
        <f t="shared" si="31"/>
        <v>3298.5599999999995</v>
      </c>
      <c r="BI24" s="16">
        <f t="shared" si="18"/>
        <v>187.09677419354838</v>
      </c>
      <c r="BJ24" s="16">
        <f t="shared" si="32"/>
        <v>3367.7419354838698</v>
      </c>
      <c r="BK24" s="17">
        <f t="shared" si="19"/>
        <v>1</v>
      </c>
      <c r="BL24" s="16">
        <f t="shared" si="33"/>
        <v>3367.7419354838698</v>
      </c>
      <c r="BM24" s="254"/>
      <c r="BN24" s="230">
        <v>58.779000000000003</v>
      </c>
      <c r="BO24" s="266">
        <f t="shared" si="34"/>
        <v>233.24600000000001</v>
      </c>
      <c r="BP24" s="445">
        <f t="shared" si="35"/>
        <v>121.697</v>
      </c>
      <c r="BQ24" s="313"/>
      <c r="BR24" s="230">
        <v>29.396000000000001</v>
      </c>
      <c r="BS24" s="258"/>
      <c r="BT24" s="199"/>
      <c r="BU24" s="200"/>
      <c r="BV24" s="200"/>
      <c r="BW24" s="200"/>
      <c r="BX24" s="200">
        <v>1.0900000000000001</v>
      </c>
      <c r="BY24" s="208"/>
      <c r="BZ24" s="208">
        <v>3.74</v>
      </c>
      <c r="CA24" s="201"/>
      <c r="CB24" s="202"/>
      <c r="CC24" s="200">
        <v>44.16</v>
      </c>
      <c r="CD24" s="200">
        <v>41.7</v>
      </c>
      <c r="CE24" s="200">
        <v>35.1</v>
      </c>
      <c r="CF24" s="208"/>
      <c r="CG24" s="208">
        <v>35.71</v>
      </c>
      <c r="CH24" s="209"/>
      <c r="CI24" s="199"/>
      <c r="CJ24" s="197"/>
      <c r="CK24" s="197"/>
      <c r="CL24" s="197">
        <v>297.72000000000003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0</v>
      </c>
      <c r="CU24" s="29">
        <f t="shared" si="20"/>
        <v>58.779000000000003</v>
      </c>
      <c r="CV24" s="30">
        <f t="shared" si="20"/>
        <v>233.24600000000001</v>
      </c>
      <c r="CW24" s="29">
        <f t="shared" si="20"/>
        <v>120.3705027</v>
      </c>
      <c r="CX24" s="27">
        <f t="shared" si="20"/>
        <v>0</v>
      </c>
      <c r="CY24" s="27">
        <f t="shared" si="20"/>
        <v>28.296589600000001</v>
      </c>
      <c r="CZ24" s="282">
        <f t="shared" si="20"/>
        <v>0</v>
      </c>
      <c r="DA24" s="25">
        <f t="shared" si="21"/>
        <v>0</v>
      </c>
      <c r="DB24" s="26">
        <f t="shared" si="21"/>
        <v>0</v>
      </c>
      <c r="DC24" s="277">
        <f t="shared" si="21"/>
        <v>297.72000000000003</v>
      </c>
      <c r="DD24" s="280">
        <f t="shared" si="21"/>
        <v>0</v>
      </c>
      <c r="DE24" s="508">
        <f t="shared" si="36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7"/>
        <v>0</v>
      </c>
      <c r="DM24" s="197">
        <v>278.92</v>
      </c>
      <c r="DN24" s="420">
        <f t="shared" si="38"/>
        <v>297.72000000000003</v>
      </c>
      <c r="DO24" s="197">
        <v>161.697</v>
      </c>
      <c r="DP24" s="247">
        <f t="shared" si="39"/>
        <v>121.697</v>
      </c>
      <c r="DQ24" s="230">
        <v>191.096</v>
      </c>
      <c r="DR24" s="247">
        <f t="shared" si="40"/>
        <v>233.24600000000001</v>
      </c>
    </row>
    <row r="25" spans="1:122" ht="16.5" customHeight="1" thickBot="1">
      <c r="A25" s="534">
        <v>19</v>
      </c>
      <c r="B25" s="103">
        <f t="shared" si="24"/>
        <v>418.38399999999996</v>
      </c>
      <c r="C25" s="104">
        <f t="shared" si="0"/>
        <v>0.50149530096753225</v>
      </c>
      <c r="D25" s="143">
        <f t="shared" si="1"/>
        <v>416.28582389999997</v>
      </c>
      <c r="E25" s="104">
        <f t="shared" si="2"/>
        <v>40.027218320968302</v>
      </c>
      <c r="F25" s="128">
        <f t="shared" si="3"/>
        <v>2.3409201141539668</v>
      </c>
      <c r="G25" s="106"/>
      <c r="H25" s="107">
        <f t="shared" si="4"/>
        <v>0.77951315244896813</v>
      </c>
      <c r="I25" s="103">
        <f>'[1]сентябрь 20'!AE24</f>
        <v>0</v>
      </c>
      <c r="J25" s="328">
        <f>'[1]август 20'!AA24</f>
        <v>7.8680000000000003</v>
      </c>
      <c r="K25" s="106"/>
      <c r="L25" s="328">
        <f t="shared" si="25"/>
        <v>277.66499999999996</v>
      </c>
      <c r="M25" s="103">
        <f t="shared" si="5"/>
        <v>1.5614069617049988</v>
      </c>
      <c r="N25" s="103">
        <f>'[1]август 20'!W24</f>
        <v>0</v>
      </c>
      <c r="O25" s="103">
        <f>'[1]август 20'!AM24</f>
        <v>0</v>
      </c>
      <c r="P25" s="447">
        <f t="shared" si="26"/>
        <v>0</v>
      </c>
      <c r="Q25" s="103">
        <f t="shared" si="27"/>
        <v>0</v>
      </c>
      <c r="R25" s="103">
        <v>291.55</v>
      </c>
      <c r="S25" s="108">
        <f t="shared" si="6"/>
        <v>3.1589778768650434</v>
      </c>
      <c r="T25" s="109">
        <f t="shared" si="7"/>
        <v>282.34000000000003</v>
      </c>
      <c r="U25" s="566">
        <v>34.979999999999997</v>
      </c>
      <c r="V25" s="109">
        <f t="shared" si="8"/>
        <v>282.33999999999997</v>
      </c>
      <c r="W25" s="110">
        <f t="shared" si="9"/>
        <v>1.5876961142664343</v>
      </c>
      <c r="X25" s="110">
        <f t="shared" si="28"/>
        <v>1.5876961142664343</v>
      </c>
      <c r="Y25" s="136">
        <v>177.83</v>
      </c>
      <c r="Z25" s="129">
        <v>107.04</v>
      </c>
      <c r="AA25" s="131">
        <v>1.04</v>
      </c>
      <c r="AB25" s="133">
        <v>687</v>
      </c>
      <c r="AC25" s="133">
        <v>1231</v>
      </c>
      <c r="AD25" s="144" t="s">
        <v>160</v>
      </c>
      <c r="AE25" s="131">
        <v>75.72</v>
      </c>
      <c r="AF25" s="133">
        <v>139</v>
      </c>
      <c r="AG25" s="134">
        <v>4</v>
      </c>
      <c r="AH25" s="131">
        <v>1.75</v>
      </c>
      <c r="AI25" s="115">
        <f t="shared" si="10"/>
        <v>9.8408592475960184</v>
      </c>
      <c r="AJ25" s="131">
        <v>128.55000000000001</v>
      </c>
      <c r="AK25" s="115">
        <f t="shared" si="11"/>
        <v>722.88140358769613</v>
      </c>
      <c r="AL25" s="139">
        <v>27.96</v>
      </c>
      <c r="AM25" s="131"/>
      <c r="AN25" s="136">
        <v>10.44</v>
      </c>
      <c r="AO25" s="466">
        <v>76.27</v>
      </c>
      <c r="AP25" s="110">
        <f t="shared" si="12"/>
        <v>0.29171925798431825</v>
      </c>
      <c r="AQ25" s="137" t="s">
        <v>416</v>
      </c>
      <c r="AR25" s="150">
        <v>8.0500000000000007</v>
      </c>
      <c r="AS25" s="138">
        <v>7.03</v>
      </c>
      <c r="AT25" s="153"/>
      <c r="AU25" s="131">
        <v>7.89</v>
      </c>
      <c r="AV25" s="315">
        <v>261.45</v>
      </c>
      <c r="AW25" s="131">
        <v>3.09</v>
      </c>
      <c r="AX25" s="148"/>
      <c r="AY25" s="131"/>
      <c r="AZ25" s="109">
        <f t="shared" si="41"/>
        <v>0</v>
      </c>
      <c r="BA25" s="109">
        <f t="shared" si="13"/>
        <v>177.83</v>
      </c>
      <c r="BB25" s="115">
        <f t="shared" si="30"/>
        <v>192.11030884058292</v>
      </c>
      <c r="BC25" s="140">
        <f t="shared" si="14"/>
        <v>7.8569397887323937</v>
      </c>
      <c r="BD25" s="141">
        <f t="shared" ref="BD25:BD37" si="42">BA25*$BD$6</f>
        <v>7.1132000000000009</v>
      </c>
      <c r="BE25" s="128">
        <f t="shared" si="16"/>
        <v>0.80810650369015846</v>
      </c>
      <c r="BF25" s="141">
        <f t="shared" si="17"/>
        <v>14.970139788732395</v>
      </c>
      <c r="BG25" s="535">
        <v>0.877</v>
      </c>
      <c r="BH25" s="16">
        <f t="shared" si="31"/>
        <v>3476.3899999999994</v>
      </c>
      <c r="BI25" s="16">
        <f t="shared" si="18"/>
        <v>187.09677419354838</v>
      </c>
      <c r="BJ25" s="16">
        <f t="shared" si="32"/>
        <v>3554.8387096774181</v>
      </c>
      <c r="BK25" s="17">
        <f t="shared" si="19"/>
        <v>1</v>
      </c>
      <c r="BL25" s="16">
        <f t="shared" si="33"/>
        <v>3554.8387096774181</v>
      </c>
      <c r="BM25" s="254"/>
      <c r="BN25" s="230">
        <v>55.415999999999997</v>
      </c>
      <c r="BO25" s="266">
        <f t="shared" si="34"/>
        <v>222.249</v>
      </c>
      <c r="BP25" s="445">
        <f t="shared" si="35"/>
        <v>120.07499999999999</v>
      </c>
      <c r="BQ25" s="313"/>
      <c r="BR25" s="230">
        <v>20.643999999999998</v>
      </c>
      <c r="BS25" s="258"/>
      <c r="BT25" s="199"/>
      <c r="BU25" s="200"/>
      <c r="BV25" s="200"/>
      <c r="BW25" s="200"/>
      <c r="BX25" s="200">
        <v>1.07</v>
      </c>
      <c r="BY25" s="208"/>
      <c r="BZ25" s="208">
        <v>3.94</v>
      </c>
      <c r="CA25" s="201"/>
      <c r="CB25" s="202"/>
      <c r="CC25" s="200">
        <v>43.84</v>
      </c>
      <c r="CD25" s="200">
        <v>41.56</v>
      </c>
      <c r="CE25" s="200">
        <v>35.81</v>
      </c>
      <c r="CF25" s="208"/>
      <c r="CG25" s="208">
        <v>37.82</v>
      </c>
      <c r="CH25" s="201"/>
      <c r="CI25" s="199"/>
      <c r="CJ25" s="197"/>
      <c r="CK25" s="197"/>
      <c r="CL25" s="197">
        <v>282.33999999999997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0</v>
      </c>
      <c r="CU25" s="24">
        <f t="shared" si="20"/>
        <v>55.415999999999997</v>
      </c>
      <c r="CV25" s="25">
        <f t="shared" si="20"/>
        <v>222.249</v>
      </c>
      <c r="CW25" s="24">
        <f t="shared" si="20"/>
        <v>118.79019749999999</v>
      </c>
      <c r="CX25" s="27">
        <f t="shared" si="20"/>
        <v>0</v>
      </c>
      <c r="CY25" s="30">
        <f t="shared" si="20"/>
        <v>19.8306264</v>
      </c>
      <c r="CZ25" s="280">
        <f t="shared" si="20"/>
        <v>0</v>
      </c>
      <c r="DA25" s="25">
        <f t="shared" si="21"/>
        <v>0</v>
      </c>
      <c r="DB25" s="26">
        <f t="shared" si="21"/>
        <v>0</v>
      </c>
      <c r="DC25" s="277">
        <f t="shared" si="21"/>
        <v>282.33999999999997</v>
      </c>
      <c r="DD25" s="280">
        <f t="shared" si="21"/>
        <v>0</v>
      </c>
      <c r="DE25" s="508">
        <f t="shared" si="36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7"/>
        <v>0</v>
      </c>
      <c r="DM25" s="197">
        <v>263.54000000000002</v>
      </c>
      <c r="DN25" s="420">
        <f t="shared" si="38"/>
        <v>282.34000000000003</v>
      </c>
      <c r="DO25" s="197">
        <v>160.07499999999999</v>
      </c>
      <c r="DP25" s="247">
        <f t="shared" si="39"/>
        <v>120.07499999999999</v>
      </c>
      <c r="DQ25" s="230">
        <v>180.09899999999999</v>
      </c>
      <c r="DR25" s="247">
        <f t="shared" si="40"/>
        <v>222.249</v>
      </c>
    </row>
    <row r="26" spans="1:122" ht="16.5" customHeight="1" thickBot="1">
      <c r="A26" s="534">
        <v>20</v>
      </c>
      <c r="B26" s="103">
        <f t="shared" si="24"/>
        <v>404.07200000000006</v>
      </c>
      <c r="C26" s="104">
        <f t="shared" si="0"/>
        <v>0.59952557959967523</v>
      </c>
      <c r="D26" s="143">
        <f t="shared" si="1"/>
        <v>401.64948500000008</v>
      </c>
      <c r="E26" s="104">
        <f t="shared" si="2"/>
        <v>40.35967753271693</v>
      </c>
      <c r="F26" s="128">
        <f t="shared" si="3"/>
        <v>2.0090460207932654</v>
      </c>
      <c r="G26" s="106"/>
      <c r="H26" s="107">
        <f t="shared" si="4"/>
        <v>0.65918945280749097</v>
      </c>
      <c r="I26" s="103">
        <f>'[1]сентябрь 20'!AE25</f>
        <v>0</v>
      </c>
      <c r="J26" s="328">
        <f>'[1]август 20'!AA25</f>
        <v>10.717000000000001</v>
      </c>
      <c r="K26" s="106"/>
      <c r="L26" s="328">
        <f t="shared" si="25"/>
        <v>269.86400000000003</v>
      </c>
      <c r="M26" s="103">
        <f t="shared" si="5"/>
        <v>1.3498565679857744</v>
      </c>
      <c r="N26" s="103">
        <f>'[1]август 20'!W25</f>
        <v>0</v>
      </c>
      <c r="O26" s="103">
        <f>'[1]август 20'!AM25</f>
        <v>0</v>
      </c>
      <c r="P26" s="447">
        <f t="shared" si="26"/>
        <v>0</v>
      </c>
      <c r="Q26" s="103">
        <f t="shared" si="27"/>
        <v>0</v>
      </c>
      <c r="R26" s="103">
        <v>283.62</v>
      </c>
      <c r="S26" s="108">
        <f t="shared" si="6"/>
        <v>3.846696283759965</v>
      </c>
      <c r="T26" s="109">
        <f t="shared" si="7"/>
        <v>272.70999999999998</v>
      </c>
      <c r="U26" s="566">
        <v>28.31</v>
      </c>
      <c r="V26" s="109">
        <f t="shared" si="8"/>
        <v>272.70999999999998</v>
      </c>
      <c r="W26" s="110">
        <f t="shared" si="9"/>
        <v>1.364092226660097</v>
      </c>
      <c r="X26" s="110">
        <f t="shared" si="28"/>
        <v>1.364092226660097</v>
      </c>
      <c r="Y26" s="136">
        <v>199.92</v>
      </c>
      <c r="Z26" s="154">
        <v>95.91</v>
      </c>
      <c r="AA26" s="149">
        <v>0.93</v>
      </c>
      <c r="AB26" s="147">
        <v>682</v>
      </c>
      <c r="AC26" s="147">
        <v>1237</v>
      </c>
      <c r="AD26" s="144" t="s">
        <v>305</v>
      </c>
      <c r="AE26" s="149">
        <v>75.959999999999994</v>
      </c>
      <c r="AF26" s="147">
        <v>134</v>
      </c>
      <c r="AG26" s="155">
        <v>4</v>
      </c>
      <c r="AH26" s="149">
        <v>0.55000000000000004</v>
      </c>
      <c r="AI26" s="115">
        <f t="shared" si="10"/>
        <v>2.7510935596899766</v>
      </c>
      <c r="AJ26" s="149">
        <v>128.85</v>
      </c>
      <c r="AK26" s="115">
        <f t="shared" si="11"/>
        <v>644.50619121100624</v>
      </c>
      <c r="AL26" s="156">
        <v>27.08</v>
      </c>
      <c r="AM26" s="149"/>
      <c r="AN26" s="157">
        <v>9.66</v>
      </c>
      <c r="AO26" s="466">
        <f t="shared" si="29"/>
        <v>48.649500000000003</v>
      </c>
      <c r="AP26" s="110">
        <f t="shared" si="12"/>
        <v>0.19</v>
      </c>
      <c r="AQ26" s="158" t="s">
        <v>150</v>
      </c>
      <c r="AR26" s="404">
        <v>8.25</v>
      </c>
      <c r="AS26" s="159">
        <v>7.41</v>
      </c>
      <c r="AT26" s="155"/>
      <c r="AU26" s="149">
        <v>6.77</v>
      </c>
      <c r="AV26" s="315">
        <v>256.05</v>
      </c>
      <c r="AW26" s="131">
        <v>2.1800000000000002</v>
      </c>
      <c r="AX26" s="148"/>
      <c r="AY26" s="149"/>
      <c r="AZ26" s="160">
        <f t="shared" si="41"/>
        <v>0</v>
      </c>
      <c r="BA26" s="109">
        <f t="shared" si="13"/>
        <v>199.92050000000003</v>
      </c>
      <c r="BB26" s="115">
        <f t="shared" si="30"/>
        <v>186.30486238043102</v>
      </c>
      <c r="BC26" s="140">
        <f t="shared" si="14"/>
        <v>6.7573658450704217</v>
      </c>
      <c r="BD26" s="140">
        <f t="shared" si="42"/>
        <v>7.9968200000000014</v>
      </c>
      <c r="BE26" s="161">
        <f t="shared" si="16"/>
        <v>0.93680108114200411</v>
      </c>
      <c r="BF26" s="140">
        <f t="shared" si="17"/>
        <v>14.754185845070424</v>
      </c>
      <c r="BG26" s="537">
        <v>0.88</v>
      </c>
      <c r="BH26" s="16">
        <f t="shared" si="31"/>
        <v>3676.3104999999996</v>
      </c>
      <c r="BI26" s="16">
        <f t="shared" si="18"/>
        <v>187.09677419354838</v>
      </c>
      <c r="BJ26" s="16">
        <f t="shared" si="32"/>
        <v>3741.9354838709664</v>
      </c>
      <c r="BK26" s="17">
        <f t="shared" si="19"/>
        <v>1</v>
      </c>
      <c r="BL26" s="16">
        <f t="shared" si="33"/>
        <v>3741.9354838709664</v>
      </c>
      <c r="BM26" s="254"/>
      <c r="BN26" s="230">
        <v>53.622</v>
      </c>
      <c r="BO26" s="266">
        <f t="shared" si="34"/>
        <v>216.24200000000002</v>
      </c>
      <c r="BP26" s="445">
        <f t="shared" si="35"/>
        <v>124.959</v>
      </c>
      <c r="BQ26" s="313"/>
      <c r="BR26" s="230">
        <v>9.2490000000000006</v>
      </c>
      <c r="BS26" s="258"/>
      <c r="BT26" s="199"/>
      <c r="BU26" s="200"/>
      <c r="BV26" s="200"/>
      <c r="BW26" s="200"/>
      <c r="BX26" s="200">
        <v>1.63</v>
      </c>
      <c r="BY26" s="208"/>
      <c r="BZ26" s="208">
        <v>4.17</v>
      </c>
      <c r="CA26" s="201"/>
      <c r="CB26" s="202"/>
      <c r="CC26" s="200">
        <v>43.73</v>
      </c>
      <c r="CD26" s="200">
        <v>41.66</v>
      </c>
      <c r="CE26" s="200">
        <v>36.94</v>
      </c>
      <c r="CF26" s="208"/>
      <c r="CG26" s="208">
        <v>36.619999999999997</v>
      </c>
      <c r="CH26" s="209"/>
      <c r="CI26" s="199"/>
      <c r="CJ26" s="197"/>
      <c r="CK26" s="197"/>
      <c r="CL26" s="197">
        <v>272.70999999999998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53.622</v>
      </c>
      <c r="CV26" s="25">
        <f t="shared" si="20"/>
        <v>216.24200000000002</v>
      </c>
      <c r="CW26" s="24">
        <f t="shared" si="20"/>
        <v>122.92216830000001</v>
      </c>
      <c r="CX26" s="27">
        <f t="shared" si="20"/>
        <v>0</v>
      </c>
      <c r="CY26" s="24">
        <f t="shared" si="20"/>
        <v>8.8633167000000004</v>
      </c>
      <c r="CZ26" s="280">
        <f t="shared" si="20"/>
        <v>0</v>
      </c>
      <c r="DA26" s="30">
        <f t="shared" si="21"/>
        <v>0</v>
      </c>
      <c r="DB26" s="26">
        <f t="shared" si="21"/>
        <v>0</v>
      </c>
      <c r="DC26" s="277">
        <f t="shared" si="21"/>
        <v>272.70999999999998</v>
      </c>
      <c r="DD26" s="280">
        <f t="shared" si="21"/>
        <v>0</v>
      </c>
      <c r="DE26" s="508">
        <f t="shared" si="36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7"/>
        <v>0</v>
      </c>
      <c r="DM26" s="197">
        <v>253.91</v>
      </c>
      <c r="DN26" s="420">
        <f t="shared" si="38"/>
        <v>272.70999999999998</v>
      </c>
      <c r="DO26" s="197">
        <v>164.959</v>
      </c>
      <c r="DP26" s="247">
        <f t="shared" si="39"/>
        <v>124.959</v>
      </c>
      <c r="DQ26" s="230">
        <v>174.09200000000001</v>
      </c>
      <c r="DR26" s="247">
        <f t="shared" si="40"/>
        <v>216.24200000000002</v>
      </c>
    </row>
    <row r="27" spans="1:122" ht="16.5" customHeight="1" thickBot="1">
      <c r="A27" s="534">
        <v>21</v>
      </c>
      <c r="B27" s="103">
        <f t="shared" si="24"/>
        <v>401.11599999999999</v>
      </c>
      <c r="C27" s="104">
        <f t="shared" si="0"/>
        <v>0.53672728088632726</v>
      </c>
      <c r="D27" s="143">
        <f t="shared" si="1"/>
        <v>398.96310099999999</v>
      </c>
      <c r="E27" s="104">
        <f t="shared" si="2"/>
        <v>39.842918557225346</v>
      </c>
      <c r="F27" s="128">
        <f t="shared" si="3"/>
        <v>2.227543702140371</v>
      </c>
      <c r="G27" s="106"/>
      <c r="H27" s="107">
        <f t="shared" si="4"/>
        <v>0.72997663933625367</v>
      </c>
      <c r="I27" s="103">
        <f>'[1]сентябрь 20'!AE26</f>
        <v>0</v>
      </c>
      <c r="J27" s="328">
        <f>'[1]август 20'!AA26</f>
        <v>11.916</v>
      </c>
      <c r="K27" s="106"/>
      <c r="L27" s="328">
        <f t="shared" si="25"/>
        <v>268.221</v>
      </c>
      <c r="M27" s="103">
        <f t="shared" si="5"/>
        <v>1.4975670628041173</v>
      </c>
      <c r="N27" s="103">
        <f>'[1]август 20'!W26</f>
        <v>0</v>
      </c>
      <c r="O27" s="103">
        <f>'[1]август 20'!AM26</f>
        <v>0</v>
      </c>
      <c r="P27" s="447">
        <f t="shared" si="26"/>
        <v>0</v>
      </c>
      <c r="Q27" s="103">
        <f t="shared" si="27"/>
        <v>0</v>
      </c>
      <c r="R27" s="103">
        <v>279.83</v>
      </c>
      <c r="S27" s="108">
        <f t="shared" si="6"/>
        <v>3.4520959153771846</v>
      </c>
      <c r="T27" s="109">
        <f t="shared" si="7"/>
        <v>270.17</v>
      </c>
      <c r="U27" s="566">
        <v>9.42</v>
      </c>
      <c r="V27" s="109">
        <f t="shared" si="8"/>
        <v>270.17</v>
      </c>
      <c r="W27" s="110">
        <f t="shared" si="9"/>
        <v>1.5084489781105448</v>
      </c>
      <c r="X27" s="110">
        <f t="shared" si="28"/>
        <v>1.5084489781105448</v>
      </c>
      <c r="Y27" s="129">
        <v>179.1</v>
      </c>
      <c r="Z27" s="129">
        <v>82.8</v>
      </c>
      <c r="AA27" s="131">
        <v>0.92</v>
      </c>
      <c r="AB27" s="133">
        <v>672</v>
      </c>
      <c r="AC27" s="133">
        <v>1237</v>
      </c>
      <c r="AD27" s="144" t="s">
        <v>321</v>
      </c>
      <c r="AE27" s="131">
        <v>75.599999999999994</v>
      </c>
      <c r="AF27" s="133">
        <v>133</v>
      </c>
      <c r="AG27" s="134">
        <v>4</v>
      </c>
      <c r="AH27" s="131">
        <v>0.85</v>
      </c>
      <c r="AI27" s="115">
        <f t="shared" si="10"/>
        <v>4.7458327401042411</v>
      </c>
      <c r="AJ27" s="131">
        <v>130.25</v>
      </c>
      <c r="AK27" s="115">
        <f t="shared" si="11"/>
        <v>727.22907576303226</v>
      </c>
      <c r="AL27" s="139">
        <v>27.97</v>
      </c>
      <c r="AM27" s="131"/>
      <c r="AN27" s="136">
        <v>10.85</v>
      </c>
      <c r="AO27" s="466">
        <f t="shared" si="29"/>
        <v>44.165500000000002</v>
      </c>
      <c r="AP27" s="110">
        <f t="shared" si="12"/>
        <v>0.19</v>
      </c>
      <c r="AQ27" s="137" t="s">
        <v>204</v>
      </c>
      <c r="AR27" s="150">
        <v>7.77</v>
      </c>
      <c r="AS27" s="138">
        <v>7.42</v>
      </c>
      <c r="AT27" s="134"/>
      <c r="AU27" s="131">
        <v>7.33</v>
      </c>
      <c r="AV27" s="139">
        <v>232.45</v>
      </c>
      <c r="AW27" s="131">
        <v>1.67</v>
      </c>
      <c r="AX27" s="148"/>
      <c r="AY27" s="131"/>
      <c r="AZ27" s="109">
        <f t="shared" si="41"/>
        <v>0</v>
      </c>
      <c r="BA27" s="109">
        <f t="shared" si="13"/>
        <v>179.10449999999997</v>
      </c>
      <c r="BB27" s="115">
        <f t="shared" si="30"/>
        <v>183.55927036031716</v>
      </c>
      <c r="BC27" s="140">
        <f t="shared" si="14"/>
        <v>7.3958151408450696</v>
      </c>
      <c r="BD27" s="141">
        <f t="shared" si="42"/>
        <v>7.1641799999999991</v>
      </c>
      <c r="BE27" s="128">
        <f t="shared" si="16"/>
        <v>0.85181330364343388</v>
      </c>
      <c r="BF27" s="141">
        <f t="shared" si="17"/>
        <v>14.559995140845068</v>
      </c>
      <c r="BG27" s="535">
        <v>0.879</v>
      </c>
      <c r="BH27" s="16">
        <f t="shared" si="31"/>
        <v>3855.4149999999995</v>
      </c>
      <c r="BI27" s="16">
        <f t="shared" si="18"/>
        <v>187.09677419354838</v>
      </c>
      <c r="BJ27" s="16">
        <f t="shared" si="32"/>
        <v>3929.0322580645147</v>
      </c>
      <c r="BK27" s="17">
        <f t="shared" si="19"/>
        <v>1</v>
      </c>
      <c r="BL27" s="16">
        <f t="shared" si="33"/>
        <v>3929.0322580645147</v>
      </c>
      <c r="BM27" s="254"/>
      <c r="BN27" s="230">
        <v>53.198</v>
      </c>
      <c r="BO27" s="266">
        <f t="shared" si="34"/>
        <v>215.023</v>
      </c>
      <c r="BP27" s="445">
        <f t="shared" si="35"/>
        <v>132.89500000000001</v>
      </c>
      <c r="BQ27" s="313"/>
      <c r="BR27" s="230"/>
      <c r="BS27" s="258"/>
      <c r="BT27" s="199"/>
      <c r="BU27" s="200"/>
      <c r="BV27" s="200"/>
      <c r="BW27" s="200"/>
      <c r="BX27" s="200">
        <v>1.62</v>
      </c>
      <c r="BY27" s="208"/>
      <c r="BZ27" s="208"/>
      <c r="CA27" s="201"/>
      <c r="CB27" s="202"/>
      <c r="CC27" s="200">
        <v>43.64</v>
      </c>
      <c r="CD27" s="200">
        <v>41.6</v>
      </c>
      <c r="CE27" s="200">
        <v>35.479999999999997</v>
      </c>
      <c r="CF27" s="208"/>
      <c r="CG27" s="208"/>
      <c r="CH27" s="209"/>
      <c r="CI27" s="199"/>
      <c r="CJ27" s="197"/>
      <c r="CK27" s="197"/>
      <c r="CL27" s="197">
        <v>270.17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53.198</v>
      </c>
      <c r="CV27" s="25">
        <f t="shared" si="20"/>
        <v>215.023</v>
      </c>
      <c r="CW27" s="24">
        <f t="shared" si="20"/>
        <v>130.74210100000002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0</v>
      </c>
      <c r="DC27" s="277">
        <f t="shared" si="21"/>
        <v>270.17</v>
      </c>
      <c r="DD27" s="280">
        <f t="shared" si="21"/>
        <v>0</v>
      </c>
      <c r="DE27" s="508">
        <f t="shared" si="36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7"/>
        <v>0</v>
      </c>
      <c r="DM27" s="197">
        <v>251.37</v>
      </c>
      <c r="DN27" s="420">
        <f t="shared" si="38"/>
        <v>270.17</v>
      </c>
      <c r="DO27" s="197">
        <v>172.89500000000001</v>
      </c>
      <c r="DP27" s="247">
        <f t="shared" si="39"/>
        <v>132.89500000000001</v>
      </c>
      <c r="DQ27" s="230">
        <v>172.87299999999999</v>
      </c>
      <c r="DR27" s="247">
        <f t="shared" si="40"/>
        <v>215.023</v>
      </c>
    </row>
    <row r="28" spans="1:122" ht="16.5" customHeight="1" thickBot="1">
      <c r="A28" s="534">
        <v>22</v>
      </c>
      <c r="B28" s="103">
        <f t="shared" si="24"/>
        <v>377.94599999999997</v>
      </c>
      <c r="C28" s="104">
        <f t="shared" si="0"/>
        <v>0.72101824070105247</v>
      </c>
      <c r="D28" s="143">
        <f t="shared" si="1"/>
        <v>375.22094039999996</v>
      </c>
      <c r="E28" s="104">
        <f t="shared" si="2"/>
        <v>40.537257650563838</v>
      </c>
      <c r="F28" s="128">
        <f t="shared" si="3"/>
        <v>2.0654268947390149</v>
      </c>
      <c r="G28" s="106"/>
      <c r="H28" s="107">
        <f t="shared" si="4"/>
        <v>0.5989235300755501</v>
      </c>
      <c r="I28" s="103">
        <f>'[1]сентябрь 20'!AE27</f>
        <v>0</v>
      </c>
      <c r="J28" s="328">
        <f>'[1]август 20'!AA27</f>
        <v>12.923999999999999</v>
      </c>
      <c r="K28" s="106"/>
      <c r="L28" s="328">
        <f t="shared" si="25"/>
        <v>266.416</v>
      </c>
      <c r="M28" s="103">
        <f t="shared" si="5"/>
        <v>1.4665033646634649</v>
      </c>
      <c r="N28" s="103">
        <f>'[1]август 20'!W27</f>
        <v>0</v>
      </c>
      <c r="O28" s="103">
        <f>'[1]август 20'!AM27</f>
        <v>0</v>
      </c>
      <c r="P28" s="447">
        <f t="shared" si="26"/>
        <v>0</v>
      </c>
      <c r="Q28" s="103">
        <f t="shared" si="27"/>
        <v>0</v>
      </c>
      <c r="R28" s="103">
        <v>279.49</v>
      </c>
      <c r="S28" s="108">
        <f t="shared" si="6"/>
        <v>3.3489570288740222</v>
      </c>
      <c r="T28" s="109">
        <f t="shared" si="7"/>
        <v>270.13</v>
      </c>
      <c r="U28" s="566">
        <v>11.98</v>
      </c>
      <c r="V28" s="109">
        <f t="shared" si="8"/>
        <v>270.13</v>
      </c>
      <c r="W28" s="110">
        <f t="shared" si="9"/>
        <v>1.4869473075811579</v>
      </c>
      <c r="X28" s="110">
        <f t="shared" si="28"/>
        <v>1.4869473075811579</v>
      </c>
      <c r="Y28" s="129">
        <v>181.67</v>
      </c>
      <c r="Z28" s="136">
        <v>181.67</v>
      </c>
      <c r="AA28" s="131">
        <v>0.62</v>
      </c>
      <c r="AB28" s="133">
        <v>664</v>
      </c>
      <c r="AC28" s="133">
        <v>1240</v>
      </c>
      <c r="AD28" s="144" t="s">
        <v>279</v>
      </c>
      <c r="AE28" s="131">
        <v>76.09</v>
      </c>
      <c r="AF28" s="133">
        <v>132</v>
      </c>
      <c r="AG28" s="134">
        <v>4</v>
      </c>
      <c r="AH28" s="131"/>
      <c r="AI28" s="115">
        <f t="shared" si="10"/>
        <v>0</v>
      </c>
      <c r="AJ28" s="131">
        <v>133.80000000000001</v>
      </c>
      <c r="AK28" s="115">
        <f t="shared" si="11"/>
        <v>736.51038297989464</v>
      </c>
      <c r="AL28" s="139">
        <v>22.18</v>
      </c>
      <c r="AM28" s="131"/>
      <c r="AN28" s="136">
        <v>12.37</v>
      </c>
      <c r="AO28" s="466">
        <f t="shared" si="29"/>
        <v>44.982500000000002</v>
      </c>
      <c r="AP28" s="110">
        <f t="shared" si="12"/>
        <v>0.19</v>
      </c>
      <c r="AQ28" s="137" t="s">
        <v>417</v>
      </c>
      <c r="AR28" s="150">
        <v>7.99</v>
      </c>
      <c r="AS28" s="138">
        <v>7.17</v>
      </c>
      <c r="AT28" s="134"/>
      <c r="AU28" s="131">
        <v>7.36</v>
      </c>
      <c r="AV28" s="139">
        <v>236.75</v>
      </c>
      <c r="AW28" s="131">
        <v>2.27</v>
      </c>
      <c r="AX28" s="148"/>
      <c r="AY28" s="131"/>
      <c r="AZ28" s="109">
        <f t="shared" si="41"/>
        <v>0</v>
      </c>
      <c r="BA28" s="109">
        <f t="shared" si="13"/>
        <v>181.66749999999999</v>
      </c>
      <c r="BB28" s="115">
        <f t="shared" si="30"/>
        <v>174.51312378627529</v>
      </c>
      <c r="BC28" s="140">
        <f t="shared" si="14"/>
        <v>7.6284845070422547</v>
      </c>
      <c r="BD28" s="141">
        <f t="shared" si="42"/>
        <v>7.2667000000000002</v>
      </c>
      <c r="BE28" s="128">
        <f t="shared" si="16"/>
        <v>0.90878968904499591</v>
      </c>
      <c r="BF28" s="141">
        <f t="shared" si="17"/>
        <v>14.895184507042256</v>
      </c>
      <c r="BG28" s="535">
        <v>0.88</v>
      </c>
      <c r="BH28" s="16">
        <f t="shared" si="31"/>
        <v>4037.0824999999995</v>
      </c>
      <c r="BI28" s="16">
        <f t="shared" si="18"/>
        <v>187.09677419354838</v>
      </c>
      <c r="BJ28" s="16">
        <f t="shared" si="32"/>
        <v>4116.1290322580635</v>
      </c>
      <c r="BK28" s="17">
        <f t="shared" si="19"/>
        <v>1</v>
      </c>
      <c r="BL28" s="16">
        <f t="shared" si="33"/>
        <v>4116.1290322580635</v>
      </c>
      <c r="BM28" s="254"/>
      <c r="BN28" s="230">
        <v>52.755000000000003</v>
      </c>
      <c r="BO28" s="266">
        <f t="shared" si="34"/>
        <v>213.661</v>
      </c>
      <c r="BP28" s="445">
        <v>103.178</v>
      </c>
      <c r="BQ28" s="313"/>
      <c r="BR28" s="230">
        <v>8.3520000000000003</v>
      </c>
      <c r="BS28" s="258"/>
      <c r="BT28" s="199"/>
      <c r="BU28" s="200"/>
      <c r="BV28" s="200"/>
      <c r="BW28" s="200"/>
      <c r="BX28" s="200">
        <v>2.34</v>
      </c>
      <c r="BY28" s="208"/>
      <c r="BZ28" s="208">
        <v>3.72</v>
      </c>
      <c r="CA28" s="201"/>
      <c r="CB28" s="202"/>
      <c r="CC28" s="200">
        <v>43.8</v>
      </c>
      <c r="CD28" s="200">
        <v>41.6</v>
      </c>
      <c r="CE28" s="200">
        <v>36.97</v>
      </c>
      <c r="CF28" s="208"/>
      <c r="CG28" s="208">
        <v>36.81</v>
      </c>
      <c r="CH28" s="209"/>
      <c r="CI28" s="199"/>
      <c r="CJ28" s="197"/>
      <c r="CK28" s="197"/>
      <c r="CL28" s="197">
        <v>270.13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52.755000000000003</v>
      </c>
      <c r="CV28" s="30">
        <f t="shared" si="20"/>
        <v>213.661</v>
      </c>
      <c r="CW28" s="29">
        <f t="shared" si="20"/>
        <v>100.76363479999999</v>
      </c>
      <c r="CX28" s="27">
        <f t="shared" si="20"/>
        <v>0</v>
      </c>
      <c r="CY28" s="24">
        <f t="shared" si="20"/>
        <v>8.0413055999999994</v>
      </c>
      <c r="CZ28" s="282">
        <f t="shared" si="20"/>
        <v>0</v>
      </c>
      <c r="DA28" s="25">
        <f t="shared" si="21"/>
        <v>0</v>
      </c>
      <c r="DB28" s="24">
        <f t="shared" si="21"/>
        <v>0</v>
      </c>
      <c r="DC28" s="277">
        <f t="shared" si="21"/>
        <v>270.13</v>
      </c>
      <c r="DD28" s="280">
        <f t="shared" si="21"/>
        <v>0</v>
      </c>
      <c r="DE28" s="508">
        <f t="shared" si="36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7"/>
        <v>0</v>
      </c>
      <c r="DM28" s="197">
        <v>251.33</v>
      </c>
      <c r="DN28" s="420">
        <f t="shared" si="38"/>
        <v>270.13</v>
      </c>
      <c r="DO28" s="197">
        <v>163.178</v>
      </c>
      <c r="DP28" s="247">
        <f t="shared" si="39"/>
        <v>123.178</v>
      </c>
      <c r="DQ28" s="230">
        <v>171.511</v>
      </c>
      <c r="DR28" s="247">
        <f t="shared" si="40"/>
        <v>213.661</v>
      </c>
    </row>
    <row r="29" spans="1:122" ht="16.5" customHeight="1" thickBot="1">
      <c r="A29" s="534">
        <v>23</v>
      </c>
      <c r="B29" s="103">
        <f t="shared" si="24"/>
        <v>398.44900000000001</v>
      </c>
      <c r="C29" s="104">
        <f t="shared" si="0"/>
        <v>0.77164005933005231</v>
      </c>
      <c r="D29" s="143">
        <f t="shared" si="1"/>
        <v>395.37440789999999</v>
      </c>
      <c r="E29" s="104">
        <f t="shared" si="2"/>
        <v>40.408630138361495</v>
      </c>
      <c r="F29" s="128">
        <f t="shared" si="3"/>
        <v>2.1024402855547577</v>
      </c>
      <c r="G29" s="106"/>
      <c r="H29" s="107">
        <f t="shared" si="4"/>
        <v>0.68512088431575868</v>
      </c>
      <c r="I29" s="103">
        <f>'[1]сентябрь 20'!AE28</f>
        <v>0</v>
      </c>
      <c r="J29" s="328">
        <f>'[1]август 20'!AA28</f>
        <v>13.404</v>
      </c>
      <c r="K29" s="106"/>
      <c r="L29" s="328">
        <f t="shared" si="25"/>
        <v>266.53399999999999</v>
      </c>
      <c r="M29" s="103">
        <f t="shared" si="5"/>
        <v>1.4173194012389991</v>
      </c>
      <c r="N29" s="103">
        <f>'[1]август 20'!W28</f>
        <v>0</v>
      </c>
      <c r="O29" s="103">
        <f>'[1]август 20'!AM28</f>
        <v>0</v>
      </c>
      <c r="P29" s="447">
        <f t="shared" si="26"/>
        <v>0</v>
      </c>
      <c r="Q29" s="103">
        <f t="shared" si="27"/>
        <v>0</v>
      </c>
      <c r="R29" s="103">
        <v>280.48</v>
      </c>
      <c r="S29" s="108">
        <f t="shared" si="6"/>
        <v>3.4084426697090664</v>
      </c>
      <c r="T29" s="109">
        <f t="shared" si="7"/>
        <v>270.92000000000007</v>
      </c>
      <c r="U29" s="566">
        <v>36.9</v>
      </c>
      <c r="V29" s="109">
        <f t="shared" si="8"/>
        <v>270.92</v>
      </c>
      <c r="W29" s="110">
        <f t="shared" si="9"/>
        <v>1.4406423652654812</v>
      </c>
      <c r="X29" s="110">
        <f t="shared" si="28"/>
        <v>1.4406423652654812</v>
      </c>
      <c r="Y29" s="129">
        <v>188.06</v>
      </c>
      <c r="Z29" s="136">
        <v>188.06</v>
      </c>
      <c r="AA29" s="131">
        <v>0.73</v>
      </c>
      <c r="AB29" s="133">
        <v>682</v>
      </c>
      <c r="AC29" s="133">
        <v>1224</v>
      </c>
      <c r="AD29" s="144" t="s">
        <v>418</v>
      </c>
      <c r="AE29" s="131">
        <v>75.709999999999994</v>
      </c>
      <c r="AF29" s="133">
        <v>132</v>
      </c>
      <c r="AG29" s="134">
        <v>4</v>
      </c>
      <c r="AH29" s="131">
        <v>0.9</v>
      </c>
      <c r="AI29" s="115">
        <f t="shared" si="10"/>
        <v>4.7858339315625749</v>
      </c>
      <c r="AJ29" s="131">
        <v>135.25</v>
      </c>
      <c r="AK29" s="115">
        <f t="shared" si="11"/>
        <v>719.20448804870921</v>
      </c>
      <c r="AL29" s="139">
        <v>29.9</v>
      </c>
      <c r="AM29" s="131"/>
      <c r="AN29" s="136">
        <v>12.97</v>
      </c>
      <c r="AO29" s="466">
        <f t="shared" si="29"/>
        <v>46.454999999999998</v>
      </c>
      <c r="AP29" s="110">
        <f t="shared" si="12"/>
        <v>0.19</v>
      </c>
      <c r="AQ29" s="137" t="s">
        <v>199</v>
      </c>
      <c r="AR29" s="150">
        <v>8.24</v>
      </c>
      <c r="AS29" s="138">
        <v>7.04</v>
      </c>
      <c r="AT29" s="134"/>
      <c r="AU29" s="131">
        <v>6.6</v>
      </c>
      <c r="AV29" s="139">
        <v>244.5</v>
      </c>
      <c r="AW29" s="131">
        <v>2.98</v>
      </c>
      <c r="AX29" s="148"/>
      <c r="AY29" s="131"/>
      <c r="AZ29" s="109">
        <f t="shared" si="41"/>
        <v>0</v>
      </c>
      <c r="BA29" s="109">
        <f t="shared" si="13"/>
        <v>188.05500000000001</v>
      </c>
      <c r="BB29" s="115">
        <f t="shared" si="30"/>
        <v>184.2229277730705</v>
      </c>
      <c r="BC29" s="140">
        <f t="shared" si="14"/>
        <v>6.9148943661971822</v>
      </c>
      <c r="BD29" s="141">
        <f t="shared" si="42"/>
        <v>7.5222000000000007</v>
      </c>
      <c r="BE29" s="128">
        <f t="shared" si="16"/>
        <v>0.89115951518385594</v>
      </c>
      <c r="BF29" s="141">
        <f t="shared" si="17"/>
        <v>14.437094366197183</v>
      </c>
      <c r="BG29" s="535">
        <v>0.88100000000000001</v>
      </c>
      <c r="BH29" s="16">
        <f t="shared" si="31"/>
        <v>4225.1374999999998</v>
      </c>
      <c r="BI29" s="16">
        <f t="shared" si="18"/>
        <v>187.09677419354838</v>
      </c>
      <c r="BJ29" s="16">
        <f t="shared" si="32"/>
        <v>4303.2258064516118</v>
      </c>
      <c r="BK29" s="17">
        <f t="shared" si="19"/>
        <v>1</v>
      </c>
      <c r="BL29" s="16">
        <f t="shared" si="33"/>
        <v>4303.2258064516118</v>
      </c>
      <c r="BM29" s="254"/>
      <c r="BN29" s="230">
        <v>52.831000000000003</v>
      </c>
      <c r="BO29" s="266">
        <f t="shared" si="34"/>
        <v>213.703</v>
      </c>
      <c r="BP29" s="445">
        <f t="shared" si="35"/>
        <v>118.46600000000001</v>
      </c>
      <c r="BQ29" s="313"/>
      <c r="BR29" s="230">
        <v>13.449</v>
      </c>
      <c r="BS29" s="258"/>
      <c r="BT29" s="199"/>
      <c r="BU29" s="200"/>
      <c r="BV29" s="200"/>
      <c r="BW29" s="200"/>
      <c r="BX29" s="200">
        <v>2.2400000000000002</v>
      </c>
      <c r="BY29" s="208"/>
      <c r="BZ29" s="208">
        <v>3.13</v>
      </c>
      <c r="CA29" s="201"/>
      <c r="CB29" s="202"/>
      <c r="CC29" s="200">
        <v>43.61</v>
      </c>
      <c r="CD29" s="200">
        <v>41.39</v>
      </c>
      <c r="CE29" s="200">
        <v>37.24</v>
      </c>
      <c r="CF29" s="208"/>
      <c r="CG29" s="208">
        <v>40.15</v>
      </c>
      <c r="CH29" s="201"/>
      <c r="CI29" s="199"/>
      <c r="CJ29" s="197"/>
      <c r="CK29" s="197"/>
      <c r="CL29" s="230">
        <v>270.92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52.831000000000003</v>
      </c>
      <c r="CV29" s="25">
        <f t="shared" si="20"/>
        <v>213.703</v>
      </c>
      <c r="CW29" s="24">
        <f t="shared" si="20"/>
        <v>115.81236160000002</v>
      </c>
      <c r="CX29" s="27">
        <f t="shared" si="20"/>
        <v>0</v>
      </c>
      <c r="CY29" s="29">
        <f t="shared" si="20"/>
        <v>13.0280463</v>
      </c>
      <c r="CZ29" s="280">
        <f t="shared" si="20"/>
        <v>0</v>
      </c>
      <c r="DA29" s="30">
        <f t="shared" si="21"/>
        <v>0</v>
      </c>
      <c r="DB29" s="29">
        <f t="shared" si="21"/>
        <v>0</v>
      </c>
      <c r="DC29" s="277">
        <f t="shared" si="21"/>
        <v>270.92</v>
      </c>
      <c r="DD29" s="280">
        <f t="shared" si="21"/>
        <v>0</v>
      </c>
      <c r="DE29" s="508">
        <f t="shared" si="36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7"/>
        <v>0</v>
      </c>
      <c r="DM29" s="230">
        <v>252.12</v>
      </c>
      <c r="DN29" s="420">
        <f t="shared" si="38"/>
        <v>270.92</v>
      </c>
      <c r="DO29" s="197">
        <v>158.46600000000001</v>
      </c>
      <c r="DP29" s="247">
        <f t="shared" si="39"/>
        <v>118.46600000000001</v>
      </c>
      <c r="DQ29" s="230">
        <v>171.553</v>
      </c>
      <c r="DR29" s="247">
        <f t="shared" si="40"/>
        <v>213.703</v>
      </c>
    </row>
    <row r="30" spans="1:122" ht="16.5" customHeight="1" thickBot="1">
      <c r="A30" s="534">
        <v>24</v>
      </c>
      <c r="B30" s="103">
        <f t="shared" si="24"/>
        <v>400.12299999999999</v>
      </c>
      <c r="C30" s="104">
        <f t="shared" si="0"/>
        <v>0.57468053573526134</v>
      </c>
      <c r="D30" s="143">
        <f t="shared" si="1"/>
        <v>397.82357099999996</v>
      </c>
      <c r="E30" s="104">
        <f t="shared" si="2"/>
        <v>40.335979861192691</v>
      </c>
      <c r="F30" s="128">
        <f t="shared" si="3"/>
        <v>2.0787374221107493</v>
      </c>
      <c r="G30" s="106"/>
      <c r="H30" s="107">
        <f t="shared" si="4"/>
        <v>0.6366713485127562</v>
      </c>
      <c r="I30" s="103">
        <f>'[1]сентябрь 20'!AE29</f>
        <v>0</v>
      </c>
      <c r="J30" s="328">
        <f>'[1]август 20'!AA29</f>
        <v>12.673</v>
      </c>
      <c r="K30" s="106"/>
      <c r="L30" s="328">
        <f t="shared" si="25"/>
        <v>275.97899999999998</v>
      </c>
      <c r="M30" s="103">
        <f t="shared" si="5"/>
        <v>1.4420660735979933</v>
      </c>
      <c r="N30" s="103">
        <f>'[1]август 20'!W29</f>
        <v>0</v>
      </c>
      <c r="O30" s="103">
        <f>'[1]август 20'!AM29</f>
        <v>0</v>
      </c>
      <c r="P30" s="447">
        <f t="shared" si="26"/>
        <v>0</v>
      </c>
      <c r="Q30" s="103">
        <f t="shared" si="27"/>
        <v>0</v>
      </c>
      <c r="R30" s="103">
        <v>291.14999999999998</v>
      </c>
      <c r="S30" s="108">
        <f t="shared" si="6"/>
        <v>2.9263266357547613</v>
      </c>
      <c r="T30" s="109">
        <f t="shared" si="7"/>
        <v>282.63</v>
      </c>
      <c r="U30" s="566">
        <v>27.34</v>
      </c>
      <c r="V30" s="109">
        <f t="shared" si="8"/>
        <v>282.63</v>
      </c>
      <c r="W30" s="110">
        <f t="shared" si="9"/>
        <v>1.4768193753184151</v>
      </c>
      <c r="X30" s="110">
        <f t="shared" si="28"/>
        <v>1.4768193753184151</v>
      </c>
      <c r="Y30" s="154">
        <v>191.38</v>
      </c>
      <c r="Z30" s="157">
        <v>191.38</v>
      </c>
      <c r="AA30" s="149">
        <v>0.61</v>
      </c>
      <c r="AB30" s="147">
        <v>653</v>
      </c>
      <c r="AC30" s="147">
        <v>1218</v>
      </c>
      <c r="AD30" s="144" t="s">
        <v>278</v>
      </c>
      <c r="AE30" s="149">
        <v>76.099999999999994</v>
      </c>
      <c r="AF30" s="147">
        <v>136</v>
      </c>
      <c r="AG30" s="155">
        <v>4</v>
      </c>
      <c r="AH30" s="149">
        <v>1</v>
      </c>
      <c r="AI30" s="115">
        <f t="shared" si="10"/>
        <v>5.2252746534989747</v>
      </c>
      <c r="AJ30" s="131">
        <v>140.80000000000001</v>
      </c>
      <c r="AK30" s="115">
        <f t="shared" si="11"/>
        <v>735.71867121265564</v>
      </c>
      <c r="AL30" s="139">
        <v>24.02</v>
      </c>
      <c r="AM30" s="131"/>
      <c r="AN30" s="157">
        <v>9.9600000000000009</v>
      </c>
      <c r="AO30" s="466">
        <f t="shared" si="29"/>
        <v>46.502499999999998</v>
      </c>
      <c r="AP30" s="110">
        <f t="shared" si="12"/>
        <v>0.19</v>
      </c>
      <c r="AQ30" s="158" t="s">
        <v>189</v>
      </c>
      <c r="AR30" s="404">
        <v>7.73</v>
      </c>
      <c r="AS30" s="159">
        <v>7.07</v>
      </c>
      <c r="AT30" s="155"/>
      <c r="AU30" s="149">
        <v>7</v>
      </c>
      <c r="AV30" s="156">
        <v>244.75</v>
      </c>
      <c r="AW30" s="131">
        <v>3.09</v>
      </c>
      <c r="AX30" s="164"/>
      <c r="AY30" s="149"/>
      <c r="AZ30" s="109">
        <f t="shared" si="41"/>
        <v>0</v>
      </c>
      <c r="BA30" s="109">
        <f t="shared" si="13"/>
        <v>191.3775</v>
      </c>
      <c r="BB30" s="115">
        <f t="shared" si="30"/>
        <v>184.08258735278534</v>
      </c>
      <c r="BC30" s="140">
        <f t="shared" si="14"/>
        <v>7.6349295774647894</v>
      </c>
      <c r="BD30" s="141">
        <f t="shared" si="42"/>
        <v>7.6551</v>
      </c>
      <c r="BE30" s="128">
        <f t="shared" si="16"/>
        <v>0.90759566074445475</v>
      </c>
      <c r="BF30" s="141">
        <f t="shared" si="17"/>
        <v>15.290029577464789</v>
      </c>
      <c r="BG30" s="537">
        <v>0.88200000000000001</v>
      </c>
      <c r="BH30" s="16">
        <f t="shared" si="31"/>
        <v>4416.5149999999994</v>
      </c>
      <c r="BI30" s="16">
        <f t="shared" si="18"/>
        <v>187.09677419354838</v>
      </c>
      <c r="BJ30" s="16">
        <f t="shared" si="32"/>
        <v>4490.3225806451601</v>
      </c>
      <c r="BK30" s="17">
        <f t="shared" si="19"/>
        <v>1</v>
      </c>
      <c r="BL30" s="16">
        <f t="shared" si="33"/>
        <v>4490.3225806451601</v>
      </c>
      <c r="BM30" s="255">
        <v>16.773</v>
      </c>
      <c r="BN30" s="233">
        <v>53.145000000000003</v>
      </c>
      <c r="BO30" s="266">
        <f t="shared" si="34"/>
        <v>222.834</v>
      </c>
      <c r="BP30" s="445">
        <v>86.052999999999997</v>
      </c>
      <c r="BQ30" s="516"/>
      <c r="BR30" s="233">
        <v>21.318000000000001</v>
      </c>
      <c r="BS30" s="260"/>
      <c r="BT30" s="212"/>
      <c r="BU30" s="213">
        <v>2.09</v>
      </c>
      <c r="BV30" s="213"/>
      <c r="BW30" s="213"/>
      <c r="BX30" s="213">
        <v>1.69</v>
      </c>
      <c r="BY30" s="235"/>
      <c r="BZ30" s="235">
        <v>2.3199999999999998</v>
      </c>
      <c r="CA30" s="214"/>
      <c r="CB30" s="215">
        <v>37.54</v>
      </c>
      <c r="CC30" s="213">
        <v>43.89</v>
      </c>
      <c r="CD30" s="216">
        <v>41.5</v>
      </c>
      <c r="CE30" s="213">
        <v>36.58</v>
      </c>
      <c r="CF30" s="235"/>
      <c r="CG30" s="235">
        <v>36.67</v>
      </c>
      <c r="CH30" s="214"/>
      <c r="CI30" s="212"/>
      <c r="CJ30" s="210"/>
      <c r="CK30" s="210"/>
      <c r="CL30" s="233">
        <v>282.63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16.422444299999999</v>
      </c>
      <c r="CU30" s="24">
        <f t="shared" si="20"/>
        <v>53.145000000000003</v>
      </c>
      <c r="CV30" s="25">
        <f t="shared" si="20"/>
        <v>222.834</v>
      </c>
      <c r="CW30" s="24">
        <f t="shared" si="20"/>
        <v>84.598704299999994</v>
      </c>
      <c r="CX30" s="27">
        <f t="shared" si="20"/>
        <v>0</v>
      </c>
      <c r="CY30" s="24">
        <f t="shared" si="20"/>
        <v>20.823422400000005</v>
      </c>
      <c r="CZ30" s="280">
        <f t="shared" si="20"/>
        <v>0</v>
      </c>
      <c r="DA30" s="25">
        <f t="shared" si="21"/>
        <v>0</v>
      </c>
      <c r="DB30" s="26">
        <f t="shared" si="21"/>
        <v>0</v>
      </c>
      <c r="DC30" s="277">
        <f t="shared" si="21"/>
        <v>282.63</v>
      </c>
      <c r="DD30" s="280">
        <f t="shared" si="21"/>
        <v>0</v>
      </c>
      <c r="DE30" s="508">
        <f t="shared" si="36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7"/>
        <v>0</v>
      </c>
      <c r="DM30" s="233">
        <v>263.83</v>
      </c>
      <c r="DN30" s="420">
        <f t="shared" si="38"/>
        <v>282.63</v>
      </c>
      <c r="DO30" s="210">
        <v>127.23</v>
      </c>
      <c r="DP30" s="247">
        <f t="shared" si="39"/>
        <v>87.23</v>
      </c>
      <c r="DQ30" s="233">
        <v>180.684</v>
      </c>
      <c r="DR30" s="247">
        <f t="shared" si="40"/>
        <v>222.834</v>
      </c>
    </row>
    <row r="31" spans="1:122" ht="16.5" customHeight="1" thickBot="1">
      <c r="A31" s="534">
        <v>25</v>
      </c>
      <c r="B31" s="103">
        <f t="shared" si="24"/>
        <v>132.56800000000001</v>
      </c>
      <c r="C31" s="104">
        <f t="shared" si="0"/>
        <v>0.57264830124917021</v>
      </c>
      <c r="D31" s="143">
        <f t="shared" si="1"/>
        <v>131.8088516</v>
      </c>
      <c r="E31" s="104">
        <f t="shared" si="2"/>
        <v>40.403288802727651</v>
      </c>
      <c r="F31" s="128">
        <f t="shared" si="3"/>
        <v>2.0945312505959</v>
      </c>
      <c r="G31" s="106"/>
      <c r="H31" s="107">
        <f t="shared" si="4"/>
        <v>0.56659544891148883</v>
      </c>
      <c r="I31" s="103">
        <f>'[1]сентябрь 20'!AE30</f>
        <v>0</v>
      </c>
      <c r="J31" s="328">
        <f>'[1]август 20'!AA30</f>
        <v>2.7</v>
      </c>
      <c r="K31" s="106"/>
      <c r="L31" s="328">
        <f t="shared" si="25"/>
        <v>96.153000000000006</v>
      </c>
      <c r="M31" s="103">
        <f t="shared" si="5"/>
        <v>1.5279358016844111</v>
      </c>
      <c r="N31" s="103">
        <f>'[1]август 20'!W30</f>
        <v>0</v>
      </c>
      <c r="O31" s="103">
        <f>'[1]август 20'!AM30</f>
        <v>0</v>
      </c>
      <c r="P31" s="447">
        <f t="shared" si="26"/>
        <v>0</v>
      </c>
      <c r="Q31" s="103">
        <f t="shared" si="27"/>
        <v>0</v>
      </c>
      <c r="R31" s="103">
        <v>85.944999999999993</v>
      </c>
      <c r="S31" s="108">
        <f t="shared" si="6"/>
        <v>2.379428704403963</v>
      </c>
      <c r="T31" s="109">
        <f t="shared" si="7"/>
        <v>83.9</v>
      </c>
      <c r="U31" s="566">
        <v>36.25</v>
      </c>
      <c r="V31" s="109">
        <f t="shared" si="8"/>
        <v>83.9</v>
      </c>
      <c r="W31" s="110">
        <f t="shared" si="9"/>
        <v>1.3332273955188303</v>
      </c>
      <c r="X31" s="110">
        <f t="shared" si="28"/>
        <v>1.3332273955188303</v>
      </c>
      <c r="Y31" s="136">
        <v>33.72</v>
      </c>
      <c r="Z31" s="136">
        <v>62.93</v>
      </c>
      <c r="AA31" s="131">
        <v>0.45</v>
      </c>
      <c r="AB31" s="133">
        <v>670</v>
      </c>
      <c r="AC31" s="133">
        <v>1205</v>
      </c>
      <c r="AD31" s="144" t="s">
        <v>278</v>
      </c>
      <c r="AE31" s="131">
        <v>75.08</v>
      </c>
      <c r="AF31" s="133">
        <v>31</v>
      </c>
      <c r="AG31" s="134">
        <v>2</v>
      </c>
      <c r="AH31" s="131"/>
      <c r="AI31" s="115">
        <f t="shared" si="10"/>
        <v>0</v>
      </c>
      <c r="AJ31" s="131">
        <v>53.1</v>
      </c>
      <c r="AK31" s="115">
        <f t="shared" si="11"/>
        <v>843.79469251549335</v>
      </c>
      <c r="AL31" s="139">
        <v>11.31</v>
      </c>
      <c r="AM31" s="131"/>
      <c r="AN31" s="136">
        <v>12.79</v>
      </c>
      <c r="AO31" s="466">
        <f t="shared" si="29"/>
        <v>17.29</v>
      </c>
      <c r="AP31" s="110">
        <f t="shared" si="12"/>
        <v>0.19</v>
      </c>
      <c r="AQ31" s="137" t="s">
        <v>419</v>
      </c>
      <c r="AR31" s="150">
        <v>7.14</v>
      </c>
      <c r="AS31" s="138">
        <v>7.09</v>
      </c>
      <c r="AT31" s="134"/>
      <c r="AU31" s="131">
        <v>9.06</v>
      </c>
      <c r="AV31" s="139">
        <v>91</v>
      </c>
      <c r="AW31" s="131">
        <v>2.0099999999999998</v>
      </c>
      <c r="AX31" s="148"/>
      <c r="AY31" s="131"/>
      <c r="AZ31" s="109">
        <f t="shared" si="41"/>
        <v>0</v>
      </c>
      <c r="BA31" s="109">
        <f t="shared" si="13"/>
        <v>62.930000000000007</v>
      </c>
      <c r="BB31" s="115">
        <f t="shared" si="30"/>
        <v>61.922898088851028</v>
      </c>
      <c r="BC31" s="140">
        <f t="shared" si="14"/>
        <v>3.7267225352112674</v>
      </c>
      <c r="BD31" s="141">
        <f t="shared" si="42"/>
        <v>2.5172000000000003</v>
      </c>
      <c r="BE31" s="128">
        <f t="shared" si="16"/>
        <v>0.8871983013645699</v>
      </c>
      <c r="BF31" s="141">
        <f t="shared" si="17"/>
        <v>6.2439225352112677</v>
      </c>
      <c r="BG31" s="535">
        <v>0.88200000000000001</v>
      </c>
      <c r="BH31" s="16">
        <f t="shared" si="31"/>
        <v>4479.4449999999997</v>
      </c>
      <c r="BI31" s="16">
        <f t="shared" si="18"/>
        <v>187.09677419354838</v>
      </c>
      <c r="BJ31" s="16">
        <f t="shared" si="32"/>
        <v>4677.4193548387084</v>
      </c>
      <c r="BK31" s="17">
        <f>IF(BA31&lt;&gt;0,1,0)</f>
        <v>1</v>
      </c>
      <c r="BL31" s="16">
        <f t="shared" si="33"/>
        <v>4677.4193548387084</v>
      </c>
      <c r="BM31" s="254">
        <v>29.998000000000001</v>
      </c>
      <c r="BN31" s="230">
        <v>12.004</v>
      </c>
      <c r="BO31" s="266">
        <f t="shared" si="34"/>
        <v>84.149000000000001</v>
      </c>
      <c r="BP31" s="584"/>
      <c r="BQ31" s="230"/>
      <c r="BR31" s="230">
        <v>6.4169999999999998</v>
      </c>
      <c r="BS31" s="259"/>
      <c r="BT31" s="199"/>
      <c r="BU31" s="200">
        <v>2.09</v>
      </c>
      <c r="BV31" s="200"/>
      <c r="BW31" s="200"/>
      <c r="BX31" s="200"/>
      <c r="BY31" s="208"/>
      <c r="BZ31" s="208">
        <v>2.06</v>
      </c>
      <c r="CA31" s="201"/>
      <c r="CB31" s="202">
        <v>37.54</v>
      </c>
      <c r="CC31" s="200">
        <v>43.51</v>
      </c>
      <c r="CD31" s="200">
        <v>41.37</v>
      </c>
      <c r="CE31" s="200"/>
      <c r="CF31" s="208"/>
      <c r="CG31" s="208">
        <v>35.299999999999997</v>
      </c>
      <c r="CH31" s="209"/>
      <c r="CI31" s="199"/>
      <c r="CJ31" s="197"/>
      <c r="CK31" s="197"/>
      <c r="CL31" s="230">
        <v>83.9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29.3710418</v>
      </c>
      <c r="CU31" s="24">
        <f t="shared" si="20"/>
        <v>12.004</v>
      </c>
      <c r="CV31" s="25">
        <f t="shared" si="20"/>
        <v>84.149000000000001</v>
      </c>
      <c r="CW31" s="24">
        <f t="shared" si="20"/>
        <v>0</v>
      </c>
      <c r="CX31" s="27">
        <f t="shared" si="20"/>
        <v>0</v>
      </c>
      <c r="CY31" s="24">
        <f t="shared" si="20"/>
        <v>6.2848097999999997</v>
      </c>
      <c r="CZ31" s="280">
        <f t="shared" si="20"/>
        <v>0</v>
      </c>
      <c r="DA31" s="28">
        <f t="shared" si="21"/>
        <v>0</v>
      </c>
      <c r="DB31" s="24">
        <f t="shared" si="21"/>
        <v>0</v>
      </c>
      <c r="DC31" s="277">
        <f t="shared" si="21"/>
        <v>83.9</v>
      </c>
      <c r="DD31" s="280">
        <f t="shared" si="21"/>
        <v>0</v>
      </c>
      <c r="DE31" s="508">
        <f t="shared" si="36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7"/>
        <v>0</v>
      </c>
      <c r="DM31" s="230">
        <v>65.099999999999994</v>
      </c>
      <c r="DN31" s="420">
        <f t="shared" si="38"/>
        <v>83.899999999999991</v>
      </c>
      <c r="DO31" s="197"/>
      <c r="DQ31" s="197">
        <v>41.999000000000002</v>
      </c>
      <c r="DR31" s="247">
        <f t="shared" si="40"/>
        <v>84.149000000000001</v>
      </c>
    </row>
    <row r="32" spans="1:122" ht="16.5" customHeight="1" thickBot="1">
      <c r="A32" s="534">
        <v>26</v>
      </c>
      <c r="B32" s="103">
        <f t="shared" si="24"/>
        <v>156.23999999999998</v>
      </c>
      <c r="C32" s="104">
        <f t="shared" si="0"/>
        <v>0.44214951356886845</v>
      </c>
      <c r="D32" s="143">
        <f t="shared" si="1"/>
        <v>155.54918559999999</v>
      </c>
      <c r="E32" s="104">
        <f t="shared" si="2"/>
        <v>40.506868087557606</v>
      </c>
      <c r="F32" s="128">
        <f t="shared" si="3"/>
        <v>0</v>
      </c>
      <c r="G32" s="106"/>
      <c r="H32" s="107">
        <f t="shared" si="4"/>
        <v>0</v>
      </c>
      <c r="I32" s="103">
        <f>'[1]сентябрь 20'!AE31</f>
        <v>0</v>
      </c>
      <c r="J32" s="328">
        <f>'[1]август 20'!AA31</f>
        <v>0</v>
      </c>
      <c r="K32" s="106"/>
      <c r="L32" s="328">
        <f t="shared" si="25"/>
        <v>110.49199999999999</v>
      </c>
      <c r="M32" s="103">
        <f t="shared" si="5"/>
        <v>0</v>
      </c>
      <c r="N32" s="103">
        <f>'[1]август 20'!W31</f>
        <v>0</v>
      </c>
      <c r="O32" s="103">
        <f>'[1]август 20'!AM31</f>
        <v>0</v>
      </c>
      <c r="P32" s="447">
        <f t="shared" si="26"/>
        <v>0</v>
      </c>
      <c r="Q32" s="103">
        <f t="shared" si="27"/>
        <v>0</v>
      </c>
      <c r="R32" s="103">
        <v>97.7</v>
      </c>
      <c r="S32" s="108">
        <f t="shared" si="6"/>
        <v>3.0092118730808526</v>
      </c>
      <c r="T32" s="109">
        <f t="shared" si="7"/>
        <v>94.76</v>
      </c>
      <c r="U32" s="566"/>
      <c r="V32" s="109">
        <f t="shared" si="8"/>
        <v>94.76</v>
      </c>
      <c r="W32" s="110">
        <f t="shared" si="9"/>
        <v>0</v>
      </c>
      <c r="X32" s="110">
        <f t="shared" si="28"/>
        <v>0</v>
      </c>
      <c r="Y32" s="136"/>
      <c r="Z32" s="136"/>
      <c r="AA32" s="131"/>
      <c r="AB32" s="133">
        <v>544</v>
      </c>
      <c r="AC32" s="133">
        <v>1001</v>
      </c>
      <c r="AD32" s="144" t="s">
        <v>421</v>
      </c>
      <c r="AE32" s="131"/>
      <c r="AF32" s="133">
        <v>39</v>
      </c>
      <c r="AG32" s="134"/>
      <c r="AH32" s="131"/>
      <c r="AI32" s="115">
        <f t="shared" si="10"/>
        <v>0</v>
      </c>
      <c r="AJ32" s="131">
        <v>27.25</v>
      </c>
      <c r="AK32" s="115">
        <f t="shared" si="11"/>
        <v>0</v>
      </c>
      <c r="AL32" s="139"/>
      <c r="AM32" s="131"/>
      <c r="AN32" s="136"/>
      <c r="AO32" s="466">
        <f t="shared" si="29"/>
        <v>0</v>
      </c>
      <c r="AP32" s="110">
        <f t="shared" si="12"/>
        <v>0</v>
      </c>
      <c r="AQ32" s="137"/>
      <c r="AR32" s="150"/>
      <c r="AS32" s="138"/>
      <c r="AT32" s="134"/>
      <c r="AU32" s="131"/>
      <c r="AV32" s="139"/>
      <c r="AW32" s="131"/>
      <c r="AX32" s="148"/>
      <c r="AY32" s="131"/>
      <c r="AZ32" s="109">
        <f t="shared" si="41"/>
        <v>0</v>
      </c>
      <c r="BA32" s="109">
        <f t="shared" si="13"/>
        <v>0</v>
      </c>
      <c r="BB32" s="115">
        <f t="shared" si="30"/>
        <v>0</v>
      </c>
      <c r="BC32" s="140">
        <f t="shared" si="14"/>
        <v>0</v>
      </c>
      <c r="BD32" s="141">
        <f t="shared" si="42"/>
        <v>0</v>
      </c>
      <c r="BE32" s="128">
        <f t="shared" si="16"/>
        <v>0</v>
      </c>
      <c r="BF32" s="141">
        <f t="shared" si="17"/>
        <v>0</v>
      </c>
      <c r="BG32" s="535">
        <v>0.89200000000000002</v>
      </c>
      <c r="BH32" s="16">
        <f t="shared" si="31"/>
        <v>4479.4449999999997</v>
      </c>
      <c r="BI32" s="16">
        <f t="shared" si="18"/>
        <v>187.09677419354838</v>
      </c>
      <c r="BJ32" s="16">
        <f t="shared" si="32"/>
        <v>4864.5161290322567</v>
      </c>
      <c r="BK32" s="17">
        <v>1</v>
      </c>
      <c r="BL32" s="16">
        <f t="shared" si="33"/>
        <v>4864.5161290322567</v>
      </c>
      <c r="BM32" s="254">
        <v>34.304000000000002</v>
      </c>
      <c r="BN32" s="230">
        <v>22.742999999999999</v>
      </c>
      <c r="BO32" s="266">
        <f t="shared" si="34"/>
        <v>87.748999999999995</v>
      </c>
      <c r="BP32" s="196"/>
      <c r="BQ32" s="230"/>
      <c r="BR32" s="230">
        <v>11.444000000000001</v>
      </c>
      <c r="BS32" s="258"/>
      <c r="BT32" s="199"/>
      <c r="BU32" s="200">
        <v>1.44</v>
      </c>
      <c r="BV32" s="200"/>
      <c r="BW32" s="200"/>
      <c r="BX32" s="200"/>
      <c r="BY32" s="208"/>
      <c r="BZ32" s="208">
        <v>1.72</v>
      </c>
      <c r="CA32" s="201"/>
      <c r="CB32" s="202">
        <v>37.39</v>
      </c>
      <c r="CC32" s="200">
        <v>43.78</v>
      </c>
      <c r="CD32" s="200">
        <v>41.53</v>
      </c>
      <c r="CE32" s="200"/>
      <c r="CF32" s="208"/>
      <c r="CG32" s="208">
        <v>35.5</v>
      </c>
      <c r="CH32" s="209"/>
      <c r="CI32" s="199"/>
      <c r="CJ32" s="197"/>
      <c r="CK32" s="197"/>
      <c r="CL32" s="230">
        <v>94.76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33.810022400000001</v>
      </c>
      <c r="CU32" s="24">
        <f t="shared" si="20"/>
        <v>22.742999999999999</v>
      </c>
      <c r="CV32" s="25">
        <f t="shared" si="20"/>
        <v>87.748999999999995</v>
      </c>
      <c r="CW32" s="24">
        <f t="shared" si="20"/>
        <v>0</v>
      </c>
      <c r="CX32" s="27">
        <f t="shared" si="20"/>
        <v>0</v>
      </c>
      <c r="CY32" s="24">
        <f t="shared" si="20"/>
        <v>11.247163200000001</v>
      </c>
      <c r="CZ32" s="280">
        <f t="shared" si="20"/>
        <v>0</v>
      </c>
      <c r="DA32" s="25">
        <f t="shared" si="21"/>
        <v>0</v>
      </c>
      <c r="DB32" s="24">
        <f t="shared" si="21"/>
        <v>0</v>
      </c>
      <c r="DC32" s="277">
        <f t="shared" si="21"/>
        <v>94.76</v>
      </c>
      <c r="DD32" s="280">
        <f t="shared" si="21"/>
        <v>0</v>
      </c>
      <c r="DE32" s="508">
        <f t="shared" si="36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7"/>
        <v>0</v>
      </c>
      <c r="DM32" s="230">
        <v>75.959999999999994</v>
      </c>
      <c r="DN32" s="420">
        <f t="shared" si="38"/>
        <v>94.76</v>
      </c>
      <c r="DO32" s="197"/>
      <c r="DQ32" s="197">
        <v>45.598999999999997</v>
      </c>
      <c r="DR32" s="247">
        <f t="shared" si="40"/>
        <v>87.748999999999995</v>
      </c>
    </row>
    <row r="33" spans="1:122" ht="16.5" customHeight="1" thickBot="1">
      <c r="A33" s="534">
        <v>27</v>
      </c>
      <c r="B33" s="103">
        <f t="shared" si="24"/>
        <v>345.15199999999993</v>
      </c>
      <c r="C33" s="104">
        <f t="shared" si="0"/>
        <v>1.1200476601613203</v>
      </c>
      <c r="D33" s="143">
        <f t="shared" si="1"/>
        <v>341.28613309999997</v>
      </c>
      <c r="E33" s="104">
        <f t="shared" si="2"/>
        <v>39.867012562581131</v>
      </c>
      <c r="F33" s="128">
        <f t="shared" si="3"/>
        <v>3.0601211643817194</v>
      </c>
      <c r="G33" s="106"/>
      <c r="H33" s="107">
        <f t="shared" si="4"/>
        <v>1.0528314497834605</v>
      </c>
      <c r="I33" s="103">
        <f>'[1]сентябрь 20'!AE32</f>
        <v>0</v>
      </c>
      <c r="J33" s="328">
        <f>'[1]август 20'!AA32</f>
        <v>0</v>
      </c>
      <c r="K33" s="106"/>
      <c r="L33" s="328">
        <f t="shared" si="25"/>
        <v>223.86699999999999</v>
      </c>
      <c r="M33" s="103">
        <f t="shared" si="5"/>
        <v>2.0072897145982589</v>
      </c>
      <c r="N33" s="103">
        <f>'[1]август 20'!W32</f>
        <v>0</v>
      </c>
      <c r="O33" s="103">
        <f>'[1]август 20'!AM32</f>
        <v>0</v>
      </c>
      <c r="P33" s="447">
        <f t="shared" si="26"/>
        <v>0</v>
      </c>
      <c r="Q33" s="103">
        <f t="shared" si="27"/>
        <v>0</v>
      </c>
      <c r="R33" s="103">
        <v>221.18</v>
      </c>
      <c r="S33" s="108">
        <f t="shared" si="6"/>
        <v>3.0382493896374041</v>
      </c>
      <c r="T33" s="109">
        <f t="shared" si="7"/>
        <v>214.46</v>
      </c>
      <c r="U33" s="566">
        <v>4.25</v>
      </c>
      <c r="V33" s="109">
        <f t="shared" si="8"/>
        <v>214.46</v>
      </c>
      <c r="W33" s="110">
        <f t="shared" si="9"/>
        <v>1.9229424264976198</v>
      </c>
      <c r="X33" s="110">
        <f t="shared" si="28"/>
        <v>1.9229424264976198</v>
      </c>
      <c r="Y33" s="136">
        <v>88.3</v>
      </c>
      <c r="Z33" s="136">
        <v>111.53</v>
      </c>
      <c r="AA33" s="131">
        <v>0.48</v>
      </c>
      <c r="AB33" s="133">
        <v>600</v>
      </c>
      <c r="AC33" s="133">
        <v>1154</v>
      </c>
      <c r="AD33" s="144" t="s">
        <v>423</v>
      </c>
      <c r="AE33" s="131">
        <v>75.5</v>
      </c>
      <c r="AF33" s="133">
        <v>101</v>
      </c>
      <c r="AG33" s="134">
        <v>4</v>
      </c>
      <c r="AH33" s="131"/>
      <c r="AI33" s="115">
        <f t="shared" si="10"/>
        <v>0</v>
      </c>
      <c r="AJ33" s="131">
        <v>117.45</v>
      </c>
      <c r="AK33" s="115">
        <f t="shared" si="11"/>
        <v>1053.1082159477078</v>
      </c>
      <c r="AL33" s="139">
        <v>21.08</v>
      </c>
      <c r="AM33" s="131"/>
      <c r="AN33" s="136">
        <v>5.0599999999999996</v>
      </c>
      <c r="AO33" s="466">
        <f t="shared" si="29"/>
        <v>26.922999999999998</v>
      </c>
      <c r="AP33" s="110">
        <f t="shared" si="12"/>
        <v>0.19</v>
      </c>
      <c r="AQ33" s="137" t="s">
        <v>424</v>
      </c>
      <c r="AR33" s="150">
        <v>8.2799999999999994</v>
      </c>
      <c r="AS33" s="138">
        <v>6.28</v>
      </c>
      <c r="AT33" s="134"/>
      <c r="AU33" s="131">
        <v>9.26</v>
      </c>
      <c r="AV33" s="139">
        <v>141.69999999999999</v>
      </c>
      <c r="AW33" s="131">
        <v>1.81</v>
      </c>
      <c r="AX33" s="116"/>
      <c r="AY33" s="131"/>
      <c r="AZ33" s="109">
        <f t="shared" si="41"/>
        <v>0</v>
      </c>
      <c r="BA33" s="109">
        <f t="shared" si="13"/>
        <v>111.52699999999999</v>
      </c>
      <c r="BB33" s="115">
        <f t="shared" si="30"/>
        <v>157.32568369740949</v>
      </c>
      <c r="BC33" s="140">
        <f t="shared" si="14"/>
        <v>8.4249697183098586</v>
      </c>
      <c r="BD33" s="141">
        <f t="shared" si="42"/>
        <v>4.4610799999999999</v>
      </c>
      <c r="BE33" s="128">
        <f t="shared" si="16"/>
        <v>0.618863167868141</v>
      </c>
      <c r="BF33" s="141">
        <f t="shared" si="17"/>
        <v>12.886049718309859</v>
      </c>
      <c r="BG33" s="535">
        <v>0.85899999999999999</v>
      </c>
      <c r="BH33" s="16">
        <f t="shared" si="31"/>
        <v>4590.9719999999998</v>
      </c>
      <c r="BI33" s="16">
        <f t="shared" si="18"/>
        <v>187.09677419354838</v>
      </c>
      <c r="BJ33" s="16">
        <f t="shared" si="32"/>
        <v>5051.612903225805</v>
      </c>
      <c r="BK33" s="17">
        <f t="shared" si="19"/>
        <v>1</v>
      </c>
      <c r="BL33" s="16">
        <f t="shared" si="33"/>
        <v>5051.612903225805</v>
      </c>
      <c r="BM33" s="254">
        <v>90.956999999999994</v>
      </c>
      <c r="BN33" s="230">
        <v>60.517000000000003</v>
      </c>
      <c r="BO33" s="266">
        <f t="shared" si="34"/>
        <v>163.35</v>
      </c>
      <c r="BP33" s="196"/>
      <c r="BQ33" s="230"/>
      <c r="BR33" s="230">
        <v>30.327999999999999</v>
      </c>
      <c r="BS33" s="258"/>
      <c r="BT33" s="199"/>
      <c r="BU33" s="200">
        <v>3.53</v>
      </c>
      <c r="BV33" s="200"/>
      <c r="BW33" s="200"/>
      <c r="BX33" s="200"/>
      <c r="BY33" s="208"/>
      <c r="BZ33" s="208">
        <v>2.16</v>
      </c>
      <c r="CA33" s="201"/>
      <c r="CB33" s="202">
        <v>36.270000000000003</v>
      </c>
      <c r="CC33" s="200">
        <v>43.83</v>
      </c>
      <c r="CD33" s="200">
        <v>41.53</v>
      </c>
      <c r="CE33" s="200"/>
      <c r="CF33" s="208"/>
      <c r="CG33" s="208">
        <v>33.79</v>
      </c>
      <c r="CH33" s="209"/>
      <c r="CI33" s="199"/>
      <c r="CJ33" s="197"/>
      <c r="CK33" s="197"/>
      <c r="CL33" s="230">
        <v>214.46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87.746217899999991</v>
      </c>
      <c r="CU33" s="24">
        <f t="shared" si="20"/>
        <v>60.517000000000003</v>
      </c>
      <c r="CV33" s="25">
        <f t="shared" si="20"/>
        <v>163.35</v>
      </c>
      <c r="CW33" s="24">
        <f t="shared" si="20"/>
        <v>0</v>
      </c>
      <c r="CX33" s="27">
        <f t="shared" si="20"/>
        <v>0</v>
      </c>
      <c r="CY33" s="24">
        <f t="shared" si="20"/>
        <v>29.672915200000002</v>
      </c>
      <c r="CZ33" s="280">
        <f t="shared" si="20"/>
        <v>0</v>
      </c>
      <c r="DA33" s="25">
        <f t="shared" si="21"/>
        <v>0</v>
      </c>
      <c r="DB33" s="24">
        <f t="shared" si="21"/>
        <v>0</v>
      </c>
      <c r="DC33" s="277">
        <f t="shared" si="21"/>
        <v>214.46</v>
      </c>
      <c r="DD33" s="280">
        <f t="shared" si="21"/>
        <v>0</v>
      </c>
      <c r="DE33" s="508">
        <f t="shared" si="36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7"/>
        <v>0</v>
      </c>
      <c r="DM33" s="230">
        <v>195.66</v>
      </c>
      <c r="DN33" s="420">
        <f t="shared" si="38"/>
        <v>214.45999999999998</v>
      </c>
      <c r="DO33" s="197"/>
      <c r="DQ33" s="197">
        <v>121.2</v>
      </c>
      <c r="DR33" s="247">
        <f t="shared" si="40"/>
        <v>163.35</v>
      </c>
    </row>
    <row r="34" spans="1:122" ht="16.5" customHeight="1" thickBot="1">
      <c r="A34" s="534">
        <v>28</v>
      </c>
      <c r="B34" s="103">
        <f t="shared" si="24"/>
        <v>471.52100000000002</v>
      </c>
      <c r="C34" s="104">
        <f t="shared" si="0"/>
        <v>0.56216864148150347</v>
      </c>
      <c r="D34" s="143">
        <f t="shared" si="1"/>
        <v>468.87025679999999</v>
      </c>
      <c r="E34" s="104">
        <f t="shared" si="2"/>
        <v>39.701191314914922</v>
      </c>
      <c r="F34" s="128">
        <f t="shared" si="3"/>
        <v>2.3417227002689485</v>
      </c>
      <c r="G34" s="106"/>
      <c r="H34" s="107">
        <f t="shared" si="4"/>
        <v>0.9216617187207361</v>
      </c>
      <c r="I34" s="103">
        <f>'[1]сентябрь 20'!AE33</f>
        <v>0</v>
      </c>
      <c r="J34" s="328">
        <f>'[1]август 20'!AA33</f>
        <v>0</v>
      </c>
      <c r="K34" s="106"/>
      <c r="L34" s="328">
        <f t="shared" si="25"/>
        <v>284.33100000000002</v>
      </c>
      <c r="M34" s="103">
        <f t="shared" si="5"/>
        <v>1.4200609815482124</v>
      </c>
      <c r="N34" s="103">
        <f>'[1]август 20'!W33</f>
        <v>0</v>
      </c>
      <c r="O34" s="103">
        <f>'[1]август 20'!AM33</f>
        <v>0</v>
      </c>
      <c r="P34" s="447">
        <f t="shared" si="26"/>
        <v>0</v>
      </c>
      <c r="Q34" s="103">
        <f t="shared" si="27"/>
        <v>0</v>
      </c>
      <c r="R34" s="103">
        <v>304.2</v>
      </c>
      <c r="S34" s="108">
        <f t="shared" si="6"/>
        <v>2.8895463510848041</v>
      </c>
      <c r="T34" s="109">
        <f t="shared" si="7"/>
        <v>295.41000000000003</v>
      </c>
      <c r="U34" s="566">
        <v>28.9</v>
      </c>
      <c r="V34" s="109">
        <f t="shared" si="8"/>
        <v>295.41000000000003</v>
      </c>
      <c r="W34" s="110">
        <f t="shared" si="9"/>
        <v>1.4753938703804981</v>
      </c>
      <c r="X34" s="110">
        <f t="shared" si="28"/>
        <v>1.4753938703804981</v>
      </c>
      <c r="Y34" s="157">
        <v>200.22</v>
      </c>
      <c r="Z34" s="157">
        <v>80.91</v>
      </c>
      <c r="AA34" s="149">
        <v>1.0900000000000001</v>
      </c>
      <c r="AB34" s="147">
        <v>684</v>
      </c>
      <c r="AC34" s="147">
        <v>1221</v>
      </c>
      <c r="AD34" s="144" t="s">
        <v>181</v>
      </c>
      <c r="AE34" s="149">
        <v>75.459999999999994</v>
      </c>
      <c r="AF34" s="147">
        <v>143</v>
      </c>
      <c r="AG34" s="155">
        <v>5</v>
      </c>
      <c r="AH34" s="149">
        <v>2.2000000000000002</v>
      </c>
      <c r="AI34" s="115">
        <f t="shared" si="10"/>
        <v>10.987666344528268</v>
      </c>
      <c r="AJ34" s="149">
        <v>118.2</v>
      </c>
      <c r="AK34" s="115">
        <f t="shared" si="11"/>
        <v>590.33734632874598</v>
      </c>
      <c r="AL34" s="156">
        <v>24.82</v>
      </c>
      <c r="AM34" s="149"/>
      <c r="AN34" s="157">
        <v>10.75</v>
      </c>
      <c r="AO34" s="466">
        <f t="shared" si="29"/>
        <v>48.725499999999997</v>
      </c>
      <c r="AP34" s="110">
        <f t="shared" si="12"/>
        <v>0.19</v>
      </c>
      <c r="AQ34" s="158" t="s">
        <v>417</v>
      </c>
      <c r="AR34" s="404">
        <v>9.6999999999999993</v>
      </c>
      <c r="AS34" s="159">
        <v>6.87</v>
      </c>
      <c r="AT34" s="155"/>
      <c r="AU34" s="149">
        <v>6.16</v>
      </c>
      <c r="AV34" s="156">
        <v>256.45</v>
      </c>
      <c r="AW34" s="131">
        <v>3.25</v>
      </c>
      <c r="AX34" s="148"/>
      <c r="AY34" s="149"/>
      <c r="AZ34" s="109">
        <f t="shared" si="41"/>
        <v>0</v>
      </c>
      <c r="BA34" s="109">
        <f t="shared" si="13"/>
        <v>200.22449999999998</v>
      </c>
      <c r="BB34" s="115">
        <f t="shared" si="30"/>
        <v>215.35435834441626</v>
      </c>
      <c r="BC34" s="140">
        <f t="shared" si="14"/>
        <v>5.6403042253521125</v>
      </c>
      <c r="BD34" s="141">
        <f t="shared" si="42"/>
        <v>8.0089799999999993</v>
      </c>
      <c r="BE34" s="128">
        <f t="shared" si="16"/>
        <v>0.81166682598756013</v>
      </c>
      <c r="BF34" s="141">
        <f t="shared" si="17"/>
        <v>13.649284225352112</v>
      </c>
      <c r="BG34" s="538">
        <v>0.85699999999999998</v>
      </c>
      <c r="BH34" s="16">
        <f t="shared" si="31"/>
        <v>4791.1965</v>
      </c>
      <c r="BI34" s="16">
        <f t="shared" si="18"/>
        <v>187.09677419354838</v>
      </c>
      <c r="BJ34" s="16">
        <f t="shared" si="32"/>
        <v>5238.7096774193533</v>
      </c>
      <c r="BK34" s="17">
        <f t="shared" si="19"/>
        <v>1</v>
      </c>
      <c r="BL34" s="16">
        <f t="shared" si="33"/>
        <v>5238.7096774193533</v>
      </c>
      <c r="BM34" s="255">
        <v>143.45699999999999</v>
      </c>
      <c r="BN34" s="233">
        <v>78.968999999999994</v>
      </c>
      <c r="BO34" s="266">
        <f t="shared" si="34"/>
        <v>205.36199999999999</v>
      </c>
      <c r="BP34" s="429"/>
      <c r="BQ34" s="233"/>
      <c r="BR34" s="233">
        <v>43.732999999999997</v>
      </c>
      <c r="BS34" s="260"/>
      <c r="BT34" s="212"/>
      <c r="BU34" s="213">
        <v>1.36</v>
      </c>
      <c r="BV34" s="213"/>
      <c r="BW34" s="213"/>
      <c r="BX34" s="213"/>
      <c r="BY34" s="235"/>
      <c r="BZ34" s="235">
        <v>1.6</v>
      </c>
      <c r="CA34" s="214"/>
      <c r="CB34" s="215">
        <v>36.229999999999997</v>
      </c>
      <c r="CC34" s="213">
        <v>43.67</v>
      </c>
      <c r="CD34" s="213">
        <v>41.42</v>
      </c>
      <c r="CE34" s="213"/>
      <c r="CF34" s="235"/>
      <c r="CG34" s="235">
        <v>35.85</v>
      </c>
      <c r="CH34" s="211"/>
      <c r="CI34" s="212"/>
      <c r="CJ34" s="210"/>
      <c r="CK34" s="210"/>
      <c r="CL34" s="233">
        <v>295.41000000000003</v>
      </c>
      <c r="CM34" s="198"/>
      <c r="CN34" s="202"/>
      <c r="CO34" s="208"/>
      <c r="CP34" s="208"/>
      <c r="CQ34" s="209"/>
      <c r="CR34" s="201"/>
      <c r="CS34" s="284"/>
      <c r="CT34" s="286">
        <f t="shared" si="20"/>
        <v>141.50598479999999</v>
      </c>
      <c r="CU34" s="24">
        <f t="shared" si="20"/>
        <v>78.968999999999994</v>
      </c>
      <c r="CV34" s="25">
        <f t="shared" si="20"/>
        <v>205.36199999999999</v>
      </c>
      <c r="CW34" s="24">
        <f t="shared" si="20"/>
        <v>0</v>
      </c>
      <c r="CX34" s="27">
        <f t="shared" si="20"/>
        <v>0</v>
      </c>
      <c r="CY34" s="24">
        <f t="shared" si="20"/>
        <v>43.033272000000004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295.41000000000003</v>
      </c>
      <c r="DD34" s="280">
        <f t="shared" si="21"/>
        <v>0</v>
      </c>
      <c r="DE34" s="508">
        <f t="shared" si="36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7"/>
        <v>0</v>
      </c>
      <c r="DM34" s="233">
        <v>276.61</v>
      </c>
      <c r="DN34" s="420">
        <f t="shared" si="38"/>
        <v>295.41000000000003</v>
      </c>
      <c r="DO34" s="210"/>
      <c r="DQ34" s="210">
        <v>163.21199999999999</v>
      </c>
      <c r="DR34" s="247">
        <f t="shared" si="40"/>
        <v>205.36199999999999</v>
      </c>
    </row>
    <row r="35" spans="1:122" ht="16.5" customHeight="1" thickBot="1">
      <c r="A35" s="534">
        <v>29</v>
      </c>
      <c r="B35" s="103">
        <f t="shared" si="24"/>
        <v>480.20799999999997</v>
      </c>
      <c r="C35" s="104">
        <f t="shared" si="0"/>
        <v>0.95878546379902052</v>
      </c>
      <c r="D35" s="143">
        <f t="shared" si="1"/>
        <v>475.6038355</v>
      </c>
      <c r="E35" s="104">
        <f t="shared" si="2"/>
        <v>38.009429684636657</v>
      </c>
      <c r="F35" s="128">
        <f t="shared" si="3"/>
        <v>2.2847664354376138</v>
      </c>
      <c r="G35" s="106"/>
      <c r="H35" s="107">
        <f t="shared" si="4"/>
        <v>1.591276237852068</v>
      </c>
      <c r="I35" s="103">
        <f>'[1]сентябрь 20'!AE34</f>
        <v>0</v>
      </c>
      <c r="J35" s="328">
        <f>'[1]август 20'!AA34</f>
        <v>0</v>
      </c>
      <c r="K35" s="578">
        <v>22.46</v>
      </c>
      <c r="L35" s="328">
        <f t="shared" si="25"/>
        <v>144.35900000000001</v>
      </c>
      <c r="M35" s="103">
        <f t="shared" si="5"/>
        <v>0.69349019758554598</v>
      </c>
      <c r="N35" s="103">
        <f>'[1]август 20'!W34</f>
        <v>0</v>
      </c>
      <c r="O35" s="103">
        <f>'[1]август 20'!AM34</f>
        <v>0</v>
      </c>
      <c r="P35" s="447">
        <f t="shared" si="26"/>
        <v>0</v>
      </c>
      <c r="Q35" s="103">
        <f t="shared" si="27"/>
        <v>0</v>
      </c>
      <c r="R35" s="103">
        <v>307</v>
      </c>
      <c r="S35" s="108">
        <f t="shared" si="6"/>
        <v>2.9153094462540663</v>
      </c>
      <c r="T35" s="109">
        <f t="shared" si="7"/>
        <v>298.05</v>
      </c>
      <c r="U35" s="566"/>
      <c r="V35" s="109">
        <f t="shared" si="8"/>
        <v>298.05</v>
      </c>
      <c r="W35" s="110">
        <f t="shared" si="9"/>
        <v>1.4318106483861204</v>
      </c>
      <c r="X35" s="110">
        <f t="shared" si="28"/>
        <v>1.4318106483861204</v>
      </c>
      <c r="Y35" s="136">
        <v>171.39</v>
      </c>
      <c r="Z35" s="136">
        <v>171.39</v>
      </c>
      <c r="AA35" s="131">
        <v>0.71</v>
      </c>
      <c r="AB35" s="133">
        <v>659</v>
      </c>
      <c r="AC35" s="133">
        <v>1200</v>
      </c>
      <c r="AD35" s="144" t="s">
        <v>198</v>
      </c>
      <c r="AE35" s="131">
        <v>75.489999999999995</v>
      </c>
      <c r="AF35" s="133">
        <v>146</v>
      </c>
      <c r="AG35" s="134">
        <v>5</v>
      </c>
      <c r="AH35" s="166">
        <v>2.4500000000000002</v>
      </c>
      <c r="AI35" s="115">
        <f t="shared" si="10"/>
        <v>11.769622843636958</v>
      </c>
      <c r="AJ35" s="166">
        <v>126.85</v>
      </c>
      <c r="AK35" s="115">
        <f t="shared" si="11"/>
        <v>609.37822763891745</v>
      </c>
      <c r="AL35" s="139">
        <v>22.75</v>
      </c>
      <c r="AM35" s="131"/>
      <c r="AN35" s="167">
        <v>9.2799999999999994</v>
      </c>
      <c r="AO35" s="466">
        <f t="shared" si="29"/>
        <v>50.407000000000004</v>
      </c>
      <c r="AP35" s="110">
        <f t="shared" si="12"/>
        <v>0.19</v>
      </c>
      <c r="AQ35" s="168" t="s">
        <v>168</v>
      </c>
      <c r="AR35" s="405">
        <v>9.44</v>
      </c>
      <c r="AS35" s="169">
        <v>7.75</v>
      </c>
      <c r="AT35" s="170"/>
      <c r="AU35" s="166">
        <v>5.29</v>
      </c>
      <c r="AV35" s="171">
        <v>265.3</v>
      </c>
      <c r="AW35" s="131">
        <v>2.5499999999999998</v>
      </c>
      <c r="AX35" s="116"/>
      <c r="AY35" s="131"/>
      <c r="AZ35" s="109">
        <f t="shared" si="41"/>
        <v>0</v>
      </c>
      <c r="BA35" s="109">
        <f t="shared" si="13"/>
        <v>208.16300000000001</v>
      </c>
      <c r="BB35" s="115">
        <f t="shared" si="30"/>
        <v>209.05546250095108</v>
      </c>
      <c r="BC35" s="140">
        <f t="shared" si="14"/>
        <v>5.1981700704225346</v>
      </c>
      <c r="BD35" s="141">
        <f t="shared" si="42"/>
        <v>8.3265200000000004</v>
      </c>
      <c r="BE35" s="128">
        <f t="shared" si="16"/>
        <v>0.86927314324146521</v>
      </c>
      <c r="BF35" s="141">
        <f t="shared" si="17"/>
        <v>13.524690070422535</v>
      </c>
      <c r="BG35" s="538">
        <v>0.85799999999999998</v>
      </c>
      <c r="BH35" s="16">
        <f t="shared" si="31"/>
        <v>4999.3595000000005</v>
      </c>
      <c r="BI35" s="16">
        <f t="shared" si="18"/>
        <v>187.09677419354838</v>
      </c>
      <c r="BJ35" s="16">
        <f t="shared" si="32"/>
        <v>5425.8064516129016</v>
      </c>
      <c r="BK35" s="17">
        <f t="shared" si="19"/>
        <v>1</v>
      </c>
      <c r="BL35" s="16">
        <f t="shared" si="33"/>
        <v>5425.8064516129016</v>
      </c>
      <c r="BM35" s="254">
        <v>284.733</v>
      </c>
      <c r="BN35" s="230">
        <v>14.592000000000001</v>
      </c>
      <c r="BO35" s="266">
        <f t="shared" si="34"/>
        <v>129.767</v>
      </c>
      <c r="BP35" s="196"/>
      <c r="BQ35" s="230"/>
      <c r="BR35" s="230">
        <v>51.116</v>
      </c>
      <c r="BS35" s="259"/>
      <c r="BT35" s="199"/>
      <c r="BU35" s="200">
        <v>1.17</v>
      </c>
      <c r="BV35" s="200"/>
      <c r="BW35" s="200"/>
      <c r="BX35" s="200"/>
      <c r="BY35" s="208"/>
      <c r="BZ35" s="208">
        <v>2.4900000000000002</v>
      </c>
      <c r="CA35" s="201"/>
      <c r="CB35" s="202">
        <v>35.97</v>
      </c>
      <c r="CC35" s="200">
        <v>43.79</v>
      </c>
      <c r="CD35" s="200">
        <v>43.52</v>
      </c>
      <c r="CE35" s="200"/>
      <c r="CF35" s="208"/>
      <c r="CG35" s="208">
        <v>33.729999999999997</v>
      </c>
      <c r="CH35" s="209"/>
      <c r="CI35" s="199"/>
      <c r="CJ35" s="197"/>
      <c r="CK35" s="197"/>
      <c r="CL35" s="230">
        <v>298.05</v>
      </c>
      <c r="CM35" s="198"/>
      <c r="CN35" s="202"/>
      <c r="CO35" s="208"/>
      <c r="CP35" s="208"/>
      <c r="CQ35" s="209"/>
      <c r="CR35" s="201"/>
      <c r="CT35" s="286">
        <f t="shared" si="20"/>
        <v>281.4016239</v>
      </c>
      <c r="CU35" s="24">
        <f t="shared" si="20"/>
        <v>14.592000000000001</v>
      </c>
      <c r="CV35" s="24">
        <f t="shared" si="20"/>
        <v>129.767</v>
      </c>
      <c r="CW35" s="24">
        <f t="shared" si="20"/>
        <v>0</v>
      </c>
      <c r="CX35" s="27">
        <f t="shared" si="20"/>
        <v>0</v>
      </c>
      <c r="CY35" s="27">
        <f t="shared" si="20"/>
        <v>49.843211600000004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298.05</v>
      </c>
      <c r="DD35" s="280">
        <f t="shared" si="21"/>
        <v>0</v>
      </c>
      <c r="DE35" s="508">
        <f t="shared" si="36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7"/>
        <v>0</v>
      </c>
      <c r="DM35" s="230">
        <v>279.25</v>
      </c>
      <c r="DN35" s="420">
        <f t="shared" si="38"/>
        <v>298.05</v>
      </c>
      <c r="DO35" s="197"/>
      <c r="DQ35" s="197">
        <v>87.617000000000004</v>
      </c>
      <c r="DR35" s="247">
        <f t="shared" si="40"/>
        <v>129.767</v>
      </c>
    </row>
    <row r="36" spans="1:122" ht="16.5" customHeight="1" thickBot="1">
      <c r="A36" s="534">
        <v>30</v>
      </c>
      <c r="B36" s="103">
        <f t="shared" si="24"/>
        <v>480.32499999999993</v>
      </c>
      <c r="C36" s="104">
        <f t="shared" si="0"/>
        <v>0.76048404725966801</v>
      </c>
      <c r="D36" s="143">
        <f t="shared" si="1"/>
        <v>476.67220499999991</v>
      </c>
      <c r="E36" s="104">
        <f t="shared" si="2"/>
        <v>37.86857309113622</v>
      </c>
      <c r="F36" s="128">
        <f t="shared" si="3"/>
        <v>2.3247369704477339</v>
      </c>
      <c r="G36" s="106"/>
      <c r="H36" s="107">
        <f t="shared" si="4"/>
        <v>1.6205839492595475</v>
      </c>
      <c r="I36" s="103">
        <f>'[1]сентябрь 20'!AE35</f>
        <v>0</v>
      </c>
      <c r="J36" s="328">
        <f>'[1]август 20'!AA35</f>
        <v>0</v>
      </c>
      <c r="K36" s="578">
        <v>32.049999999999997</v>
      </c>
      <c r="L36" s="328">
        <f t="shared" si="25"/>
        <v>144.38200000000001</v>
      </c>
      <c r="M36" s="103">
        <f t="shared" si="5"/>
        <v>0.7041530211881869</v>
      </c>
      <c r="N36" s="103">
        <f>'[1]август 20'!W35</f>
        <v>0</v>
      </c>
      <c r="O36" s="103">
        <f>'[1]август 20'!AM35</f>
        <v>0</v>
      </c>
      <c r="P36" s="447">
        <f t="shared" si="26"/>
        <v>0</v>
      </c>
      <c r="Q36" s="103">
        <f t="shared" si="27"/>
        <v>0</v>
      </c>
      <c r="R36" s="103">
        <v>304.02999999999997</v>
      </c>
      <c r="S36" s="108">
        <f t="shared" si="6"/>
        <v>3.0983784494950983</v>
      </c>
      <c r="T36" s="109">
        <f t="shared" si="7"/>
        <v>294.61</v>
      </c>
      <c r="U36" s="566">
        <v>12.27</v>
      </c>
      <c r="V36" s="109">
        <f t="shared" si="8"/>
        <v>294.61</v>
      </c>
      <c r="W36" s="110">
        <f t="shared" si="9"/>
        <v>1.4368170656470458</v>
      </c>
      <c r="X36" s="110">
        <f t="shared" si="28"/>
        <v>1.4368170656470458</v>
      </c>
      <c r="Y36" s="136">
        <v>128.66999999999999</v>
      </c>
      <c r="Z36" s="136">
        <v>35.89</v>
      </c>
      <c r="AA36" s="131">
        <v>1.34</v>
      </c>
      <c r="AB36" s="133">
        <v>624</v>
      </c>
      <c r="AC36" s="133">
        <v>1197</v>
      </c>
      <c r="AD36" s="144" t="s">
        <v>200</v>
      </c>
      <c r="AE36" s="131">
        <v>75.37</v>
      </c>
      <c r="AF36" s="133">
        <v>146</v>
      </c>
      <c r="AG36" s="134">
        <v>5</v>
      </c>
      <c r="AH36" s="131"/>
      <c r="AI36" s="115">
        <f t="shared" si="10"/>
        <v>0</v>
      </c>
      <c r="AJ36" s="131">
        <v>120</v>
      </c>
      <c r="AK36" s="115">
        <f t="shared" si="11"/>
        <v>585.24166823137534</v>
      </c>
      <c r="AL36" s="139">
        <v>19.809999999999999</v>
      </c>
      <c r="AM36" s="131"/>
      <c r="AN36" s="136">
        <v>9.89</v>
      </c>
      <c r="AO36" s="466">
        <f t="shared" si="29"/>
        <v>50.416500000000006</v>
      </c>
      <c r="AP36" s="110">
        <f t="shared" si="12"/>
        <v>0.19</v>
      </c>
      <c r="AQ36" s="137" t="s">
        <v>218</v>
      </c>
      <c r="AR36" s="150">
        <v>9.7899999999999991</v>
      </c>
      <c r="AS36" s="138">
        <v>7.37</v>
      </c>
      <c r="AT36" s="134"/>
      <c r="AU36" s="131">
        <v>6.61</v>
      </c>
      <c r="AV36" s="139">
        <v>265.35000000000002</v>
      </c>
      <c r="AW36" s="131"/>
      <c r="AX36" s="116"/>
      <c r="AY36" s="131"/>
      <c r="AZ36" s="109">
        <f t="shared" si="41"/>
        <v>0</v>
      </c>
      <c r="BA36" s="109">
        <f t="shared" si="13"/>
        <v>205.04349999999999</v>
      </c>
      <c r="BB36" s="115">
        <f t="shared" si="30"/>
        <v>209.08096608252632</v>
      </c>
      <c r="BC36" s="140">
        <f t="shared" si="14"/>
        <v>6.1445070422535215</v>
      </c>
      <c r="BD36" s="141">
        <f t="shared" si="42"/>
        <v>8.2017399999999991</v>
      </c>
      <c r="BE36" s="128">
        <f t="shared" si="16"/>
        <v>0.85614189973345434</v>
      </c>
      <c r="BF36" s="141">
        <f t="shared" si="17"/>
        <v>14.34624704225352</v>
      </c>
      <c r="BG36" s="538">
        <v>0.85799999999999998</v>
      </c>
      <c r="BH36" s="16">
        <f t="shared" si="31"/>
        <v>5204.4030000000002</v>
      </c>
      <c r="BI36" s="16">
        <f t="shared" si="18"/>
        <v>187.09677419354838</v>
      </c>
      <c r="BJ36" s="16">
        <f t="shared" si="32"/>
        <v>5612.9032258064499</v>
      </c>
      <c r="BK36" s="17">
        <f t="shared" si="19"/>
        <v>1</v>
      </c>
      <c r="BL36" s="16">
        <f t="shared" si="33"/>
        <v>5612.9032258064499</v>
      </c>
      <c r="BM36" s="254">
        <v>278.14</v>
      </c>
      <c r="BN36" s="230">
        <v>14.59</v>
      </c>
      <c r="BO36" s="266">
        <f t="shared" si="34"/>
        <v>129.792</v>
      </c>
      <c r="BP36" s="196"/>
      <c r="BQ36" s="230"/>
      <c r="BR36" s="230">
        <v>57.802999999999997</v>
      </c>
      <c r="BS36" s="258"/>
      <c r="BT36" s="199"/>
      <c r="BU36" s="200">
        <v>0.96</v>
      </c>
      <c r="BV36" s="200"/>
      <c r="BW36" s="200"/>
      <c r="BX36" s="200"/>
      <c r="BY36" s="208"/>
      <c r="BZ36" s="208">
        <v>1.7</v>
      </c>
      <c r="CA36" s="201"/>
      <c r="CB36" s="202">
        <v>36.06</v>
      </c>
      <c r="CC36" s="200">
        <v>43.94</v>
      </c>
      <c r="CD36" s="200">
        <v>42.13</v>
      </c>
      <c r="CE36" s="200"/>
      <c r="CF36" s="208"/>
      <c r="CG36" s="208">
        <v>35.47</v>
      </c>
      <c r="CH36" s="209"/>
      <c r="CI36" s="199"/>
      <c r="CJ36" s="197"/>
      <c r="CK36" s="197"/>
      <c r="CL36" s="230">
        <v>294.61</v>
      </c>
      <c r="CM36" s="198"/>
      <c r="CN36" s="202"/>
      <c r="CO36" s="208"/>
      <c r="CP36" s="208"/>
      <c r="CQ36" s="209"/>
      <c r="CR36" s="201"/>
      <c r="CT36" s="286">
        <f t="shared" si="20"/>
        <v>275.46985599999999</v>
      </c>
      <c r="CU36" s="27">
        <f t="shared" si="20"/>
        <v>14.59</v>
      </c>
      <c r="CV36" s="28">
        <f t="shared" si="20"/>
        <v>129.792</v>
      </c>
      <c r="CW36" s="27">
        <f t="shared" si="20"/>
        <v>0</v>
      </c>
      <c r="CX36" s="27">
        <f t="shared" si="20"/>
        <v>0</v>
      </c>
      <c r="CY36" s="29">
        <f t="shared" si="20"/>
        <v>56.820348999999993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294.61</v>
      </c>
      <c r="DD36" s="280">
        <f t="shared" si="21"/>
        <v>0</v>
      </c>
      <c r="DE36" s="508">
        <f t="shared" si="36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7"/>
        <v>0</v>
      </c>
      <c r="DM36" s="230">
        <v>275.81</v>
      </c>
      <c r="DN36" s="420">
        <f t="shared" si="38"/>
        <v>294.61</v>
      </c>
      <c r="DO36" s="197"/>
      <c r="DQ36" s="197">
        <v>87.641999999999996</v>
      </c>
      <c r="DR36" s="247">
        <f t="shared" si="40"/>
        <v>129.792</v>
      </c>
    </row>
    <row r="37" spans="1:122" ht="16.5" customHeight="1" thickBot="1">
      <c r="A37" s="539">
        <v>31</v>
      </c>
      <c r="B37" s="103">
        <f t="shared" si="24"/>
        <v>501.68400000000003</v>
      </c>
      <c r="C37" s="541">
        <f t="shared" si="0"/>
        <v>0.95827907607179019</v>
      </c>
      <c r="D37" s="542">
        <f t="shared" si="1"/>
        <v>496.87646720000004</v>
      </c>
      <c r="E37" s="541">
        <f t="shared" si="2"/>
        <v>38.043667747028003</v>
      </c>
      <c r="F37" s="505">
        <f t="shared" si="3"/>
        <v>2.7900301375708918</v>
      </c>
      <c r="G37" s="543"/>
      <c r="H37" s="544">
        <f t="shared" si="4"/>
        <v>2.0046294974451122</v>
      </c>
      <c r="I37" s="540">
        <f>'[1]сентябрь 20'!AE36</f>
        <v>0</v>
      </c>
      <c r="J37" s="567">
        <f>'[1]август 20'!AA36</f>
        <v>1.998</v>
      </c>
      <c r="K37" s="543"/>
      <c r="L37" s="328">
        <f t="shared" si="25"/>
        <v>139.87200000000001</v>
      </c>
      <c r="M37" s="540">
        <f t="shared" si="5"/>
        <v>0.78540064012577926</v>
      </c>
      <c r="N37" s="540">
        <f>'[1]август 20'!W36</f>
        <v>0</v>
      </c>
      <c r="O37" s="540">
        <f>'[1]август 20'!AM36</f>
        <v>0</v>
      </c>
      <c r="P37" s="447">
        <f t="shared" si="26"/>
        <v>0</v>
      </c>
      <c r="Q37" s="568">
        <f t="shared" si="27"/>
        <v>0</v>
      </c>
      <c r="R37" s="540">
        <v>314.98</v>
      </c>
      <c r="S37" s="546">
        <f t="shared" si="6"/>
        <v>3.086862657946543</v>
      </c>
      <c r="T37" s="547">
        <f t="shared" si="7"/>
        <v>305.25700000000001</v>
      </c>
      <c r="U37" s="579"/>
      <c r="V37" s="547">
        <f t="shared" si="8"/>
        <v>305.25700000000001</v>
      </c>
      <c r="W37" s="549">
        <f t="shared" si="9"/>
        <v>1.7140603065865576</v>
      </c>
      <c r="X37" s="227">
        <f t="shared" si="28"/>
        <v>1.7140603065865576</v>
      </c>
      <c r="Y37" s="550">
        <v>167.34</v>
      </c>
      <c r="Z37" s="550">
        <v>122.59</v>
      </c>
      <c r="AA37" s="548">
        <v>0.99</v>
      </c>
      <c r="AB37" s="551">
        <v>605</v>
      </c>
      <c r="AC37" s="551">
        <v>1212</v>
      </c>
      <c r="AD37" s="552" t="s">
        <v>207</v>
      </c>
      <c r="AE37" s="548">
        <v>75.36</v>
      </c>
      <c r="AF37" s="551">
        <v>153</v>
      </c>
      <c r="AG37" s="553">
        <v>5</v>
      </c>
      <c r="AH37" s="548"/>
      <c r="AI37" s="554">
        <f t="shared" si="10"/>
        <v>0</v>
      </c>
      <c r="AJ37" s="548">
        <v>119.55</v>
      </c>
      <c r="AK37" s="555">
        <f t="shared" si="11"/>
        <v>671.2897972935034</v>
      </c>
      <c r="AL37" s="556">
        <v>25.4</v>
      </c>
      <c r="AM37" s="548"/>
      <c r="AN37" s="550">
        <v>11.09</v>
      </c>
      <c r="AO37" s="557">
        <v>76.72</v>
      </c>
      <c r="AP37" s="549">
        <f t="shared" si="12"/>
        <v>0.28852952237683344</v>
      </c>
      <c r="AQ37" s="558" t="s">
        <v>206</v>
      </c>
      <c r="AR37" s="559">
        <v>9.89</v>
      </c>
      <c r="AS37" s="560">
        <v>7.71</v>
      </c>
      <c r="AT37" s="553"/>
      <c r="AU37" s="548">
        <v>6.55</v>
      </c>
      <c r="AV37" s="548">
        <v>265.89999999999998</v>
      </c>
      <c r="AW37" s="548"/>
      <c r="AX37" s="548"/>
      <c r="AY37" s="548"/>
      <c r="AZ37" s="547">
        <f t="shared" si="41"/>
        <v>0</v>
      </c>
      <c r="BA37" s="547">
        <f t="shared" si="13"/>
        <v>178.08999999999997</v>
      </c>
      <c r="BB37" s="554">
        <f t="shared" si="30"/>
        <v>218.97985429048143</v>
      </c>
      <c r="BC37" s="561">
        <f t="shared" si="14"/>
        <v>6.0658996478873233</v>
      </c>
      <c r="BD37" s="555">
        <f t="shared" si="42"/>
        <v>7.1235999999999988</v>
      </c>
      <c r="BE37" s="505">
        <f t="shared" si="16"/>
        <v>0.70998572221973588</v>
      </c>
      <c r="BF37" s="555">
        <f t="shared" si="17"/>
        <v>13.189499647887322</v>
      </c>
      <c r="BG37" s="562">
        <v>0.85199999999999998</v>
      </c>
      <c r="BH37" s="16">
        <f t="shared" si="31"/>
        <v>5382.4930000000004</v>
      </c>
      <c r="BI37" s="16">
        <f t="shared" si="18"/>
        <v>187.09677419354838</v>
      </c>
      <c r="BJ37" s="16">
        <f t="shared" si="32"/>
        <v>5799.9999999999982</v>
      </c>
      <c r="BK37" s="17">
        <f t="shared" si="19"/>
        <v>1</v>
      </c>
      <c r="BL37" s="16">
        <f t="shared" si="33"/>
        <v>5799.9999999999982</v>
      </c>
      <c r="BM37" s="256">
        <v>317.40100000000001</v>
      </c>
      <c r="BN37" s="257">
        <v>10.507999999999999</v>
      </c>
      <c r="BO37" s="586">
        <f t="shared" si="34"/>
        <v>129.364</v>
      </c>
      <c r="BP37" s="257"/>
      <c r="BQ37" s="261"/>
      <c r="BR37" s="261">
        <v>44.411000000000001</v>
      </c>
      <c r="BS37" s="262"/>
      <c r="BT37" s="219"/>
      <c r="BU37" s="220">
        <v>1.26</v>
      </c>
      <c r="BV37" s="220"/>
      <c r="BW37" s="220"/>
      <c r="BX37" s="220"/>
      <c r="BY37" s="224"/>
      <c r="BZ37" s="224">
        <v>1.82</v>
      </c>
      <c r="CA37" s="221"/>
      <c r="CB37" s="222">
        <v>36.29</v>
      </c>
      <c r="CC37" s="220">
        <v>42.78</v>
      </c>
      <c r="CD37" s="220">
        <v>43.24</v>
      </c>
      <c r="CE37" s="220"/>
      <c r="CF37" s="224"/>
      <c r="CG37" s="224">
        <v>34.32</v>
      </c>
      <c r="CH37" s="221"/>
      <c r="CI37" s="219"/>
      <c r="CJ37" s="217"/>
      <c r="CK37" s="217"/>
      <c r="CL37" s="234">
        <v>305.25700000000001</v>
      </c>
      <c r="CM37" s="223"/>
      <c r="CN37" s="222"/>
      <c r="CO37" s="224"/>
      <c r="CP37" s="224"/>
      <c r="CQ37" s="218"/>
      <c r="CR37" s="221"/>
      <c r="CT37" s="287">
        <f t="shared" si="20"/>
        <v>313.40174739999998</v>
      </c>
      <c r="CU37" s="32">
        <f t="shared" si="20"/>
        <v>10.507999999999999</v>
      </c>
      <c r="CV37" s="30">
        <f t="shared" si="20"/>
        <v>129.364</v>
      </c>
      <c r="CW37" s="246">
        <f t="shared" si="20"/>
        <v>0</v>
      </c>
      <c r="CX37" s="27">
        <f t="shared" si="20"/>
        <v>0</v>
      </c>
      <c r="CY37" s="26">
        <f t="shared" si="20"/>
        <v>43.60271980000001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305.25700000000001</v>
      </c>
      <c r="DD37" s="280">
        <f t="shared" si="21"/>
        <v>0</v>
      </c>
      <c r="DE37" s="563">
        <f t="shared" si="36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7"/>
        <v>0</v>
      </c>
      <c r="DM37" s="234">
        <v>285.60000000000002</v>
      </c>
      <c r="DN37" s="420">
        <f>DM37+21.382-1.725</f>
        <v>305.25700000000001</v>
      </c>
      <c r="DO37" s="257"/>
      <c r="DQ37" s="257">
        <v>87.012</v>
      </c>
      <c r="DR37" s="247">
        <f>DQ37+42.352</f>
        <v>129.364</v>
      </c>
    </row>
    <row r="38" spans="1:122" ht="16.5" customHeight="1" thickBot="1">
      <c r="A38" s="55" t="s">
        <v>58</v>
      </c>
      <c r="B38" s="327">
        <f>SUM(B7:B37)</f>
        <v>12112.692010200002</v>
      </c>
      <c r="C38" s="527"/>
      <c r="D38" s="327">
        <f>SUM(D7:D37)</f>
        <v>12038.112916805219</v>
      </c>
      <c r="E38" s="528"/>
      <c r="F38" s="340"/>
      <c r="G38" s="343">
        <f>SUM(G7:G37)</f>
        <v>0</v>
      </c>
      <c r="H38" s="340"/>
      <c r="I38" s="327">
        <f>SUM(I7:I37)</f>
        <v>0</v>
      </c>
      <c r="J38" s="327">
        <f>SUM(J7:J37)</f>
        <v>125.28800000000001</v>
      </c>
      <c r="K38" s="529">
        <f>SUM(K7:K37)</f>
        <v>54.51</v>
      </c>
      <c r="L38" s="529">
        <f>SUM(L7:L37)</f>
        <v>7642.2660000000005</v>
      </c>
      <c r="M38" s="340"/>
      <c r="N38" s="340">
        <f>SUM(N7:N37)</f>
        <v>0</v>
      </c>
      <c r="O38" s="529">
        <f>SUM(O7:O37)</f>
        <v>86.415999999999997</v>
      </c>
      <c r="P38" s="529">
        <f>SUM(P7:P37)</f>
        <v>85.724671999999998</v>
      </c>
      <c r="Q38" s="569"/>
      <c r="R38" s="327">
        <f>SUM(R7:R37)</f>
        <v>8201.2250000000004</v>
      </c>
      <c r="S38" s="340"/>
      <c r="T38" s="343">
        <f>SUM(T7:T37)</f>
        <v>7982.6270003</v>
      </c>
      <c r="U38" s="574">
        <f>SUM(U7:U37)</f>
        <v>429.24599999999992</v>
      </c>
      <c r="V38" s="343">
        <f>SUM(V7:V37)</f>
        <v>7982.6270003</v>
      </c>
      <c r="W38" s="346"/>
      <c r="X38" s="344"/>
      <c r="Y38" s="194">
        <f>SUM(Y7:Y37)</f>
        <v>4335.0099999999993</v>
      </c>
      <c r="Z38" s="194">
        <f>SUM(Z7:Z37)</f>
        <v>4046.98</v>
      </c>
      <c r="AA38" s="345"/>
      <c r="AB38" s="346"/>
      <c r="AC38" s="347"/>
      <c r="AD38" s="348"/>
      <c r="AE38" s="345"/>
      <c r="AF38" s="345"/>
      <c r="AG38" s="347">
        <f>SUM(AG7:AG37)</f>
        <v>121</v>
      </c>
      <c r="AH38" s="194">
        <f>SUM(AH7:AH37)</f>
        <v>45.6</v>
      </c>
      <c r="AI38" s="351"/>
      <c r="AJ38" s="194">
        <f>SUM(AJ7:AJ37)</f>
        <v>3777.4</v>
      </c>
      <c r="AK38" s="343"/>
      <c r="AL38" s="338">
        <f>SUM(AL7:AL37)</f>
        <v>629.81999999999994</v>
      </c>
      <c r="AM38" s="343">
        <f>SUM(AM7:AM37)</f>
        <v>0</v>
      </c>
      <c r="AN38" s="337">
        <f>SUM(AN7:AN37)</f>
        <v>317.58999999999992</v>
      </c>
      <c r="AO38" s="395">
        <f>SUM(AO7:AO37)</f>
        <v>1382.9169999999997</v>
      </c>
      <c r="AP38" s="530"/>
      <c r="AQ38" s="351"/>
      <c r="AR38" s="343"/>
      <c r="AS38" s="351"/>
      <c r="AT38" s="351"/>
      <c r="AU38" s="352"/>
      <c r="AV38" s="337">
        <f>SUM(AV7:AV37)</f>
        <v>7000.6499999999987</v>
      </c>
      <c r="AW38" s="343">
        <f>SUM(AW7:AW37)</f>
        <v>82.350000000000009</v>
      </c>
      <c r="AX38" s="343">
        <f>SUM(AX7:AX36)</f>
        <v>0</v>
      </c>
      <c r="AY38" s="343">
        <f>SUM(AY7:AY37)</f>
        <v>0</v>
      </c>
      <c r="AZ38" s="340"/>
      <c r="BA38" s="194">
        <f>SUM(BA7:BA37)</f>
        <v>5382.4930000000004</v>
      </c>
      <c r="BB38" s="194">
        <f>SUM(BB7:BB37)</f>
        <v>5443.2660668494236</v>
      </c>
      <c r="BC38" s="351">
        <f>SUM(BC7:BC36)</f>
        <v>200.86996197183095</v>
      </c>
      <c r="BD38" s="351">
        <f>SUM(BD7:BD36)</f>
        <v>199.93646000000004</v>
      </c>
      <c r="BE38" s="340"/>
      <c r="BF38" s="351">
        <f>SUM(BF7:BF37)</f>
        <v>413.99592161971827</v>
      </c>
      <c r="BG38" s="353"/>
      <c r="BH38" s="16"/>
      <c r="BI38" s="16">
        <f t="shared" si="18"/>
        <v>0</v>
      </c>
      <c r="BJ38" s="16"/>
      <c r="BK38" s="17">
        <f>SUM(BK7:BK37)</f>
        <v>31</v>
      </c>
      <c r="BL38" s="33"/>
      <c r="BM38" s="228">
        <f t="shared" ref="BM38:BS38" si="43">SUM(BM7:BM37)</f>
        <v>1195.7630001</v>
      </c>
      <c r="BN38" s="38">
        <f t="shared" si="43"/>
        <v>1416.5029999999997</v>
      </c>
      <c r="BO38" s="38">
        <f t="shared" si="43"/>
        <v>6225.7630000000008</v>
      </c>
      <c r="BP38" s="38">
        <f t="shared" si="43"/>
        <v>2248.1829999999995</v>
      </c>
      <c r="BQ38" s="38">
        <f t="shared" si="43"/>
        <v>9.9999999999999995E-8</v>
      </c>
      <c r="BR38" s="38">
        <f t="shared" si="43"/>
        <v>1026.4799999999998</v>
      </c>
      <c r="BS38" s="38">
        <f t="shared" si="43"/>
        <v>1.0000000000000001E-5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9.9999999999999995E-8</v>
      </c>
      <c r="CL38" s="39">
        <f>SUM(CL7:CL37)</f>
        <v>7982.6269999999995</v>
      </c>
      <c r="CM38" s="40">
        <f>SUM(CM7:CM37)</f>
        <v>9.9999999999999995E-8</v>
      </c>
      <c r="CN38" s="34"/>
      <c r="CO38" s="35"/>
      <c r="CP38" s="236"/>
      <c r="CQ38" s="36"/>
      <c r="CR38" s="36"/>
      <c r="CT38" s="189">
        <f t="shared" ref="CT38:DE38" si="44">SUM(CT7:CT37)</f>
        <v>1179.1289385999999</v>
      </c>
      <c r="CU38" s="190">
        <f t="shared" si="44"/>
        <v>1416.5029999468568</v>
      </c>
      <c r="CV38" s="191">
        <f t="shared" si="44"/>
        <v>6225.762999758359</v>
      </c>
      <c r="CW38" s="192">
        <f t="shared" si="44"/>
        <v>2220.1818321000005</v>
      </c>
      <c r="CX38" s="192">
        <f t="shared" si="44"/>
        <v>9.99999999E-8</v>
      </c>
      <c r="CY38" s="192">
        <f t="shared" si="44"/>
        <v>996.53613630000007</v>
      </c>
      <c r="CZ38" s="278">
        <f t="shared" si="44"/>
        <v>9.999999990000001E-6</v>
      </c>
      <c r="DA38" s="278">
        <f t="shared" si="44"/>
        <v>9.99999999E-8</v>
      </c>
      <c r="DB38" s="192">
        <f t="shared" si="44"/>
        <v>9.99999999E-8</v>
      </c>
      <c r="DC38" s="192">
        <f t="shared" si="44"/>
        <v>7982.6269997311592</v>
      </c>
      <c r="DD38" s="498">
        <f t="shared" si="44"/>
        <v>9.99999999E-8</v>
      </c>
      <c r="DE38" s="564">
        <f t="shared" si="44"/>
        <v>85.724671999999998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22" ht="16.5" customHeight="1" thickBot="1">
      <c r="A39" s="56" t="s">
        <v>59</v>
      </c>
      <c r="B39" s="84">
        <f>B38/AV2</f>
        <v>390.7320003290323</v>
      </c>
      <c r="C39" s="84">
        <f>(BM38*BU39+BN38*BV39+BP38*BX39+BS38*CA39+BO38*BW39+BR38*BZ39+BQ38*BY39)/B38</f>
        <v>0.61571030892210044</v>
      </c>
      <c r="D39" s="82"/>
      <c r="E39" s="354">
        <f>(BM38*CB39+BN38*CC39+BP38*CE39+BS38*CH39+BO38*CD39+BR38*CG39+BQ38*CF39)/B38</f>
        <v>39.711824692226905</v>
      </c>
      <c r="F39" s="355">
        <f>IF(BA38=0,0,D38/BA38)</f>
        <v>2.2365310863953223</v>
      </c>
      <c r="G39" s="354">
        <f>G38/AV2</f>
        <v>0</v>
      </c>
      <c r="H39" s="355">
        <f>IF(BA38=0,0,(CZ38+CW38+CY38+CT38+CX38)/BA38)</f>
        <v>0.81669347588561658</v>
      </c>
      <c r="I39" s="354">
        <f>I38/AV2</f>
        <v>0</v>
      </c>
      <c r="J39" s="572">
        <f>J38/AV2</f>
        <v>4.0415483870967748</v>
      </c>
      <c r="K39" s="354">
        <f>K38/AV2</f>
        <v>1.7583870967741935</v>
      </c>
      <c r="L39" s="354">
        <f>L38/AV2</f>
        <v>246.52470967741937</v>
      </c>
      <c r="M39" s="355">
        <f>IF($BA$38=0,0,(CV38+CU38)/$BA$38)</f>
        <v>1.4198376105097053</v>
      </c>
      <c r="N39" s="354">
        <f>N38/AV2</f>
        <v>0</v>
      </c>
      <c r="O39" s="354">
        <f>O38/AV2</f>
        <v>2.7876129032258063</v>
      </c>
      <c r="P39" s="354">
        <f>P38/AV2</f>
        <v>2.7653119999999998</v>
      </c>
      <c r="Q39" s="504">
        <f>IF(O39=0,0,P38/BA38)</f>
        <v>1.592657380139649E-2</v>
      </c>
      <c r="R39" s="356">
        <f>R38/AV2</f>
        <v>264.55564516129033</v>
      </c>
      <c r="S39" s="354">
        <f>(SUMPRODUCT(R7:R37,S7:S37))/R38</f>
        <v>2.6654310752357127</v>
      </c>
      <c r="T39" s="357"/>
      <c r="U39" s="354">
        <f>U38/AV2</f>
        <v>13.84664516129032</v>
      </c>
      <c r="V39" s="354">
        <f>V38/AV2:AV2</f>
        <v>257.50409678387098</v>
      </c>
      <c r="W39" s="358">
        <f>IF($BA$38=0,0,T38/$BA$38)</f>
        <v>1.4830724350779461</v>
      </c>
      <c r="X39" s="358">
        <f>Q39+W39</f>
        <v>1.4989990088793426</v>
      </c>
      <c r="Y39" s="354">
        <f>Y38/AV2</f>
        <v>139.83903225806449</v>
      </c>
      <c r="Z39" s="354">
        <f>Z38/AV2</f>
        <v>130.54774193548388</v>
      </c>
      <c r="AA39" s="354">
        <f>(SUMPRODUCT(AA7:AA37,BA7:BA37))/BA38</f>
        <v>0.80627396449934996</v>
      </c>
      <c r="AB39" s="359">
        <f>AVERAGE(AB7:AB37)</f>
        <v>657.0322580645161</v>
      </c>
      <c r="AC39" s="359">
        <f>AVERAGE(AC7:AC37)</f>
        <v>1211.8064516129032</v>
      </c>
      <c r="AD39" s="359"/>
      <c r="AE39" s="354">
        <f>(SUMPRODUCT(AE7:AE37,BA7:BA37))/BA38</f>
        <v>75.665387907610835</v>
      </c>
      <c r="AF39" s="360">
        <f>AVERAGE(AF7:AF37)</f>
        <v>127</v>
      </c>
      <c r="AG39" s="360">
        <f>AVERAGE(AG7:AG37)</f>
        <v>4.0333333333333332</v>
      </c>
      <c r="AH39" s="354">
        <f>AH38/AV2</f>
        <v>1.4709677419354839</v>
      </c>
      <c r="AI39" s="361">
        <f>IF(BA38=0,0,AH38/BA38*1000)</f>
        <v>8.4719106926845988</v>
      </c>
      <c r="AJ39" s="361">
        <f>AJ38/AV2</f>
        <v>121.85161290322581</v>
      </c>
      <c r="AK39" s="361">
        <f>IF(BA38=0,0,AJ38/BA38*1000)</f>
        <v>701.79375988041227</v>
      </c>
      <c r="AL39" s="354">
        <f>AL38/AV2</f>
        <v>20.316774193548387</v>
      </c>
      <c r="AM39" s="359"/>
      <c r="AN39" s="354">
        <f>AN38/AV2</f>
        <v>10.244838709677417</v>
      </c>
      <c r="AO39" s="354">
        <f>AO38/AV2</f>
        <v>44.610225806451602</v>
      </c>
      <c r="AP39" s="346">
        <f>IF(AO39=0,0,AO39/AV39)</f>
        <v>0.19754122831451365</v>
      </c>
      <c r="AQ39" s="361">
        <f>SUM(AQ8:AQ38)</f>
        <v>0</v>
      </c>
      <c r="AR39" s="354">
        <f>AVERAGE(AR7:AR37)</f>
        <v>8.7569999999999997</v>
      </c>
      <c r="AS39" s="354">
        <f>AVERAGE(AS7:AS37)</f>
        <v>7.0656666666666661</v>
      </c>
      <c r="AT39" s="362"/>
      <c r="AU39" s="354">
        <f>AVERAGE(AU7:AU37)</f>
        <v>7.1526666666666676</v>
      </c>
      <c r="AV39" s="363">
        <f>AV38/AV2</f>
        <v>225.82741935483867</v>
      </c>
      <c r="AW39" s="363">
        <f>AW38/AV2</f>
        <v>2.6564516129032261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173.62880645161292</v>
      </c>
      <c r="BB39" s="354">
        <f>BB38/AV2</f>
        <v>175.58922796288462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0.85192719376629189</v>
      </c>
      <c r="BF39" s="354">
        <f>BF38/AV2</f>
        <v>13.35470714902317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1.3910834754553298</v>
      </c>
      <c r="BV39" s="42">
        <f t="shared" ref="BV39:CA39" si="45">(SUMPRODUCT(BN7:BN37,BV7:BV37))/BN38</f>
        <v>3.7517040203938868E-9</v>
      </c>
      <c r="BW39" s="42">
        <f t="shared" si="45"/>
        <v>3.8813234618792903E-9</v>
      </c>
      <c r="BX39" s="42">
        <f>(SUMPRODUCT(BP7:BP37,BX7:BX37))/BP38</f>
        <v>1.2455021633025427</v>
      </c>
      <c r="BY39" s="42">
        <f t="shared" si="45"/>
        <v>9.9999999999999982E-8</v>
      </c>
      <c r="BZ39" s="46">
        <f t="shared" si="45"/>
        <v>2.9171404898293205</v>
      </c>
      <c r="CA39" s="240">
        <f t="shared" si="45"/>
        <v>9.9999999999999995E-8</v>
      </c>
      <c r="CB39" s="41">
        <f t="shared" ref="CB39:CH39" si="46">(SUMPRODUCT(BM7:BM37,CB7:CB37))/BM38</f>
        <v>36.232032682376683</v>
      </c>
      <c r="CC39" s="42">
        <f t="shared" si="46"/>
        <v>43.802424117703957</v>
      </c>
      <c r="CD39" s="42">
        <f t="shared" si="46"/>
        <v>41.705155242819231</v>
      </c>
      <c r="CE39" s="42">
        <f t="shared" si="46"/>
        <v>36.034581210693275</v>
      </c>
      <c r="CF39" s="42">
        <f t="shared" si="46"/>
        <v>9.9999999999999982E-8</v>
      </c>
      <c r="CG39" s="46">
        <f t="shared" si="46"/>
        <v>34.084606694723725</v>
      </c>
      <c r="CH39" s="240">
        <f t="shared" si="46"/>
        <v>9.9999999999999995E-8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9.9999999999999982E-8</v>
      </c>
      <c r="CP39" s="46">
        <f>(SUMPRODUCT(CL7:CL37,CP7:CP37))/CL38</f>
        <v>3.3678136282704927E-9</v>
      </c>
      <c r="CQ39" s="44">
        <f>(SUMPRODUCT(CM7:CM37,CQ7:CQ37))/CM38</f>
        <v>9.9999999999999982E-8</v>
      </c>
      <c r="CR39" s="44">
        <f>(SUMPRODUCT(O7:O37,CR7:CR37))/O38</f>
        <v>0.8</v>
      </c>
      <c r="CT39" s="667">
        <f>CT38+CU38</f>
        <v>2595.6319385468569</v>
      </c>
      <c r="CU39" s="667"/>
      <c r="CV39" s="668">
        <f>CV38+CW38+CZ38+CY38+CX38</f>
        <v>9442.4809782583598</v>
      </c>
      <c r="CW39" s="668"/>
      <c r="CX39" s="668"/>
      <c r="CY39" s="668"/>
      <c r="CZ39" s="668"/>
      <c r="DA39" s="669">
        <f>DA38+DB38+DD38+DC38</f>
        <v>7982.6270000311588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22" ht="16.5" customHeight="1" thickBot="1">
      <c r="A40" s="57" t="s">
        <v>60</v>
      </c>
      <c r="B40" s="85"/>
      <c r="C40" s="86"/>
      <c r="D40" s="87"/>
      <c r="E40" s="365">
        <v>38.299999999999997</v>
      </c>
      <c r="F40" s="366">
        <v>2.2200000000000002</v>
      </c>
      <c r="G40" s="366"/>
      <c r="H40" s="401">
        <v>0.75480000000000003</v>
      </c>
      <c r="I40" s="366"/>
      <c r="J40" s="570"/>
      <c r="K40" s="366"/>
      <c r="L40" s="366"/>
      <c r="M40" s="401">
        <v>1.4652000000000001</v>
      </c>
      <c r="N40" s="365"/>
      <c r="O40" s="366"/>
      <c r="P40" s="366"/>
      <c r="Q40" s="366"/>
      <c r="R40" s="367"/>
      <c r="S40" s="368"/>
      <c r="T40" s="367"/>
      <c r="U40" s="450">
        <v>22.227123599999999</v>
      </c>
      <c r="V40" s="367"/>
      <c r="W40" s="369">
        <v>1.32</v>
      </c>
      <c r="X40" s="484"/>
      <c r="Y40" s="370">
        <v>5800</v>
      </c>
      <c r="Z40" s="370">
        <v>5800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645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5800</v>
      </c>
      <c r="AW40" s="379">
        <v>40.6</v>
      </c>
      <c r="AX40" s="380"/>
      <c r="AY40" s="381"/>
      <c r="AZ40" s="382"/>
      <c r="BA40" s="365">
        <v>187.1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12038.112916805218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22" ht="16.5" customHeight="1" thickBot="1">
      <c r="A41" s="58" t="s">
        <v>61</v>
      </c>
      <c r="B41" s="88"/>
      <c r="C41" s="88"/>
      <c r="D41" s="88"/>
      <c r="E41" s="384"/>
      <c r="F41" s="385">
        <f>F39-F40</f>
        <v>1.6531086395322081E-2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2.6654310752357127</v>
      </c>
      <c r="T41" s="386"/>
      <c r="U41" s="388"/>
      <c r="V41" s="388"/>
      <c r="W41" s="385">
        <f>W39-W40</f>
        <v>0.163072435077946</v>
      </c>
      <c r="X41" s="385"/>
      <c r="Y41" s="385"/>
      <c r="Z41" s="385"/>
      <c r="AA41" s="385"/>
      <c r="AB41" s="385"/>
      <c r="AC41" s="389">
        <f>AC39-AC40</f>
        <v>-38.193548387096826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1200.6499999999987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C41">
        <v>7982.6270000000004</v>
      </c>
      <c r="DI41" s="311"/>
    </row>
    <row r="42" spans="1:122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22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187.09677419354838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22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0.19754122831451365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T44" s="247">
        <f>CT38+CW38</f>
        <v>3399.3107707000004</v>
      </c>
      <c r="CU44" s="247">
        <f>CU38+CV38</f>
        <v>7642.265999705216</v>
      </c>
      <c r="CW44">
        <v>2220.1819999999998</v>
      </c>
    </row>
    <row r="45" spans="1:122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57.856611570247921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22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193.33333333333334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22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22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-417.50699999999779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-7.1983965517241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'[4]август 20'!$G$38</f>
        <v>1382.9169999999997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'[4]август 20'!$C$38</f>
        <v>1382.9200000000003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3.0000000006111804E-3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Z22" activePane="bottomRight" state="frozen"/>
      <selection pane="topRight" activeCell="B1" sqref="B1"/>
      <selection pane="bottomLeft" activeCell="A7" sqref="A7"/>
      <selection pane="bottomRight" activeCell="AO35" sqref="AO35"/>
    </sheetView>
  </sheetViews>
  <sheetFormatPr defaultRowHeight="12.75"/>
  <cols>
    <col min="1" max="1" width="4.7109375" customWidth="1"/>
    <col min="2" max="2" width="10.5703125" customWidth="1"/>
    <col min="3" max="3" width="8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7.42578125" customWidth="1"/>
    <col min="11" max="11" width="8.140625" customWidth="1"/>
    <col min="12" max="12" width="8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7.710937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.5703125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422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87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420</v>
      </c>
      <c r="BO6" s="232" t="s">
        <v>81</v>
      </c>
      <c r="BP6" s="396" t="s">
        <v>99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389</v>
      </c>
      <c r="CD6" s="232" t="s">
        <v>81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102</v>
      </c>
      <c r="CN6" s="312" t="s">
        <v>108</v>
      </c>
      <c r="CO6" s="225" t="s">
        <v>84</v>
      </c>
      <c r="CP6" s="263" t="s">
        <v>106</v>
      </c>
      <c r="CQ6" s="288" t="s">
        <v>102</v>
      </c>
      <c r="CR6" s="691"/>
      <c r="CS6"/>
      <c r="CT6" s="251" t="s">
        <v>384</v>
      </c>
      <c r="CU6" s="482" t="s">
        <v>391</v>
      </c>
      <c r="CV6" s="51" t="s">
        <v>81</v>
      </c>
      <c r="CW6" s="245" t="s">
        <v>388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103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'[1]сентябрь 20'!K6</f>
        <v>449.85599999999999</v>
      </c>
      <c r="C7" s="104">
        <f t="shared" ref="C7:C37" si="0">IF(B7=0,0,(BM7*BU7+BN7*BV7+BP7*BX7+BS7*CA7+BO7*BW7+BR7*BZ7+BQ7*BY7)/B7)</f>
        <v>1.1560982825486399</v>
      </c>
      <c r="D7" s="447">
        <f t="shared" ref="D7:D37" si="1">B7*((100-C7)/100)</f>
        <v>444.65522251005797</v>
      </c>
      <c r="E7" s="104">
        <f t="shared" ref="E7:E37" si="2">IF(B7=0,0,(BM7*CB7+BN7*CC7+BP7*CE7+BS7*CH7+BO7*CD7+BR7*CG7+BQ7*CF7)/B7)</f>
        <v>37.558824823943667</v>
      </c>
      <c r="F7" s="103">
        <f t="shared" ref="F7:F37" si="3">IF(BA7=0,0,D7/BA7)</f>
        <v>1.9225839783381962</v>
      </c>
      <c r="G7" s="106"/>
      <c r="H7" s="107">
        <f t="shared" ref="H7:H37" si="4">IF(BA7=0,0,(CZ7+CW7+CY7+CT7+CX7)/BA7)</f>
        <v>1.5336960947768941</v>
      </c>
      <c r="I7" s="103">
        <f>'[1]сентябрь 20'!AE6</f>
        <v>0</v>
      </c>
      <c r="J7" s="328">
        <f>'[1]сентябрь 20'!AA6</f>
        <v>4.577</v>
      </c>
      <c r="K7" s="106">
        <v>30.72</v>
      </c>
      <c r="L7" s="328">
        <f>'[1]сентябрь 20'!AI6</f>
        <v>89.941999999999993</v>
      </c>
      <c r="M7" s="103">
        <f t="shared" ref="M7:M37" si="5">IF(BA7=0,0,(CV7+CU7)/BA7)</f>
        <v>0.38888792766368907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'[1]сентябрь 20'!S6</f>
        <v>288.27600000000001</v>
      </c>
      <c r="S7" s="108">
        <f t="shared" ref="S7:S37" si="6">IF(R7=0,0,(1-(V7/R7))*100)</f>
        <v>3.193467267479777</v>
      </c>
      <c r="T7" s="109">
        <f t="shared" ref="T7:T37" si="7">R7*((100-S7)/100)</f>
        <v>279.0700003</v>
      </c>
      <c r="U7" s="106">
        <v>46.95</v>
      </c>
      <c r="V7" s="109">
        <f t="shared" ref="V7:V37" si="8">CJ7+CK7+CM7+CL7</f>
        <v>279.0700003</v>
      </c>
      <c r="W7" s="110">
        <f t="shared" ref="W7:W37" si="9">IF(BA7=0,0,T7/BA7)</f>
        <v>1.2066326543583537</v>
      </c>
      <c r="X7" s="110">
        <f>Q7+W7</f>
        <v>1.2066326543583537</v>
      </c>
      <c r="Y7" s="136">
        <v>231.28</v>
      </c>
      <c r="Z7" s="111">
        <v>190.96</v>
      </c>
      <c r="AA7" s="106">
        <v>0.79</v>
      </c>
      <c r="AB7" s="112">
        <v>594</v>
      </c>
      <c r="AC7" s="238">
        <v>1224</v>
      </c>
      <c r="AD7" s="113" t="s">
        <v>221</v>
      </c>
      <c r="AE7" s="106">
        <v>76.19</v>
      </c>
      <c r="AF7" s="112">
        <v>150</v>
      </c>
      <c r="AG7" s="114">
        <v>5</v>
      </c>
      <c r="AH7" s="106">
        <v>4.9000000000000004</v>
      </c>
      <c r="AI7" s="115">
        <f t="shared" ref="AI7:AI37" si="10">IF(BA7=0,0,AH7/BA7*1000)</f>
        <v>21.186440677966104</v>
      </c>
      <c r="AJ7" s="106">
        <v>134.5</v>
      </c>
      <c r="AK7" s="115">
        <f t="shared" ref="AK7:AK37" si="11">IF(BA7=0,0,AJ7/BA7*1000)</f>
        <v>581.54617779315117</v>
      </c>
      <c r="AL7" s="106">
        <v>25.02</v>
      </c>
      <c r="AM7" s="116"/>
      <c r="AN7" s="117">
        <v>12.02</v>
      </c>
      <c r="AO7" s="466">
        <v>53.13</v>
      </c>
      <c r="AP7" s="110">
        <f t="shared" ref="AP7:AP37" si="12">IF(AO7=0,0,AO7/AV7)</f>
        <v>0.18355501813784766</v>
      </c>
      <c r="AQ7" s="119" t="s">
        <v>128</v>
      </c>
      <c r="AR7" s="403">
        <v>8.5</v>
      </c>
      <c r="AS7" s="120">
        <v>8.07</v>
      </c>
      <c r="AT7" s="106"/>
      <c r="AU7" s="106">
        <v>7.96</v>
      </c>
      <c r="AV7" s="314">
        <v>289.45</v>
      </c>
      <c r="AW7" s="121">
        <v>6.98</v>
      </c>
      <c r="AX7" s="122"/>
      <c r="AY7" s="123"/>
      <c r="AZ7" s="124"/>
      <c r="BA7" s="109">
        <f t="shared" ref="BA7:BA37" si="13">AV7-AO7-AN7+AY7+AW7</f>
        <v>231.27999999999997</v>
      </c>
      <c r="BB7" s="115">
        <f>IF(AE7=0,0,((D7*0.97)*(E7/100)*0.9)/(AE7/100))</f>
        <v>191.36022053976868</v>
      </c>
      <c r="BC7" s="125">
        <f t="shared" ref="BC7:BC37" si="14">(AJ7*AU7)/100*(55/71)</f>
        <v>8.2935352112676046</v>
      </c>
      <c r="BD7" s="115">
        <f t="shared" ref="BD7:BD13" si="15">BA7*$BD$6</f>
        <v>9.251199999999999</v>
      </c>
      <c r="BE7" s="103">
        <f t="shared" ref="BE7:BE37" si="16">IF((D7*E7)=0,0,(BA7*AE7)/(D7*E7))</f>
        <v>1.0551170950288455</v>
      </c>
      <c r="BF7" s="115">
        <f t="shared" ref="BF7:BF37" si="17">BC7+BD7</f>
        <v>17.544735211267604</v>
      </c>
      <c r="BG7" s="533">
        <v>1.0549999999999999</v>
      </c>
      <c r="BH7" s="16">
        <f>BA7</f>
        <v>231.27999999999997</v>
      </c>
      <c r="BI7" s="16">
        <f t="shared" ref="BI7:BI38" si="18">IF(A7&lt;=$BG$43,$AV$43,0)</f>
        <v>220</v>
      </c>
      <c r="BJ7" s="16">
        <f>BI7</f>
        <v>220</v>
      </c>
      <c r="BK7" s="17">
        <f t="shared" ref="BK7:BK37" si="19">IF(BA7&lt;&gt;0,1,0)</f>
        <v>1</v>
      </c>
      <c r="BL7" s="16">
        <f>BI7*BK7</f>
        <v>220</v>
      </c>
      <c r="BM7" s="336">
        <v>329.91</v>
      </c>
      <c r="BN7" s="336">
        <v>7.4889999999999999</v>
      </c>
      <c r="BO7" s="336">
        <v>82.453000000000003</v>
      </c>
      <c r="BP7" s="336">
        <v>9.9999999999999995E-8</v>
      </c>
      <c r="BQ7" s="336">
        <v>9.9999999999999995E-8</v>
      </c>
      <c r="BR7" s="336">
        <v>30.004000000000001</v>
      </c>
      <c r="BS7" s="336">
        <v>1.0000000000000001E-5</v>
      </c>
      <c r="BT7" s="336">
        <v>9.9999999999999995E-8</v>
      </c>
      <c r="BU7" s="336">
        <v>1.43</v>
      </c>
      <c r="BV7" s="336">
        <v>9.9999999999999995E-8</v>
      </c>
      <c r="BW7" s="336">
        <v>9.9999999999999995E-8</v>
      </c>
      <c r="BX7" s="336">
        <v>9.9999999999999995E-8</v>
      </c>
      <c r="BY7" s="336">
        <v>9.9999999999999995E-8</v>
      </c>
      <c r="BZ7" s="336">
        <v>1.61</v>
      </c>
      <c r="CA7" s="336">
        <v>9.9999999999999995E-8</v>
      </c>
      <c r="CB7" s="336">
        <v>36.299999999999997</v>
      </c>
      <c r="CC7" s="336">
        <v>43.47</v>
      </c>
      <c r="CD7" s="336">
        <v>43.19</v>
      </c>
      <c r="CE7" s="336">
        <v>9.9999999999999995E-8</v>
      </c>
      <c r="CF7" s="336">
        <v>9.9999999999999995E-8</v>
      </c>
      <c r="CG7" s="336">
        <v>34.450000000000003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279.07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325.19228700000002</v>
      </c>
      <c r="CU7" s="22">
        <f t="shared" si="20"/>
        <v>7.4889999925110002</v>
      </c>
      <c r="CV7" s="22">
        <f t="shared" si="20"/>
        <v>82.452999917547004</v>
      </c>
      <c r="CW7" s="27">
        <f t="shared" si="20"/>
        <v>9.99999999E-8</v>
      </c>
      <c r="CX7" s="27">
        <f t="shared" si="20"/>
        <v>9.99999999E-8</v>
      </c>
      <c r="CY7" s="276">
        <f t="shared" si="20"/>
        <v>29.520935600000001</v>
      </c>
      <c r="CZ7" s="279">
        <f t="shared" si="20"/>
        <v>9.999999990000001E-6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279.06999972093001</v>
      </c>
      <c r="DD7" s="279">
        <f t="shared" si="21"/>
        <v>9.99999999E-8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'[1]сентябрь 20'!K7</f>
        <v>471.10300000000001</v>
      </c>
      <c r="C8" s="104">
        <f t="shared" si="0"/>
        <v>0.43934528118054861</v>
      </c>
      <c r="D8" s="447">
        <f t="shared" si="1"/>
        <v>469.03323119999999</v>
      </c>
      <c r="E8" s="104">
        <f t="shared" si="2"/>
        <v>37.904704576281617</v>
      </c>
      <c r="F8" s="128">
        <f t="shared" si="3"/>
        <v>2.1827682017870438</v>
      </c>
      <c r="G8" s="106"/>
      <c r="H8" s="107">
        <f t="shared" si="4"/>
        <v>1.744332795979151</v>
      </c>
      <c r="I8" s="103">
        <f>'[1]сентябрь 20'!AE7</f>
        <v>0</v>
      </c>
      <c r="J8" s="328">
        <f>'[1]сентябрь 20'!AA7</f>
        <v>6.9349999999999996</v>
      </c>
      <c r="K8" s="106">
        <v>28.52</v>
      </c>
      <c r="L8" s="328">
        <f>'[1]сентябрь 20'!AI7</f>
        <v>94.210999999999999</v>
      </c>
      <c r="M8" s="103">
        <f t="shared" si="5"/>
        <v>0.4384354058078927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'[1]сентябрь 20'!S7</f>
        <v>301.74400000000003</v>
      </c>
      <c r="S8" s="108">
        <f t="shared" si="6"/>
        <v>2.9541598175937378</v>
      </c>
      <c r="T8" s="109">
        <f t="shared" si="7"/>
        <v>292.83</v>
      </c>
      <c r="U8" s="106">
        <v>17.260000000000002</v>
      </c>
      <c r="V8" s="109">
        <f t="shared" si="8"/>
        <v>292.83</v>
      </c>
      <c r="W8" s="110">
        <f t="shared" si="9"/>
        <v>1.362760610573343</v>
      </c>
      <c r="X8" s="110">
        <f t="shared" ref="X8:X37" si="26">Q8+W8</f>
        <v>1.362760610573343</v>
      </c>
      <c r="Y8" s="136">
        <v>214.88</v>
      </c>
      <c r="Z8" s="130">
        <v>169.8</v>
      </c>
      <c r="AA8" s="131">
        <v>0.87</v>
      </c>
      <c r="AB8" s="112">
        <v>627</v>
      </c>
      <c r="AC8" s="112">
        <v>1218</v>
      </c>
      <c r="AD8" s="132" t="s">
        <v>207</v>
      </c>
      <c r="AE8" s="131">
        <v>76.260000000000005</v>
      </c>
      <c r="AF8" s="133">
        <v>157</v>
      </c>
      <c r="AG8" s="134">
        <v>5</v>
      </c>
      <c r="AH8" s="131">
        <v>2.5</v>
      </c>
      <c r="AI8" s="115">
        <f t="shared" si="10"/>
        <v>11.63440059568131</v>
      </c>
      <c r="AJ8" s="131">
        <v>117.3</v>
      </c>
      <c r="AK8" s="115">
        <f t="shared" si="11"/>
        <v>545.88607594936695</v>
      </c>
      <c r="AL8" s="131">
        <v>31.31</v>
      </c>
      <c r="AM8" s="116"/>
      <c r="AN8" s="135">
        <v>9.9499999999999993</v>
      </c>
      <c r="AO8" s="466">
        <v>50.55</v>
      </c>
      <c r="AP8" s="110">
        <f t="shared" si="12"/>
        <v>0.1847925424968013</v>
      </c>
      <c r="AQ8" s="137" t="s">
        <v>148</v>
      </c>
      <c r="AR8" s="150">
        <v>9.07</v>
      </c>
      <c r="AS8" s="138">
        <v>7.59</v>
      </c>
      <c r="AT8" s="131"/>
      <c r="AU8" s="131">
        <v>5.47</v>
      </c>
      <c r="AV8" s="315">
        <v>273.55</v>
      </c>
      <c r="AW8" s="131">
        <v>1.83</v>
      </c>
      <c r="AX8" s="116"/>
      <c r="AY8" s="131"/>
      <c r="AZ8" s="109"/>
      <c r="BA8" s="109">
        <f t="shared" si="13"/>
        <v>214.88000000000002</v>
      </c>
      <c r="BB8" s="115">
        <f t="shared" ref="BB8:BB37" si="27">IF(AE8=0,0,((D8*0.97)*(E8/100)*0.9)/(AE8/100))</f>
        <v>203.52331726760755</v>
      </c>
      <c r="BC8" s="140">
        <f t="shared" si="14"/>
        <v>4.9703809859154919</v>
      </c>
      <c r="BD8" s="141">
        <f t="shared" si="15"/>
        <v>8.5952000000000019</v>
      </c>
      <c r="BE8" s="128">
        <f t="shared" si="16"/>
        <v>0.92171375014167256</v>
      </c>
      <c r="BF8" s="141">
        <f t="shared" si="17"/>
        <v>13.565580985915494</v>
      </c>
      <c r="BG8" s="535">
        <v>0.98599999999999999</v>
      </c>
      <c r="BH8" s="16">
        <f t="shared" ref="BH8:BH37" si="28">BH7+BA8</f>
        <v>446.15999999999997</v>
      </c>
      <c r="BI8" s="16">
        <f t="shared" si="18"/>
        <v>220</v>
      </c>
      <c r="BJ8" s="16">
        <f t="shared" ref="BJ8:BJ37" si="29">BI8+BJ7</f>
        <v>440</v>
      </c>
      <c r="BK8" s="17">
        <f t="shared" si="19"/>
        <v>1</v>
      </c>
      <c r="BL8" s="16">
        <f t="shared" ref="BL8:BL37" si="30">BL7+BI8*BK8</f>
        <v>440</v>
      </c>
      <c r="BM8" s="249">
        <v>345.48399999999998</v>
      </c>
      <c r="BN8" s="195">
        <v>7.798</v>
      </c>
      <c r="BO8" s="197">
        <v>86.412999999999997</v>
      </c>
      <c r="BP8" s="197"/>
      <c r="BQ8" s="230"/>
      <c r="BR8" s="230">
        <v>31.408000000000001</v>
      </c>
      <c r="BS8" s="250"/>
      <c r="BT8" s="199"/>
      <c r="BU8" s="200">
        <v>0.46</v>
      </c>
      <c r="BV8" s="200"/>
      <c r="BW8" s="200"/>
      <c r="BX8" s="200"/>
      <c r="BY8" s="208"/>
      <c r="BZ8" s="208">
        <v>1.53</v>
      </c>
      <c r="CA8" s="198"/>
      <c r="CB8" s="202">
        <v>36.76</v>
      </c>
      <c r="CC8" s="200">
        <v>43.27</v>
      </c>
      <c r="CD8" s="200">
        <v>43.38</v>
      </c>
      <c r="CE8" s="200"/>
      <c r="CF8" s="197"/>
      <c r="CG8" s="197">
        <v>34.1</v>
      </c>
      <c r="CH8" s="197"/>
      <c r="CI8" s="203"/>
      <c r="CJ8" s="204"/>
      <c r="CK8" s="197"/>
      <c r="CL8" s="197">
        <v>292.83</v>
      </c>
      <c r="CM8" s="198"/>
      <c r="CN8" s="205"/>
      <c r="CO8" s="206"/>
      <c r="CP8" s="269"/>
      <c r="CQ8" s="207"/>
      <c r="CR8" s="207"/>
      <c r="CS8" s="284"/>
      <c r="CT8" s="286">
        <f t="shared" si="20"/>
        <v>343.89477360000001</v>
      </c>
      <c r="CU8" s="24">
        <f t="shared" si="20"/>
        <v>7.798</v>
      </c>
      <c r="CV8" s="25">
        <f t="shared" si="20"/>
        <v>86.412999999999997</v>
      </c>
      <c r="CW8" s="24">
        <f t="shared" si="20"/>
        <v>0</v>
      </c>
      <c r="CX8" s="27">
        <f t="shared" si="20"/>
        <v>0</v>
      </c>
      <c r="CY8" s="237">
        <f t="shared" si="20"/>
        <v>30.9274576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292.83</v>
      </c>
      <c r="DD8" s="280">
        <f t="shared" si="21"/>
        <v>0</v>
      </c>
      <c r="DE8" s="508">
        <f t="shared" ref="DE8:DE37" si="31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2">IF(I8=0,0,(DJ8*DI8%)/(AE8/100))</f>
        <v>0</v>
      </c>
      <c r="DM8" s="402"/>
    </row>
    <row r="9" spans="1:117" ht="16.5" customHeight="1" thickBot="1">
      <c r="A9" s="534">
        <v>3</v>
      </c>
      <c r="B9" s="103">
        <f>'[1]сентябрь 20'!K8</f>
        <v>477.03399999999999</v>
      </c>
      <c r="C9" s="104">
        <f t="shared" si="0"/>
        <v>0.6126910870084733</v>
      </c>
      <c r="D9" s="448">
        <f t="shared" si="1"/>
        <v>474.11125519999996</v>
      </c>
      <c r="E9" s="104">
        <f t="shared" si="2"/>
        <v>37.337638533102471</v>
      </c>
      <c r="F9" s="128">
        <f t="shared" si="3"/>
        <v>2.0502994948970765</v>
      </c>
      <c r="G9" s="106"/>
      <c r="H9" s="107">
        <f t="shared" si="4"/>
        <v>1.6375032658709567</v>
      </c>
      <c r="I9" s="103">
        <f>'[1]сентябрь 20'!AE8</f>
        <v>0</v>
      </c>
      <c r="J9" s="328">
        <f>'[1]сентябрь 20'!AA8</f>
        <v>8.4619999999999997</v>
      </c>
      <c r="K9" s="106"/>
      <c r="L9" s="328">
        <f>'[1]сентябрь 20'!AI8</f>
        <v>95.454999999999998</v>
      </c>
      <c r="M9" s="103">
        <f t="shared" si="5"/>
        <v>0.41279622902612001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'[1]сентябрь 20'!S8</f>
        <v>303.63900000000001</v>
      </c>
      <c r="S9" s="108">
        <f t="shared" si="6"/>
        <v>2.9735969358349879</v>
      </c>
      <c r="T9" s="109">
        <f t="shared" si="7"/>
        <v>294.61</v>
      </c>
      <c r="U9" s="106">
        <v>16.57</v>
      </c>
      <c r="V9" s="109">
        <f t="shared" si="8"/>
        <v>294.61</v>
      </c>
      <c r="W9" s="110">
        <f t="shared" si="9"/>
        <v>1.2740442829960215</v>
      </c>
      <c r="X9" s="110">
        <f t="shared" si="26"/>
        <v>1.2740442829960215</v>
      </c>
      <c r="Y9" s="136">
        <v>231.24</v>
      </c>
      <c r="Z9" s="130">
        <v>177.03</v>
      </c>
      <c r="AA9" s="131">
        <v>0.78</v>
      </c>
      <c r="AB9" s="112">
        <v>663</v>
      </c>
      <c r="AC9" s="112">
        <v>1229</v>
      </c>
      <c r="AD9" s="144" t="s">
        <v>426</v>
      </c>
      <c r="AE9" s="131">
        <v>76.239999999999995</v>
      </c>
      <c r="AF9" s="133">
        <v>159</v>
      </c>
      <c r="AG9" s="134">
        <v>5</v>
      </c>
      <c r="AH9" s="131"/>
      <c r="AI9" s="115">
        <f t="shared" si="10"/>
        <v>0</v>
      </c>
      <c r="AJ9" s="131">
        <v>127.55</v>
      </c>
      <c r="AK9" s="115">
        <f t="shared" si="11"/>
        <v>551.5914201695208</v>
      </c>
      <c r="AL9" s="131">
        <v>24.59</v>
      </c>
      <c r="AM9" s="116"/>
      <c r="AN9" s="135">
        <v>9.4499999999999993</v>
      </c>
      <c r="AO9" s="466">
        <v>52.52</v>
      </c>
      <c r="AP9" s="110">
        <f t="shared" si="12"/>
        <v>0.1804500944854836</v>
      </c>
      <c r="AQ9" s="137" t="s">
        <v>427</v>
      </c>
      <c r="AR9" s="150">
        <v>8.67</v>
      </c>
      <c r="AS9" s="131">
        <v>7.62</v>
      </c>
      <c r="AT9" s="131"/>
      <c r="AU9" s="131">
        <v>6.11</v>
      </c>
      <c r="AV9" s="315">
        <v>291.05</v>
      </c>
      <c r="AW9" s="131">
        <v>2.16</v>
      </c>
      <c r="AX9" s="116"/>
      <c r="AY9" s="131"/>
      <c r="AZ9" s="109"/>
      <c r="BA9" s="109">
        <f t="shared" si="13"/>
        <v>231.24</v>
      </c>
      <c r="BB9" s="115">
        <f t="shared" si="27"/>
        <v>202.70220288430212</v>
      </c>
      <c r="BC9" s="140">
        <f t="shared" si="14"/>
        <v>6.0370672535211263</v>
      </c>
      <c r="BD9" s="141">
        <f t="shared" si="15"/>
        <v>9.2496000000000009</v>
      </c>
      <c r="BE9" s="128">
        <f t="shared" si="16"/>
        <v>0.99590688767809954</v>
      </c>
      <c r="BF9" s="141">
        <f t="shared" si="17"/>
        <v>15.286667253521127</v>
      </c>
      <c r="BG9" s="535">
        <v>0.99</v>
      </c>
      <c r="BH9" s="16">
        <f t="shared" si="28"/>
        <v>677.4</v>
      </c>
      <c r="BI9" s="16">
        <f t="shared" si="18"/>
        <v>220</v>
      </c>
      <c r="BJ9" s="16">
        <f t="shared" si="29"/>
        <v>660</v>
      </c>
      <c r="BK9" s="17">
        <f t="shared" si="19"/>
        <v>1</v>
      </c>
      <c r="BL9" s="16">
        <f t="shared" si="30"/>
        <v>660</v>
      </c>
      <c r="BM9" s="249">
        <v>349.762</v>
      </c>
      <c r="BN9" s="195">
        <v>7.9969999999999999</v>
      </c>
      <c r="BO9" s="197">
        <v>87.457999999999998</v>
      </c>
      <c r="BP9" s="197"/>
      <c r="BQ9" s="230"/>
      <c r="BR9" s="230">
        <v>31.817</v>
      </c>
      <c r="BS9" s="250"/>
      <c r="BT9" s="199"/>
      <c r="BU9" s="200">
        <v>0.55000000000000004</v>
      </c>
      <c r="BV9" s="200"/>
      <c r="BW9" s="200"/>
      <c r="BX9" s="200"/>
      <c r="BY9" s="208"/>
      <c r="BZ9" s="208">
        <v>3.14</v>
      </c>
      <c r="CA9" s="201"/>
      <c r="CB9" s="202">
        <v>36.090000000000003</v>
      </c>
      <c r="CC9" s="200">
        <v>43.15</v>
      </c>
      <c r="CD9" s="200">
        <v>43.13</v>
      </c>
      <c r="CE9" s="200"/>
      <c r="CF9" s="200"/>
      <c r="CG9" s="200">
        <v>33.67</v>
      </c>
      <c r="CH9" s="200"/>
      <c r="CI9" s="203"/>
      <c r="CJ9" s="204"/>
      <c r="CK9" s="197"/>
      <c r="CL9" s="197">
        <v>294.61</v>
      </c>
      <c r="CM9" s="198"/>
      <c r="CN9" s="202"/>
      <c r="CO9" s="208"/>
      <c r="CP9" s="208"/>
      <c r="CQ9" s="201"/>
      <c r="CR9" s="201"/>
      <c r="CS9" s="284"/>
      <c r="CT9" s="286">
        <f t="shared" si="20"/>
        <v>347.83830900000004</v>
      </c>
      <c r="CU9" s="27">
        <f t="shared" si="20"/>
        <v>7.9969999999999999</v>
      </c>
      <c r="CV9" s="28">
        <f t="shared" si="20"/>
        <v>87.457999999999998</v>
      </c>
      <c r="CW9" s="27">
        <f t="shared" si="20"/>
        <v>0</v>
      </c>
      <c r="CX9" s="27">
        <f t="shared" si="20"/>
        <v>0</v>
      </c>
      <c r="CY9" s="237">
        <f t="shared" si="20"/>
        <v>30.817946200000002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294.61</v>
      </c>
      <c r="DD9" s="280">
        <f t="shared" si="21"/>
        <v>0</v>
      </c>
      <c r="DE9" s="508">
        <f t="shared" si="31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2"/>
        <v>0</v>
      </c>
      <c r="DM9" s="402"/>
    </row>
    <row r="10" spans="1:117" ht="16.5" customHeight="1" thickBot="1">
      <c r="A10" s="534">
        <v>4</v>
      </c>
      <c r="B10" s="103">
        <f>'[1]сентябрь 20'!K9</f>
        <v>468.23399999999998</v>
      </c>
      <c r="C10" s="104">
        <f t="shared" si="0"/>
        <v>0.75957241464737724</v>
      </c>
      <c r="D10" s="448">
        <f t="shared" si="1"/>
        <v>464.67742369999996</v>
      </c>
      <c r="E10" s="104">
        <f t="shared" si="2"/>
        <v>37.931000888444665</v>
      </c>
      <c r="F10" s="128">
        <f t="shared" si="3"/>
        <v>3.1949767856160607</v>
      </c>
      <c r="G10" s="106"/>
      <c r="H10" s="107">
        <f t="shared" si="4"/>
        <v>2.5513092938668862</v>
      </c>
      <c r="I10" s="103">
        <f>'[1]сентябрь 20'!AE9</f>
        <v>0</v>
      </c>
      <c r="J10" s="328">
        <f>'[1]сентябрь 20'!AA9</f>
        <v>9.3510000000000009</v>
      </c>
      <c r="K10" s="106">
        <v>49.64</v>
      </c>
      <c r="L10" s="328">
        <f>'[1]сентябрь 20'!AI9</f>
        <v>93.614999999999995</v>
      </c>
      <c r="M10" s="103">
        <f t="shared" si="5"/>
        <v>0.64366749174917481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'[1]сентябрь 20'!S9</f>
        <v>297.13799999999998</v>
      </c>
      <c r="S10" s="108">
        <f t="shared" si="6"/>
        <v>2.9171630690116856</v>
      </c>
      <c r="T10" s="109">
        <f t="shared" si="7"/>
        <v>288.47000000000008</v>
      </c>
      <c r="U10" s="106">
        <v>3.97</v>
      </c>
      <c r="V10" s="109">
        <f t="shared" si="8"/>
        <v>288.47000000000003</v>
      </c>
      <c r="W10" s="110">
        <f t="shared" si="9"/>
        <v>1.9834295929592962</v>
      </c>
      <c r="X10" s="110">
        <f t="shared" si="26"/>
        <v>1.9834295929592962</v>
      </c>
      <c r="Y10" s="136">
        <v>145.44</v>
      </c>
      <c r="Z10" s="130">
        <v>119.5</v>
      </c>
      <c r="AA10" s="131">
        <v>0.9</v>
      </c>
      <c r="AB10" s="112">
        <v>663</v>
      </c>
      <c r="AC10" s="112">
        <v>1220</v>
      </c>
      <c r="AD10" s="144" t="s">
        <v>144</v>
      </c>
      <c r="AE10" s="131">
        <v>76.08</v>
      </c>
      <c r="AF10" s="133">
        <v>156</v>
      </c>
      <c r="AG10" s="134">
        <v>5</v>
      </c>
      <c r="AH10" s="131"/>
      <c r="AI10" s="115">
        <f t="shared" si="10"/>
        <v>0</v>
      </c>
      <c r="AJ10" s="131">
        <v>119.9</v>
      </c>
      <c r="AK10" s="115">
        <f t="shared" si="11"/>
        <v>824.39493949394921</v>
      </c>
      <c r="AL10" s="131">
        <v>32.950000000000003</v>
      </c>
      <c r="AM10" s="116"/>
      <c r="AN10" s="135">
        <v>10.41</v>
      </c>
      <c r="AO10" s="466">
        <v>96.99</v>
      </c>
      <c r="AP10" s="110">
        <f t="shared" si="12"/>
        <v>0.38656835392586686</v>
      </c>
      <c r="AQ10" s="137" t="s">
        <v>428</v>
      </c>
      <c r="AR10" s="150">
        <v>8.93</v>
      </c>
      <c r="AS10" s="138">
        <v>7.76</v>
      </c>
      <c r="AT10" s="131"/>
      <c r="AU10" s="131">
        <v>4.66</v>
      </c>
      <c r="AV10" s="315">
        <v>250.9</v>
      </c>
      <c r="AW10" s="131">
        <v>1.94</v>
      </c>
      <c r="AX10" s="116"/>
      <c r="AY10" s="131"/>
      <c r="AZ10" s="109"/>
      <c r="BA10" s="109">
        <f t="shared" si="13"/>
        <v>145.44000000000003</v>
      </c>
      <c r="BB10" s="115">
        <f>IF(AE10=0,0,((D10*0.97)*(E10/100)*0.9)/(AE10/100))</f>
        <v>202.25050526106543</v>
      </c>
      <c r="BC10" s="140">
        <f t="shared" si="14"/>
        <v>4.328221126760563</v>
      </c>
      <c r="BD10" s="141">
        <f t="shared" si="15"/>
        <v>5.8176000000000014</v>
      </c>
      <c r="BE10" s="128">
        <f t="shared" si="16"/>
        <v>0.62778147246706739</v>
      </c>
      <c r="BF10" s="141">
        <f t="shared" si="17"/>
        <v>10.145821126760564</v>
      </c>
      <c r="BG10" s="535">
        <v>0.89800000000000002</v>
      </c>
      <c r="BH10" s="16">
        <f t="shared" si="28"/>
        <v>822.84</v>
      </c>
      <c r="BI10" s="16">
        <f t="shared" si="18"/>
        <v>220</v>
      </c>
      <c r="BJ10" s="16">
        <f t="shared" si="29"/>
        <v>880</v>
      </c>
      <c r="BK10" s="17">
        <f t="shared" si="19"/>
        <v>1</v>
      </c>
      <c r="BL10" s="16">
        <f t="shared" si="30"/>
        <v>880</v>
      </c>
      <c r="BM10" s="249">
        <v>343.34800000000001</v>
      </c>
      <c r="BN10" s="195">
        <v>7.798</v>
      </c>
      <c r="BO10" s="197">
        <v>85.816999999999993</v>
      </c>
      <c r="BP10" s="195"/>
      <c r="BQ10" s="195"/>
      <c r="BR10" s="230">
        <v>31.271000000000001</v>
      </c>
      <c r="BS10" s="250"/>
      <c r="BT10" s="199"/>
      <c r="BU10" s="200">
        <v>0.82</v>
      </c>
      <c r="BV10" s="200"/>
      <c r="BW10" s="200"/>
      <c r="BX10" s="200"/>
      <c r="BY10" s="208"/>
      <c r="BZ10" s="208">
        <v>2.37</v>
      </c>
      <c r="CA10" s="201"/>
      <c r="CB10" s="202">
        <v>36.89</v>
      </c>
      <c r="CC10" s="200">
        <v>43.77</v>
      </c>
      <c r="CD10" s="200">
        <v>43.61</v>
      </c>
      <c r="CE10" s="200"/>
      <c r="CF10" s="200"/>
      <c r="CG10" s="200">
        <v>32.32</v>
      </c>
      <c r="CH10" s="200"/>
      <c r="CI10" s="203"/>
      <c r="CJ10" s="204"/>
      <c r="CK10" s="197"/>
      <c r="CL10" s="197">
        <v>288.47000000000003</v>
      </c>
      <c r="CM10" s="198"/>
      <c r="CN10" s="202"/>
      <c r="CO10" s="208"/>
      <c r="CP10" s="208"/>
      <c r="CQ10" s="201"/>
      <c r="CR10" s="201"/>
      <c r="CS10" s="284"/>
      <c r="CT10" s="286">
        <f t="shared" si="20"/>
        <v>340.5325464</v>
      </c>
      <c r="CU10" s="29">
        <f t="shared" si="20"/>
        <v>7.798</v>
      </c>
      <c r="CV10" s="30">
        <f t="shared" si="20"/>
        <v>85.816999999999993</v>
      </c>
      <c r="CW10" s="29">
        <f t="shared" si="20"/>
        <v>0</v>
      </c>
      <c r="CX10" s="27">
        <f t="shared" si="20"/>
        <v>0</v>
      </c>
      <c r="CY10" s="24">
        <f t="shared" si="20"/>
        <v>30.529877299999999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288.47000000000003</v>
      </c>
      <c r="DD10" s="280">
        <f t="shared" si="21"/>
        <v>0</v>
      </c>
      <c r="DE10" s="508">
        <f t="shared" si="31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2"/>
        <v>0</v>
      </c>
      <c r="DM10" s="402"/>
    </row>
    <row r="11" spans="1:117" ht="16.5" customHeight="1" thickBot="1">
      <c r="A11" s="534">
        <v>5</v>
      </c>
      <c r="B11" s="103">
        <f>'[1]сентябрь 20'!K10</f>
        <v>471.03300000000002</v>
      </c>
      <c r="C11" s="104">
        <f t="shared" si="0"/>
        <v>0.67742718663023604</v>
      </c>
      <c r="D11" s="448">
        <f t="shared" si="1"/>
        <v>467.84209440000001</v>
      </c>
      <c r="E11" s="104">
        <f t="shared" si="2"/>
        <v>37.458140958276807</v>
      </c>
      <c r="F11" s="128">
        <f t="shared" si="3"/>
        <v>2.1840347994958225</v>
      </c>
      <c r="G11" s="106"/>
      <c r="H11" s="107">
        <f>IF(BA11=0,0,(CZ11+CW11+CY11+CT11+CX11)/BA11)</f>
        <v>1.7445268400168064</v>
      </c>
      <c r="I11" s="103">
        <f>'[1]сентябрь 20'!AE10</f>
        <v>0</v>
      </c>
      <c r="J11" s="328">
        <f>'[1]сентябрь 20'!AA10</f>
        <v>9.4730000000000008</v>
      </c>
      <c r="K11" s="106">
        <v>29.75</v>
      </c>
      <c r="L11" s="328">
        <f>'[1]сентябрь 20'!AI10</f>
        <v>94.147000000000006</v>
      </c>
      <c r="M11" s="103">
        <f t="shared" si="5"/>
        <v>0.439507959479016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'[1]сентябрь 20'!S10</f>
        <v>297.57</v>
      </c>
      <c r="S11" s="108">
        <f t="shared" si="6"/>
        <v>3.0816278522700635</v>
      </c>
      <c r="T11" s="109">
        <f t="shared" si="7"/>
        <v>288.39999999999998</v>
      </c>
      <c r="U11" s="106">
        <v>29.45</v>
      </c>
      <c r="V11" s="109">
        <f t="shared" si="8"/>
        <v>288.39999999999998</v>
      </c>
      <c r="W11" s="110">
        <f t="shared" si="9"/>
        <v>1.3463423743055882</v>
      </c>
      <c r="X11" s="110">
        <f t="shared" si="26"/>
        <v>1.3463423743055882</v>
      </c>
      <c r="Y11" s="136">
        <v>214.21</v>
      </c>
      <c r="Z11" s="130">
        <v>128.18</v>
      </c>
      <c r="AA11" s="131">
        <v>0.99</v>
      </c>
      <c r="AB11" s="112">
        <v>681</v>
      </c>
      <c r="AC11" s="112">
        <v>1215</v>
      </c>
      <c r="AD11" s="144" t="s">
        <v>429</v>
      </c>
      <c r="AE11" s="131">
        <v>76.03</v>
      </c>
      <c r="AF11" s="133">
        <v>157</v>
      </c>
      <c r="AG11" s="134">
        <v>5</v>
      </c>
      <c r="AH11" s="131">
        <v>5.65</v>
      </c>
      <c r="AI11" s="115">
        <f t="shared" si="10"/>
        <v>26.375986181784238</v>
      </c>
      <c r="AJ11" s="131">
        <v>122.5</v>
      </c>
      <c r="AK11" s="115">
        <f t="shared" si="11"/>
        <v>571.86872695018917</v>
      </c>
      <c r="AL11" s="131">
        <v>26.63</v>
      </c>
      <c r="AM11" s="116"/>
      <c r="AN11" s="135">
        <v>10.64</v>
      </c>
      <c r="AO11" s="466">
        <v>56.77</v>
      </c>
      <c r="AP11" s="110">
        <f t="shared" si="12"/>
        <v>0.20296746514122277</v>
      </c>
      <c r="AQ11" s="137" t="s">
        <v>150</v>
      </c>
      <c r="AR11" s="150">
        <v>8.48</v>
      </c>
      <c r="AS11" s="138">
        <v>7.34</v>
      </c>
      <c r="AT11" s="131"/>
      <c r="AU11" s="131">
        <v>6.52</v>
      </c>
      <c r="AV11" s="315">
        <v>279.7</v>
      </c>
      <c r="AW11" s="131">
        <v>1.92</v>
      </c>
      <c r="AX11" s="145"/>
      <c r="AY11" s="131"/>
      <c r="AZ11" s="109"/>
      <c r="BA11" s="109">
        <f t="shared" si="13"/>
        <v>214.20999999999995</v>
      </c>
      <c r="BB11" s="115">
        <f t="shared" ref="BB11:BB13" si="33">IF(AE11=0,0,((D11*0.97)*(E11/100)*0.9)/(AE11/100))</f>
        <v>201.22167878775238</v>
      </c>
      <c r="BC11" s="140">
        <f t="shared" si="14"/>
        <v>6.1871126760563371</v>
      </c>
      <c r="BD11" s="141">
        <f t="shared" si="15"/>
        <v>8.5683999999999987</v>
      </c>
      <c r="BE11" s="128">
        <f t="shared" si="16"/>
        <v>0.92934981522171001</v>
      </c>
      <c r="BF11" s="141">
        <f t="shared" si="17"/>
        <v>14.755512676056336</v>
      </c>
      <c r="BG11" s="535">
        <v>0.90400000000000003</v>
      </c>
      <c r="BH11" s="16">
        <f t="shared" si="28"/>
        <v>1037.05</v>
      </c>
      <c r="BI11" s="16">
        <f t="shared" si="18"/>
        <v>220</v>
      </c>
      <c r="BJ11" s="16">
        <f t="shared" si="29"/>
        <v>1100</v>
      </c>
      <c r="BK11" s="17">
        <f t="shared" si="19"/>
        <v>1</v>
      </c>
      <c r="BL11" s="16">
        <f t="shared" si="30"/>
        <v>1100</v>
      </c>
      <c r="BM11" s="249">
        <v>345.49</v>
      </c>
      <c r="BN11" s="195">
        <v>7.8140000000000001</v>
      </c>
      <c r="BO11" s="197">
        <v>86.332999999999998</v>
      </c>
      <c r="BP11" s="197"/>
      <c r="BQ11" s="230"/>
      <c r="BR11" s="230">
        <v>31.396000000000001</v>
      </c>
      <c r="BS11" s="250"/>
      <c r="BT11" s="199"/>
      <c r="BU11" s="200">
        <v>0.8</v>
      </c>
      <c r="BV11" s="200"/>
      <c r="BW11" s="200"/>
      <c r="BX11" s="200"/>
      <c r="BY11" s="208"/>
      <c r="BZ11" s="208">
        <v>1.36</v>
      </c>
      <c r="CA11" s="201"/>
      <c r="CB11" s="202">
        <v>36.21</v>
      </c>
      <c r="CC11" s="200">
        <v>43.29</v>
      </c>
      <c r="CD11" s="200">
        <v>42.99</v>
      </c>
      <c r="CE11" s="200"/>
      <c r="CF11" s="200"/>
      <c r="CG11" s="200">
        <v>34.53</v>
      </c>
      <c r="CH11" s="200"/>
      <c r="CI11" s="203"/>
      <c r="CJ11" s="204"/>
      <c r="CK11" s="197"/>
      <c r="CL11" s="230">
        <v>288.39999999999998</v>
      </c>
      <c r="CM11" s="198"/>
      <c r="CN11" s="202"/>
      <c r="CO11" s="208"/>
      <c r="CP11" s="208"/>
      <c r="CQ11" s="201"/>
      <c r="CR11" s="201"/>
      <c r="CS11" s="284"/>
      <c r="CT11" s="286">
        <f t="shared" si="20"/>
        <v>342.72608000000002</v>
      </c>
      <c r="CU11" s="24">
        <f t="shared" si="20"/>
        <v>7.8140000000000001</v>
      </c>
      <c r="CV11" s="25">
        <f t="shared" si="20"/>
        <v>86.332999999999998</v>
      </c>
      <c r="CW11" s="24">
        <f t="shared" si="20"/>
        <v>0</v>
      </c>
      <c r="CX11" s="27">
        <f t="shared" si="20"/>
        <v>0</v>
      </c>
      <c r="CY11" s="24">
        <f t="shared" si="20"/>
        <v>30.969014400000002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288.39999999999998</v>
      </c>
      <c r="DD11" s="280">
        <f t="shared" si="21"/>
        <v>0</v>
      </c>
      <c r="DE11" s="508">
        <f t="shared" si="31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2"/>
        <v>0</v>
      </c>
      <c r="DM11" s="402"/>
    </row>
    <row r="12" spans="1:117" ht="16.5" customHeight="1" thickBot="1">
      <c r="A12" s="534">
        <v>6</v>
      </c>
      <c r="B12" s="103">
        <f>'[1]сентябрь 20'!K11</f>
        <v>480.27699999999999</v>
      </c>
      <c r="C12" s="104">
        <f t="shared" si="0"/>
        <v>1.1827429171082522</v>
      </c>
      <c r="D12" s="448">
        <f t="shared" si="1"/>
        <v>474.59655779999997</v>
      </c>
      <c r="E12" s="104">
        <f t="shared" si="2"/>
        <v>37.816216079470813</v>
      </c>
      <c r="F12" s="128">
        <f t="shared" si="3"/>
        <v>2.2060919341793332</v>
      </c>
      <c r="G12" s="106"/>
      <c r="H12" s="107">
        <f t="shared" si="4"/>
        <v>1.7597432148003533</v>
      </c>
      <c r="I12" s="103">
        <f>'[1]сентябрь 20'!AE11</f>
        <v>0</v>
      </c>
      <c r="J12" s="328">
        <f>'[1]сентябрь 20'!AA11</f>
        <v>11.2</v>
      </c>
      <c r="K12" s="106">
        <v>22.98</v>
      </c>
      <c r="L12" s="328">
        <f>'[1]сентябрь 20'!AI11</f>
        <v>96.022999999999996</v>
      </c>
      <c r="M12" s="103">
        <f t="shared" si="5"/>
        <v>0.44634871937898019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'[1]сентябрь 20'!S11</f>
        <v>302.87799999999999</v>
      </c>
      <c r="S12" s="108">
        <f t="shared" si="6"/>
        <v>3.0269613507749038</v>
      </c>
      <c r="T12" s="109">
        <f t="shared" si="7"/>
        <v>293.70999999999998</v>
      </c>
      <c r="U12" s="106"/>
      <c r="V12" s="109">
        <f t="shared" si="8"/>
        <v>293.70999999999998</v>
      </c>
      <c r="W12" s="110">
        <f t="shared" si="9"/>
        <v>1.3652675126667595</v>
      </c>
      <c r="X12" s="110">
        <f t="shared" si="26"/>
        <v>1.3652675126667595</v>
      </c>
      <c r="Y12" s="136">
        <v>215.13</v>
      </c>
      <c r="Z12" s="130">
        <v>215.13</v>
      </c>
      <c r="AA12" s="131">
        <v>0.47</v>
      </c>
      <c r="AB12" s="112">
        <v>690</v>
      </c>
      <c r="AC12" s="133">
        <v>1220</v>
      </c>
      <c r="AD12" s="144" t="s">
        <v>200</v>
      </c>
      <c r="AE12" s="131">
        <v>75.88</v>
      </c>
      <c r="AF12" s="133">
        <v>160</v>
      </c>
      <c r="AG12" s="134">
        <v>5</v>
      </c>
      <c r="AH12" s="131">
        <v>2.95</v>
      </c>
      <c r="AI12" s="115">
        <f t="shared" si="10"/>
        <v>13.712638869520756</v>
      </c>
      <c r="AJ12" s="131">
        <v>145</v>
      </c>
      <c r="AK12" s="115">
        <f t="shared" si="11"/>
        <v>674.01106307813882</v>
      </c>
      <c r="AL12" s="131">
        <v>32.4</v>
      </c>
      <c r="AM12" s="116"/>
      <c r="AN12" s="135">
        <v>12.91</v>
      </c>
      <c r="AO12" s="466">
        <v>55.95</v>
      </c>
      <c r="AP12" s="110">
        <f t="shared" si="12"/>
        <v>0.19861554845580406</v>
      </c>
      <c r="AQ12" s="137" t="s">
        <v>430</v>
      </c>
      <c r="AR12" s="150">
        <v>8.18</v>
      </c>
      <c r="AS12" s="138">
        <v>7.7</v>
      </c>
      <c r="AT12" s="131"/>
      <c r="AU12" s="131">
        <v>6.11</v>
      </c>
      <c r="AV12" s="315">
        <v>281.7</v>
      </c>
      <c r="AW12" s="131">
        <v>2.29</v>
      </c>
      <c r="AX12" s="116"/>
      <c r="AY12" s="131"/>
      <c r="AZ12" s="109"/>
      <c r="BA12" s="109">
        <f t="shared" si="13"/>
        <v>215.13</v>
      </c>
      <c r="BB12" s="115">
        <f t="shared" si="33"/>
        <v>206.48550791822549</v>
      </c>
      <c r="BC12" s="140">
        <f t="shared" si="14"/>
        <v>6.8629929577464788</v>
      </c>
      <c r="BD12" s="141">
        <f t="shared" si="15"/>
        <v>8.6052</v>
      </c>
      <c r="BE12" s="128">
        <f t="shared" si="16"/>
        <v>0.90954804476824502</v>
      </c>
      <c r="BF12" s="141">
        <f t="shared" si="17"/>
        <v>15.468192957746478</v>
      </c>
      <c r="BG12" s="535">
        <v>0.90500000000000003</v>
      </c>
      <c r="BH12" s="16">
        <f t="shared" si="28"/>
        <v>1252.1799999999998</v>
      </c>
      <c r="BI12" s="16">
        <f t="shared" si="18"/>
        <v>220</v>
      </c>
      <c r="BJ12" s="16">
        <f t="shared" si="29"/>
        <v>1320</v>
      </c>
      <c r="BK12" s="17">
        <f t="shared" si="19"/>
        <v>1</v>
      </c>
      <c r="BL12" s="16">
        <f t="shared" si="30"/>
        <v>1320</v>
      </c>
      <c r="BM12" s="249">
        <v>352.26600000000002</v>
      </c>
      <c r="BN12" s="195">
        <v>7.9980000000000002</v>
      </c>
      <c r="BO12" s="271">
        <v>88.025000000000006</v>
      </c>
      <c r="BP12" s="197"/>
      <c r="BQ12" s="230"/>
      <c r="BR12" s="230">
        <v>31.988</v>
      </c>
      <c r="BS12" s="250"/>
      <c r="BT12" s="199"/>
      <c r="BU12" s="200">
        <v>1.45</v>
      </c>
      <c r="BV12" s="200"/>
      <c r="BW12" s="200"/>
      <c r="BX12" s="200"/>
      <c r="BY12" s="208"/>
      <c r="BZ12" s="208">
        <v>1.79</v>
      </c>
      <c r="CA12" s="201"/>
      <c r="CB12" s="202">
        <v>36.630000000000003</v>
      </c>
      <c r="CC12" s="200">
        <v>43.46</v>
      </c>
      <c r="CD12" s="200">
        <v>43.51</v>
      </c>
      <c r="CE12" s="200"/>
      <c r="CF12" s="200"/>
      <c r="CG12" s="200">
        <v>33.799999999999997</v>
      </c>
      <c r="CH12" s="200"/>
      <c r="CI12" s="203"/>
      <c r="CJ12" s="204"/>
      <c r="CK12" s="197"/>
      <c r="CL12" s="230">
        <v>293.70999999999998</v>
      </c>
      <c r="CM12" s="198"/>
      <c r="CN12" s="202"/>
      <c r="CO12" s="202"/>
      <c r="CP12" s="270"/>
      <c r="CQ12" s="201"/>
      <c r="CR12" s="201"/>
      <c r="CS12" s="284"/>
      <c r="CT12" s="286">
        <f t="shared" si="20"/>
        <v>347.158143</v>
      </c>
      <c r="CU12" s="24">
        <f t="shared" si="20"/>
        <v>7.9980000000000002</v>
      </c>
      <c r="CV12" s="25">
        <f t="shared" si="20"/>
        <v>88.025000000000006</v>
      </c>
      <c r="CW12" s="24">
        <f t="shared" si="20"/>
        <v>0</v>
      </c>
      <c r="CX12" s="27">
        <f t="shared" si="20"/>
        <v>0</v>
      </c>
      <c r="CY12" s="30">
        <f t="shared" si="20"/>
        <v>31.415414799999997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293.70999999999998</v>
      </c>
      <c r="DD12" s="280">
        <f t="shared" si="21"/>
        <v>0</v>
      </c>
      <c r="DE12" s="508">
        <f t="shared" si="31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2"/>
        <v>0</v>
      </c>
    </row>
    <row r="13" spans="1:117" ht="16.5" customHeight="1" thickBot="1">
      <c r="A13" s="534">
        <v>7</v>
      </c>
      <c r="B13" s="103">
        <f>'[1]сентябрь 20'!K12</f>
        <v>449.64499999999998</v>
      </c>
      <c r="C13" s="104">
        <f t="shared" si="0"/>
        <v>1.0730001445584851</v>
      </c>
      <c r="D13" s="448">
        <f t="shared" si="1"/>
        <v>444.82030849999995</v>
      </c>
      <c r="E13" s="104">
        <f t="shared" si="2"/>
        <v>37.746527838628253</v>
      </c>
      <c r="F13" s="128">
        <f t="shared" si="3"/>
        <v>2.5617387036397141</v>
      </c>
      <c r="G13" s="106"/>
      <c r="H13" s="107">
        <f t="shared" si="4"/>
        <v>2.0435977222990096</v>
      </c>
      <c r="I13" s="103">
        <f>'[1]сентябрь 20'!AE12</f>
        <v>0</v>
      </c>
      <c r="J13" s="328">
        <f>'[1]сентябрь 20'!AA12</f>
        <v>9.1219999999999999</v>
      </c>
      <c r="K13" s="106">
        <v>15.75</v>
      </c>
      <c r="L13" s="328">
        <f>'[1]сентябрь 20'!AI12</f>
        <v>89.97</v>
      </c>
      <c r="M13" s="103">
        <f t="shared" si="5"/>
        <v>0.51814098134070496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'[1]сентябрь 20'!S12</f>
        <v>286.52699999999999</v>
      </c>
      <c r="S13" s="108">
        <f t="shared" si="6"/>
        <v>3.0073954636037681</v>
      </c>
      <c r="T13" s="109">
        <f t="shared" si="7"/>
        <v>277.91000000000003</v>
      </c>
      <c r="U13" s="106">
        <v>9.92</v>
      </c>
      <c r="V13" s="109">
        <f t="shared" si="8"/>
        <v>277.91000000000003</v>
      </c>
      <c r="W13" s="110">
        <f t="shared" si="9"/>
        <v>1.6004952775858099</v>
      </c>
      <c r="X13" s="110">
        <f t="shared" si="26"/>
        <v>1.6004952775858099</v>
      </c>
      <c r="Y13" s="136">
        <v>173.64</v>
      </c>
      <c r="Z13" s="130">
        <v>173.64</v>
      </c>
      <c r="AA13" s="131">
        <v>0.35</v>
      </c>
      <c r="AB13" s="146">
        <v>677</v>
      </c>
      <c r="AC13" s="147">
        <v>1222</v>
      </c>
      <c r="AD13" s="144" t="s">
        <v>192</v>
      </c>
      <c r="AE13" s="131">
        <v>75.97</v>
      </c>
      <c r="AF13" s="133">
        <v>150</v>
      </c>
      <c r="AG13" s="134">
        <v>5</v>
      </c>
      <c r="AH13" s="131"/>
      <c r="AI13" s="115">
        <f t="shared" si="10"/>
        <v>0</v>
      </c>
      <c r="AJ13" s="131">
        <v>133.69999999999999</v>
      </c>
      <c r="AK13" s="115">
        <f t="shared" si="11"/>
        <v>769.98387468325268</v>
      </c>
      <c r="AL13" s="131">
        <v>29.02</v>
      </c>
      <c r="AM13" s="116"/>
      <c r="AN13" s="135">
        <v>11.27</v>
      </c>
      <c r="AO13" s="466">
        <v>62.53</v>
      </c>
      <c r="AP13" s="110">
        <f t="shared" si="12"/>
        <v>0.25564186426819296</v>
      </c>
      <c r="AQ13" s="137" t="s">
        <v>238</v>
      </c>
      <c r="AR13" s="150">
        <v>7.69</v>
      </c>
      <c r="AS13" s="138">
        <v>7.43</v>
      </c>
      <c r="AT13" s="131"/>
      <c r="AU13" s="131">
        <v>7.97</v>
      </c>
      <c r="AV13" s="315">
        <v>244.6</v>
      </c>
      <c r="AW13" s="131">
        <v>2.84</v>
      </c>
      <c r="AX13" s="148"/>
      <c r="AY13" s="149"/>
      <c r="AZ13" s="109"/>
      <c r="BA13" s="109">
        <f t="shared" si="13"/>
        <v>173.64</v>
      </c>
      <c r="BB13" s="115">
        <f t="shared" si="33"/>
        <v>192.94509074527687</v>
      </c>
      <c r="BC13" s="140">
        <f t="shared" si="14"/>
        <v>8.254562676056338</v>
      </c>
      <c r="BD13" s="141">
        <f t="shared" si="15"/>
        <v>6.9455999999999998</v>
      </c>
      <c r="BE13" s="128">
        <f t="shared" si="16"/>
        <v>0.78565212213729629</v>
      </c>
      <c r="BF13" s="141">
        <f t="shared" si="17"/>
        <v>15.200162676056337</v>
      </c>
      <c r="BG13" s="535">
        <v>0.88900000000000001</v>
      </c>
      <c r="BH13" s="16">
        <f t="shared" si="28"/>
        <v>1425.8199999999997</v>
      </c>
      <c r="BI13" s="16">
        <f t="shared" si="18"/>
        <v>220</v>
      </c>
      <c r="BJ13" s="16">
        <f t="shared" si="29"/>
        <v>1540</v>
      </c>
      <c r="BK13" s="17">
        <f t="shared" si="19"/>
        <v>1</v>
      </c>
      <c r="BL13" s="16">
        <f t="shared" si="30"/>
        <v>1540</v>
      </c>
      <c r="BM13" s="249">
        <v>329.85500000000002</v>
      </c>
      <c r="BN13" s="195">
        <v>7.4909999999999997</v>
      </c>
      <c r="BO13" s="266">
        <v>82.478999999999999</v>
      </c>
      <c r="BP13" s="196"/>
      <c r="BQ13" s="313"/>
      <c r="BR13" s="230">
        <v>29.82</v>
      </c>
      <c r="BS13" s="250"/>
      <c r="BT13" s="199"/>
      <c r="BU13" s="200">
        <v>1.29</v>
      </c>
      <c r="BV13" s="200"/>
      <c r="BW13" s="200"/>
      <c r="BX13" s="200"/>
      <c r="BY13" s="208"/>
      <c r="BZ13" s="208">
        <v>1.91</v>
      </c>
      <c r="CA13" s="201"/>
      <c r="CB13" s="202">
        <v>36.68</v>
      </c>
      <c r="CC13" s="200">
        <v>42.88</v>
      </c>
      <c r="CD13" s="202">
        <v>42.77</v>
      </c>
      <c r="CE13" s="200"/>
      <c r="CF13" s="200"/>
      <c r="CG13" s="200">
        <v>34.36</v>
      </c>
      <c r="CH13" s="200"/>
      <c r="CI13" s="203"/>
      <c r="CJ13" s="204"/>
      <c r="CK13" s="197"/>
      <c r="CL13" s="264">
        <v>277.91000000000003</v>
      </c>
      <c r="CM13" s="265"/>
      <c r="CN13" s="202"/>
      <c r="CO13" s="202"/>
      <c r="CP13" s="270"/>
      <c r="CQ13" s="201"/>
      <c r="CR13" s="201"/>
      <c r="CS13" s="284"/>
      <c r="CT13" s="286">
        <f t="shared" si="20"/>
        <v>325.59987050000001</v>
      </c>
      <c r="CU13" s="24">
        <f t="shared" si="20"/>
        <v>7.4909999999999997</v>
      </c>
      <c r="CV13" s="25">
        <f t="shared" si="20"/>
        <v>82.478999999999999</v>
      </c>
      <c r="CW13" s="24">
        <f t="shared" si="20"/>
        <v>0</v>
      </c>
      <c r="CX13" s="27">
        <f t="shared" si="20"/>
        <v>0</v>
      </c>
      <c r="CY13" s="24">
        <f t="shared" si="20"/>
        <v>29.250437999999999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277.91000000000003</v>
      </c>
      <c r="DD13" s="280">
        <f t="shared" si="21"/>
        <v>0</v>
      </c>
      <c r="DE13" s="508">
        <f t="shared" si="31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2"/>
        <v>0</v>
      </c>
    </row>
    <row r="14" spans="1:117" ht="16.5" customHeight="1" thickBot="1">
      <c r="A14" s="534">
        <v>8</v>
      </c>
      <c r="B14" s="103">
        <f>'[1]сентябрь 20'!K13</f>
        <v>471.19</v>
      </c>
      <c r="C14" s="104">
        <f>IF(B14=0,0,(BM14*BU14+BN14*BV14+BP14*BX14+BS14*CA14+BO14*BW14+BR14*BZ14+BQ14*BY14)/B14)</f>
        <v>0.88624953840276754</v>
      </c>
      <c r="D14" s="448">
        <f>B14*((100-C14)/100)</f>
        <v>467.01408080000004</v>
      </c>
      <c r="E14" s="104">
        <f>IF(B14=0,0,(BM14*CB14+BN14*CC14+BP14*CE14+BS14*CH14+BO14*CD14+BR14*CG14+BQ14*CF14)/B14)</f>
        <v>37.726531038434601</v>
      </c>
      <c r="F14" s="128">
        <f>IF(BA14=0,0,D14/BA14)</f>
        <v>2.003750293045008</v>
      </c>
      <c r="G14" s="106"/>
      <c r="H14" s="107">
        <f>IF(BA14=0,0,(CZ14+CW14+CY14+CT14+CX14)/BA14)</f>
        <v>1.5993610537606724</v>
      </c>
      <c r="I14" s="103">
        <f>'[1]сентябрь 20'!AE13</f>
        <v>0</v>
      </c>
      <c r="J14" s="328">
        <f>'[1]сентябрь 20'!AA13</f>
        <v>10.436999999999999</v>
      </c>
      <c r="K14" s="106">
        <v>22.46</v>
      </c>
      <c r="L14" s="328">
        <f>'[1]сентябрь 20'!AI13</f>
        <v>94.251000000000005</v>
      </c>
      <c r="M14" s="103">
        <f>IF(BA14=0,0,(CV14+CU14)/BA14)</f>
        <v>0.40438923928433518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'[1]сентябрь 20'!S13</f>
        <v>301.86599999999999</v>
      </c>
      <c r="S14" s="108">
        <f>IF(R14=0,0,(1-(V14/R14))*100)</f>
        <v>3.1093266548733456</v>
      </c>
      <c r="T14" s="109">
        <f>R14*((100-S14)/100)</f>
        <v>292.48</v>
      </c>
      <c r="U14" s="106">
        <v>4.9400000000000004</v>
      </c>
      <c r="V14" s="109">
        <f>CJ14+CK14+CM14+CL14</f>
        <v>292.48</v>
      </c>
      <c r="W14" s="110">
        <f>IF(BA14=0,0,T14/BA14)</f>
        <v>1.2549019607843137</v>
      </c>
      <c r="X14" s="110">
        <f t="shared" si="26"/>
        <v>1.2549019607843137</v>
      </c>
      <c r="Y14" s="136">
        <v>233.07</v>
      </c>
      <c r="Z14" s="130">
        <v>233.07</v>
      </c>
      <c r="AA14" s="131">
        <v>0.63</v>
      </c>
      <c r="AB14" s="146">
        <v>667</v>
      </c>
      <c r="AC14" s="147">
        <v>1219</v>
      </c>
      <c r="AD14" s="144" t="s">
        <v>217</v>
      </c>
      <c r="AE14" s="131">
        <v>76.040000000000006</v>
      </c>
      <c r="AF14" s="133">
        <v>157</v>
      </c>
      <c r="AG14" s="134">
        <v>5</v>
      </c>
      <c r="AH14" s="131">
        <v>3.3</v>
      </c>
      <c r="AI14" s="115">
        <f t="shared" si="10"/>
        <v>14.158836401081217</v>
      </c>
      <c r="AJ14" s="131">
        <v>130.25</v>
      </c>
      <c r="AK14" s="115">
        <f>IF(BA14=0,0,AJ14/BA14*1000)</f>
        <v>558.84498219419049</v>
      </c>
      <c r="AL14" s="131">
        <v>32.9</v>
      </c>
      <c r="AM14" s="116"/>
      <c r="AN14" s="135">
        <v>10.33</v>
      </c>
      <c r="AO14" s="466">
        <v>50.88</v>
      </c>
      <c r="AP14" s="110">
        <f>IF(AO14=0,0,AO14/AV14)</f>
        <v>0.17418692228688804</v>
      </c>
      <c r="AQ14" s="137" t="s">
        <v>218</v>
      </c>
      <c r="AR14" s="150">
        <v>8.26</v>
      </c>
      <c r="AS14" s="138">
        <v>7.3</v>
      </c>
      <c r="AT14" s="131"/>
      <c r="AU14" s="131">
        <v>5.73</v>
      </c>
      <c r="AV14" s="315">
        <v>292.10000000000002</v>
      </c>
      <c r="AW14" s="131">
        <v>2.1800000000000002</v>
      </c>
      <c r="AX14" s="148"/>
      <c r="AY14" s="149"/>
      <c r="AZ14" s="109"/>
      <c r="BA14" s="109">
        <f>AV14-AO14-AN14+AY14+AW14</f>
        <v>233.07000000000002</v>
      </c>
      <c r="BB14" s="115">
        <f>IF(AE14=0,0,((D14*0.97)*(E14/100)*0.9)/(AE14/100))</f>
        <v>202.27815518703221</v>
      </c>
      <c r="BC14" s="140">
        <f>(AJ14*AU14)/100*(55/71)</f>
        <v>5.7814489436619727</v>
      </c>
      <c r="BD14" s="141">
        <f>BA14*$BD$6</f>
        <v>9.3228000000000009</v>
      </c>
      <c r="BE14" s="128">
        <f>IF((D14*E14)=0,0,(BA14*AE14)/(D14*E14))</f>
        <v>1.0058926521841454</v>
      </c>
      <c r="BF14" s="141">
        <f>BC14+BD14</f>
        <v>15.104248943661974</v>
      </c>
      <c r="BG14" s="535">
        <v>0.90400000000000003</v>
      </c>
      <c r="BH14" s="16">
        <f>BH13+BA14</f>
        <v>1658.8899999999996</v>
      </c>
      <c r="BI14" s="16">
        <f>IF(A14&lt;=$BG$43,$AV$43,0)</f>
        <v>220</v>
      </c>
      <c r="BJ14" s="16">
        <f>BI14+BJ13</f>
        <v>1760</v>
      </c>
      <c r="BK14" s="17">
        <f>IF(BA14&lt;&gt;0,1,0)</f>
        <v>1</v>
      </c>
      <c r="BL14" s="16">
        <f>BL13+BI14*BK14</f>
        <v>1760</v>
      </c>
      <c r="BM14" s="249">
        <v>350.298</v>
      </c>
      <c r="BN14" s="195">
        <v>7.8639999999999999</v>
      </c>
      <c r="BO14" s="266">
        <v>86.387</v>
      </c>
      <c r="BP14" s="196"/>
      <c r="BQ14" s="313"/>
      <c r="BR14" s="230">
        <v>26.640999999999998</v>
      </c>
      <c r="BS14" s="250"/>
      <c r="BT14" s="199"/>
      <c r="BU14" s="200">
        <v>1.04</v>
      </c>
      <c r="BV14" s="200"/>
      <c r="BW14" s="200"/>
      <c r="BX14" s="200"/>
      <c r="BY14" s="208"/>
      <c r="BZ14" s="208">
        <v>2</v>
      </c>
      <c r="CA14" s="201"/>
      <c r="CB14" s="202">
        <v>36.76</v>
      </c>
      <c r="CC14" s="200">
        <v>43.24</v>
      </c>
      <c r="CD14" s="202">
        <v>42.95</v>
      </c>
      <c r="CE14" s="200"/>
      <c r="CF14" s="200"/>
      <c r="CG14" s="200">
        <v>31.87</v>
      </c>
      <c r="CH14" s="200"/>
      <c r="CI14" s="203"/>
      <c r="CJ14" s="204"/>
      <c r="CK14" s="197"/>
      <c r="CL14" s="264">
        <v>292.48</v>
      </c>
      <c r="CM14" s="265"/>
      <c r="CN14" s="202"/>
      <c r="CO14" s="202"/>
      <c r="CP14" s="270"/>
      <c r="CQ14" s="201"/>
      <c r="CR14" s="201"/>
      <c r="CS14" s="284"/>
      <c r="CT14" s="286">
        <f t="shared" si="20"/>
        <v>346.65490079999995</v>
      </c>
      <c r="CU14" s="27">
        <f t="shared" si="20"/>
        <v>7.8639999999999999</v>
      </c>
      <c r="CV14" s="28">
        <f t="shared" si="20"/>
        <v>86.387</v>
      </c>
      <c r="CW14" s="27">
        <f t="shared" si="20"/>
        <v>0</v>
      </c>
      <c r="CX14" s="27">
        <f t="shared" si="20"/>
        <v>0</v>
      </c>
      <c r="CY14" s="24">
        <f t="shared" si="20"/>
        <v>26.108179999999997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292.48</v>
      </c>
      <c r="DD14" s="280">
        <f t="shared" si="21"/>
        <v>0</v>
      </c>
      <c r="DE14" s="508">
        <f t="shared" si="31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2"/>
        <v>0</v>
      </c>
    </row>
    <row r="15" spans="1:117" ht="16.5" customHeight="1" thickBot="1">
      <c r="A15" s="536">
        <v>9</v>
      </c>
      <c r="B15" s="103">
        <f>'[1]сентябрь 20'!K14</f>
        <v>464.44400000000002</v>
      </c>
      <c r="C15" s="104">
        <f t="shared" ref="C15:C36" si="34">IF(B15=0,0,(BM15*BU15+BN15*BV15+BP15*BX15+BS15*CA15+BO15*BW15+BR15*BZ15+BQ15*BY15)/B15)</f>
        <v>1.2072898131959935</v>
      </c>
      <c r="D15" s="448">
        <f t="shared" ref="D15:D36" si="35">B15*((100-C15)/100)</f>
        <v>458.83681489999998</v>
      </c>
      <c r="E15" s="104">
        <f t="shared" ref="E15:E18" si="36">IF(B15=0,0,(BM15*CB15+BN15*CC15+BP15*CE15+BS15*CH15+BO15*CD15+BR15*CG15+BQ15*CF15)/B15)</f>
        <v>37.568138849893643</v>
      </c>
      <c r="F15" s="128">
        <f t="shared" ref="F15:F36" si="37">IF(BA15=0,0,D15/BA15)</f>
        <v>2.0819311897091519</v>
      </c>
      <c r="G15" s="106"/>
      <c r="H15" s="107">
        <f t="shared" ref="H15:H36" si="38">IF(BA15=0,0,(CZ15+CW15+CY15+CT15+CX15)/BA15)</f>
        <v>1.6605463718862019</v>
      </c>
      <c r="I15" s="103">
        <f>'[1]сентябрь 20'!AE14</f>
        <v>0</v>
      </c>
      <c r="J15" s="328">
        <f>'[1]сентябрь 20'!AA14</f>
        <v>13.039</v>
      </c>
      <c r="K15" s="106"/>
      <c r="L15" s="328">
        <f>'[1]сентябрь 20'!AI14</f>
        <v>92.869</v>
      </c>
      <c r="M15" s="103">
        <f t="shared" ref="M15:M36" si="39">IF(BA15=0,0,(CV15+CU15)/BA15)</f>
        <v>0.42138481782295023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'[1]сентябрь 20'!S14</f>
        <v>299.26499999999999</v>
      </c>
      <c r="S15" s="108">
        <f t="shared" ref="S15:S36" si="40">IF(R15=0,0,(1-(V15/R15))*100)</f>
        <v>2.9121347300887113</v>
      </c>
      <c r="T15" s="109">
        <f t="shared" ref="T15:T36" si="41">R15*((100-S15)/100)</f>
        <v>290.55</v>
      </c>
      <c r="U15" s="106">
        <v>30.58</v>
      </c>
      <c r="V15" s="109">
        <f t="shared" ref="V15:V36" si="42">CJ15+CK15+CM15+CL15</f>
        <v>290.55</v>
      </c>
      <c r="W15" s="110">
        <f t="shared" ref="W15:W36" si="43">IF(BA15=0,0,T15/BA15)</f>
        <v>1.3183447524842327</v>
      </c>
      <c r="X15" s="110">
        <f t="shared" si="26"/>
        <v>1.3183447524842327</v>
      </c>
      <c r="Y15" s="136">
        <v>220.39</v>
      </c>
      <c r="Z15" s="130">
        <v>220.39</v>
      </c>
      <c r="AA15" s="131">
        <v>0.55000000000000004</v>
      </c>
      <c r="AB15" s="112">
        <v>690</v>
      </c>
      <c r="AC15" s="133">
        <v>1227</v>
      </c>
      <c r="AD15" s="144" t="s">
        <v>217</v>
      </c>
      <c r="AE15" s="131">
        <v>76.11</v>
      </c>
      <c r="AF15" s="133">
        <v>155</v>
      </c>
      <c r="AG15" s="134">
        <v>5</v>
      </c>
      <c r="AH15" s="131">
        <v>3.1</v>
      </c>
      <c r="AI15" s="115">
        <f t="shared" si="10"/>
        <v>14.06597395526113</v>
      </c>
      <c r="AJ15" s="131">
        <v>117.75</v>
      </c>
      <c r="AK15" s="115">
        <f t="shared" ref="AK15:AK36" si="44">IF(BA15=0,0,AJ15/BA15*1000)</f>
        <v>534.28013975225736</v>
      </c>
      <c r="AL15" s="131">
        <v>31.77</v>
      </c>
      <c r="AM15" s="116"/>
      <c r="AN15" s="135">
        <v>9.83</v>
      </c>
      <c r="AO15" s="466">
        <v>56.58</v>
      </c>
      <c r="AP15" s="110">
        <f t="shared" ref="AP15:AP36" si="45">IF(AO15=0,0,AO15/AV15)</f>
        <v>0.1991201830019356</v>
      </c>
      <c r="AQ15" s="137" t="s">
        <v>204</v>
      </c>
      <c r="AR15" s="150">
        <v>8.08</v>
      </c>
      <c r="AS15" s="138">
        <v>7.44</v>
      </c>
      <c r="AT15" s="131"/>
      <c r="AU15" s="131">
        <v>5.81</v>
      </c>
      <c r="AV15" s="315">
        <v>284.14999999999998</v>
      </c>
      <c r="AW15" s="131">
        <v>2.65</v>
      </c>
      <c r="AX15" s="116"/>
      <c r="AY15" s="131"/>
      <c r="AZ15" s="109"/>
      <c r="BA15" s="109">
        <f t="shared" ref="BA15:BA36" si="46">AV15-AO15-AN15+AY15+AW15</f>
        <v>220.39</v>
      </c>
      <c r="BB15" s="115">
        <f t="shared" ref="BB15:BB36" si="47">IF(AE15=0,0,((D15*0.97)*(E15/100)*0.9)/(AE15/100))</f>
        <v>197.71993476300315</v>
      </c>
      <c r="BC15" s="140">
        <f t="shared" ref="BC15:BC36" si="48">(AJ15*AU15)/100*(55/71)</f>
        <v>5.2995792253521117</v>
      </c>
      <c r="BD15" s="141">
        <f t="shared" ref="BD15:BD23" si="49">BA15*$BD$6</f>
        <v>8.8155999999999999</v>
      </c>
      <c r="BE15" s="128">
        <f t="shared" ref="BE15:BE36" si="50">IF((D15*E15)=0,0,(BA15*AE15)/(D15*E15))</f>
        <v>0.97309596136889642</v>
      </c>
      <c r="BF15" s="141">
        <f t="shared" ref="BF15:BF36" si="51">BC15+BD15</f>
        <v>14.115179225352112</v>
      </c>
      <c r="BG15" s="535">
        <v>0.91100000000000003</v>
      </c>
      <c r="BH15" s="16">
        <f t="shared" ref="BH15:BH23" si="52">BH14+BA15</f>
        <v>1879.2799999999997</v>
      </c>
      <c r="BI15" s="16">
        <f t="shared" ref="BI15:BI23" si="53">IF(A15&lt;=$BG$43,$AV$43,0)</f>
        <v>220</v>
      </c>
      <c r="BJ15" s="16">
        <f t="shared" ref="BJ15:BJ23" si="54">BI15+BJ14</f>
        <v>1980</v>
      </c>
      <c r="BK15" s="17">
        <f t="shared" ref="BK15:BK23" si="55">IF(BA15&lt;&gt;0,1,0)</f>
        <v>1</v>
      </c>
      <c r="BL15" s="16">
        <f t="shared" ref="BL15:BL23" si="56">BL14+BI15*BK15</f>
        <v>1980</v>
      </c>
      <c r="BM15" s="249">
        <v>356.14600000000002</v>
      </c>
      <c r="BN15" s="195">
        <v>7.6890000000000001</v>
      </c>
      <c r="BO15" s="197">
        <v>85.18</v>
      </c>
      <c r="BP15" s="197"/>
      <c r="BQ15" s="230"/>
      <c r="BR15" s="195">
        <v>15.429</v>
      </c>
      <c r="BS15" s="329"/>
      <c r="BT15" s="199"/>
      <c r="BU15" s="200">
        <v>1.47</v>
      </c>
      <c r="BV15" s="200"/>
      <c r="BW15" s="200"/>
      <c r="BX15" s="200"/>
      <c r="BY15" s="208"/>
      <c r="BZ15" s="208">
        <v>2.41</v>
      </c>
      <c r="CA15" s="330"/>
      <c r="CB15" s="202">
        <v>36.26</v>
      </c>
      <c r="CC15" s="200">
        <v>43.12</v>
      </c>
      <c r="CD15" s="200">
        <v>43.19</v>
      </c>
      <c r="CE15" s="200"/>
      <c r="CF15" s="200"/>
      <c r="CG15" s="200">
        <v>33.96</v>
      </c>
      <c r="CH15" s="200"/>
      <c r="CI15" s="203"/>
      <c r="CJ15" s="204"/>
      <c r="CK15" s="230"/>
      <c r="CL15" s="266">
        <v>290.55</v>
      </c>
      <c r="CM15" s="265"/>
      <c r="CN15" s="202"/>
      <c r="CO15" s="208"/>
      <c r="CP15" s="208"/>
      <c r="CQ15" s="201"/>
      <c r="CR15" s="201"/>
      <c r="CS15" s="284"/>
      <c r="CT15" s="286">
        <f t="shared" si="20"/>
        <v>350.91065380000003</v>
      </c>
      <c r="CU15" s="29">
        <f t="shared" si="20"/>
        <v>7.6890000000000001</v>
      </c>
      <c r="CV15" s="30">
        <f t="shared" si="20"/>
        <v>85.18</v>
      </c>
      <c r="CW15" s="29">
        <f t="shared" si="20"/>
        <v>0</v>
      </c>
      <c r="CX15" s="27">
        <f t="shared" si="20"/>
        <v>0</v>
      </c>
      <c r="CY15" s="24">
        <f t="shared" si="20"/>
        <v>15.0571611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290.55</v>
      </c>
      <c r="DD15" s="280">
        <f t="shared" si="21"/>
        <v>0</v>
      </c>
      <c r="DE15" s="508">
        <f t="shared" si="31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2"/>
        <v>0</v>
      </c>
    </row>
    <row r="16" spans="1:117" ht="16.5" customHeight="1" thickBot="1">
      <c r="A16" s="534">
        <v>10</v>
      </c>
      <c r="B16" s="103">
        <f>'[1]сентябрь 20'!K15</f>
        <v>441.09699999999998</v>
      </c>
      <c r="C16" s="104">
        <f t="shared" si="34"/>
        <v>1.1177758633588533</v>
      </c>
      <c r="D16" s="448">
        <f t="shared" si="35"/>
        <v>436.16652419999997</v>
      </c>
      <c r="E16" s="104">
        <f t="shared" si="36"/>
        <v>37.766410494743795</v>
      </c>
      <c r="F16" s="128">
        <f t="shared" si="37"/>
        <v>2.2693367544224761</v>
      </c>
      <c r="G16" s="106"/>
      <c r="H16" s="107">
        <f t="shared" si="38"/>
        <v>1.8102680759625387</v>
      </c>
      <c r="I16" s="103">
        <f>'[1]сентябрь 20'!AE15</f>
        <v>0</v>
      </c>
      <c r="J16" s="328">
        <f>'[1]сентябрь 20'!AA15</f>
        <v>13.326000000000001</v>
      </c>
      <c r="K16" s="106">
        <v>24.55</v>
      </c>
      <c r="L16" s="328">
        <f>'[1]сентябрь 20'!AI15</f>
        <v>88.233000000000004</v>
      </c>
      <c r="M16" s="103">
        <f t="shared" si="39"/>
        <v>0.45906867845993748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'[1]сентябрь 20'!S15</f>
        <v>286.01299999999998</v>
      </c>
      <c r="S16" s="108">
        <f t="shared" si="40"/>
        <v>2.8156062836304674</v>
      </c>
      <c r="T16" s="109">
        <f t="shared" si="41"/>
        <v>277.95999999999998</v>
      </c>
      <c r="U16" s="566">
        <v>18.329999999999998</v>
      </c>
      <c r="V16" s="109">
        <f t="shared" si="42"/>
        <v>277.95999999999998</v>
      </c>
      <c r="W16" s="110">
        <f t="shared" si="43"/>
        <v>1.4462018730489072</v>
      </c>
      <c r="X16" s="110">
        <f t="shared" si="26"/>
        <v>1.4462018730489072</v>
      </c>
      <c r="Y16" s="136">
        <v>192.2</v>
      </c>
      <c r="Z16" s="130">
        <v>192.2</v>
      </c>
      <c r="AA16" s="131">
        <v>0.56999999999999995</v>
      </c>
      <c r="AB16" s="112">
        <v>690</v>
      </c>
      <c r="AC16" s="133">
        <v>1217</v>
      </c>
      <c r="AD16" s="144" t="s">
        <v>149</v>
      </c>
      <c r="AE16" s="131">
        <v>75.86</v>
      </c>
      <c r="AF16" s="133">
        <v>147</v>
      </c>
      <c r="AG16" s="134">
        <v>5</v>
      </c>
      <c r="AH16" s="131"/>
      <c r="AI16" s="115">
        <f t="shared" si="10"/>
        <v>0</v>
      </c>
      <c r="AJ16" s="131">
        <v>129.4</v>
      </c>
      <c r="AK16" s="115">
        <f t="shared" si="44"/>
        <v>673.25702393340271</v>
      </c>
      <c r="AL16" s="139">
        <v>25.45</v>
      </c>
      <c r="AM16" s="131"/>
      <c r="AN16" s="136">
        <v>13.84</v>
      </c>
      <c r="AO16" s="466">
        <v>59.35</v>
      </c>
      <c r="AP16" s="110">
        <f t="shared" si="45"/>
        <v>0.22519446025422121</v>
      </c>
      <c r="AQ16" s="137" t="s">
        <v>431</v>
      </c>
      <c r="AR16" s="150">
        <v>7.92</v>
      </c>
      <c r="AS16" s="138">
        <v>7.64</v>
      </c>
      <c r="AT16" s="131"/>
      <c r="AU16" s="131">
        <v>6.1</v>
      </c>
      <c r="AV16" s="315">
        <v>263.55</v>
      </c>
      <c r="AW16" s="131">
        <v>1.84</v>
      </c>
      <c r="AX16" s="116"/>
      <c r="AY16" s="131"/>
      <c r="AZ16" s="109"/>
      <c r="BA16" s="109">
        <f t="shared" si="46"/>
        <v>192.20000000000002</v>
      </c>
      <c r="BB16" s="115">
        <f t="shared" si="47"/>
        <v>189.56556300268187</v>
      </c>
      <c r="BC16" s="140">
        <f t="shared" si="48"/>
        <v>6.1146056338028174</v>
      </c>
      <c r="BD16" s="141">
        <f t="shared" si="49"/>
        <v>7.6880000000000006</v>
      </c>
      <c r="BE16" s="128">
        <f t="shared" si="50"/>
        <v>0.8851322853277217</v>
      </c>
      <c r="BF16" s="141">
        <f t="shared" si="51"/>
        <v>13.802605633802818</v>
      </c>
      <c r="BG16" s="535">
        <v>0.90900000000000003</v>
      </c>
      <c r="BH16" s="16">
        <f t="shared" si="52"/>
        <v>2071.4799999999996</v>
      </c>
      <c r="BI16" s="16">
        <f t="shared" si="53"/>
        <v>220</v>
      </c>
      <c r="BJ16" s="16">
        <f t="shared" si="54"/>
        <v>2200</v>
      </c>
      <c r="BK16" s="17">
        <f t="shared" si="55"/>
        <v>1</v>
      </c>
      <c r="BL16" s="16">
        <f t="shared" si="56"/>
        <v>2200</v>
      </c>
      <c r="BM16" s="249">
        <v>338.05799999999999</v>
      </c>
      <c r="BN16" s="195">
        <v>7.3890000000000002</v>
      </c>
      <c r="BO16" s="195">
        <v>80.843999999999994</v>
      </c>
      <c r="BP16" s="197"/>
      <c r="BQ16" s="230"/>
      <c r="BR16" s="230">
        <v>14.805999999999999</v>
      </c>
      <c r="BS16" s="250"/>
      <c r="BT16" s="199"/>
      <c r="BU16" s="200">
        <v>1.37</v>
      </c>
      <c r="BV16" s="200"/>
      <c r="BW16" s="200"/>
      <c r="BX16" s="200"/>
      <c r="BY16" s="208"/>
      <c r="BZ16" s="208">
        <v>2.02</v>
      </c>
      <c r="CA16" s="201"/>
      <c r="CB16" s="202">
        <v>36.64</v>
      </c>
      <c r="CC16" s="200">
        <v>43.27</v>
      </c>
      <c r="CD16" s="200">
        <v>43.2</v>
      </c>
      <c r="CE16" s="200"/>
      <c r="CF16" s="200"/>
      <c r="CG16" s="200">
        <v>31.07</v>
      </c>
      <c r="CH16" s="200"/>
      <c r="CI16" s="203"/>
      <c r="CJ16" s="204"/>
      <c r="CK16" s="230"/>
      <c r="CL16" s="266">
        <v>277.95999999999998</v>
      </c>
      <c r="CM16" s="265"/>
      <c r="CN16" s="202"/>
      <c r="CO16" s="208"/>
      <c r="CP16" s="208"/>
      <c r="CQ16" s="201"/>
      <c r="CR16" s="201"/>
      <c r="CS16" s="284"/>
      <c r="CT16" s="286">
        <f t="shared" si="20"/>
        <v>333.42660539999997</v>
      </c>
      <c r="CU16" s="24">
        <f t="shared" si="20"/>
        <v>7.3890000000000002</v>
      </c>
      <c r="CV16" s="25">
        <f t="shared" si="20"/>
        <v>80.843999999999994</v>
      </c>
      <c r="CW16" s="24">
        <f t="shared" si="20"/>
        <v>0</v>
      </c>
      <c r="CX16" s="27">
        <f t="shared" si="20"/>
        <v>0</v>
      </c>
      <c r="CY16" s="24">
        <f t="shared" si="20"/>
        <v>14.506918799999999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277.95999999999998</v>
      </c>
      <c r="DD16" s="280">
        <f t="shared" si="21"/>
        <v>0</v>
      </c>
      <c r="DE16" s="508">
        <f t="shared" si="31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2"/>
        <v>0</v>
      </c>
    </row>
    <row r="17" spans="1:115" ht="16.5" customHeight="1" thickBot="1">
      <c r="A17" s="534">
        <v>11</v>
      </c>
      <c r="B17" s="103">
        <f>'[1]сентябрь 20'!K16</f>
        <v>456.60300000000001</v>
      </c>
      <c r="C17" s="104">
        <f t="shared" si="34"/>
        <v>1.2175604847099122</v>
      </c>
      <c r="D17" s="448">
        <f t="shared" si="35"/>
        <v>451.04358230000003</v>
      </c>
      <c r="E17" s="104">
        <f t="shared" si="36"/>
        <v>37.788807103764093</v>
      </c>
      <c r="F17" s="128">
        <f t="shared" si="37"/>
        <v>2.1991398454412479</v>
      </c>
      <c r="G17" s="106"/>
      <c r="H17" s="107">
        <f t="shared" si="38"/>
        <v>1.7518068371526081</v>
      </c>
      <c r="I17" s="103">
        <f>'[1]сентябрь 20'!AE16</f>
        <v>0</v>
      </c>
      <c r="J17" s="328">
        <f>'[1]сентябрь 20'!AA16</f>
        <v>14.742000000000001</v>
      </c>
      <c r="K17" s="106">
        <v>34.83</v>
      </c>
      <c r="L17" s="328">
        <f>'[1]сентябрь 20'!AI16</f>
        <v>91.748000000000005</v>
      </c>
      <c r="M17" s="103">
        <f t="shared" si="39"/>
        <v>0.44733300828863959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'[1]сентябрь 20'!S16</f>
        <v>294.96499999999997</v>
      </c>
      <c r="S17" s="108">
        <f t="shared" si="40"/>
        <v>2.9545878324546915</v>
      </c>
      <c r="T17" s="109">
        <f t="shared" si="41"/>
        <v>286.25</v>
      </c>
      <c r="U17" s="106">
        <v>16.25</v>
      </c>
      <c r="V17" s="109">
        <f t="shared" si="42"/>
        <v>286.25</v>
      </c>
      <c r="W17" s="110">
        <f t="shared" si="43"/>
        <v>1.3956606533398341</v>
      </c>
      <c r="X17" s="110">
        <f t="shared" si="26"/>
        <v>1.3956606533398341</v>
      </c>
      <c r="Y17" s="136">
        <v>205.1</v>
      </c>
      <c r="Z17" s="130">
        <v>167.2</v>
      </c>
      <c r="AA17" s="131">
        <v>0.75</v>
      </c>
      <c r="AB17" s="112">
        <v>683</v>
      </c>
      <c r="AC17" s="133">
        <v>1227</v>
      </c>
      <c r="AD17" s="144" t="s">
        <v>232</v>
      </c>
      <c r="AE17" s="131">
        <v>75.95</v>
      </c>
      <c r="AF17" s="133">
        <v>152</v>
      </c>
      <c r="AG17" s="134">
        <v>5</v>
      </c>
      <c r="AH17" s="131">
        <v>3.25</v>
      </c>
      <c r="AI17" s="115">
        <f t="shared" si="10"/>
        <v>15.845928815212091</v>
      </c>
      <c r="AJ17" s="131">
        <v>111.95</v>
      </c>
      <c r="AK17" s="115">
        <f t="shared" si="44"/>
        <v>545.83130180399792</v>
      </c>
      <c r="AL17" s="139">
        <v>29.4</v>
      </c>
      <c r="AM17" s="131"/>
      <c r="AN17" s="136">
        <v>12.32</v>
      </c>
      <c r="AO17" s="466">
        <v>56.04</v>
      </c>
      <c r="AP17" s="110">
        <f t="shared" si="45"/>
        <v>0.20713361670670855</v>
      </c>
      <c r="AQ17" s="137" t="s">
        <v>240</v>
      </c>
      <c r="AR17" s="150">
        <v>8.36</v>
      </c>
      <c r="AS17" s="138">
        <v>7.36</v>
      </c>
      <c r="AT17" s="131"/>
      <c r="AU17" s="131">
        <v>5.31</v>
      </c>
      <c r="AV17" s="315">
        <v>270.55</v>
      </c>
      <c r="AW17" s="131">
        <v>2.91</v>
      </c>
      <c r="AX17" s="116"/>
      <c r="AY17" s="131"/>
      <c r="AZ17" s="109"/>
      <c r="BA17" s="109">
        <f t="shared" si="46"/>
        <v>205.10000000000002</v>
      </c>
      <c r="BB17" s="115">
        <f t="shared" si="47"/>
        <v>195.91521083878752</v>
      </c>
      <c r="BC17" s="140">
        <f t="shared" si="48"/>
        <v>4.6049292253521124</v>
      </c>
      <c r="BD17" s="141">
        <f t="shared" si="49"/>
        <v>8.2040000000000006</v>
      </c>
      <c r="BE17" s="128">
        <f t="shared" si="50"/>
        <v>0.91392750585015337</v>
      </c>
      <c r="BF17" s="141">
        <f t="shared" si="51"/>
        <v>12.808929225352113</v>
      </c>
      <c r="BG17" s="535">
        <v>0.90900000000000003</v>
      </c>
      <c r="BH17" s="16">
        <f t="shared" si="52"/>
        <v>2276.5799999999995</v>
      </c>
      <c r="BI17" s="16">
        <f t="shared" si="53"/>
        <v>220</v>
      </c>
      <c r="BJ17" s="16">
        <f t="shared" si="54"/>
        <v>2420</v>
      </c>
      <c r="BK17" s="17">
        <f t="shared" si="55"/>
        <v>1</v>
      </c>
      <c r="BL17" s="16">
        <f t="shared" si="56"/>
        <v>2420</v>
      </c>
      <c r="BM17" s="249">
        <v>349.67099999999999</v>
      </c>
      <c r="BN17" s="195">
        <v>7.6059999999999999</v>
      </c>
      <c r="BO17" s="195">
        <v>84.141999999999996</v>
      </c>
      <c r="BP17" s="197"/>
      <c r="BQ17" s="230"/>
      <c r="BR17" s="230">
        <v>15.183999999999999</v>
      </c>
      <c r="BS17" s="250"/>
      <c r="BT17" s="199"/>
      <c r="BU17" s="200">
        <v>1.51</v>
      </c>
      <c r="BV17" s="200"/>
      <c r="BW17" s="200"/>
      <c r="BX17" s="200"/>
      <c r="BY17" s="208"/>
      <c r="BZ17" s="208">
        <v>1.84</v>
      </c>
      <c r="CA17" s="201"/>
      <c r="CB17" s="202">
        <v>36.65</v>
      </c>
      <c r="CC17" s="200">
        <v>43.31</v>
      </c>
      <c r="CD17" s="200">
        <v>43.02</v>
      </c>
      <c r="CE17" s="200"/>
      <c r="CF17" s="208"/>
      <c r="CG17" s="208">
        <v>32.26</v>
      </c>
      <c r="CH17" s="201"/>
      <c r="CI17" s="199"/>
      <c r="CJ17" s="197"/>
      <c r="CK17" s="244"/>
      <c r="CL17" s="266">
        <v>286.25</v>
      </c>
      <c r="CM17" s="265"/>
      <c r="CN17" s="231"/>
      <c r="CO17" s="208"/>
      <c r="CP17" s="208"/>
      <c r="CQ17" s="201"/>
      <c r="CR17" s="201"/>
      <c r="CS17" s="284"/>
      <c r="CT17" s="286">
        <f t="shared" si="20"/>
        <v>344.39096789999996</v>
      </c>
      <c r="CU17" s="24">
        <f t="shared" si="20"/>
        <v>7.6059999999999999</v>
      </c>
      <c r="CV17" s="25">
        <f t="shared" si="20"/>
        <v>84.141999999999996</v>
      </c>
      <c r="CW17" s="24">
        <f t="shared" si="20"/>
        <v>0</v>
      </c>
      <c r="CX17" s="27">
        <f t="shared" si="20"/>
        <v>0</v>
      </c>
      <c r="CY17" s="27">
        <f t="shared" si="20"/>
        <v>14.904614399999998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286.25</v>
      </c>
      <c r="DD17" s="280">
        <f t="shared" si="21"/>
        <v>0</v>
      </c>
      <c r="DE17" s="508">
        <f t="shared" si="31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2"/>
        <v>0</v>
      </c>
    </row>
    <row r="18" spans="1:115" ht="16.5" customHeight="1" thickBot="1">
      <c r="A18" s="534">
        <v>12</v>
      </c>
      <c r="B18" s="103">
        <f>'[1]сентябрь 20'!K17</f>
        <v>384.15600000000001</v>
      </c>
      <c r="C18" s="104">
        <f t="shared" si="34"/>
        <v>1.579261680150772</v>
      </c>
      <c r="D18" s="143">
        <f t="shared" si="35"/>
        <v>378.08917149999996</v>
      </c>
      <c r="E18" s="104">
        <f t="shared" si="36"/>
        <v>37.938268151480123</v>
      </c>
      <c r="F18" s="128">
        <f t="shared" si="37"/>
        <v>2.3082367002441999</v>
      </c>
      <c r="G18" s="106"/>
      <c r="H18" s="107">
        <f t="shared" si="38"/>
        <v>1.8392745512820508</v>
      </c>
      <c r="I18" s="103">
        <f>'[1]сентябрь 20'!AE17</f>
        <v>0</v>
      </c>
      <c r="J18" s="328">
        <f>'[1]сентябрь 20'!AA17</f>
        <v>12.795999999999999</v>
      </c>
      <c r="K18" s="106">
        <v>23.64</v>
      </c>
      <c r="L18" s="328">
        <f>'[1]сентябрь 20'!AI17</f>
        <v>76.816000000000003</v>
      </c>
      <c r="M18" s="103">
        <f t="shared" si="39"/>
        <v>0.46896214896214894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'[1]сентябрь 20'!S17</f>
        <v>246.7</v>
      </c>
      <c r="S18" s="108">
        <f t="shared" si="40"/>
        <v>2.8739359546007148</v>
      </c>
      <c r="T18" s="109">
        <f t="shared" si="41"/>
        <v>239.61</v>
      </c>
      <c r="U18" s="566"/>
      <c r="V18" s="109">
        <f t="shared" si="42"/>
        <v>239.61</v>
      </c>
      <c r="W18" s="110">
        <f t="shared" si="43"/>
        <v>1.4628205128205127</v>
      </c>
      <c r="X18" s="110">
        <f t="shared" si="26"/>
        <v>1.4628205128205127</v>
      </c>
      <c r="Y18" s="136">
        <v>140.21</v>
      </c>
      <c r="Z18" s="130">
        <v>46.54</v>
      </c>
      <c r="AA18" s="131">
        <v>1.36</v>
      </c>
      <c r="AB18" s="112">
        <v>690</v>
      </c>
      <c r="AC18" s="133">
        <v>1208</v>
      </c>
      <c r="AD18" s="144" t="s">
        <v>432</v>
      </c>
      <c r="AE18" s="131">
        <v>75.569999999999993</v>
      </c>
      <c r="AF18" s="133">
        <v>128</v>
      </c>
      <c r="AG18" s="134">
        <v>5</v>
      </c>
      <c r="AH18" s="131">
        <v>4.4000000000000004</v>
      </c>
      <c r="AI18" s="115">
        <f t="shared" si="10"/>
        <v>26.862026862026863</v>
      </c>
      <c r="AJ18" s="131">
        <v>104.85</v>
      </c>
      <c r="AK18" s="115">
        <f t="shared" si="44"/>
        <v>640.1098901098901</v>
      </c>
      <c r="AL18" s="139">
        <v>25.54</v>
      </c>
      <c r="AM18" s="131"/>
      <c r="AN18" s="136">
        <v>11.63</v>
      </c>
      <c r="AO18" s="466">
        <v>57.28</v>
      </c>
      <c r="AP18" s="110">
        <f t="shared" si="45"/>
        <v>0.24888116445796218</v>
      </c>
      <c r="AQ18" s="137" t="s">
        <v>433</v>
      </c>
      <c r="AR18" s="150">
        <v>8.1999999999999993</v>
      </c>
      <c r="AS18" s="138">
        <v>8.34</v>
      </c>
      <c r="AT18" s="131"/>
      <c r="AU18" s="131">
        <v>5.66</v>
      </c>
      <c r="AV18" s="315">
        <v>230.15</v>
      </c>
      <c r="AW18" s="131">
        <v>2.56</v>
      </c>
      <c r="AX18" s="116"/>
      <c r="AY18" s="131"/>
      <c r="AZ18" s="109">
        <f t="shared" ref="AZ18:AZ36" si="57">IF(BA18=0,0,AY18/BA18*100)</f>
        <v>0</v>
      </c>
      <c r="BA18" s="109">
        <f t="shared" si="46"/>
        <v>163.80000000000001</v>
      </c>
      <c r="BB18" s="115">
        <f>IF(AE18=0,0,((D18*0.97)*(E18/100)*0.9)/(AE18/100))</f>
        <v>165.70536231439246</v>
      </c>
      <c r="BC18" s="140">
        <f t="shared" si="48"/>
        <v>4.5971556338028172</v>
      </c>
      <c r="BD18" s="141">
        <f t="shared" si="49"/>
        <v>6.5520000000000005</v>
      </c>
      <c r="BE18" s="128">
        <f t="shared" si="50"/>
        <v>0.86296181368404579</v>
      </c>
      <c r="BF18" s="141">
        <f t="shared" si="51"/>
        <v>11.149155633802817</v>
      </c>
      <c r="BG18" s="535">
        <v>0.90600000000000003</v>
      </c>
      <c r="BH18" s="16">
        <f t="shared" si="52"/>
        <v>2440.3799999999997</v>
      </c>
      <c r="BI18" s="16">
        <f t="shared" si="53"/>
        <v>220</v>
      </c>
      <c r="BJ18" s="16">
        <f t="shared" si="54"/>
        <v>2640</v>
      </c>
      <c r="BK18" s="17">
        <f t="shared" si="55"/>
        <v>1</v>
      </c>
      <c r="BL18" s="16">
        <f t="shared" si="56"/>
        <v>2640</v>
      </c>
      <c r="BM18" s="249">
        <v>294.46699999999998</v>
      </c>
      <c r="BN18" s="195">
        <v>6.3970000000000002</v>
      </c>
      <c r="BO18" s="195">
        <v>70.418999999999997</v>
      </c>
      <c r="BP18" s="197"/>
      <c r="BQ18" s="230"/>
      <c r="BR18" s="230">
        <v>12.872999999999999</v>
      </c>
      <c r="BS18" s="250"/>
      <c r="BT18" s="199"/>
      <c r="BU18" s="200">
        <v>1.93</v>
      </c>
      <c r="BV18" s="200"/>
      <c r="BW18" s="200"/>
      <c r="BX18" s="200"/>
      <c r="BY18" s="208"/>
      <c r="BZ18" s="208">
        <v>2.98</v>
      </c>
      <c r="CA18" s="201"/>
      <c r="CB18" s="202">
        <v>36.83</v>
      </c>
      <c r="CC18" s="200">
        <v>43.29</v>
      </c>
      <c r="CD18" s="200">
        <v>43.3</v>
      </c>
      <c r="CE18" s="200"/>
      <c r="CF18" s="208"/>
      <c r="CG18" s="208">
        <v>31.3</v>
      </c>
      <c r="CH18" s="209"/>
      <c r="CI18" s="199"/>
      <c r="CJ18" s="197"/>
      <c r="CK18" s="268"/>
      <c r="CL18" s="289">
        <v>239.61</v>
      </c>
      <c r="CM18" s="267"/>
      <c r="CN18" s="202"/>
      <c r="CO18" s="208"/>
      <c r="CP18" s="208"/>
      <c r="CQ18" s="201"/>
      <c r="CR18" s="201"/>
      <c r="CS18" s="284"/>
      <c r="CT18" s="286">
        <f t="shared" si="20"/>
        <v>288.78378689999994</v>
      </c>
      <c r="CU18" s="24">
        <f t="shared" si="20"/>
        <v>6.3970000000000002</v>
      </c>
      <c r="CV18" s="25">
        <f t="shared" si="20"/>
        <v>70.418999999999997</v>
      </c>
      <c r="CW18" s="24">
        <f t="shared" si="20"/>
        <v>0</v>
      </c>
      <c r="CX18" s="27">
        <f t="shared" si="20"/>
        <v>0</v>
      </c>
      <c r="CY18" s="30">
        <f t="shared" si="20"/>
        <v>12.489384599999999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239.61</v>
      </c>
      <c r="DD18" s="280">
        <f t="shared" si="21"/>
        <v>0</v>
      </c>
      <c r="DE18" s="508">
        <f t="shared" si="31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2"/>
        <v>0</v>
      </c>
    </row>
    <row r="19" spans="1:115" ht="16.5" customHeight="1" thickBot="1">
      <c r="A19" s="534">
        <v>13</v>
      </c>
      <c r="B19" s="103">
        <f>'[1]сентябрь 20'!K18</f>
        <v>458.79399999999998</v>
      </c>
      <c r="C19" s="104">
        <f t="shared" si="34"/>
        <v>1.9415530499527023</v>
      </c>
      <c r="D19" s="143">
        <f t="shared" si="35"/>
        <v>449.88627109999999</v>
      </c>
      <c r="E19" s="104">
        <f>IF(B19=0,0,(BM19*CB19+BN19*CC19+BP19*CE19+BS19*CH19+BO19*CD19+BR19*CG19+BQ19*CF19)/B19)</f>
        <v>37.240943669707974</v>
      </c>
      <c r="F19" s="128">
        <f t="shared" si="37"/>
        <v>1.9770875460338391</v>
      </c>
      <c r="G19" s="106"/>
      <c r="H19" s="107">
        <f t="shared" si="38"/>
        <v>1.5739058277301696</v>
      </c>
      <c r="I19" s="103">
        <f>'[1]сентябрь 20'!AE18</f>
        <v>0</v>
      </c>
      <c r="J19" s="328">
        <f>'[1]сентябрь 20'!AA18</f>
        <v>15.198</v>
      </c>
      <c r="K19" s="106">
        <v>15.59</v>
      </c>
      <c r="L19" s="328">
        <f>'[1]сентябрь 20'!AI18</f>
        <v>91.744</v>
      </c>
      <c r="M19" s="103">
        <f t="shared" si="39"/>
        <v>0.40318171830366961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'[1]сентябрь 20'!S18</f>
        <v>291.33499999999998</v>
      </c>
      <c r="S19" s="108">
        <f t="shared" si="40"/>
        <v>2.7476959513961341</v>
      </c>
      <c r="T19" s="109">
        <f t="shared" si="41"/>
        <v>283.33000000000004</v>
      </c>
      <c r="U19" s="566">
        <v>32.159999999999997</v>
      </c>
      <c r="V19" s="109">
        <f t="shared" si="42"/>
        <v>283.33000000000004</v>
      </c>
      <c r="W19" s="110">
        <f t="shared" si="43"/>
        <v>1.2451329378158651</v>
      </c>
      <c r="X19" s="110">
        <f t="shared" si="26"/>
        <v>1.2451329378158651</v>
      </c>
      <c r="Y19" s="136">
        <v>180.72</v>
      </c>
      <c r="Z19" s="130">
        <v>95.87</v>
      </c>
      <c r="AA19" s="131">
        <v>1.1100000000000001</v>
      </c>
      <c r="AB19" s="112">
        <v>682</v>
      </c>
      <c r="AC19" s="133">
        <v>1218</v>
      </c>
      <c r="AD19" s="144" t="s">
        <v>149</v>
      </c>
      <c r="AE19" s="131">
        <v>75.849999999999994</v>
      </c>
      <c r="AF19" s="133">
        <v>153</v>
      </c>
      <c r="AG19" s="134">
        <v>5</v>
      </c>
      <c r="AH19" s="131">
        <v>2.95</v>
      </c>
      <c r="AI19" s="115">
        <f t="shared" si="10"/>
        <v>12.964183695891016</v>
      </c>
      <c r="AJ19" s="131">
        <v>119.55</v>
      </c>
      <c r="AK19" s="115">
        <f t="shared" si="44"/>
        <v>525.37903757415961</v>
      </c>
      <c r="AL19" s="139">
        <v>34.74</v>
      </c>
      <c r="AM19" s="131"/>
      <c r="AN19" s="136">
        <v>14.64</v>
      </c>
      <c r="AO19" s="466">
        <v>53.84</v>
      </c>
      <c r="AP19" s="110">
        <f t="shared" si="45"/>
        <v>0.18381700238989418</v>
      </c>
      <c r="AQ19" s="137" t="s">
        <v>233</v>
      </c>
      <c r="AR19" s="150">
        <v>8.09</v>
      </c>
      <c r="AS19" s="138">
        <v>7.17</v>
      </c>
      <c r="AT19" s="134"/>
      <c r="AU19" s="131">
        <v>5.38</v>
      </c>
      <c r="AV19" s="315">
        <v>292.89999999999998</v>
      </c>
      <c r="AW19" s="131">
        <v>3.13</v>
      </c>
      <c r="AX19" s="116"/>
      <c r="AY19" s="131"/>
      <c r="AZ19" s="109">
        <f t="shared" si="57"/>
        <v>0</v>
      </c>
      <c r="BA19" s="109">
        <f t="shared" si="46"/>
        <v>227.54999999999995</v>
      </c>
      <c r="BB19" s="115">
        <f t="shared" si="47"/>
        <v>192.83331893571778</v>
      </c>
      <c r="BC19" s="140">
        <f t="shared" si="48"/>
        <v>4.9823725352112671</v>
      </c>
      <c r="BD19" s="141">
        <f t="shared" si="49"/>
        <v>9.1019999999999985</v>
      </c>
      <c r="BE19" s="128">
        <f t="shared" si="50"/>
        <v>1.0301702584200276</v>
      </c>
      <c r="BF19" s="141">
        <f t="shared" si="51"/>
        <v>14.084372535211266</v>
      </c>
      <c r="BG19" s="535">
        <v>0.91500000000000004</v>
      </c>
      <c r="BH19" s="16">
        <f t="shared" si="52"/>
        <v>2667.9299999999994</v>
      </c>
      <c r="BI19" s="16">
        <f t="shared" si="53"/>
        <v>220</v>
      </c>
      <c r="BJ19" s="16">
        <f t="shared" si="54"/>
        <v>2860</v>
      </c>
      <c r="BK19" s="17">
        <f t="shared" si="55"/>
        <v>1</v>
      </c>
      <c r="BL19" s="16">
        <f t="shared" si="56"/>
        <v>2860</v>
      </c>
      <c r="BM19" s="254">
        <v>351.971</v>
      </c>
      <c r="BN19" s="197">
        <v>7.6020000000000003</v>
      </c>
      <c r="BO19" s="197">
        <v>84.141999999999996</v>
      </c>
      <c r="BP19" s="197"/>
      <c r="BQ19" s="230"/>
      <c r="BR19" s="230">
        <v>15.079000000000001</v>
      </c>
      <c r="BS19" s="258"/>
      <c r="BT19" s="199"/>
      <c r="BU19" s="200">
        <v>2.41</v>
      </c>
      <c r="BV19" s="200"/>
      <c r="BW19" s="200"/>
      <c r="BX19" s="200"/>
      <c r="BY19" s="208"/>
      <c r="BZ19" s="208">
        <v>2.82</v>
      </c>
      <c r="CA19" s="201"/>
      <c r="CB19" s="202">
        <v>35.96</v>
      </c>
      <c r="CC19" s="200">
        <v>43.07</v>
      </c>
      <c r="CD19" s="200">
        <v>43.01</v>
      </c>
      <c r="CE19" s="200"/>
      <c r="CF19" s="208"/>
      <c r="CG19" s="208">
        <v>32.01</v>
      </c>
      <c r="CH19" s="209"/>
      <c r="CI19" s="199"/>
      <c r="CJ19" s="197"/>
      <c r="CK19" s="197">
        <v>37.5</v>
      </c>
      <c r="CL19" s="197">
        <v>245.83</v>
      </c>
      <c r="CM19" s="198"/>
      <c r="CN19" s="202"/>
      <c r="CO19" s="208"/>
      <c r="CP19" s="208"/>
      <c r="CQ19" s="201"/>
      <c r="CR19" s="201"/>
      <c r="CS19" s="284"/>
      <c r="CT19" s="286">
        <f t="shared" si="20"/>
        <v>343.48849890000002</v>
      </c>
      <c r="CU19" s="24">
        <f t="shared" si="20"/>
        <v>7.6020000000000003</v>
      </c>
      <c r="CV19" s="25">
        <f t="shared" si="20"/>
        <v>84.141999999999996</v>
      </c>
      <c r="CW19" s="24">
        <f t="shared" si="20"/>
        <v>0</v>
      </c>
      <c r="CX19" s="27">
        <f t="shared" si="20"/>
        <v>0</v>
      </c>
      <c r="CY19" s="24">
        <f t="shared" si="20"/>
        <v>14.653772200000002</v>
      </c>
      <c r="CZ19" s="280">
        <f t="shared" si="20"/>
        <v>0</v>
      </c>
      <c r="DA19" s="237">
        <f t="shared" si="21"/>
        <v>0</v>
      </c>
      <c r="DB19" s="24">
        <f t="shared" si="21"/>
        <v>37.5</v>
      </c>
      <c r="DC19" s="277">
        <f t="shared" si="21"/>
        <v>245.83</v>
      </c>
      <c r="DD19" s="280">
        <f t="shared" si="21"/>
        <v>0</v>
      </c>
      <c r="DE19" s="508">
        <f t="shared" si="31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2"/>
        <v>0</v>
      </c>
    </row>
    <row r="20" spans="1:115" ht="16.5" customHeight="1" thickBot="1">
      <c r="A20" s="534">
        <v>14</v>
      </c>
      <c r="B20" s="103">
        <f>'[1]сентябрь 20'!K19</f>
        <v>459.15600000000001</v>
      </c>
      <c r="C20" s="104">
        <f t="shared" si="34"/>
        <v>1.3816040300028747</v>
      </c>
      <c r="D20" s="143">
        <f t="shared" si="35"/>
        <v>452.81228219999997</v>
      </c>
      <c r="E20" s="104">
        <f t="shared" ref="E20:E36" si="58">IF(B20=0,0,(BM20*CB20+BN20*CC20+BP20*CE20+BS20*CH20+BO20*CD20+BR20*CG20+BQ20*CF20)/B20)</f>
        <v>37.611201900879003</v>
      </c>
      <c r="F20" s="128">
        <f t="shared" si="37"/>
        <v>2.1035597983833507</v>
      </c>
      <c r="G20" s="106"/>
      <c r="H20" s="107">
        <f t="shared" si="38"/>
        <v>1.6768804338938961</v>
      </c>
      <c r="I20" s="103">
        <f>'[1]сентябрь 20'!AE19</f>
        <v>0</v>
      </c>
      <c r="J20" s="328">
        <f>'[1]сентябрь 20'!AA19</f>
        <v>15.417999999999999</v>
      </c>
      <c r="K20" s="106">
        <v>14.82</v>
      </c>
      <c r="L20" s="328">
        <f>'[1]сентябрь 20'!AI19</f>
        <v>91.846999999999994</v>
      </c>
      <c r="M20" s="103">
        <f t="shared" si="39"/>
        <v>0.42667936448945465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'[1]сентябрь 20'!S19</f>
        <v>286.75400000000002</v>
      </c>
      <c r="S20" s="108">
        <f t="shared" si="40"/>
        <v>2.6622122097686551</v>
      </c>
      <c r="T20" s="109">
        <f t="shared" si="41"/>
        <v>279.12</v>
      </c>
      <c r="U20" s="566">
        <v>21.73</v>
      </c>
      <c r="V20" s="109">
        <f t="shared" si="42"/>
        <v>279.12</v>
      </c>
      <c r="W20" s="110">
        <f t="shared" si="43"/>
        <v>1.2966644987457032</v>
      </c>
      <c r="X20" s="110">
        <f t="shared" si="26"/>
        <v>1.2966644987457032</v>
      </c>
      <c r="Y20" s="136">
        <v>215.26</v>
      </c>
      <c r="Z20" s="130">
        <v>96.6</v>
      </c>
      <c r="AA20" s="131">
        <v>0.92</v>
      </c>
      <c r="AB20" s="112">
        <v>690</v>
      </c>
      <c r="AC20" s="133">
        <v>1223</v>
      </c>
      <c r="AD20" s="151" t="s">
        <v>434</v>
      </c>
      <c r="AE20" s="131">
        <v>75.58</v>
      </c>
      <c r="AF20" s="133">
        <v>153</v>
      </c>
      <c r="AG20" s="134">
        <v>5</v>
      </c>
      <c r="AH20" s="131"/>
      <c r="AI20" s="115">
        <f t="shared" si="10"/>
        <v>0</v>
      </c>
      <c r="AJ20" s="131">
        <v>124.95</v>
      </c>
      <c r="AK20" s="115">
        <f t="shared" si="44"/>
        <v>580.46083805630406</v>
      </c>
      <c r="AL20" s="139">
        <v>30.56</v>
      </c>
      <c r="AM20" s="131"/>
      <c r="AN20" s="136">
        <v>12.56</v>
      </c>
      <c r="AO20" s="466">
        <v>55.72</v>
      </c>
      <c r="AP20" s="110">
        <f t="shared" si="45"/>
        <v>0.19836240655037382</v>
      </c>
      <c r="AQ20" s="137" t="s">
        <v>168</v>
      </c>
      <c r="AR20" s="150">
        <v>7.88</v>
      </c>
      <c r="AS20" s="138">
        <v>7.99</v>
      </c>
      <c r="AT20" s="131"/>
      <c r="AU20" s="131">
        <v>5.77</v>
      </c>
      <c r="AV20" s="315">
        <v>280.89999999999998</v>
      </c>
      <c r="AW20" s="131">
        <v>2.64</v>
      </c>
      <c r="AX20" s="148"/>
      <c r="AY20" s="131"/>
      <c r="AZ20" s="109">
        <f t="shared" si="57"/>
        <v>0</v>
      </c>
      <c r="BA20" s="109">
        <f t="shared" si="46"/>
        <v>215.25999999999996</v>
      </c>
      <c r="BB20" s="115">
        <f t="shared" si="47"/>
        <v>196.7173957337418</v>
      </c>
      <c r="BC20" s="140">
        <f t="shared" si="48"/>
        <v>5.584913028169014</v>
      </c>
      <c r="BD20" s="141">
        <f t="shared" si="49"/>
        <v>8.6103999999999985</v>
      </c>
      <c r="BE20" s="128">
        <f t="shared" si="50"/>
        <v>0.9552890800483832</v>
      </c>
      <c r="BF20" s="141">
        <f t="shared" si="51"/>
        <v>14.195313028169013</v>
      </c>
      <c r="BG20" s="535">
        <v>0.91800000000000004</v>
      </c>
      <c r="BH20" s="16">
        <f t="shared" si="52"/>
        <v>2883.1899999999991</v>
      </c>
      <c r="BI20" s="16">
        <f t="shared" si="53"/>
        <v>220</v>
      </c>
      <c r="BJ20" s="16">
        <f t="shared" si="54"/>
        <v>3080</v>
      </c>
      <c r="BK20" s="17">
        <f t="shared" si="55"/>
        <v>1</v>
      </c>
      <c r="BL20" s="16">
        <f t="shared" si="56"/>
        <v>3080</v>
      </c>
      <c r="BM20" s="254">
        <v>351.83800000000002</v>
      </c>
      <c r="BN20" s="197">
        <v>7.6870000000000003</v>
      </c>
      <c r="BO20" s="197">
        <v>84.16</v>
      </c>
      <c r="BP20" s="197"/>
      <c r="BQ20" s="230"/>
      <c r="BR20" s="230">
        <v>15.471</v>
      </c>
      <c r="BS20" s="259"/>
      <c r="BT20" s="199"/>
      <c r="BU20" s="200">
        <v>1.65</v>
      </c>
      <c r="BV20" s="200"/>
      <c r="BW20" s="200"/>
      <c r="BX20" s="200"/>
      <c r="BY20" s="208"/>
      <c r="BZ20" s="208">
        <v>3.48</v>
      </c>
      <c r="CA20" s="201"/>
      <c r="CB20" s="202">
        <v>36.44</v>
      </c>
      <c r="CC20" s="200">
        <v>43.3</v>
      </c>
      <c r="CD20" s="200">
        <v>43.24</v>
      </c>
      <c r="CE20" s="200"/>
      <c r="CF20" s="208"/>
      <c r="CG20" s="208">
        <v>30.8</v>
      </c>
      <c r="CH20" s="209"/>
      <c r="CI20" s="199"/>
      <c r="CJ20" s="197"/>
      <c r="CK20" s="197">
        <v>76.5</v>
      </c>
      <c r="CL20" s="197">
        <v>202.62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346.03267299999999</v>
      </c>
      <c r="CU20" s="24">
        <f t="shared" si="20"/>
        <v>7.6870000000000003</v>
      </c>
      <c r="CV20" s="25">
        <f t="shared" si="20"/>
        <v>84.16</v>
      </c>
      <c r="CW20" s="24">
        <f t="shared" si="20"/>
        <v>0</v>
      </c>
      <c r="CX20" s="27">
        <f t="shared" si="20"/>
        <v>0</v>
      </c>
      <c r="CY20" s="30">
        <f t="shared" si="20"/>
        <v>14.9326092</v>
      </c>
      <c r="CZ20" s="280">
        <f t="shared" si="20"/>
        <v>0</v>
      </c>
      <c r="DA20" s="237">
        <f t="shared" si="21"/>
        <v>0</v>
      </c>
      <c r="DB20" s="29">
        <f t="shared" si="21"/>
        <v>76.5</v>
      </c>
      <c r="DC20" s="277">
        <f t="shared" si="21"/>
        <v>202.62</v>
      </c>
      <c r="DD20" s="280">
        <f t="shared" si="21"/>
        <v>0</v>
      </c>
      <c r="DE20" s="508">
        <f t="shared" si="31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2"/>
        <v>0</v>
      </c>
    </row>
    <row r="21" spans="1:115" ht="16.5" customHeight="1" thickBot="1">
      <c r="A21" s="534">
        <v>15</v>
      </c>
      <c r="B21" s="103">
        <f>'[1]сентябрь 20'!K20</f>
        <v>452.80099999999999</v>
      </c>
      <c r="C21" s="104">
        <f t="shared" si="34"/>
        <v>1.262081267488367</v>
      </c>
      <c r="D21" s="143">
        <f t="shared" si="35"/>
        <v>447.08628339999996</v>
      </c>
      <c r="E21" s="104">
        <f t="shared" si="58"/>
        <v>37.339578711177758</v>
      </c>
      <c r="F21" s="128">
        <f t="shared" si="37"/>
        <v>2.2055462651077886</v>
      </c>
      <c r="G21" s="106"/>
      <c r="H21" s="107">
        <f t="shared" si="38"/>
        <v>1.7589624754575497</v>
      </c>
      <c r="I21" s="103">
        <f>'[1]сентябрь 20'!AE20</f>
        <v>0</v>
      </c>
      <c r="J21" s="328">
        <f>'[1]сентябрь 20'!AA20</f>
        <v>16.372</v>
      </c>
      <c r="K21" s="106">
        <v>20.350000000000001</v>
      </c>
      <c r="L21" s="328">
        <f>'[1]сентябрь 20'!AI20</f>
        <v>90.527000000000001</v>
      </c>
      <c r="M21" s="103">
        <f t="shared" si="39"/>
        <v>0.44658378965023909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'[1]сентябрь 20'!S20</f>
        <v>278.89400000000001</v>
      </c>
      <c r="S21" s="108">
        <f t="shared" si="40"/>
        <v>2.6260873306704346</v>
      </c>
      <c r="T21" s="109">
        <f t="shared" si="41"/>
        <v>271.57</v>
      </c>
      <c r="U21" s="566">
        <v>2.59</v>
      </c>
      <c r="V21" s="109">
        <f t="shared" si="42"/>
        <v>271.57</v>
      </c>
      <c r="W21" s="110">
        <f t="shared" si="43"/>
        <v>1.3396971042375803</v>
      </c>
      <c r="X21" s="110">
        <f t="shared" si="26"/>
        <v>1.3396971042375803</v>
      </c>
      <c r="Y21" s="136">
        <v>202.71</v>
      </c>
      <c r="Z21" s="130">
        <v>124.53</v>
      </c>
      <c r="AA21" s="131">
        <v>1</v>
      </c>
      <c r="AB21" s="112">
        <v>689</v>
      </c>
      <c r="AC21" s="133">
        <v>1231</v>
      </c>
      <c r="AD21" s="151" t="s">
        <v>192</v>
      </c>
      <c r="AE21" s="131">
        <v>75.790000000000006</v>
      </c>
      <c r="AF21" s="133">
        <v>151</v>
      </c>
      <c r="AG21" s="134">
        <v>5</v>
      </c>
      <c r="AH21" s="131">
        <v>3.1</v>
      </c>
      <c r="AI21" s="115">
        <f t="shared" si="10"/>
        <v>15.292782793152776</v>
      </c>
      <c r="AJ21" s="131">
        <v>122.35</v>
      </c>
      <c r="AK21" s="115">
        <f t="shared" si="44"/>
        <v>603.57160475556191</v>
      </c>
      <c r="AL21" s="139">
        <v>33.020000000000003</v>
      </c>
      <c r="AM21" s="131"/>
      <c r="AN21" s="136">
        <v>15.91</v>
      </c>
      <c r="AO21" s="466">
        <v>65.209999999999994</v>
      </c>
      <c r="AP21" s="110">
        <f t="shared" si="45"/>
        <v>0.23188251191238171</v>
      </c>
      <c r="AQ21" s="137" t="s">
        <v>159</v>
      </c>
      <c r="AR21" s="150">
        <v>7.83</v>
      </c>
      <c r="AS21" s="138">
        <v>7.8</v>
      </c>
      <c r="AT21" s="131"/>
      <c r="AU21" s="131">
        <v>5.84</v>
      </c>
      <c r="AV21" s="315">
        <v>281.22000000000003</v>
      </c>
      <c r="AW21" s="131">
        <v>2.61</v>
      </c>
      <c r="AX21" s="116"/>
      <c r="AY21" s="131"/>
      <c r="AZ21" s="109">
        <f t="shared" si="57"/>
        <v>0</v>
      </c>
      <c r="BA21" s="109">
        <f t="shared" si="46"/>
        <v>202.71000000000006</v>
      </c>
      <c r="BB21" s="115">
        <f t="shared" si="47"/>
        <v>192.29283228724162</v>
      </c>
      <c r="BC21" s="140">
        <f t="shared" si="48"/>
        <v>5.5350450704225356</v>
      </c>
      <c r="BD21" s="141">
        <f t="shared" si="49"/>
        <v>8.1084000000000032</v>
      </c>
      <c r="BE21" s="128">
        <f t="shared" si="50"/>
        <v>0.92029342901171418</v>
      </c>
      <c r="BF21" s="141">
        <f t="shared" si="51"/>
        <v>13.643445070422539</v>
      </c>
      <c r="BG21" s="535">
        <v>0.91800000000000004</v>
      </c>
      <c r="BH21" s="16">
        <f t="shared" si="52"/>
        <v>3085.8999999999992</v>
      </c>
      <c r="BI21" s="16">
        <f t="shared" si="53"/>
        <v>220</v>
      </c>
      <c r="BJ21" s="16">
        <f t="shared" si="54"/>
        <v>3300</v>
      </c>
      <c r="BK21" s="17">
        <f t="shared" si="55"/>
        <v>1</v>
      </c>
      <c r="BL21" s="16">
        <f t="shared" si="56"/>
        <v>3300</v>
      </c>
      <c r="BM21" s="254">
        <v>347.32900000000001</v>
      </c>
      <c r="BN21" s="197">
        <v>7.484</v>
      </c>
      <c r="BO21" s="197">
        <v>83.043000000000006</v>
      </c>
      <c r="BP21" s="197"/>
      <c r="BQ21" s="230"/>
      <c r="BR21" s="230">
        <v>14.945</v>
      </c>
      <c r="BS21" s="259"/>
      <c r="BT21" s="199"/>
      <c r="BU21" s="200">
        <v>1.49</v>
      </c>
      <c r="BV21" s="200"/>
      <c r="BW21" s="200"/>
      <c r="BX21" s="200"/>
      <c r="BY21" s="208"/>
      <c r="BZ21" s="208">
        <v>3.61</v>
      </c>
      <c r="CA21" s="201"/>
      <c r="CB21" s="202">
        <v>36.11</v>
      </c>
      <c r="CC21" s="200">
        <v>43.09</v>
      </c>
      <c r="CD21" s="200">
        <v>43.06</v>
      </c>
      <c r="CE21" s="200"/>
      <c r="CF21" s="208"/>
      <c r="CG21" s="208">
        <v>31.25</v>
      </c>
      <c r="CH21" s="209"/>
      <c r="CI21" s="199"/>
      <c r="CJ21" s="197"/>
      <c r="CK21" s="197">
        <v>75.5</v>
      </c>
      <c r="CL21" s="197">
        <v>196.07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342.15379790000003</v>
      </c>
      <c r="CU21" s="27">
        <f t="shared" si="20"/>
        <v>7.484</v>
      </c>
      <c r="CV21" s="28">
        <f t="shared" si="20"/>
        <v>83.043000000000006</v>
      </c>
      <c r="CW21" s="27">
        <f t="shared" si="20"/>
        <v>0</v>
      </c>
      <c r="CX21" s="27">
        <f t="shared" si="20"/>
        <v>0</v>
      </c>
      <c r="CY21" s="24">
        <f t="shared" si="20"/>
        <v>14.405485499999999</v>
      </c>
      <c r="CZ21" s="281">
        <f t="shared" si="20"/>
        <v>0</v>
      </c>
      <c r="DA21" s="237">
        <f t="shared" si="21"/>
        <v>0</v>
      </c>
      <c r="DB21" s="24">
        <f t="shared" si="21"/>
        <v>75.5</v>
      </c>
      <c r="DC21" s="277">
        <f t="shared" si="21"/>
        <v>196.07</v>
      </c>
      <c r="DD21" s="280">
        <f t="shared" si="21"/>
        <v>0</v>
      </c>
      <c r="DE21" s="508">
        <f t="shared" si="31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2"/>
        <v>0</v>
      </c>
    </row>
    <row r="22" spans="1:115" ht="16.5" customHeight="1" thickBot="1">
      <c r="A22" s="534">
        <v>16</v>
      </c>
      <c r="B22" s="103">
        <f>'[1]сентябрь 20'!K21</f>
        <v>396.37200000000001</v>
      </c>
      <c r="C22" s="104">
        <f t="shared" si="34"/>
        <v>1.8350922618146588</v>
      </c>
      <c r="D22" s="143">
        <f t="shared" si="35"/>
        <v>389.09820810000002</v>
      </c>
      <c r="E22" s="104">
        <f t="shared" si="58"/>
        <v>37.985700150363805</v>
      </c>
      <c r="F22" s="128">
        <f t="shared" si="37"/>
        <v>1.810854042444269</v>
      </c>
      <c r="G22" s="106"/>
      <c r="H22" s="107">
        <f t="shared" si="38"/>
        <v>1.4416959468515849</v>
      </c>
      <c r="I22" s="103">
        <f>'[1]сентябрь 20'!AE21</f>
        <v>0</v>
      </c>
      <c r="J22" s="328">
        <f>'[1]сентябрь 20'!AA21</f>
        <v>13.278</v>
      </c>
      <c r="K22" s="106">
        <v>15.56</v>
      </c>
      <c r="L22" s="328">
        <f>'[1]сентябрь 20'!AI21</f>
        <v>79.320999999999998</v>
      </c>
      <c r="M22" s="103">
        <f t="shared" si="39"/>
        <v>0.36915809559268398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'[1]сентябрь 20'!S21</f>
        <v>241.303</v>
      </c>
      <c r="S22" s="108">
        <f t="shared" si="40"/>
        <v>3.0264853731615471</v>
      </c>
      <c r="T22" s="109">
        <f t="shared" si="41"/>
        <v>234</v>
      </c>
      <c r="U22" s="566">
        <v>38.74</v>
      </c>
      <c r="V22" s="109">
        <f t="shared" si="42"/>
        <v>234</v>
      </c>
      <c r="W22" s="110">
        <f t="shared" si="43"/>
        <v>1.0890305766277286</v>
      </c>
      <c r="X22" s="110">
        <f t="shared" si="26"/>
        <v>1.0890305766277286</v>
      </c>
      <c r="Y22" s="136">
        <v>214.87</v>
      </c>
      <c r="Z22" s="129">
        <v>180.9</v>
      </c>
      <c r="AA22" s="131">
        <v>0.89</v>
      </c>
      <c r="AB22" s="112">
        <v>664</v>
      </c>
      <c r="AC22" s="152">
        <v>1230</v>
      </c>
      <c r="AD22" s="144" t="s">
        <v>142</v>
      </c>
      <c r="AE22" s="131">
        <v>76.25</v>
      </c>
      <c r="AF22" s="133">
        <v>132</v>
      </c>
      <c r="AG22" s="134">
        <v>5</v>
      </c>
      <c r="AH22" s="131">
        <v>4.05</v>
      </c>
      <c r="AI22" s="115">
        <f t="shared" si="10"/>
        <v>18.848606133941455</v>
      </c>
      <c r="AJ22" s="131">
        <v>145.80000000000001</v>
      </c>
      <c r="AK22" s="115">
        <f t="shared" si="44"/>
        <v>678.54982082189247</v>
      </c>
      <c r="AL22" s="139">
        <v>31.16</v>
      </c>
      <c r="AM22" s="131"/>
      <c r="AN22" s="136">
        <v>14.86</v>
      </c>
      <c r="AO22" s="466">
        <v>60.2</v>
      </c>
      <c r="AP22" s="110">
        <f t="shared" si="45"/>
        <v>0.21056313396292411</v>
      </c>
      <c r="AQ22" s="137" t="s">
        <v>177</v>
      </c>
      <c r="AR22" s="150">
        <v>7.51</v>
      </c>
      <c r="AS22" s="138">
        <v>7.75</v>
      </c>
      <c r="AT22" s="134"/>
      <c r="AU22" s="131">
        <v>7.08</v>
      </c>
      <c r="AV22" s="315">
        <v>285.89999999999998</v>
      </c>
      <c r="AW22" s="131">
        <v>4.03</v>
      </c>
      <c r="AX22" s="116"/>
      <c r="AY22" s="131"/>
      <c r="AZ22" s="109">
        <f t="shared" si="57"/>
        <v>0</v>
      </c>
      <c r="BA22" s="109">
        <f t="shared" si="46"/>
        <v>214.86999999999998</v>
      </c>
      <c r="BB22" s="115">
        <f t="shared" si="47"/>
        <v>169.22080712741365</v>
      </c>
      <c r="BC22" s="140">
        <f t="shared" si="48"/>
        <v>7.9964112676056347</v>
      </c>
      <c r="BD22" s="141">
        <f t="shared" si="49"/>
        <v>8.5947999999999993</v>
      </c>
      <c r="BE22" s="128">
        <f t="shared" si="50"/>
        <v>1.1085014495809713</v>
      </c>
      <c r="BF22" s="141">
        <f t="shared" si="51"/>
        <v>16.591211267605633</v>
      </c>
      <c r="BG22" s="535">
        <v>0.92900000000000005</v>
      </c>
      <c r="BH22" s="16">
        <f t="shared" si="52"/>
        <v>3300.7699999999991</v>
      </c>
      <c r="BI22" s="16">
        <f t="shared" si="53"/>
        <v>220</v>
      </c>
      <c r="BJ22" s="16">
        <f t="shared" si="54"/>
        <v>3520</v>
      </c>
      <c r="BK22" s="17">
        <f t="shared" si="55"/>
        <v>1</v>
      </c>
      <c r="BL22" s="16">
        <f t="shared" si="56"/>
        <v>3520</v>
      </c>
      <c r="BM22" s="254">
        <v>303.83600000000001</v>
      </c>
      <c r="BN22" s="197">
        <v>6.6840000000000002</v>
      </c>
      <c r="BO22" s="197">
        <v>72.637</v>
      </c>
      <c r="BP22" s="197"/>
      <c r="BQ22" s="230"/>
      <c r="BR22" s="230">
        <v>13.215</v>
      </c>
      <c r="BS22" s="258"/>
      <c r="BT22" s="199"/>
      <c r="BU22" s="200">
        <v>2.19</v>
      </c>
      <c r="BV22" s="200"/>
      <c r="BW22" s="200"/>
      <c r="BX22" s="200"/>
      <c r="BY22" s="208"/>
      <c r="BZ22" s="208">
        <v>4.6900000000000004</v>
      </c>
      <c r="CA22" s="201"/>
      <c r="CB22" s="202">
        <v>36.950000000000003</v>
      </c>
      <c r="CC22" s="200">
        <v>43.21</v>
      </c>
      <c r="CD22" s="200">
        <v>43.15</v>
      </c>
      <c r="CE22" s="200"/>
      <c r="CF22" s="208"/>
      <c r="CG22" s="208">
        <v>30.77</v>
      </c>
      <c r="CH22" s="201"/>
      <c r="CI22" s="199"/>
      <c r="CJ22" s="197"/>
      <c r="CK22" s="197">
        <v>66</v>
      </c>
      <c r="CL22" s="197">
        <v>168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297.1819916</v>
      </c>
      <c r="CU22" s="29">
        <f t="shared" si="20"/>
        <v>6.6840000000000002</v>
      </c>
      <c r="CV22" s="30">
        <f t="shared" si="20"/>
        <v>72.637</v>
      </c>
      <c r="CW22" s="29">
        <f t="shared" si="20"/>
        <v>0</v>
      </c>
      <c r="CX22" s="27">
        <f t="shared" si="20"/>
        <v>0</v>
      </c>
      <c r="CY22" s="24">
        <f t="shared" si="20"/>
        <v>12.595216500000001</v>
      </c>
      <c r="CZ22" s="282">
        <f t="shared" si="20"/>
        <v>0</v>
      </c>
      <c r="DA22" s="237">
        <f t="shared" si="21"/>
        <v>0</v>
      </c>
      <c r="DB22" s="24">
        <f t="shared" si="21"/>
        <v>66</v>
      </c>
      <c r="DC22" s="277">
        <f t="shared" si="21"/>
        <v>168</v>
      </c>
      <c r="DD22" s="280">
        <f t="shared" si="21"/>
        <v>0</v>
      </c>
      <c r="DE22" s="508">
        <f t="shared" si="31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2"/>
        <v>0</v>
      </c>
    </row>
    <row r="23" spans="1:115" ht="16.5" customHeight="1" thickBot="1">
      <c r="A23" s="534">
        <v>17</v>
      </c>
      <c r="B23" s="103">
        <f>'[1]сентябрь 20'!K22</f>
        <v>351.06099999999998</v>
      </c>
      <c r="C23" s="104">
        <f t="shared" si="34"/>
        <v>1.7075439311116873</v>
      </c>
      <c r="D23" s="143">
        <f t="shared" si="35"/>
        <v>345.0664792</v>
      </c>
      <c r="E23" s="104">
        <f t="shared" si="58"/>
        <v>37.635127997698412</v>
      </c>
      <c r="F23" s="128">
        <f t="shared" si="37"/>
        <v>3.9635478888123141</v>
      </c>
      <c r="G23" s="106"/>
      <c r="H23" s="107">
        <f t="shared" si="38"/>
        <v>3.1569317620032167</v>
      </c>
      <c r="I23" s="103">
        <f>'[1]сентябрь 20'!AE22</f>
        <v>0</v>
      </c>
      <c r="J23" s="328">
        <f>'[1]сентябрь 20'!AA22</f>
        <v>11.617000000000001</v>
      </c>
      <c r="K23" s="106">
        <v>15.38</v>
      </c>
      <c r="L23" s="328">
        <f>'[1]сентябрь 20'!AI22</f>
        <v>70.224000000000004</v>
      </c>
      <c r="M23" s="103">
        <f t="shared" si="39"/>
        <v>0.80661612680909733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'[1]сентябрь 20'!S22</f>
        <v>219.578</v>
      </c>
      <c r="S23" s="108">
        <f t="shared" si="40"/>
        <v>3.2052391405332115</v>
      </c>
      <c r="T23" s="109">
        <f t="shared" si="41"/>
        <v>212.54</v>
      </c>
      <c r="U23" s="566">
        <v>20.149999999999999</v>
      </c>
      <c r="V23" s="109">
        <f t="shared" si="42"/>
        <v>212.54</v>
      </c>
      <c r="W23" s="110">
        <f t="shared" si="43"/>
        <v>2.4413048472317942</v>
      </c>
      <c r="X23" s="110">
        <f t="shared" si="26"/>
        <v>2.4413048472317942</v>
      </c>
      <c r="Y23" s="136">
        <v>87.06</v>
      </c>
      <c r="Z23" s="129">
        <v>87.06</v>
      </c>
      <c r="AA23" s="131">
        <v>0.43</v>
      </c>
      <c r="AB23" s="112">
        <v>596</v>
      </c>
      <c r="AC23" s="133">
        <v>1141</v>
      </c>
      <c r="AD23" s="144" t="s">
        <v>435</v>
      </c>
      <c r="AE23" s="131">
        <v>75.92</v>
      </c>
      <c r="AF23" s="133">
        <v>118</v>
      </c>
      <c r="AG23" s="134">
        <v>3</v>
      </c>
      <c r="AH23" s="131">
        <v>4.4000000000000004</v>
      </c>
      <c r="AI23" s="115">
        <f t="shared" si="10"/>
        <v>50.539857569492312</v>
      </c>
      <c r="AJ23" s="131">
        <v>78.8</v>
      </c>
      <c r="AK23" s="115">
        <f t="shared" si="44"/>
        <v>905.12290374454403</v>
      </c>
      <c r="AL23" s="139">
        <v>18.850000000000001</v>
      </c>
      <c r="AM23" s="131"/>
      <c r="AN23" s="136">
        <v>11.23</v>
      </c>
      <c r="AO23" s="466">
        <v>60.31</v>
      </c>
      <c r="AP23" s="110">
        <f t="shared" si="45"/>
        <v>0.387223113964687</v>
      </c>
      <c r="AQ23" s="137" t="s">
        <v>276</v>
      </c>
      <c r="AR23" s="150">
        <v>7.34</v>
      </c>
      <c r="AS23" s="138">
        <v>7.23</v>
      </c>
      <c r="AT23" s="134"/>
      <c r="AU23" s="131">
        <v>8.69</v>
      </c>
      <c r="AV23" s="315">
        <v>155.75</v>
      </c>
      <c r="AW23" s="131">
        <v>2.85</v>
      </c>
      <c r="AX23" s="116"/>
      <c r="AY23" s="131"/>
      <c r="AZ23" s="109">
        <f t="shared" si="57"/>
        <v>0</v>
      </c>
      <c r="BA23" s="109">
        <f t="shared" si="46"/>
        <v>87.059999999999988</v>
      </c>
      <c r="BB23" s="115">
        <f t="shared" si="47"/>
        <v>149.33245826042454</v>
      </c>
      <c r="BC23" s="140">
        <f t="shared" si="48"/>
        <v>5.304571830985914</v>
      </c>
      <c r="BD23" s="141">
        <f t="shared" si="49"/>
        <v>3.4823999999999997</v>
      </c>
      <c r="BE23" s="128">
        <f t="shared" si="50"/>
        <v>0.50895418775907264</v>
      </c>
      <c r="BF23" s="141">
        <f t="shared" si="51"/>
        <v>8.7869718309859142</v>
      </c>
      <c r="BG23" s="535">
        <v>0.91</v>
      </c>
      <c r="BH23" s="16">
        <f t="shared" si="52"/>
        <v>3387.829999999999</v>
      </c>
      <c r="BI23" s="16">
        <f t="shared" si="53"/>
        <v>220</v>
      </c>
      <c r="BJ23" s="16">
        <f t="shared" si="54"/>
        <v>3740</v>
      </c>
      <c r="BK23" s="17">
        <f t="shared" si="55"/>
        <v>1</v>
      </c>
      <c r="BL23" s="16">
        <f t="shared" si="56"/>
        <v>3740</v>
      </c>
      <c r="BM23" s="254">
        <v>269.14100000000002</v>
      </c>
      <c r="BN23" s="197">
        <v>5.8929999999999998</v>
      </c>
      <c r="BO23" s="197">
        <v>64.331000000000003</v>
      </c>
      <c r="BP23" s="197"/>
      <c r="BQ23" s="230"/>
      <c r="BR23" s="230">
        <v>11.696</v>
      </c>
      <c r="BS23" s="258"/>
      <c r="BT23" s="199"/>
      <c r="BU23" s="200">
        <v>2</v>
      </c>
      <c r="BV23" s="200"/>
      <c r="BW23" s="200"/>
      <c r="BX23" s="200"/>
      <c r="BY23" s="208"/>
      <c r="BZ23" s="208">
        <v>5.23</v>
      </c>
      <c r="CA23" s="201"/>
      <c r="CB23" s="202">
        <v>36.380000000000003</v>
      </c>
      <c r="CC23" s="200">
        <v>43.29</v>
      </c>
      <c r="CD23" s="200">
        <v>42.92</v>
      </c>
      <c r="CE23" s="200"/>
      <c r="CF23" s="208"/>
      <c r="CG23" s="208">
        <v>34.6</v>
      </c>
      <c r="CH23" s="209"/>
      <c r="CI23" s="199"/>
      <c r="CJ23" s="197"/>
      <c r="CK23" s="197">
        <v>58.5</v>
      </c>
      <c r="CL23" s="197">
        <v>154.04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263.75818000000004</v>
      </c>
      <c r="CU23" s="24">
        <f t="shared" si="20"/>
        <v>5.8929999999999998</v>
      </c>
      <c r="CV23" s="25">
        <f t="shared" si="20"/>
        <v>64.331000000000003</v>
      </c>
      <c r="CW23" s="24">
        <f t="shared" si="20"/>
        <v>0</v>
      </c>
      <c r="CX23" s="27">
        <f t="shared" si="20"/>
        <v>0</v>
      </c>
      <c r="CY23" s="24">
        <f t="shared" si="20"/>
        <v>11.0842992</v>
      </c>
      <c r="CZ23" s="280">
        <f t="shared" si="20"/>
        <v>0</v>
      </c>
      <c r="DA23" s="237">
        <f t="shared" si="21"/>
        <v>0</v>
      </c>
      <c r="DB23" s="29">
        <f t="shared" si="21"/>
        <v>58.5</v>
      </c>
      <c r="DC23" s="277">
        <f t="shared" si="21"/>
        <v>154.04</v>
      </c>
      <c r="DD23" s="280">
        <f t="shared" si="21"/>
        <v>0</v>
      </c>
      <c r="DE23" s="508">
        <f t="shared" si="31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2"/>
        <v>0</v>
      </c>
    </row>
    <row r="24" spans="1:115" ht="16.5" customHeight="1" thickBot="1">
      <c r="A24" s="534">
        <v>18</v>
      </c>
      <c r="B24" s="103">
        <f>'[1]сентябрь 20'!K23</f>
        <v>489.12400000000002</v>
      </c>
      <c r="C24" s="104">
        <f t="shared" si="34"/>
        <v>2.3856213557298354</v>
      </c>
      <c r="D24" s="143">
        <f t="shared" si="35"/>
        <v>477.45535339999998</v>
      </c>
      <c r="E24" s="104">
        <f t="shared" si="58"/>
        <v>38.02894147496341</v>
      </c>
      <c r="F24" s="128">
        <f t="shared" si="37"/>
        <v>2.2616425247501306</v>
      </c>
      <c r="G24" s="106"/>
      <c r="H24" s="107">
        <f t="shared" si="38"/>
        <v>1.7985758770309324</v>
      </c>
      <c r="I24" s="103">
        <f>'[1]сентябрь 20'!AE23</f>
        <v>0</v>
      </c>
      <c r="J24" s="328">
        <f>'[1]сентябрь 20'!AA23</f>
        <v>15.606999999999999</v>
      </c>
      <c r="K24" s="106">
        <v>27.11</v>
      </c>
      <c r="L24" s="328">
        <f>'[1]сентябрь 20'!AI23</f>
        <v>97.757999999999996</v>
      </c>
      <c r="M24" s="103">
        <f t="shared" si="39"/>
        <v>0.46303822651698173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'[1]сентябрь 20'!S23</f>
        <v>301.88099999999997</v>
      </c>
      <c r="S24" s="108">
        <f t="shared" si="40"/>
        <v>2.9054494983122403</v>
      </c>
      <c r="T24" s="109">
        <f t="shared" si="41"/>
        <v>293.11</v>
      </c>
      <c r="U24" s="106">
        <v>5.42</v>
      </c>
      <c r="V24" s="109">
        <f t="shared" si="42"/>
        <v>293.11</v>
      </c>
      <c r="W24" s="110">
        <f t="shared" si="43"/>
        <v>1.3884230969636686</v>
      </c>
      <c r="X24" s="110">
        <f t="shared" si="26"/>
        <v>1.3884230969636686</v>
      </c>
      <c r="Y24" s="136">
        <v>212.35</v>
      </c>
      <c r="Z24" s="129">
        <v>212.35</v>
      </c>
      <c r="AA24" s="131">
        <v>0.51</v>
      </c>
      <c r="AB24" s="133">
        <v>630</v>
      </c>
      <c r="AC24" s="133">
        <v>1221</v>
      </c>
      <c r="AD24" s="144" t="s">
        <v>192</v>
      </c>
      <c r="AE24" s="131">
        <v>76.400000000000006</v>
      </c>
      <c r="AF24" s="133">
        <v>163</v>
      </c>
      <c r="AG24" s="134">
        <v>5</v>
      </c>
      <c r="AH24" s="131">
        <v>3.95</v>
      </c>
      <c r="AI24" s="115">
        <f t="shared" si="10"/>
        <v>18.710624792762072</v>
      </c>
      <c r="AJ24" s="131">
        <v>139.44999999999999</v>
      </c>
      <c r="AK24" s="115">
        <f t="shared" si="44"/>
        <v>660.55610819004323</v>
      </c>
      <c r="AL24" s="139">
        <v>31.3</v>
      </c>
      <c r="AM24" s="131"/>
      <c r="AN24" s="136">
        <v>12.89</v>
      </c>
      <c r="AO24" s="466">
        <v>53.09</v>
      </c>
      <c r="AP24" s="110">
        <f t="shared" si="45"/>
        <v>0.19454012458776113</v>
      </c>
      <c r="AQ24" s="137" t="s">
        <v>431</v>
      </c>
      <c r="AR24" s="150">
        <v>7.29</v>
      </c>
      <c r="AS24" s="138">
        <v>7.44</v>
      </c>
      <c r="AT24" s="134"/>
      <c r="AU24" s="131">
        <v>7.35</v>
      </c>
      <c r="AV24" s="315">
        <v>272.89999999999998</v>
      </c>
      <c r="AW24" s="131">
        <v>4.1900000000000004</v>
      </c>
      <c r="AX24" s="116"/>
      <c r="AY24" s="131"/>
      <c r="AZ24" s="109">
        <f t="shared" si="57"/>
        <v>0</v>
      </c>
      <c r="BA24" s="109">
        <f t="shared" si="46"/>
        <v>211.10999999999996</v>
      </c>
      <c r="BB24" s="115">
        <f t="shared" si="47"/>
        <v>207.47601094966348</v>
      </c>
      <c r="BC24" s="140">
        <f t="shared" si="48"/>
        <v>7.9398116197183084</v>
      </c>
      <c r="BD24" s="141"/>
      <c r="BE24" s="128">
        <f t="shared" si="50"/>
        <v>0.88829079157837421</v>
      </c>
      <c r="BF24" s="141">
        <f t="shared" si="51"/>
        <v>7.9398116197183084</v>
      </c>
      <c r="BG24" s="535">
        <v>0.90800000000000003</v>
      </c>
      <c r="BH24" s="16">
        <f t="shared" si="28"/>
        <v>3598.9399999999991</v>
      </c>
      <c r="BI24" s="16">
        <f t="shared" si="18"/>
        <v>220</v>
      </c>
      <c r="BJ24" s="16">
        <f t="shared" si="29"/>
        <v>3960</v>
      </c>
      <c r="BK24" s="17">
        <f t="shared" si="19"/>
        <v>1</v>
      </c>
      <c r="BL24" s="16">
        <f t="shared" si="30"/>
        <v>3960</v>
      </c>
      <c r="BM24" s="254">
        <v>375.12400000000002</v>
      </c>
      <c r="BN24" s="197">
        <v>8.173</v>
      </c>
      <c r="BO24" s="197">
        <v>89.578999999999994</v>
      </c>
      <c r="BP24" s="197"/>
      <c r="BQ24" s="230"/>
      <c r="BR24" s="230">
        <v>16.242000000000001</v>
      </c>
      <c r="BS24" s="258"/>
      <c r="BT24" s="199"/>
      <c r="BU24" s="200">
        <v>2.84</v>
      </c>
      <c r="BV24" s="200"/>
      <c r="BW24" s="200"/>
      <c r="BX24" s="200"/>
      <c r="BY24" s="208"/>
      <c r="BZ24" s="208">
        <v>6.25</v>
      </c>
      <c r="CA24" s="201"/>
      <c r="CB24" s="202">
        <v>37.020000000000003</v>
      </c>
      <c r="CC24" s="200">
        <v>43.18</v>
      </c>
      <c r="CD24" s="200">
        <v>43.11</v>
      </c>
      <c r="CE24" s="200"/>
      <c r="CF24" s="208"/>
      <c r="CG24" s="208">
        <v>30.73</v>
      </c>
      <c r="CH24" s="209"/>
      <c r="CI24" s="199"/>
      <c r="CJ24" s="197"/>
      <c r="CK24" s="197">
        <v>81.5</v>
      </c>
      <c r="CL24" s="197">
        <v>211.61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364.47047840000005</v>
      </c>
      <c r="CU24" s="29">
        <f t="shared" si="20"/>
        <v>8.173</v>
      </c>
      <c r="CV24" s="30">
        <f t="shared" si="20"/>
        <v>89.578999999999994</v>
      </c>
      <c r="CW24" s="29">
        <f t="shared" si="20"/>
        <v>0</v>
      </c>
      <c r="CX24" s="27">
        <f t="shared" si="20"/>
        <v>0</v>
      </c>
      <c r="CY24" s="27">
        <f t="shared" si="20"/>
        <v>15.226875000000001</v>
      </c>
      <c r="CZ24" s="282">
        <f t="shared" si="20"/>
        <v>0</v>
      </c>
      <c r="DA24" s="25">
        <f t="shared" si="21"/>
        <v>0</v>
      </c>
      <c r="DB24" s="26">
        <f t="shared" si="21"/>
        <v>81.5</v>
      </c>
      <c r="DC24" s="277">
        <f t="shared" si="21"/>
        <v>211.61</v>
      </c>
      <c r="DD24" s="280">
        <f t="shared" si="21"/>
        <v>0</v>
      </c>
      <c r="DE24" s="508">
        <f t="shared" si="31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2"/>
        <v>0</v>
      </c>
    </row>
    <row r="25" spans="1:115" ht="16.5" customHeight="1" thickBot="1">
      <c r="A25" s="534">
        <v>19</v>
      </c>
      <c r="B25" s="103">
        <f>'[1]сентябрь 20'!K24</f>
        <v>461.68200000000002</v>
      </c>
      <c r="C25" s="104">
        <f t="shared" si="34"/>
        <v>1.764040053543348</v>
      </c>
      <c r="D25" s="143">
        <f t="shared" si="35"/>
        <v>453.53774459999994</v>
      </c>
      <c r="E25" s="104">
        <f t="shared" si="58"/>
        <v>37.398148899025742</v>
      </c>
      <c r="F25" s="128">
        <f t="shared" si="37"/>
        <v>2.2244236823777523</v>
      </c>
      <c r="G25" s="106"/>
      <c r="H25" s="107">
        <f t="shared" si="38"/>
        <v>1.7715029898474666</v>
      </c>
      <c r="I25" s="103">
        <f>'[1]сентябрь 20'!AE24</f>
        <v>0</v>
      </c>
      <c r="J25" s="328">
        <f>'[1]сентябрь 20'!AA24</f>
        <v>14.968999999999999</v>
      </c>
      <c r="K25" s="106">
        <v>28.82</v>
      </c>
      <c r="L25" s="328">
        <f>'[1]сентябрь 20'!AI24</f>
        <v>92.346000000000004</v>
      </c>
      <c r="M25" s="103">
        <f t="shared" si="39"/>
        <v>0.45292069253028594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'[1]сентябрь 20'!S24</f>
        <v>284.29199999999997</v>
      </c>
      <c r="S25" s="108">
        <f t="shared" si="40"/>
        <v>2.6529061668988163</v>
      </c>
      <c r="T25" s="109">
        <f t="shared" si="41"/>
        <v>276.75</v>
      </c>
      <c r="U25" s="566">
        <v>13.82</v>
      </c>
      <c r="V25" s="109">
        <f t="shared" si="42"/>
        <v>276.75</v>
      </c>
      <c r="W25" s="110">
        <f t="shared" si="43"/>
        <v>1.3573495512286036</v>
      </c>
      <c r="X25" s="110">
        <f t="shared" si="26"/>
        <v>1.3573495512286036</v>
      </c>
      <c r="Y25" s="136">
        <v>126.28</v>
      </c>
      <c r="Z25" s="129">
        <v>76.69</v>
      </c>
      <c r="AA25" s="131">
        <v>0.85</v>
      </c>
      <c r="AB25" s="133">
        <v>646</v>
      </c>
      <c r="AC25" s="133">
        <v>1224</v>
      </c>
      <c r="AD25" s="144" t="s">
        <v>192</v>
      </c>
      <c r="AE25" s="131">
        <v>76.14</v>
      </c>
      <c r="AF25" s="133">
        <v>154</v>
      </c>
      <c r="AG25" s="134">
        <v>5</v>
      </c>
      <c r="AH25" s="131"/>
      <c r="AI25" s="115">
        <f t="shared" si="10"/>
        <v>0</v>
      </c>
      <c r="AJ25" s="131">
        <v>121.85</v>
      </c>
      <c r="AK25" s="115">
        <f t="shared" si="44"/>
        <v>597.62617097454506</v>
      </c>
      <c r="AL25" s="139">
        <v>30.88</v>
      </c>
      <c r="AM25" s="131"/>
      <c r="AN25" s="136">
        <v>12.74</v>
      </c>
      <c r="AO25" s="466">
        <v>61</v>
      </c>
      <c r="AP25" s="110">
        <f t="shared" si="45"/>
        <v>0.22238425082026977</v>
      </c>
      <c r="AQ25" s="137" t="s">
        <v>233</v>
      </c>
      <c r="AR25" s="150">
        <v>7.79</v>
      </c>
      <c r="AS25" s="138">
        <v>7.23</v>
      </c>
      <c r="AT25" s="153"/>
      <c r="AU25" s="131">
        <v>5.49</v>
      </c>
      <c r="AV25" s="315">
        <v>274.3</v>
      </c>
      <c r="AW25" s="131">
        <v>3.33</v>
      </c>
      <c r="AX25" s="148"/>
      <c r="AY25" s="131"/>
      <c r="AZ25" s="109">
        <f t="shared" si="57"/>
        <v>0</v>
      </c>
      <c r="BA25" s="109">
        <f t="shared" si="46"/>
        <v>203.89000000000001</v>
      </c>
      <c r="BB25" s="115">
        <f t="shared" si="47"/>
        <v>194.47550757402757</v>
      </c>
      <c r="BC25" s="140">
        <f t="shared" si="48"/>
        <v>5.1820573943661969</v>
      </c>
      <c r="BD25" s="141">
        <f t="shared" ref="BD25:BD36" si="59">BA25*$BD$6</f>
        <v>8.1556000000000015</v>
      </c>
      <c r="BE25" s="128">
        <f t="shared" si="50"/>
        <v>0.91526162970545477</v>
      </c>
      <c r="BF25" s="141">
        <f t="shared" si="51"/>
        <v>13.337657394366198</v>
      </c>
      <c r="BG25" s="535">
        <v>0.90900000000000003</v>
      </c>
      <c r="BH25" s="16">
        <f t="shared" si="28"/>
        <v>3802.829999999999</v>
      </c>
      <c r="BI25" s="16">
        <f t="shared" si="18"/>
        <v>220</v>
      </c>
      <c r="BJ25" s="16">
        <f t="shared" si="29"/>
        <v>4180</v>
      </c>
      <c r="BK25" s="17">
        <f t="shared" si="19"/>
        <v>1</v>
      </c>
      <c r="BL25" s="16">
        <f t="shared" si="30"/>
        <v>4180</v>
      </c>
      <c r="BM25" s="254">
        <v>353.89800000000002</v>
      </c>
      <c r="BN25" s="197">
        <v>7.6820000000000004</v>
      </c>
      <c r="BO25" s="197">
        <v>84.664000000000001</v>
      </c>
      <c r="BP25" s="197"/>
      <c r="BQ25" s="230"/>
      <c r="BR25" s="230">
        <v>15.438000000000001</v>
      </c>
      <c r="BS25" s="258"/>
      <c r="BT25" s="199"/>
      <c r="BU25" s="200">
        <v>2.04</v>
      </c>
      <c r="BV25" s="200"/>
      <c r="BW25" s="200"/>
      <c r="BX25" s="200"/>
      <c r="BY25" s="208"/>
      <c r="BZ25" s="208">
        <v>5.99</v>
      </c>
      <c r="CA25" s="201"/>
      <c r="CB25" s="202">
        <v>36.1</v>
      </c>
      <c r="CC25" s="200">
        <v>43.41</v>
      </c>
      <c r="CD25" s="200">
        <v>43.07</v>
      </c>
      <c r="CE25" s="200"/>
      <c r="CF25" s="208"/>
      <c r="CG25" s="208">
        <v>33.06</v>
      </c>
      <c r="CH25" s="201"/>
      <c r="CI25" s="199"/>
      <c r="CJ25" s="197"/>
      <c r="CK25" s="197">
        <v>77</v>
      </c>
      <c r="CL25" s="197">
        <v>199.75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346.67848079999999</v>
      </c>
      <c r="CU25" s="24">
        <f t="shared" si="20"/>
        <v>7.6820000000000004</v>
      </c>
      <c r="CV25" s="25">
        <f t="shared" si="20"/>
        <v>84.664000000000001</v>
      </c>
      <c r="CW25" s="24">
        <f t="shared" si="20"/>
        <v>0</v>
      </c>
      <c r="CX25" s="27">
        <f t="shared" si="20"/>
        <v>0</v>
      </c>
      <c r="CY25" s="30">
        <f t="shared" si="20"/>
        <v>14.513263800000001</v>
      </c>
      <c r="CZ25" s="280">
        <f t="shared" si="20"/>
        <v>0</v>
      </c>
      <c r="DA25" s="25">
        <f t="shared" si="21"/>
        <v>0</v>
      </c>
      <c r="DB25" s="26">
        <f t="shared" si="21"/>
        <v>77</v>
      </c>
      <c r="DC25" s="277">
        <f t="shared" si="21"/>
        <v>199.75</v>
      </c>
      <c r="DD25" s="280">
        <f t="shared" si="21"/>
        <v>0</v>
      </c>
      <c r="DE25" s="508">
        <f t="shared" si="31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2"/>
        <v>0</v>
      </c>
    </row>
    <row r="26" spans="1:115" ht="16.5" customHeight="1" thickBot="1">
      <c r="A26" s="534">
        <v>20</v>
      </c>
      <c r="B26" s="103">
        <f>'[1]сентябрь 20'!K25</f>
        <v>461.923</v>
      </c>
      <c r="C26" s="104">
        <f t="shared" si="34"/>
        <v>1.2399877901728209</v>
      </c>
      <c r="D26" s="143">
        <f t="shared" si="35"/>
        <v>456.19521120000002</v>
      </c>
      <c r="E26" s="104">
        <f t="shared" si="58"/>
        <v>37.491619382451184</v>
      </c>
      <c r="F26" s="128">
        <f t="shared" si="37"/>
        <v>2.0649792286800657</v>
      </c>
      <c r="G26" s="106"/>
      <c r="H26" s="107">
        <f t="shared" si="38"/>
        <v>1.6468821799746518</v>
      </c>
      <c r="I26" s="103">
        <f>'[1]сентябрь 20'!AE25</f>
        <v>0</v>
      </c>
      <c r="J26" s="328">
        <f>'[1]сентябрь 20'!AA25</f>
        <v>16.434000000000001</v>
      </c>
      <c r="K26" s="106">
        <v>31.78</v>
      </c>
      <c r="L26" s="328">
        <f>'[1]сентябрь 20'!AI25</f>
        <v>92.366</v>
      </c>
      <c r="M26" s="103">
        <f t="shared" si="39"/>
        <v>0.41809704870541381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'[1]сентябрь 20'!S25</f>
        <v>283.74700000000001</v>
      </c>
      <c r="S26" s="108">
        <f t="shared" si="40"/>
        <v>2.6527152709984514</v>
      </c>
      <c r="T26" s="109">
        <f t="shared" si="41"/>
        <v>276.22000000000003</v>
      </c>
      <c r="U26" s="566">
        <v>25.08</v>
      </c>
      <c r="V26" s="109">
        <f t="shared" si="42"/>
        <v>276.22000000000003</v>
      </c>
      <c r="W26" s="110">
        <f t="shared" si="43"/>
        <v>1.2503168567807355</v>
      </c>
      <c r="X26" s="110">
        <f t="shared" si="26"/>
        <v>1.2503168567807355</v>
      </c>
      <c r="Y26" s="136">
        <v>226.03</v>
      </c>
      <c r="Z26" s="154">
        <v>182.46</v>
      </c>
      <c r="AA26" s="149">
        <v>0.81</v>
      </c>
      <c r="AB26" s="147">
        <v>650</v>
      </c>
      <c r="AC26" s="147">
        <v>1220</v>
      </c>
      <c r="AD26" s="144" t="s">
        <v>205</v>
      </c>
      <c r="AE26" s="149">
        <v>75.959999999999994</v>
      </c>
      <c r="AF26" s="147">
        <v>154</v>
      </c>
      <c r="AG26" s="155">
        <v>5</v>
      </c>
      <c r="AH26" s="149">
        <v>7.15</v>
      </c>
      <c r="AI26" s="115">
        <f t="shared" si="10"/>
        <v>32.36465688937173</v>
      </c>
      <c r="AJ26" s="149">
        <v>124.5</v>
      </c>
      <c r="AK26" s="115">
        <f t="shared" si="44"/>
        <v>563.55241716458454</v>
      </c>
      <c r="AL26" s="156">
        <v>42.45</v>
      </c>
      <c r="AM26" s="149"/>
      <c r="AN26" s="157">
        <v>11.06</v>
      </c>
      <c r="AO26" s="466">
        <v>60.11</v>
      </c>
      <c r="AP26" s="110">
        <f t="shared" si="45"/>
        <v>0.20766971843150803</v>
      </c>
      <c r="AQ26" s="158" t="s">
        <v>159</v>
      </c>
      <c r="AR26" s="404">
        <v>7.9</v>
      </c>
      <c r="AS26" s="159">
        <v>7.92</v>
      </c>
      <c r="AT26" s="155"/>
      <c r="AU26" s="149">
        <v>5.0999999999999996</v>
      </c>
      <c r="AV26" s="315">
        <v>289.45</v>
      </c>
      <c r="AW26" s="131">
        <v>2.64</v>
      </c>
      <c r="AX26" s="148"/>
      <c r="AY26" s="149"/>
      <c r="AZ26" s="160">
        <f t="shared" si="57"/>
        <v>0</v>
      </c>
      <c r="BA26" s="109">
        <f t="shared" si="46"/>
        <v>220.91999999999996</v>
      </c>
      <c r="BB26" s="115">
        <f t="shared" si="47"/>
        <v>196.56862921487101</v>
      </c>
      <c r="BC26" s="140">
        <f t="shared" si="48"/>
        <v>4.9186267605633791</v>
      </c>
      <c r="BD26" s="140">
        <f t="shared" si="59"/>
        <v>8.8367999999999984</v>
      </c>
      <c r="BE26" s="161">
        <f t="shared" si="50"/>
        <v>0.98114923408851495</v>
      </c>
      <c r="BF26" s="140">
        <f t="shared" si="51"/>
        <v>13.755426760563378</v>
      </c>
      <c r="BG26" s="537">
        <v>0.91200000000000003</v>
      </c>
      <c r="BH26" s="16">
        <f t="shared" si="28"/>
        <v>4023.7499999999991</v>
      </c>
      <c r="BI26" s="16">
        <f t="shared" si="18"/>
        <v>220</v>
      </c>
      <c r="BJ26" s="16">
        <f t="shared" si="29"/>
        <v>4400</v>
      </c>
      <c r="BK26" s="17">
        <f t="shared" si="19"/>
        <v>1</v>
      </c>
      <c r="BL26" s="16">
        <f t="shared" si="30"/>
        <v>4400</v>
      </c>
      <c r="BM26" s="254">
        <v>354.21899999999999</v>
      </c>
      <c r="BN26" s="197">
        <v>7.6989999999999998</v>
      </c>
      <c r="BO26" s="197">
        <v>84.667000000000002</v>
      </c>
      <c r="BP26" s="197"/>
      <c r="BQ26" s="230"/>
      <c r="BR26" s="230">
        <v>15.337999999999999</v>
      </c>
      <c r="BS26" s="258"/>
      <c r="BT26" s="199"/>
      <c r="BU26" s="200">
        <v>1.42</v>
      </c>
      <c r="BV26" s="200"/>
      <c r="BW26" s="200"/>
      <c r="BX26" s="200"/>
      <c r="BY26" s="208"/>
      <c r="BZ26" s="208">
        <v>4.55</v>
      </c>
      <c r="CA26" s="201"/>
      <c r="CB26" s="202">
        <v>36.07</v>
      </c>
      <c r="CC26" s="200">
        <v>43.36</v>
      </c>
      <c r="CD26" s="200">
        <v>43.27</v>
      </c>
      <c r="CE26" s="200"/>
      <c r="CF26" s="208"/>
      <c r="CG26" s="208">
        <v>35.479999999999997</v>
      </c>
      <c r="CH26" s="209"/>
      <c r="CI26" s="199"/>
      <c r="CJ26" s="197"/>
      <c r="CK26" s="197">
        <v>77</v>
      </c>
      <c r="CL26" s="197">
        <v>199.22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349.18909020000001</v>
      </c>
      <c r="CU26" s="24">
        <f t="shared" si="20"/>
        <v>7.6989999999999998</v>
      </c>
      <c r="CV26" s="25">
        <f t="shared" si="20"/>
        <v>84.667000000000002</v>
      </c>
      <c r="CW26" s="24">
        <f t="shared" si="20"/>
        <v>0</v>
      </c>
      <c r="CX26" s="27">
        <f t="shared" si="20"/>
        <v>0</v>
      </c>
      <c r="CY26" s="24">
        <f t="shared" si="20"/>
        <v>14.640120999999999</v>
      </c>
      <c r="CZ26" s="280">
        <f t="shared" si="20"/>
        <v>0</v>
      </c>
      <c r="DA26" s="30">
        <f t="shared" si="21"/>
        <v>0</v>
      </c>
      <c r="DB26" s="26">
        <f t="shared" si="21"/>
        <v>77</v>
      </c>
      <c r="DC26" s="277">
        <f t="shared" si="21"/>
        <v>199.22</v>
      </c>
      <c r="DD26" s="280">
        <f t="shared" si="21"/>
        <v>0</v>
      </c>
      <c r="DE26" s="508">
        <f t="shared" si="31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2"/>
        <v>0</v>
      </c>
    </row>
    <row r="27" spans="1:115" ht="16.5" customHeight="1" thickBot="1">
      <c r="A27" s="534">
        <v>21</v>
      </c>
      <c r="B27" s="103">
        <f>'[1]сентябрь 20'!K26</f>
        <v>462.202</v>
      </c>
      <c r="C27" s="104">
        <f t="shared" si="34"/>
        <v>1.9140820247424286</v>
      </c>
      <c r="D27" s="143">
        <f t="shared" si="35"/>
        <v>453.35507460000002</v>
      </c>
      <c r="E27" s="104">
        <f t="shared" si="58"/>
        <v>37.534986607587165</v>
      </c>
      <c r="F27" s="128">
        <f t="shared" si="37"/>
        <v>2.0702090259829218</v>
      </c>
      <c r="G27" s="106"/>
      <c r="H27" s="107">
        <f t="shared" si="38"/>
        <v>1.6481714900223754</v>
      </c>
      <c r="I27" s="103">
        <f>'[1]сентябрь 20'!AE26</f>
        <v>0</v>
      </c>
      <c r="J27" s="328">
        <f>'[1]сентябрь 20'!AA26</f>
        <v>16.928999999999998</v>
      </c>
      <c r="K27" s="106">
        <v>28.46</v>
      </c>
      <c r="L27" s="328">
        <f>'[1]сентябрь 20'!AI26</f>
        <v>92.421999999999997</v>
      </c>
      <c r="M27" s="103">
        <f t="shared" si="39"/>
        <v>0.42203753596054611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'[1]сентябрь 20'!S26</f>
        <v>279.89299999999997</v>
      </c>
      <c r="S27" s="108">
        <f t="shared" si="40"/>
        <v>2.2805143394082683</v>
      </c>
      <c r="T27" s="109">
        <f t="shared" si="41"/>
        <v>273.51</v>
      </c>
      <c r="U27" s="566">
        <v>32.85</v>
      </c>
      <c r="V27" s="109">
        <f t="shared" si="42"/>
        <v>273.51</v>
      </c>
      <c r="W27" s="110">
        <f t="shared" si="43"/>
        <v>1.248961139778072</v>
      </c>
      <c r="X27" s="110">
        <f t="shared" si="26"/>
        <v>1.248961139778072</v>
      </c>
      <c r="Y27" s="129">
        <v>221.66</v>
      </c>
      <c r="Z27" s="129">
        <v>54.31</v>
      </c>
      <c r="AA27" s="131">
        <v>1.26</v>
      </c>
      <c r="AB27" s="133">
        <v>650</v>
      </c>
      <c r="AC27" s="133">
        <v>1211</v>
      </c>
      <c r="AD27" s="144" t="s">
        <v>211</v>
      </c>
      <c r="AE27" s="131">
        <v>75.66</v>
      </c>
      <c r="AF27" s="133">
        <v>154</v>
      </c>
      <c r="AG27" s="134">
        <v>5</v>
      </c>
      <c r="AH27" s="131">
        <v>3.25</v>
      </c>
      <c r="AI27" s="115">
        <f t="shared" si="10"/>
        <v>14.840860313256313</v>
      </c>
      <c r="AJ27" s="131">
        <v>120.4</v>
      </c>
      <c r="AK27" s="115">
        <f t="shared" si="44"/>
        <v>549.79679437417235</v>
      </c>
      <c r="AL27" s="139">
        <v>44.64</v>
      </c>
      <c r="AM27" s="131"/>
      <c r="AN27" s="136">
        <v>14.84</v>
      </c>
      <c r="AO27" s="466">
        <v>57.59</v>
      </c>
      <c r="AP27" s="110">
        <f t="shared" si="45"/>
        <v>0.19923888600588133</v>
      </c>
      <c r="AQ27" s="137" t="s">
        <v>201</v>
      </c>
      <c r="AR27" s="150">
        <v>7.59</v>
      </c>
      <c r="AS27" s="138">
        <v>7.46</v>
      </c>
      <c r="AT27" s="134"/>
      <c r="AU27" s="131">
        <v>5.34</v>
      </c>
      <c r="AV27" s="139">
        <v>289.05</v>
      </c>
      <c r="AW27" s="131">
        <v>2.37</v>
      </c>
      <c r="AX27" s="148"/>
      <c r="AY27" s="131"/>
      <c r="AZ27" s="109">
        <f t="shared" si="57"/>
        <v>0</v>
      </c>
      <c r="BA27" s="109">
        <f t="shared" si="46"/>
        <v>218.99</v>
      </c>
      <c r="BB27" s="115">
        <f t="shared" si="47"/>
        <v>196.34626907991554</v>
      </c>
      <c r="BC27" s="140">
        <f t="shared" si="48"/>
        <v>4.9804901408450704</v>
      </c>
      <c r="BD27" s="141">
        <f t="shared" si="59"/>
        <v>8.7596000000000007</v>
      </c>
      <c r="BE27" s="128">
        <f t="shared" si="50"/>
        <v>0.9736791582333959</v>
      </c>
      <c r="BF27" s="141">
        <f t="shared" si="51"/>
        <v>13.740090140845071</v>
      </c>
      <c r="BG27" s="535">
        <v>0.91500000000000004</v>
      </c>
      <c r="BH27" s="16">
        <f t="shared" si="28"/>
        <v>4242.7399999999989</v>
      </c>
      <c r="BI27" s="16">
        <f t="shared" si="18"/>
        <v>220</v>
      </c>
      <c r="BJ27" s="16">
        <f t="shared" si="29"/>
        <v>4620</v>
      </c>
      <c r="BK27" s="17">
        <f t="shared" si="19"/>
        <v>1</v>
      </c>
      <c r="BL27" s="16">
        <f t="shared" si="30"/>
        <v>4620</v>
      </c>
      <c r="BM27" s="254">
        <v>354.322</v>
      </c>
      <c r="BN27" s="197">
        <v>7.6929999999999996</v>
      </c>
      <c r="BO27" s="197">
        <v>84.728999999999999</v>
      </c>
      <c r="BP27" s="197"/>
      <c r="BQ27" s="230"/>
      <c r="BR27" s="230">
        <v>15.458</v>
      </c>
      <c r="BS27" s="258"/>
      <c r="BT27" s="199"/>
      <c r="BU27" s="200">
        <v>2.27</v>
      </c>
      <c r="BV27" s="200"/>
      <c r="BW27" s="200"/>
      <c r="BX27" s="200"/>
      <c r="BY27" s="208"/>
      <c r="BZ27" s="208">
        <v>5.2</v>
      </c>
      <c r="CA27" s="201"/>
      <c r="CB27" s="202">
        <v>36.270000000000003</v>
      </c>
      <c r="CC27" s="200">
        <v>43.49</v>
      </c>
      <c r="CD27" s="200">
        <v>43.17</v>
      </c>
      <c r="CE27" s="200"/>
      <c r="CF27" s="208"/>
      <c r="CG27" s="208">
        <v>32.68</v>
      </c>
      <c r="CH27" s="209"/>
      <c r="CI27" s="199"/>
      <c r="CJ27" s="197"/>
      <c r="CK27" s="197">
        <v>77</v>
      </c>
      <c r="CL27" s="197">
        <v>196.51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346.27889060000001</v>
      </c>
      <c r="CU27" s="24">
        <f t="shared" si="20"/>
        <v>7.6929999999999996</v>
      </c>
      <c r="CV27" s="25">
        <f t="shared" si="20"/>
        <v>84.728999999999999</v>
      </c>
      <c r="CW27" s="24">
        <f t="shared" si="20"/>
        <v>0</v>
      </c>
      <c r="CX27" s="27">
        <f t="shared" si="20"/>
        <v>0</v>
      </c>
      <c r="CY27" s="29">
        <f t="shared" si="20"/>
        <v>14.654183999999999</v>
      </c>
      <c r="CZ27" s="280">
        <f t="shared" si="20"/>
        <v>0</v>
      </c>
      <c r="DA27" s="237">
        <f t="shared" si="21"/>
        <v>0</v>
      </c>
      <c r="DB27" s="26">
        <f t="shared" si="21"/>
        <v>77</v>
      </c>
      <c r="DC27" s="277">
        <f t="shared" si="21"/>
        <v>196.51</v>
      </c>
      <c r="DD27" s="280">
        <f t="shared" si="21"/>
        <v>0</v>
      </c>
      <c r="DE27" s="508">
        <f t="shared" si="31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2"/>
        <v>0</v>
      </c>
    </row>
    <row r="28" spans="1:115" ht="16.5" customHeight="1" thickBot="1">
      <c r="A28" s="534">
        <v>22</v>
      </c>
      <c r="B28" s="103">
        <f>'[1]сентябрь 20'!K27</f>
        <v>489.03</v>
      </c>
      <c r="C28" s="104">
        <f t="shared" si="34"/>
        <v>1.5626522708218311</v>
      </c>
      <c r="D28" s="143">
        <f t="shared" si="35"/>
        <v>481.38816159999999</v>
      </c>
      <c r="E28" s="104">
        <f t="shared" si="58"/>
        <v>37.791383943725329</v>
      </c>
      <c r="F28" s="128">
        <f t="shared" si="37"/>
        <v>1.8417176585813757</v>
      </c>
      <c r="G28" s="106"/>
      <c r="H28" s="107">
        <f t="shared" si="38"/>
        <v>1.4674235274313261</v>
      </c>
      <c r="I28" s="103">
        <f>'[1]сентябрь 20'!AE27</f>
        <v>0</v>
      </c>
      <c r="J28" s="328">
        <f>'[1]сентябрь 20'!AA27</f>
        <v>18.039000000000001</v>
      </c>
      <c r="K28" s="106">
        <v>35.89</v>
      </c>
      <c r="L28" s="328">
        <f>'[1]сентябрь 20'!AI27</f>
        <v>97.832999999999998</v>
      </c>
      <c r="M28" s="103">
        <f t="shared" si="39"/>
        <v>0.37429413115004972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'[1]сентябрь 20'!S27</f>
        <v>296.48099999999999</v>
      </c>
      <c r="S28" s="108">
        <f t="shared" si="40"/>
        <v>2.8470627122817449</v>
      </c>
      <c r="T28" s="109">
        <f t="shared" si="41"/>
        <v>288.03999999999996</v>
      </c>
      <c r="U28" s="566">
        <v>5.05</v>
      </c>
      <c r="V28" s="109">
        <f t="shared" si="42"/>
        <v>288.03999999999996</v>
      </c>
      <c r="W28" s="110">
        <f t="shared" si="43"/>
        <v>1.1019970923559568</v>
      </c>
      <c r="X28" s="110">
        <f t="shared" si="26"/>
        <v>1.1019970923559568</v>
      </c>
      <c r="Y28" s="129">
        <v>251.06</v>
      </c>
      <c r="Z28" s="136">
        <v>89.36</v>
      </c>
      <c r="AA28" s="131">
        <v>1.06</v>
      </c>
      <c r="AB28" s="133">
        <v>615</v>
      </c>
      <c r="AC28" s="133">
        <v>1221</v>
      </c>
      <c r="AD28" s="144" t="s">
        <v>181</v>
      </c>
      <c r="AE28" s="131">
        <v>75.959999999999994</v>
      </c>
      <c r="AF28" s="133">
        <v>163</v>
      </c>
      <c r="AG28" s="134">
        <v>6</v>
      </c>
      <c r="AH28" s="131">
        <v>4.3</v>
      </c>
      <c r="AI28" s="115">
        <f t="shared" si="10"/>
        <v>16.451143928380134</v>
      </c>
      <c r="AJ28" s="131">
        <v>163.30000000000001</v>
      </c>
      <c r="AK28" s="115">
        <f t="shared" si="44"/>
        <v>624.76088453592467</v>
      </c>
      <c r="AL28" s="139">
        <v>42.81</v>
      </c>
      <c r="AM28" s="131"/>
      <c r="AN28" s="136">
        <v>16.48</v>
      </c>
      <c r="AO28" s="466">
        <v>51.65</v>
      </c>
      <c r="AP28" s="110">
        <f t="shared" si="45"/>
        <v>0.15836271654146866</v>
      </c>
      <c r="AQ28" s="137" t="s">
        <v>121</v>
      </c>
      <c r="AR28" s="150">
        <v>7.53</v>
      </c>
      <c r="AS28" s="138">
        <v>7.69</v>
      </c>
      <c r="AT28" s="134"/>
      <c r="AU28" s="131">
        <v>5.68</v>
      </c>
      <c r="AV28" s="139">
        <v>326.14999999999998</v>
      </c>
      <c r="AW28" s="131">
        <v>3.36</v>
      </c>
      <c r="AX28" s="148"/>
      <c r="AY28" s="131"/>
      <c r="AZ28" s="109">
        <f t="shared" si="57"/>
        <v>0</v>
      </c>
      <c r="BA28" s="109">
        <f t="shared" si="46"/>
        <v>261.38</v>
      </c>
      <c r="BB28" s="115">
        <f t="shared" si="47"/>
        <v>209.08240634786733</v>
      </c>
      <c r="BC28" s="140">
        <f t="shared" si="48"/>
        <v>7.1851999999999991</v>
      </c>
      <c r="BD28" s="141">
        <f t="shared" si="59"/>
        <v>10.4552</v>
      </c>
      <c r="BE28" s="128">
        <f t="shared" si="50"/>
        <v>1.0913627023229804</v>
      </c>
      <c r="BF28" s="141">
        <f t="shared" si="51"/>
        <v>17.6404</v>
      </c>
      <c r="BG28" s="535">
        <v>0.92400000000000004</v>
      </c>
      <c r="BH28" s="16">
        <f t="shared" si="28"/>
        <v>4504.119999999999</v>
      </c>
      <c r="BI28" s="16">
        <f t="shared" si="18"/>
        <v>220</v>
      </c>
      <c r="BJ28" s="16">
        <f t="shared" si="29"/>
        <v>4840</v>
      </c>
      <c r="BK28" s="17">
        <f t="shared" si="19"/>
        <v>1</v>
      </c>
      <c r="BL28" s="16">
        <f t="shared" si="30"/>
        <v>4840</v>
      </c>
      <c r="BM28" s="254">
        <v>375.07</v>
      </c>
      <c r="BN28" s="197">
        <v>8.1760000000000002</v>
      </c>
      <c r="BO28" s="197">
        <v>89.656999999999996</v>
      </c>
      <c r="BP28" s="197"/>
      <c r="BQ28" s="230"/>
      <c r="BR28" s="230">
        <v>16.126999999999999</v>
      </c>
      <c r="BS28" s="258"/>
      <c r="BT28" s="199"/>
      <c r="BU28" s="200">
        <v>1.77</v>
      </c>
      <c r="BV28" s="200"/>
      <c r="BW28" s="200"/>
      <c r="BX28" s="200"/>
      <c r="BY28" s="208"/>
      <c r="BZ28" s="208">
        <v>6.22</v>
      </c>
      <c r="CA28" s="201"/>
      <c r="CB28" s="202">
        <v>36.51</v>
      </c>
      <c r="CC28" s="200">
        <v>43.23</v>
      </c>
      <c r="CD28" s="200">
        <v>43.23</v>
      </c>
      <c r="CE28" s="200"/>
      <c r="CF28" s="208"/>
      <c r="CG28" s="208">
        <v>34.6</v>
      </c>
      <c r="CH28" s="209"/>
      <c r="CI28" s="199"/>
      <c r="CJ28" s="197"/>
      <c r="CK28" s="197">
        <v>81.5</v>
      </c>
      <c r="CL28" s="197">
        <v>206.54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368.43126100000001</v>
      </c>
      <c r="CU28" s="29">
        <f t="shared" si="20"/>
        <v>8.1760000000000002</v>
      </c>
      <c r="CV28" s="30">
        <f t="shared" si="20"/>
        <v>89.656999999999996</v>
      </c>
      <c r="CW28" s="29">
        <f t="shared" si="20"/>
        <v>0</v>
      </c>
      <c r="CX28" s="27">
        <f t="shared" si="20"/>
        <v>0</v>
      </c>
      <c r="CY28" s="24">
        <f t="shared" si="20"/>
        <v>15.123900599999999</v>
      </c>
      <c r="CZ28" s="282">
        <f t="shared" si="20"/>
        <v>0</v>
      </c>
      <c r="DA28" s="25">
        <f t="shared" si="21"/>
        <v>0</v>
      </c>
      <c r="DB28" s="24">
        <f t="shared" si="21"/>
        <v>81.5</v>
      </c>
      <c r="DC28" s="277">
        <f t="shared" si="21"/>
        <v>206.54</v>
      </c>
      <c r="DD28" s="280">
        <f t="shared" si="21"/>
        <v>0</v>
      </c>
      <c r="DE28" s="508">
        <f t="shared" si="31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2"/>
        <v>0</v>
      </c>
    </row>
    <row r="29" spans="1:115" ht="16.5" customHeight="1" thickBot="1">
      <c r="A29" s="534">
        <v>23</v>
      </c>
      <c r="B29" s="103">
        <f>'[1]сентябрь 20'!K28</f>
        <v>459.32600000000002</v>
      </c>
      <c r="C29" s="104">
        <f t="shared" si="34"/>
        <v>1.8752426381262981</v>
      </c>
      <c r="D29" s="143">
        <f t="shared" si="35"/>
        <v>450.71252300000003</v>
      </c>
      <c r="E29" s="104">
        <f t="shared" si="58"/>
        <v>37.511239315867158</v>
      </c>
      <c r="F29" s="128">
        <f t="shared" si="37"/>
        <v>2.7642595706838398</v>
      </c>
      <c r="G29" s="106"/>
      <c r="H29" s="107">
        <f t="shared" si="38"/>
        <v>2.2163785525912298</v>
      </c>
      <c r="I29" s="103">
        <f>'[1]сентябрь 20'!AE28</f>
        <v>0</v>
      </c>
      <c r="J29" s="328">
        <f>'[1]сентябрь 20'!AA28</f>
        <v>13.723000000000001</v>
      </c>
      <c r="K29" s="106">
        <v>23.39</v>
      </c>
      <c r="L29" s="328">
        <f>'[1]сентябрь 20'!AI28</f>
        <v>89.331999999999994</v>
      </c>
      <c r="M29" s="103">
        <f t="shared" si="39"/>
        <v>0.5478810180926097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'[1]сентябрь 20'!S28</f>
        <v>276.24299999999999</v>
      </c>
      <c r="S29" s="108">
        <f t="shared" si="40"/>
        <v>2.9188069923943738</v>
      </c>
      <c r="T29" s="109">
        <f t="shared" si="41"/>
        <v>268.17999999999995</v>
      </c>
      <c r="U29" s="566">
        <v>18.399999999999999</v>
      </c>
      <c r="V29" s="109">
        <f t="shared" si="42"/>
        <v>268.18</v>
      </c>
      <c r="W29" s="110">
        <f t="shared" si="43"/>
        <v>1.6447715424716343</v>
      </c>
      <c r="X29" s="110">
        <f t="shared" si="26"/>
        <v>1.6447715424716343</v>
      </c>
      <c r="Y29" s="129">
        <v>181.54</v>
      </c>
      <c r="Z29" s="136">
        <v>133.36000000000001</v>
      </c>
      <c r="AA29" s="131">
        <v>0.81</v>
      </c>
      <c r="AB29" s="133">
        <v>636</v>
      </c>
      <c r="AC29" s="133">
        <v>1222</v>
      </c>
      <c r="AD29" s="144" t="s">
        <v>178</v>
      </c>
      <c r="AE29" s="131">
        <v>75.819999999999993</v>
      </c>
      <c r="AF29" s="133">
        <v>153</v>
      </c>
      <c r="AG29" s="134">
        <v>4</v>
      </c>
      <c r="AH29" s="131"/>
      <c r="AI29" s="115">
        <f t="shared" si="10"/>
        <v>0</v>
      </c>
      <c r="AJ29" s="131">
        <v>110.8</v>
      </c>
      <c r="AK29" s="115">
        <f t="shared" si="44"/>
        <v>679.54615148727396</v>
      </c>
      <c r="AL29" s="139">
        <v>30.36</v>
      </c>
      <c r="AM29" s="131"/>
      <c r="AN29" s="136">
        <v>14.55</v>
      </c>
      <c r="AO29" s="466">
        <v>63.18</v>
      </c>
      <c r="AP29" s="110">
        <f t="shared" si="45"/>
        <v>0.26862244897959187</v>
      </c>
      <c r="AQ29" s="137" t="s">
        <v>208</v>
      </c>
      <c r="AR29" s="150">
        <v>7.16</v>
      </c>
      <c r="AS29" s="138">
        <v>7.23</v>
      </c>
      <c r="AT29" s="134"/>
      <c r="AU29" s="131">
        <v>7.08</v>
      </c>
      <c r="AV29" s="139">
        <v>235.2</v>
      </c>
      <c r="AW29" s="131">
        <v>5.58</v>
      </c>
      <c r="AX29" s="148"/>
      <c r="AY29" s="131"/>
      <c r="AZ29" s="109">
        <f t="shared" si="57"/>
        <v>0</v>
      </c>
      <c r="BA29" s="109">
        <f t="shared" si="46"/>
        <v>163.04999999999998</v>
      </c>
      <c r="BB29" s="115">
        <f t="shared" si="47"/>
        <v>194.66662593209639</v>
      </c>
      <c r="BC29" s="140">
        <f t="shared" si="48"/>
        <v>6.0768338028169007</v>
      </c>
      <c r="BD29" s="141">
        <f t="shared" si="59"/>
        <v>6.5219999999999994</v>
      </c>
      <c r="BE29" s="128">
        <f t="shared" si="50"/>
        <v>0.73121239615902078</v>
      </c>
      <c r="BF29" s="141">
        <f t="shared" si="51"/>
        <v>12.5988338028169</v>
      </c>
      <c r="BG29" s="535">
        <v>0.91600000000000004</v>
      </c>
      <c r="BH29" s="16">
        <f t="shared" si="28"/>
        <v>4667.1699999999992</v>
      </c>
      <c r="BI29" s="16">
        <f t="shared" si="18"/>
        <v>220</v>
      </c>
      <c r="BJ29" s="16">
        <f t="shared" si="29"/>
        <v>5060</v>
      </c>
      <c r="BK29" s="17">
        <f t="shared" si="19"/>
        <v>1</v>
      </c>
      <c r="BL29" s="16">
        <f t="shared" si="30"/>
        <v>5060</v>
      </c>
      <c r="BM29" s="254">
        <v>273.41399999999999</v>
      </c>
      <c r="BN29" s="197">
        <v>32.131</v>
      </c>
      <c r="BO29" s="197">
        <v>57.201000000000001</v>
      </c>
      <c r="BP29" s="197">
        <v>78.409000000000006</v>
      </c>
      <c r="BQ29" s="230"/>
      <c r="BR29" s="230">
        <v>18.170999999999999</v>
      </c>
      <c r="BS29" s="258"/>
      <c r="BT29" s="199"/>
      <c r="BU29" s="200">
        <v>2.12</v>
      </c>
      <c r="BV29" s="200"/>
      <c r="BW29" s="200"/>
      <c r="BX29" s="200">
        <v>2.0099999999999998</v>
      </c>
      <c r="BY29" s="208"/>
      <c r="BZ29" s="208">
        <v>6.83</v>
      </c>
      <c r="CA29" s="201"/>
      <c r="CB29" s="202">
        <v>35.94</v>
      </c>
      <c r="CC29" s="200">
        <v>43.37</v>
      </c>
      <c r="CD29" s="200">
        <v>43.19</v>
      </c>
      <c r="CE29" s="200">
        <v>37.74</v>
      </c>
      <c r="CF29" s="208"/>
      <c r="CG29" s="208">
        <v>31.93</v>
      </c>
      <c r="CH29" s="201"/>
      <c r="CI29" s="199"/>
      <c r="CJ29" s="197"/>
      <c r="CK29" s="197">
        <v>76.5</v>
      </c>
      <c r="CL29" s="230">
        <v>191.68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267.61762319999997</v>
      </c>
      <c r="CU29" s="24">
        <f t="shared" si="20"/>
        <v>32.131</v>
      </c>
      <c r="CV29" s="25">
        <f t="shared" si="20"/>
        <v>57.201000000000001</v>
      </c>
      <c r="CW29" s="24">
        <f t="shared" si="20"/>
        <v>76.832979100000003</v>
      </c>
      <c r="CX29" s="27">
        <f t="shared" si="20"/>
        <v>0</v>
      </c>
      <c r="CY29" s="29">
        <f t="shared" si="20"/>
        <v>16.9299207</v>
      </c>
      <c r="CZ29" s="280">
        <f t="shared" si="20"/>
        <v>0</v>
      </c>
      <c r="DA29" s="30">
        <f t="shared" si="21"/>
        <v>0</v>
      </c>
      <c r="DB29" s="29">
        <f t="shared" si="21"/>
        <v>76.5</v>
      </c>
      <c r="DC29" s="277">
        <f t="shared" si="21"/>
        <v>191.68</v>
      </c>
      <c r="DD29" s="280">
        <f t="shared" si="21"/>
        <v>0</v>
      </c>
      <c r="DE29" s="508">
        <f t="shared" si="31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2"/>
        <v>0</v>
      </c>
    </row>
    <row r="30" spans="1:115" ht="16.5" customHeight="1" thickBot="1">
      <c r="A30" s="534">
        <v>24</v>
      </c>
      <c r="B30" s="103">
        <f>'[1]сентябрь 20'!K29</f>
        <v>479.96</v>
      </c>
      <c r="C30" s="104">
        <f t="shared" si="34"/>
        <v>1.4596127385615469</v>
      </c>
      <c r="D30" s="143">
        <f t="shared" si="35"/>
        <v>472.95444270000002</v>
      </c>
      <c r="E30" s="104">
        <f t="shared" si="58"/>
        <v>37.597297795649638</v>
      </c>
      <c r="F30" s="128">
        <f t="shared" si="37"/>
        <v>2.2966757767202446</v>
      </c>
      <c r="G30" s="106"/>
      <c r="H30" s="107">
        <f t="shared" si="38"/>
        <v>1.8695549104064486</v>
      </c>
      <c r="I30" s="103">
        <f>'[1]сентябрь 20'!AE29</f>
        <v>0</v>
      </c>
      <c r="J30" s="328">
        <f>'[1]сентябрь 20'!AA29</f>
        <v>7.2039999999999997</v>
      </c>
      <c r="K30" s="106">
        <v>11.22</v>
      </c>
      <c r="L30" s="328">
        <f>'[1]сентябрь 20'!AI29</f>
        <v>87.956999999999994</v>
      </c>
      <c r="M30" s="103">
        <f t="shared" si="39"/>
        <v>0.42712086631379592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'[1]сентябрь 20'!S29</f>
        <v>287.62299999999999</v>
      </c>
      <c r="S30" s="108">
        <f t="shared" si="40"/>
        <v>2.6503443744067767</v>
      </c>
      <c r="T30" s="109">
        <f t="shared" si="41"/>
        <v>280</v>
      </c>
      <c r="U30" s="566">
        <v>42.24</v>
      </c>
      <c r="V30" s="109">
        <f t="shared" si="42"/>
        <v>280</v>
      </c>
      <c r="W30" s="110">
        <f t="shared" si="43"/>
        <v>1.3596853299664935</v>
      </c>
      <c r="X30" s="110">
        <f t="shared" si="26"/>
        <v>1.3596853299664935</v>
      </c>
      <c r="Y30" s="154">
        <v>212.78</v>
      </c>
      <c r="Z30" s="157">
        <v>212.78</v>
      </c>
      <c r="AA30" s="149">
        <v>0.74</v>
      </c>
      <c r="AB30" s="147">
        <v>638</v>
      </c>
      <c r="AC30" s="147">
        <v>1209</v>
      </c>
      <c r="AD30" s="144" t="s">
        <v>234</v>
      </c>
      <c r="AE30" s="149">
        <v>75.900000000000006</v>
      </c>
      <c r="AF30" s="147">
        <v>160</v>
      </c>
      <c r="AG30" s="155">
        <v>5</v>
      </c>
      <c r="AH30" s="149">
        <v>5.2</v>
      </c>
      <c r="AI30" s="115">
        <f t="shared" si="10"/>
        <v>25.251298985092021</v>
      </c>
      <c r="AJ30" s="131">
        <v>121.85</v>
      </c>
      <c r="AK30" s="115">
        <f t="shared" si="44"/>
        <v>591.70591948720426</v>
      </c>
      <c r="AL30" s="139">
        <v>32.799999999999997</v>
      </c>
      <c r="AM30" s="131"/>
      <c r="AN30" s="157">
        <v>13.9</v>
      </c>
      <c r="AO30" s="466">
        <v>58.95</v>
      </c>
      <c r="AP30" s="110">
        <f t="shared" si="45"/>
        <v>0.21498905908096283</v>
      </c>
      <c r="AQ30" s="158" t="s">
        <v>351</v>
      </c>
      <c r="AR30" s="404">
        <v>7.37</v>
      </c>
      <c r="AS30" s="159">
        <v>8.2100000000000009</v>
      </c>
      <c r="AT30" s="155"/>
      <c r="AU30" s="149">
        <v>6.82</v>
      </c>
      <c r="AV30" s="156">
        <v>274.2</v>
      </c>
      <c r="AW30" s="131">
        <v>4.58</v>
      </c>
      <c r="AX30" s="164"/>
      <c r="AY30" s="149"/>
      <c r="AZ30" s="109">
        <f t="shared" si="57"/>
        <v>0</v>
      </c>
      <c r="BA30" s="598">
        <f t="shared" si="46"/>
        <v>205.93</v>
      </c>
      <c r="BB30" s="115">
        <f t="shared" si="47"/>
        <v>204.52594571369633</v>
      </c>
      <c r="BC30" s="140">
        <f t="shared" si="48"/>
        <v>6.4374556338028164</v>
      </c>
      <c r="BD30" s="141">
        <f t="shared" si="59"/>
        <v>8.2371999999999996</v>
      </c>
      <c r="BE30" s="128">
        <f t="shared" si="50"/>
        <v>0.87899307529255455</v>
      </c>
      <c r="BF30" s="141">
        <f t="shared" si="51"/>
        <v>14.674655633802816</v>
      </c>
      <c r="BG30" s="537">
        <v>0.91400000000000003</v>
      </c>
      <c r="BH30" s="16">
        <f t="shared" si="28"/>
        <v>4873.0999999999995</v>
      </c>
      <c r="BI30" s="16">
        <f t="shared" si="18"/>
        <v>220</v>
      </c>
      <c r="BJ30" s="16">
        <f t="shared" si="29"/>
        <v>5280</v>
      </c>
      <c r="BK30" s="17">
        <f t="shared" si="19"/>
        <v>1</v>
      </c>
      <c r="BL30" s="16">
        <f t="shared" si="30"/>
        <v>5280</v>
      </c>
      <c r="BM30" s="255">
        <v>111.953</v>
      </c>
      <c r="BN30" s="210">
        <v>87.956999999999994</v>
      </c>
      <c r="BO30" s="210"/>
      <c r="BP30" s="210">
        <v>256.07499999999999</v>
      </c>
      <c r="BQ30" s="233"/>
      <c r="BR30" s="233">
        <v>23.975000000000001</v>
      </c>
      <c r="BS30" s="260"/>
      <c r="BT30" s="212"/>
      <c r="BU30" s="213">
        <v>1.91</v>
      </c>
      <c r="BV30" s="213"/>
      <c r="BW30" s="213"/>
      <c r="BX30" s="213">
        <v>1.5</v>
      </c>
      <c r="BY30" s="235"/>
      <c r="BZ30" s="235">
        <v>4.28</v>
      </c>
      <c r="CA30" s="214"/>
      <c r="CB30" s="215">
        <v>36.81</v>
      </c>
      <c r="CC30" s="213">
        <v>43.41</v>
      </c>
      <c r="CD30" s="216"/>
      <c r="CE30" s="213">
        <v>36.880000000000003</v>
      </c>
      <c r="CF30" s="235"/>
      <c r="CG30" s="235">
        <v>27.61</v>
      </c>
      <c r="CH30" s="214"/>
      <c r="CI30" s="212"/>
      <c r="CJ30" s="210"/>
      <c r="CK30" s="210">
        <v>80</v>
      </c>
      <c r="CL30" s="233">
        <v>200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109.8146977</v>
      </c>
      <c r="CU30" s="24">
        <f t="shared" si="20"/>
        <v>87.956999999999994</v>
      </c>
      <c r="CV30" s="25">
        <f t="shared" si="20"/>
        <v>0</v>
      </c>
      <c r="CW30" s="24">
        <f t="shared" si="20"/>
        <v>252.23387499999998</v>
      </c>
      <c r="CX30" s="27">
        <f t="shared" si="20"/>
        <v>0</v>
      </c>
      <c r="CY30" s="24">
        <f t="shared" si="20"/>
        <v>22.948869999999999</v>
      </c>
      <c r="CZ30" s="280">
        <f t="shared" si="20"/>
        <v>0</v>
      </c>
      <c r="DA30" s="25">
        <f t="shared" si="21"/>
        <v>0</v>
      </c>
      <c r="DB30" s="26">
        <f t="shared" si="21"/>
        <v>80</v>
      </c>
      <c r="DC30" s="277">
        <f t="shared" si="21"/>
        <v>200</v>
      </c>
      <c r="DD30" s="280">
        <f t="shared" si="21"/>
        <v>0</v>
      </c>
      <c r="DE30" s="508">
        <f t="shared" si="31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2"/>
        <v>0</v>
      </c>
    </row>
    <row r="31" spans="1:115" ht="16.5" customHeight="1" thickBot="1">
      <c r="A31" s="534">
        <v>25</v>
      </c>
      <c r="B31" s="103">
        <f>'[1]сентябрь 20'!K30</f>
        <v>519.15599999999995</v>
      </c>
      <c r="C31" s="104">
        <f t="shared" si="34"/>
        <v>1.0238195840941837</v>
      </c>
      <c r="D31" s="143">
        <f t="shared" si="35"/>
        <v>513.84077919999993</v>
      </c>
      <c r="E31" s="104">
        <f t="shared" si="58"/>
        <v>37.860056013991944</v>
      </c>
      <c r="F31" s="128">
        <f t="shared" si="37"/>
        <v>2.1928083437886738</v>
      </c>
      <c r="G31" s="106"/>
      <c r="H31" s="107">
        <f t="shared" si="38"/>
        <v>1.7872691469295439</v>
      </c>
      <c r="I31" s="103">
        <f>'[1]сентябрь 20'!AE30</f>
        <v>0</v>
      </c>
      <c r="J31" s="328">
        <f>'[1]сентябрь 20'!AA30</f>
        <v>7.7380000000000004</v>
      </c>
      <c r="K31" s="106"/>
      <c r="L31" s="328">
        <f>'[1]сентябрь 20'!AI30</f>
        <v>95.03</v>
      </c>
      <c r="M31" s="103">
        <f t="shared" si="39"/>
        <v>0.40553919685913026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'[1]сентябрь 20'!S30</f>
        <v>308.577</v>
      </c>
      <c r="S31" s="108">
        <f t="shared" si="40"/>
        <v>2.6434244937244333</v>
      </c>
      <c r="T31" s="109">
        <f t="shared" si="41"/>
        <v>300.41999999999996</v>
      </c>
      <c r="U31" s="566">
        <v>3.53</v>
      </c>
      <c r="V31" s="109">
        <f t="shared" si="42"/>
        <v>300.41999999999996</v>
      </c>
      <c r="W31" s="110">
        <f t="shared" si="43"/>
        <v>1.2820381513250543</v>
      </c>
      <c r="X31" s="110">
        <f t="shared" si="26"/>
        <v>1.2820381513250543</v>
      </c>
      <c r="Y31" s="136">
        <v>239.38</v>
      </c>
      <c r="Z31" s="136">
        <v>144.52000000000001</v>
      </c>
      <c r="AA31" s="131">
        <v>0.91</v>
      </c>
      <c r="AB31" s="133">
        <v>602</v>
      </c>
      <c r="AC31" s="133">
        <v>1200</v>
      </c>
      <c r="AD31" s="144" t="s">
        <v>174</v>
      </c>
      <c r="AE31" s="131">
        <v>75.83</v>
      </c>
      <c r="AF31" s="133">
        <v>173</v>
      </c>
      <c r="AG31" s="134">
        <v>5</v>
      </c>
      <c r="AH31" s="131">
        <v>6.75</v>
      </c>
      <c r="AI31" s="115">
        <f t="shared" si="10"/>
        <v>28.805530661887079</v>
      </c>
      <c r="AJ31" s="131">
        <v>130.1</v>
      </c>
      <c r="AK31" s="115">
        <f t="shared" si="44"/>
        <v>555.1999317202235</v>
      </c>
      <c r="AL31" s="139">
        <v>40.97</v>
      </c>
      <c r="AM31" s="131"/>
      <c r="AN31" s="136">
        <v>17.95</v>
      </c>
      <c r="AO31" s="466">
        <v>64.48</v>
      </c>
      <c r="AP31" s="110">
        <f t="shared" si="45"/>
        <v>0.2061381074168798</v>
      </c>
      <c r="AQ31" s="137" t="s">
        <v>437</v>
      </c>
      <c r="AR31" s="150">
        <v>7.78</v>
      </c>
      <c r="AS31" s="138">
        <v>8.57</v>
      </c>
      <c r="AT31" s="134"/>
      <c r="AU31" s="131">
        <v>5.81</v>
      </c>
      <c r="AV31" s="139">
        <v>312.8</v>
      </c>
      <c r="AW31" s="131">
        <v>3.96</v>
      </c>
      <c r="AX31" s="148"/>
      <c r="AY31" s="131"/>
      <c r="AZ31" s="109">
        <f t="shared" si="57"/>
        <v>0</v>
      </c>
      <c r="BA31" s="598">
        <f t="shared" si="46"/>
        <v>234.33</v>
      </c>
      <c r="BB31" s="115">
        <f t="shared" si="47"/>
        <v>223.96647126561436</v>
      </c>
      <c r="BC31" s="140">
        <f t="shared" si="48"/>
        <v>5.8554161971830982</v>
      </c>
      <c r="BD31" s="141">
        <f t="shared" si="59"/>
        <v>9.3732000000000006</v>
      </c>
      <c r="BE31" s="128">
        <f t="shared" si="50"/>
        <v>0.9133960491675065</v>
      </c>
      <c r="BF31" s="141">
        <f t="shared" si="51"/>
        <v>15.228616197183099</v>
      </c>
      <c r="BG31" s="535">
        <v>0.91400000000000003</v>
      </c>
      <c r="BH31" s="16">
        <f t="shared" si="28"/>
        <v>5107.4299999999994</v>
      </c>
      <c r="BI31" s="16">
        <f t="shared" si="18"/>
        <v>220</v>
      </c>
      <c r="BJ31" s="16">
        <f t="shared" si="29"/>
        <v>5500</v>
      </c>
      <c r="BK31" s="17">
        <f>IF(BA31&lt;&gt;0,1,0)</f>
        <v>1</v>
      </c>
      <c r="BL31" s="16">
        <f t="shared" si="30"/>
        <v>5500</v>
      </c>
      <c r="BM31" s="254">
        <v>121.155</v>
      </c>
      <c r="BN31" s="197">
        <v>95.03</v>
      </c>
      <c r="BO31" s="197"/>
      <c r="BP31" s="197">
        <v>277.19</v>
      </c>
      <c r="BQ31" s="230"/>
      <c r="BR31" s="230">
        <v>25.780999999999999</v>
      </c>
      <c r="BS31" s="259"/>
      <c r="BT31" s="199"/>
      <c r="BU31" s="200">
        <v>1.1399999999999999</v>
      </c>
      <c r="BV31" s="200"/>
      <c r="BW31" s="200"/>
      <c r="BX31" s="200">
        <v>1.17</v>
      </c>
      <c r="BY31" s="208"/>
      <c r="BZ31" s="208">
        <v>2.68</v>
      </c>
      <c r="CA31" s="201"/>
      <c r="CB31" s="202">
        <v>36.06</v>
      </c>
      <c r="CC31" s="200">
        <v>43.32</v>
      </c>
      <c r="CD31" s="200"/>
      <c r="CE31" s="200">
        <v>37.4</v>
      </c>
      <c r="CF31" s="208"/>
      <c r="CG31" s="208">
        <v>31.14</v>
      </c>
      <c r="CH31" s="209"/>
      <c r="CI31" s="199"/>
      <c r="CJ31" s="197"/>
      <c r="CK31" s="197">
        <v>86.5</v>
      </c>
      <c r="CL31" s="230">
        <v>213.92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119.77383300000001</v>
      </c>
      <c r="CU31" s="24">
        <f t="shared" si="20"/>
        <v>95.03</v>
      </c>
      <c r="CV31" s="25">
        <f t="shared" si="20"/>
        <v>0</v>
      </c>
      <c r="CW31" s="24">
        <f t="shared" si="20"/>
        <v>273.94687699999997</v>
      </c>
      <c r="CX31" s="27">
        <f t="shared" si="20"/>
        <v>0</v>
      </c>
      <c r="CY31" s="24">
        <f t="shared" si="20"/>
        <v>25.090069199999999</v>
      </c>
      <c r="CZ31" s="280">
        <f t="shared" si="20"/>
        <v>0</v>
      </c>
      <c r="DA31" s="28">
        <f t="shared" si="21"/>
        <v>0</v>
      </c>
      <c r="DB31" s="24">
        <f t="shared" si="21"/>
        <v>86.5</v>
      </c>
      <c r="DC31" s="277">
        <f t="shared" si="21"/>
        <v>213.92</v>
      </c>
      <c r="DD31" s="280">
        <f t="shared" si="21"/>
        <v>0</v>
      </c>
      <c r="DE31" s="508">
        <f t="shared" si="31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2"/>
        <v>0</v>
      </c>
    </row>
    <row r="32" spans="1:115" ht="16.5" customHeight="1" thickBot="1">
      <c r="A32" s="534">
        <v>26</v>
      </c>
      <c r="B32" s="103">
        <f>'[1]сентябрь 20'!K31</f>
        <v>509.97199999999998</v>
      </c>
      <c r="C32" s="104">
        <f t="shared" si="34"/>
        <v>0.9198008910293114</v>
      </c>
      <c r="D32" s="143">
        <f t="shared" si="35"/>
        <v>505.281273</v>
      </c>
      <c r="E32" s="104">
        <f t="shared" si="58"/>
        <v>38.066316660522546</v>
      </c>
      <c r="F32" s="128">
        <f t="shared" si="37"/>
        <v>2.2447966280154605</v>
      </c>
      <c r="G32" s="106"/>
      <c r="H32" s="107">
        <f t="shared" si="38"/>
        <v>1.8293761295481807</v>
      </c>
      <c r="I32" s="103">
        <f>'[1]сентябрь 20'!AE31</f>
        <v>0</v>
      </c>
      <c r="J32" s="328">
        <f>'[1]сентябрь 20'!AA31</f>
        <v>7.2480000000000002</v>
      </c>
      <c r="K32" s="106"/>
      <c r="L32" s="328">
        <f>'[1]сентябрь 20'!AI31</f>
        <v>93.507000000000005</v>
      </c>
      <c r="M32" s="103">
        <f t="shared" si="39"/>
        <v>0.4154204984672798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'[1]сентябрь 20'!S31</f>
        <v>302.75299999999999</v>
      </c>
      <c r="S32" s="108">
        <f t="shared" si="40"/>
        <v>2.6368029383688985</v>
      </c>
      <c r="T32" s="109">
        <f t="shared" si="41"/>
        <v>294.77</v>
      </c>
      <c r="U32" s="566"/>
      <c r="V32" s="109">
        <f t="shared" si="42"/>
        <v>294.77</v>
      </c>
      <c r="W32" s="110">
        <f t="shared" si="43"/>
        <v>1.3095650628637432</v>
      </c>
      <c r="X32" s="110">
        <f t="shared" si="26"/>
        <v>1.3095650628637432</v>
      </c>
      <c r="Y32" s="136">
        <v>184.66</v>
      </c>
      <c r="Z32" s="136">
        <v>173.45</v>
      </c>
      <c r="AA32" s="131">
        <v>0.81</v>
      </c>
      <c r="AB32" s="133">
        <v>588</v>
      </c>
      <c r="AC32" s="133">
        <v>1208</v>
      </c>
      <c r="AD32" s="144" t="s">
        <v>438</v>
      </c>
      <c r="AE32" s="131">
        <v>75.489999999999995</v>
      </c>
      <c r="AF32" s="133">
        <v>170</v>
      </c>
      <c r="AG32" s="134">
        <v>5</v>
      </c>
      <c r="AH32" s="131">
        <v>4.5999999999999996</v>
      </c>
      <c r="AI32" s="115">
        <f t="shared" si="10"/>
        <v>20.436269936469852</v>
      </c>
      <c r="AJ32" s="131">
        <v>130.9</v>
      </c>
      <c r="AK32" s="115">
        <f t="shared" si="44"/>
        <v>581.54515971389219</v>
      </c>
      <c r="AL32" s="139">
        <v>35.49</v>
      </c>
      <c r="AM32" s="131"/>
      <c r="AN32" s="136">
        <v>15.71</v>
      </c>
      <c r="AO32" s="466">
        <v>61.05</v>
      </c>
      <c r="AP32" s="110">
        <f t="shared" si="45"/>
        <v>0.20448836040864174</v>
      </c>
      <c r="AQ32" s="137" t="s">
        <v>439</v>
      </c>
      <c r="AR32" s="150">
        <v>7.56</v>
      </c>
      <c r="AS32" s="138">
        <v>8.85</v>
      </c>
      <c r="AT32" s="134"/>
      <c r="AU32" s="131">
        <v>7.08</v>
      </c>
      <c r="AV32" s="139">
        <v>298.55</v>
      </c>
      <c r="AW32" s="131">
        <v>3.3</v>
      </c>
      <c r="AX32" s="148"/>
      <c r="AY32" s="131"/>
      <c r="AZ32" s="109">
        <f t="shared" si="57"/>
        <v>0</v>
      </c>
      <c r="BA32" s="598">
        <f t="shared" si="46"/>
        <v>225.09</v>
      </c>
      <c r="BB32" s="115">
        <f t="shared" si="47"/>
        <v>222.43282460176715</v>
      </c>
      <c r="BC32" s="140">
        <f t="shared" si="48"/>
        <v>7.1792197183098594</v>
      </c>
      <c r="BD32" s="141">
        <f t="shared" si="59"/>
        <v>9.0036000000000005</v>
      </c>
      <c r="BE32" s="128">
        <f t="shared" si="50"/>
        <v>0.88342883003805939</v>
      </c>
      <c r="BF32" s="141">
        <f t="shared" si="51"/>
        <v>16.182819718309858</v>
      </c>
      <c r="BG32" s="535">
        <v>0.91300000000000003</v>
      </c>
      <c r="BH32" s="16">
        <f t="shared" si="28"/>
        <v>5332.5199999999995</v>
      </c>
      <c r="BI32" s="16">
        <f t="shared" si="18"/>
        <v>220</v>
      </c>
      <c r="BJ32" s="16">
        <f t="shared" si="29"/>
        <v>5720</v>
      </c>
      <c r="BK32" s="17">
        <f>IF(BA32&lt;&gt;0,1,0)</f>
        <v>1</v>
      </c>
      <c r="BL32" s="16">
        <f t="shared" si="30"/>
        <v>5720</v>
      </c>
      <c r="BM32" s="254">
        <v>118.98</v>
      </c>
      <c r="BN32" s="197">
        <v>93.507000000000005</v>
      </c>
      <c r="BO32" s="197"/>
      <c r="BP32" s="197">
        <v>272.18</v>
      </c>
      <c r="BQ32" s="230"/>
      <c r="BR32" s="230">
        <v>25.305</v>
      </c>
      <c r="BS32" s="258"/>
      <c r="BT32" s="199"/>
      <c r="BU32" s="200">
        <v>0.97</v>
      </c>
      <c r="BV32" s="200"/>
      <c r="BW32" s="200"/>
      <c r="BX32" s="200">
        <v>1</v>
      </c>
      <c r="BY32" s="208"/>
      <c r="BZ32" s="208">
        <v>3.22</v>
      </c>
      <c r="CA32" s="201"/>
      <c r="CB32" s="202">
        <v>36.68</v>
      </c>
      <c r="CC32" s="200">
        <v>43.42</v>
      </c>
      <c r="CD32" s="200"/>
      <c r="CE32" s="200">
        <v>37.57</v>
      </c>
      <c r="CF32" s="208"/>
      <c r="CG32" s="208">
        <v>30.14</v>
      </c>
      <c r="CH32" s="209"/>
      <c r="CI32" s="199"/>
      <c r="CJ32" s="197"/>
      <c r="CK32" s="197">
        <v>85</v>
      </c>
      <c r="CL32" s="230">
        <v>209.77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117.82589400000001</v>
      </c>
      <c r="CU32" s="24">
        <f t="shared" si="20"/>
        <v>93.507000000000005</v>
      </c>
      <c r="CV32" s="25">
        <f t="shared" si="20"/>
        <v>0</v>
      </c>
      <c r="CW32" s="24">
        <f t="shared" si="20"/>
        <v>269.45819999999998</v>
      </c>
      <c r="CX32" s="27">
        <f t="shared" si="20"/>
        <v>0</v>
      </c>
      <c r="CY32" s="24">
        <f t="shared" si="20"/>
        <v>24.490179000000001</v>
      </c>
      <c r="CZ32" s="280">
        <f t="shared" si="20"/>
        <v>0</v>
      </c>
      <c r="DA32" s="25">
        <f t="shared" si="21"/>
        <v>0</v>
      </c>
      <c r="DB32" s="24">
        <f t="shared" si="21"/>
        <v>85</v>
      </c>
      <c r="DC32" s="277">
        <f t="shared" si="21"/>
        <v>209.77</v>
      </c>
      <c r="DD32" s="280">
        <f t="shared" si="21"/>
        <v>0</v>
      </c>
      <c r="DE32" s="508">
        <f t="shared" si="31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2"/>
        <v>0</v>
      </c>
    </row>
    <row r="33" spans="1:115" ht="16.5" customHeight="1" thickBot="1">
      <c r="A33" s="534">
        <v>27</v>
      </c>
      <c r="B33" s="103">
        <f>'[1]сентябрь 20'!K32</f>
        <v>509.666</v>
      </c>
      <c r="C33" s="104">
        <f t="shared" si="34"/>
        <v>0.69770520301530814</v>
      </c>
      <c r="D33" s="143">
        <f t="shared" si="35"/>
        <v>506.1100338</v>
      </c>
      <c r="E33" s="104">
        <f t="shared" si="58"/>
        <v>38.378843988023533</v>
      </c>
      <c r="F33" s="128">
        <f t="shared" si="37"/>
        <v>2.2235843495452747</v>
      </c>
      <c r="G33" s="106"/>
      <c r="H33" s="107">
        <f t="shared" si="38"/>
        <v>1.812952127762401</v>
      </c>
      <c r="I33" s="103">
        <f>'[1]сентябрь 20'!AE32</f>
        <v>0</v>
      </c>
      <c r="J33" s="328">
        <f>'[1]сентябрь 20'!AA32</f>
        <v>6.55</v>
      </c>
      <c r="K33" s="106">
        <v>17.850000000000001</v>
      </c>
      <c r="L33" s="328">
        <f>'[1]сентябрь 20'!AI32</f>
        <v>93.463999999999999</v>
      </c>
      <c r="M33" s="103">
        <f t="shared" si="39"/>
        <v>0.41063222178287423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'[1]сентябрь 20'!S32</f>
        <v>301.18700000000001</v>
      </c>
      <c r="S33" s="108">
        <f t="shared" si="40"/>
        <v>2.6086783294099636</v>
      </c>
      <c r="T33" s="109">
        <f t="shared" si="41"/>
        <v>293.33000000000004</v>
      </c>
      <c r="U33" s="566">
        <v>30.04</v>
      </c>
      <c r="V33" s="109">
        <f t="shared" si="42"/>
        <v>293.33000000000004</v>
      </c>
      <c r="W33" s="110">
        <f t="shared" si="43"/>
        <v>1.2887395105663197</v>
      </c>
      <c r="X33" s="110">
        <f t="shared" si="26"/>
        <v>1.2887395105663197</v>
      </c>
      <c r="Y33" s="136">
        <v>238.39</v>
      </c>
      <c r="Z33" s="136">
        <v>192.32</v>
      </c>
      <c r="AA33" s="131">
        <v>0.94</v>
      </c>
      <c r="AB33" s="133">
        <v>619</v>
      </c>
      <c r="AC33" s="133">
        <v>1213</v>
      </c>
      <c r="AD33" s="144" t="s">
        <v>176</v>
      </c>
      <c r="AE33" s="131">
        <v>75.52</v>
      </c>
      <c r="AF33" s="133">
        <v>170</v>
      </c>
      <c r="AG33" s="134">
        <v>5</v>
      </c>
      <c r="AH33" s="131">
        <v>3.15</v>
      </c>
      <c r="AI33" s="115">
        <f t="shared" si="10"/>
        <v>13.839462238038751</v>
      </c>
      <c r="AJ33" s="131">
        <v>132.55000000000001</v>
      </c>
      <c r="AK33" s="115">
        <f t="shared" si="44"/>
        <v>582.35578401651958</v>
      </c>
      <c r="AL33" s="139">
        <v>41.44</v>
      </c>
      <c r="AM33" s="131"/>
      <c r="AN33" s="136">
        <v>17.28</v>
      </c>
      <c r="AO33" s="466">
        <v>69.540000000000006</v>
      </c>
      <c r="AP33" s="110">
        <f t="shared" si="45"/>
        <v>0.22486661277283754</v>
      </c>
      <c r="AQ33" s="137" t="s">
        <v>329</v>
      </c>
      <c r="AR33" s="150">
        <v>7.48</v>
      </c>
      <c r="AS33" s="138">
        <v>8.57</v>
      </c>
      <c r="AT33" s="134"/>
      <c r="AU33" s="131">
        <v>7.27</v>
      </c>
      <c r="AV33" s="139">
        <v>309.25</v>
      </c>
      <c r="AW33" s="131">
        <v>5.18</v>
      </c>
      <c r="AX33" s="116"/>
      <c r="AY33" s="131"/>
      <c r="AZ33" s="109">
        <f t="shared" si="57"/>
        <v>0</v>
      </c>
      <c r="BA33" s="598">
        <f t="shared" si="46"/>
        <v>227.60999999999999</v>
      </c>
      <c r="BB33" s="115">
        <f t="shared" si="47"/>
        <v>224.53761173768024</v>
      </c>
      <c r="BC33" s="140">
        <f t="shared" si="48"/>
        <v>7.4648052816901407</v>
      </c>
      <c r="BD33" s="141">
        <f t="shared" si="59"/>
        <v>9.1044</v>
      </c>
      <c r="BE33" s="128">
        <f t="shared" si="50"/>
        <v>0.8849454149897108</v>
      </c>
      <c r="BF33" s="141">
        <f t="shared" si="51"/>
        <v>16.569205281690142</v>
      </c>
      <c r="BG33" s="535">
        <v>0.91100000000000003</v>
      </c>
      <c r="BH33" s="16">
        <f t="shared" si="28"/>
        <v>5560.1299999999992</v>
      </c>
      <c r="BI33" s="16">
        <f t="shared" si="18"/>
        <v>220</v>
      </c>
      <c r="BJ33" s="16">
        <f t="shared" si="29"/>
        <v>5940</v>
      </c>
      <c r="BK33" s="17">
        <f t="shared" si="19"/>
        <v>1</v>
      </c>
      <c r="BL33" s="16">
        <f t="shared" si="30"/>
        <v>5940</v>
      </c>
      <c r="BM33" s="254">
        <v>119.086</v>
      </c>
      <c r="BN33" s="197">
        <v>93.463999999999999</v>
      </c>
      <c r="BO33" s="197"/>
      <c r="BP33" s="197">
        <v>271.69499999999999</v>
      </c>
      <c r="BQ33" s="230"/>
      <c r="BR33" s="230">
        <v>25.420999999999999</v>
      </c>
      <c r="BS33" s="258"/>
      <c r="BT33" s="199"/>
      <c r="BU33" s="200">
        <v>0.66</v>
      </c>
      <c r="BV33" s="200"/>
      <c r="BW33" s="200"/>
      <c r="BX33" s="200">
        <v>0.78</v>
      </c>
      <c r="BY33" s="208"/>
      <c r="BZ33" s="208">
        <v>2.56</v>
      </c>
      <c r="CA33" s="201"/>
      <c r="CB33" s="202">
        <v>36.33</v>
      </c>
      <c r="CC33" s="200">
        <v>43.48</v>
      </c>
      <c r="CD33" s="200"/>
      <c r="CE33" s="200">
        <v>38.03</v>
      </c>
      <c r="CF33" s="208"/>
      <c r="CG33" s="208">
        <v>32.950000000000003</v>
      </c>
      <c r="CH33" s="209"/>
      <c r="CI33" s="199"/>
      <c r="CJ33" s="197"/>
      <c r="CK33" s="197">
        <v>85</v>
      </c>
      <c r="CL33" s="230">
        <v>208.33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118.30003240000001</v>
      </c>
      <c r="CU33" s="24">
        <f t="shared" si="20"/>
        <v>93.463999999999999</v>
      </c>
      <c r="CV33" s="25">
        <f t="shared" si="20"/>
        <v>0</v>
      </c>
      <c r="CW33" s="24">
        <f t="shared" si="20"/>
        <v>269.57577900000001</v>
      </c>
      <c r="CX33" s="27">
        <f t="shared" si="20"/>
        <v>0</v>
      </c>
      <c r="CY33" s="24">
        <f t="shared" si="20"/>
        <v>24.770222399999998</v>
      </c>
      <c r="CZ33" s="280">
        <f t="shared" si="20"/>
        <v>0</v>
      </c>
      <c r="DA33" s="25">
        <f t="shared" si="21"/>
        <v>0</v>
      </c>
      <c r="DB33" s="24">
        <f t="shared" si="21"/>
        <v>85</v>
      </c>
      <c r="DC33" s="277">
        <f t="shared" si="21"/>
        <v>208.33</v>
      </c>
      <c r="DD33" s="280">
        <f t="shared" si="21"/>
        <v>0</v>
      </c>
      <c r="DE33" s="508">
        <f t="shared" si="31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2"/>
        <v>0</v>
      </c>
    </row>
    <row r="34" spans="1:115" ht="16.5" customHeight="1" thickBot="1">
      <c r="A34" s="534">
        <v>28</v>
      </c>
      <c r="B34" s="103">
        <f>'[1]сентябрь 20'!K33</f>
        <v>507.05500000000001</v>
      </c>
      <c r="C34" s="104">
        <f t="shared" si="34"/>
        <v>0.84518133141375196</v>
      </c>
      <c r="D34" s="143">
        <f t="shared" si="35"/>
        <v>502.76946579999998</v>
      </c>
      <c r="E34" s="104">
        <f t="shared" si="58"/>
        <v>37.518587411622015</v>
      </c>
      <c r="F34" s="128">
        <f t="shared" si="37"/>
        <v>2.284692655639371</v>
      </c>
      <c r="G34" s="106"/>
      <c r="H34" s="107">
        <f t="shared" si="38"/>
        <v>1.862485075888394</v>
      </c>
      <c r="I34" s="103">
        <f>'[1]сентябрь 20'!AE33</f>
        <v>0</v>
      </c>
      <c r="J34" s="328">
        <f>'[1]сентябрь 20'!AA33</f>
        <v>7.0110000000000001</v>
      </c>
      <c r="K34" s="106">
        <v>3.02</v>
      </c>
      <c r="L34" s="328">
        <f>'[1]сентябрь 20'!AI33</f>
        <v>92.911000000000001</v>
      </c>
      <c r="M34" s="103">
        <f t="shared" si="39"/>
        <v>0.422207579750977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'[1]сентябрь 20'!S33</f>
        <v>300.47000000000003</v>
      </c>
      <c r="S34" s="108">
        <f t="shared" si="40"/>
        <v>2.8854794155822594</v>
      </c>
      <c r="T34" s="109">
        <f t="shared" si="41"/>
        <v>291.80000000000007</v>
      </c>
      <c r="U34" s="566">
        <v>54.46</v>
      </c>
      <c r="V34" s="109">
        <f t="shared" si="42"/>
        <v>291.8</v>
      </c>
      <c r="W34" s="110">
        <f t="shared" si="43"/>
        <v>1.3260019994546945</v>
      </c>
      <c r="X34" s="110">
        <f t="shared" si="26"/>
        <v>1.3260019994546945</v>
      </c>
      <c r="Y34" s="157">
        <v>226.36</v>
      </c>
      <c r="Z34" s="157">
        <v>186.51</v>
      </c>
      <c r="AA34" s="149">
        <v>0.91</v>
      </c>
      <c r="AB34" s="147">
        <v>648</v>
      </c>
      <c r="AC34" s="147">
        <v>1218</v>
      </c>
      <c r="AD34" s="144" t="s">
        <v>222</v>
      </c>
      <c r="AE34" s="149">
        <v>76.09</v>
      </c>
      <c r="AF34" s="147">
        <v>169</v>
      </c>
      <c r="AG34" s="155">
        <v>5</v>
      </c>
      <c r="AH34" s="149">
        <v>6.3</v>
      </c>
      <c r="AI34" s="115">
        <f t="shared" si="10"/>
        <v>28.628555848404979</v>
      </c>
      <c r="AJ34" s="149">
        <v>136.94999999999999</v>
      </c>
      <c r="AK34" s="115">
        <f t="shared" si="44"/>
        <v>622.3302735617558</v>
      </c>
      <c r="AL34" s="156">
        <v>35.46</v>
      </c>
      <c r="AM34" s="149"/>
      <c r="AN34" s="157">
        <v>14.97</v>
      </c>
      <c r="AO34" s="466">
        <v>61.95</v>
      </c>
      <c r="AP34" s="110">
        <f t="shared" si="45"/>
        <v>0.21150563332195291</v>
      </c>
      <c r="AQ34" s="158" t="s">
        <v>442</v>
      </c>
      <c r="AR34" s="404">
        <v>8.1999999999999993</v>
      </c>
      <c r="AS34" s="159">
        <v>7.91</v>
      </c>
      <c r="AT34" s="155"/>
      <c r="AU34" s="149">
        <v>8.27</v>
      </c>
      <c r="AV34" s="156">
        <v>292.89999999999998</v>
      </c>
      <c r="AW34" s="131">
        <v>4.08</v>
      </c>
      <c r="AX34" s="148"/>
      <c r="AY34" s="149"/>
      <c r="AZ34" s="109">
        <f t="shared" si="57"/>
        <v>0</v>
      </c>
      <c r="BA34" s="598">
        <f t="shared" si="46"/>
        <v>220.06</v>
      </c>
      <c r="BB34" s="115">
        <f t="shared" si="47"/>
        <v>216.42231214872922</v>
      </c>
      <c r="BC34" s="140">
        <f t="shared" si="48"/>
        <v>8.7734799295774639</v>
      </c>
      <c r="BD34" s="141">
        <f t="shared" si="59"/>
        <v>8.8024000000000004</v>
      </c>
      <c r="BE34" s="128">
        <f t="shared" si="50"/>
        <v>0.8876736325965181</v>
      </c>
      <c r="BF34" s="141">
        <f t="shared" si="51"/>
        <v>17.575879929577464</v>
      </c>
      <c r="BG34" s="538">
        <v>0.91100000000000003</v>
      </c>
      <c r="BH34" s="16">
        <f t="shared" si="28"/>
        <v>5780.19</v>
      </c>
      <c r="BI34" s="16">
        <f t="shared" si="18"/>
        <v>220</v>
      </c>
      <c r="BJ34" s="16">
        <f t="shared" si="29"/>
        <v>6160</v>
      </c>
      <c r="BK34" s="17">
        <f t="shared" si="19"/>
        <v>1</v>
      </c>
      <c r="BL34" s="16">
        <f t="shared" si="30"/>
        <v>6160</v>
      </c>
      <c r="BM34" s="255">
        <v>118.298</v>
      </c>
      <c r="BN34" s="210">
        <v>92.911000000000001</v>
      </c>
      <c r="BO34" s="210"/>
      <c r="BP34" s="210">
        <v>270.39999999999998</v>
      </c>
      <c r="BQ34" s="233"/>
      <c r="BR34" s="233">
        <v>25.446000000000002</v>
      </c>
      <c r="BS34" s="260"/>
      <c r="BT34" s="212"/>
      <c r="BU34" s="213">
        <v>0.85</v>
      </c>
      <c r="BV34" s="213"/>
      <c r="BW34" s="213"/>
      <c r="BX34" s="213">
        <v>0.91</v>
      </c>
      <c r="BY34" s="235"/>
      <c r="BZ34" s="235">
        <v>3.22</v>
      </c>
      <c r="CA34" s="214"/>
      <c r="CB34" s="215">
        <v>35.83</v>
      </c>
      <c r="CC34" s="213">
        <v>43.1</v>
      </c>
      <c r="CD34" s="213"/>
      <c r="CE34" s="213">
        <v>37.08</v>
      </c>
      <c r="CF34" s="235"/>
      <c r="CG34" s="235">
        <v>29.65</v>
      </c>
      <c r="CH34" s="211"/>
      <c r="CI34" s="212"/>
      <c r="CJ34" s="210"/>
      <c r="CK34" s="210"/>
      <c r="CL34" s="233">
        <v>207.3</v>
      </c>
      <c r="CM34" s="198">
        <v>84.5</v>
      </c>
      <c r="CN34" s="202"/>
      <c r="CO34" s="208"/>
      <c r="CP34" s="208"/>
      <c r="CQ34" s="209"/>
      <c r="CR34" s="201"/>
      <c r="CS34" s="284"/>
      <c r="CT34" s="286">
        <f t="shared" si="20"/>
        <v>117.292467</v>
      </c>
      <c r="CU34" s="24">
        <f t="shared" si="20"/>
        <v>92.911000000000001</v>
      </c>
      <c r="CV34" s="25">
        <f t="shared" si="20"/>
        <v>0</v>
      </c>
      <c r="CW34" s="24">
        <f t="shared" si="20"/>
        <v>267.93935999999997</v>
      </c>
      <c r="CX34" s="27">
        <f t="shared" si="20"/>
        <v>0</v>
      </c>
      <c r="CY34" s="24">
        <f t="shared" si="20"/>
        <v>24.626638800000002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207.3</v>
      </c>
      <c r="DD34" s="280">
        <f t="shared" si="21"/>
        <v>84.5</v>
      </c>
      <c r="DE34" s="508">
        <f t="shared" si="31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2"/>
        <v>0</v>
      </c>
    </row>
    <row r="35" spans="1:115" ht="16.5" customHeight="1" thickBot="1">
      <c r="A35" s="534">
        <v>29</v>
      </c>
      <c r="B35" s="103">
        <f>'[1]сентябрь 20'!K34</f>
        <v>506.73700000000002</v>
      </c>
      <c r="C35" s="104">
        <f t="shared" si="34"/>
        <v>0.912430688897791</v>
      </c>
      <c r="D35" s="143">
        <f t="shared" si="35"/>
        <v>502.1133761000001</v>
      </c>
      <c r="E35" s="104">
        <f t="shared" si="58"/>
        <v>38.204626561707549</v>
      </c>
      <c r="F35" s="128">
        <f t="shared" si="37"/>
        <v>2.3290197880235639</v>
      </c>
      <c r="G35" s="106"/>
      <c r="H35" s="107">
        <f t="shared" si="38"/>
        <v>1.8981881167957697</v>
      </c>
      <c r="I35" s="103">
        <f>'[1]сентябрь 20'!AE34</f>
        <v>0</v>
      </c>
      <c r="J35" s="328">
        <f>'[1]сентябрь 20'!AA34</f>
        <v>5.8780000000000001</v>
      </c>
      <c r="K35" s="106"/>
      <c r="L35" s="328">
        <f>'[1]сентябрь 20'!AI34</f>
        <v>92.882999999999996</v>
      </c>
      <c r="M35" s="103">
        <f t="shared" si="39"/>
        <v>0.43083167122779353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'[1]сентябрь 20'!S34</f>
        <v>302.91899999999998</v>
      </c>
      <c r="S35" s="108">
        <f t="shared" si="40"/>
        <v>2.809001746341433</v>
      </c>
      <c r="T35" s="109">
        <f t="shared" si="41"/>
        <v>294.40999999999997</v>
      </c>
      <c r="U35" s="566">
        <v>4.59</v>
      </c>
      <c r="V35" s="109">
        <f t="shared" si="42"/>
        <v>294.40999999999997</v>
      </c>
      <c r="W35" s="110">
        <f t="shared" si="43"/>
        <v>1.3656013729764831</v>
      </c>
      <c r="X35" s="110">
        <f t="shared" si="26"/>
        <v>1.3656013729764831</v>
      </c>
      <c r="Y35" s="136">
        <v>226.69</v>
      </c>
      <c r="Z35" s="136">
        <v>226.69</v>
      </c>
      <c r="AA35" s="131">
        <v>0.56000000000000005</v>
      </c>
      <c r="AB35" s="133">
        <v>574</v>
      </c>
      <c r="AC35" s="133">
        <v>1209</v>
      </c>
      <c r="AD35" s="144" t="s">
        <v>252</v>
      </c>
      <c r="AE35" s="131">
        <v>75.77</v>
      </c>
      <c r="AF35" s="133">
        <v>169</v>
      </c>
      <c r="AG35" s="134">
        <v>5</v>
      </c>
      <c r="AH35" s="166">
        <v>10.25</v>
      </c>
      <c r="AI35" s="115">
        <f t="shared" si="10"/>
        <v>47.543949162762658</v>
      </c>
      <c r="AJ35" s="166">
        <v>138.85</v>
      </c>
      <c r="AK35" s="115">
        <f t="shared" si="44"/>
        <v>644.04656987800922</v>
      </c>
      <c r="AL35" s="139">
        <v>38.96</v>
      </c>
      <c r="AM35" s="131"/>
      <c r="AN35" s="167">
        <v>17.71</v>
      </c>
      <c r="AO35" s="466">
        <v>67.7</v>
      </c>
      <c r="AP35" s="110">
        <f t="shared" si="45"/>
        <v>0.22725746894931187</v>
      </c>
      <c r="AQ35" s="168" t="s">
        <v>348</v>
      </c>
      <c r="AR35" s="405">
        <v>7.2</v>
      </c>
      <c r="AS35" s="169">
        <v>8.2899999999999991</v>
      </c>
      <c r="AT35" s="170"/>
      <c r="AU35" s="166">
        <v>8.49</v>
      </c>
      <c r="AV35" s="171">
        <v>297.89999999999998</v>
      </c>
      <c r="AW35" s="131">
        <v>3.1</v>
      </c>
      <c r="AX35" s="116"/>
      <c r="AY35" s="131"/>
      <c r="AZ35" s="109">
        <f t="shared" si="57"/>
        <v>0</v>
      </c>
      <c r="BA35" s="598">
        <f t="shared" si="46"/>
        <v>215.58999999999997</v>
      </c>
      <c r="BB35" s="115">
        <f t="shared" si="47"/>
        <v>221.02159382731028</v>
      </c>
      <c r="BC35" s="140">
        <f t="shared" si="48"/>
        <v>9.1318320422535191</v>
      </c>
      <c r="BD35" s="141">
        <f t="shared" si="59"/>
        <v>8.6235999999999997</v>
      </c>
      <c r="BE35" s="128">
        <f t="shared" si="50"/>
        <v>0.8515460717700426</v>
      </c>
      <c r="BF35" s="141">
        <f t="shared" si="51"/>
        <v>17.755432042253517</v>
      </c>
      <c r="BG35" s="538">
        <v>0.90900000000000003</v>
      </c>
      <c r="BH35" s="16">
        <f t="shared" si="28"/>
        <v>5995.78</v>
      </c>
      <c r="BI35" s="16">
        <f t="shared" si="18"/>
        <v>220</v>
      </c>
      <c r="BJ35" s="16">
        <f t="shared" si="29"/>
        <v>6380</v>
      </c>
      <c r="BK35" s="17">
        <f t="shared" si="19"/>
        <v>1</v>
      </c>
      <c r="BL35" s="16">
        <f t="shared" si="30"/>
        <v>6380</v>
      </c>
      <c r="BM35" s="254">
        <v>143.447</v>
      </c>
      <c r="BN35" s="197">
        <v>92.882999999999996</v>
      </c>
      <c r="BO35" s="197"/>
      <c r="BP35" s="197">
        <v>270.40699999999998</v>
      </c>
      <c r="BQ35" s="230"/>
      <c r="BR35" s="230"/>
      <c r="BS35" s="259"/>
      <c r="BT35" s="199"/>
      <c r="BU35" s="200">
        <v>0.98</v>
      </c>
      <c r="BV35" s="200"/>
      <c r="BW35" s="200"/>
      <c r="BX35" s="200">
        <v>1.19</v>
      </c>
      <c r="BY35" s="208"/>
      <c r="BZ35" s="208">
        <v>2.06</v>
      </c>
      <c r="CA35" s="201"/>
      <c r="CB35" s="202">
        <v>36.17</v>
      </c>
      <c r="CC35" s="200">
        <v>43.34</v>
      </c>
      <c r="CD35" s="200"/>
      <c r="CE35" s="200">
        <v>37.520000000000003</v>
      </c>
      <c r="CF35" s="208"/>
      <c r="CG35" s="208">
        <v>28.81</v>
      </c>
      <c r="CH35" s="209"/>
      <c r="CI35" s="199"/>
      <c r="CJ35" s="197"/>
      <c r="CK35" s="197"/>
      <c r="CL35" s="230">
        <v>209.91</v>
      </c>
      <c r="CM35" s="198">
        <v>84.5</v>
      </c>
      <c r="CN35" s="202"/>
      <c r="CO35" s="208"/>
      <c r="CP35" s="208"/>
      <c r="CQ35" s="209"/>
      <c r="CR35" s="201"/>
      <c r="CT35" s="286">
        <f t="shared" si="20"/>
        <v>142.04121939999999</v>
      </c>
      <c r="CU35" s="24">
        <f t="shared" si="20"/>
        <v>92.882999999999996</v>
      </c>
      <c r="CV35" s="24">
        <f t="shared" si="20"/>
        <v>0</v>
      </c>
      <c r="CW35" s="24">
        <f t="shared" si="20"/>
        <v>267.18915669999996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209.91</v>
      </c>
      <c r="DD35" s="280">
        <f t="shared" si="21"/>
        <v>84.5</v>
      </c>
      <c r="DE35" s="508">
        <f t="shared" si="31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2"/>
        <v>0</v>
      </c>
    </row>
    <row r="36" spans="1:115" ht="16.5" customHeight="1" thickBot="1">
      <c r="A36" s="534">
        <v>30</v>
      </c>
      <c r="B36" s="103">
        <f>'[1]сентябрь 20'!K35</f>
        <v>524.30499999999995</v>
      </c>
      <c r="C36" s="104">
        <f t="shared" si="34"/>
        <v>0.98594129371262917</v>
      </c>
      <c r="D36" s="143">
        <f t="shared" si="35"/>
        <v>519.13566049999997</v>
      </c>
      <c r="E36" s="104">
        <f t="shared" si="58"/>
        <v>38.195427871181856</v>
      </c>
      <c r="F36" s="128">
        <f t="shared" si="37"/>
        <v>2.0897498611222924</v>
      </c>
      <c r="G36" s="106"/>
      <c r="H36" s="107">
        <f t="shared" si="38"/>
        <v>1.704768780693986</v>
      </c>
      <c r="I36" s="103">
        <f>'[1]сентябрь 20'!AE35</f>
        <v>0</v>
      </c>
      <c r="J36" s="328">
        <f>'[1]сентябрь 20'!AA35</f>
        <v>6.1909999999999998</v>
      </c>
      <c r="K36" s="106"/>
      <c r="L36" s="328">
        <f>'[1]сентябрь 20'!AI35</f>
        <v>95.637</v>
      </c>
      <c r="M36" s="103">
        <f t="shared" si="39"/>
        <v>0.38498108042830687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'[1]сентябрь 20'!S35</f>
        <v>321</v>
      </c>
      <c r="S36" s="108">
        <f t="shared" si="40"/>
        <v>2.8504672897196159</v>
      </c>
      <c r="T36" s="109">
        <f t="shared" si="41"/>
        <v>311.85000000000002</v>
      </c>
      <c r="U36" s="566">
        <v>37.659999999999997</v>
      </c>
      <c r="V36" s="109">
        <f t="shared" si="42"/>
        <v>311.85000000000002</v>
      </c>
      <c r="W36" s="110">
        <f t="shared" si="43"/>
        <v>1.2553337090411401</v>
      </c>
      <c r="X36" s="110">
        <f t="shared" si="26"/>
        <v>1.2553337090411401</v>
      </c>
      <c r="Y36" s="136">
        <v>152.44999999999999</v>
      </c>
      <c r="Z36" s="136">
        <v>188.05</v>
      </c>
      <c r="AA36" s="131">
        <v>0.59</v>
      </c>
      <c r="AB36" s="133">
        <v>574</v>
      </c>
      <c r="AC36" s="133">
        <v>1216</v>
      </c>
      <c r="AD36" s="144" t="s">
        <v>198</v>
      </c>
      <c r="AE36" s="131">
        <v>75.73</v>
      </c>
      <c r="AF36" s="133">
        <v>176</v>
      </c>
      <c r="AG36" s="134">
        <v>5</v>
      </c>
      <c r="AH36" s="131">
        <v>6.55</v>
      </c>
      <c r="AI36" s="115">
        <f t="shared" si="10"/>
        <v>26.36663714676757</v>
      </c>
      <c r="AJ36" s="131">
        <v>143</v>
      </c>
      <c r="AK36" s="115">
        <f t="shared" si="44"/>
        <v>575.63803236454396</v>
      </c>
      <c r="AL36" s="139">
        <v>44.22</v>
      </c>
      <c r="AM36" s="131"/>
      <c r="AN36" s="136">
        <v>14.43</v>
      </c>
      <c r="AO36" s="466">
        <v>57</v>
      </c>
      <c r="AP36" s="110">
        <f t="shared" si="45"/>
        <v>0.17820853525089886</v>
      </c>
      <c r="AQ36" s="137" t="s">
        <v>331</v>
      </c>
      <c r="AR36" s="150">
        <v>7.61</v>
      </c>
      <c r="AS36" s="138">
        <v>8.49</v>
      </c>
      <c r="AT36" s="134"/>
      <c r="AU36" s="131">
        <v>8.6199999999999992</v>
      </c>
      <c r="AV36" s="139">
        <v>319.85000000000002</v>
      </c>
      <c r="AW36" s="131"/>
      <c r="AX36" s="116"/>
      <c r="AY36" s="131"/>
      <c r="AZ36" s="109">
        <f t="shared" si="57"/>
        <v>0</v>
      </c>
      <c r="BA36" s="598">
        <f t="shared" si="46"/>
        <v>248.42000000000002</v>
      </c>
      <c r="BB36" s="115">
        <f t="shared" si="47"/>
        <v>228.58015811614771</v>
      </c>
      <c r="BC36" s="140">
        <f t="shared" si="48"/>
        <v>9.5487746478873223</v>
      </c>
      <c r="BD36" s="141">
        <f t="shared" si="59"/>
        <v>9.9368000000000016</v>
      </c>
      <c r="BE36" s="128">
        <f t="shared" si="50"/>
        <v>0.94877290219478383</v>
      </c>
      <c r="BF36" s="141">
        <f t="shared" si="51"/>
        <v>19.485574647887326</v>
      </c>
      <c r="BG36" s="538">
        <v>0.91</v>
      </c>
      <c r="BH36" s="16">
        <f t="shared" si="28"/>
        <v>6244.2</v>
      </c>
      <c r="BI36" s="16">
        <f t="shared" si="18"/>
        <v>220</v>
      </c>
      <c r="BJ36" s="16">
        <f t="shared" si="29"/>
        <v>6600</v>
      </c>
      <c r="BK36" s="17">
        <f t="shared" si="19"/>
        <v>1</v>
      </c>
      <c r="BL36" s="16">
        <f t="shared" si="30"/>
        <v>6600</v>
      </c>
      <c r="BM36" s="254">
        <v>148.697</v>
      </c>
      <c r="BN36" s="197">
        <v>95.637</v>
      </c>
      <c r="BO36" s="197"/>
      <c r="BP36" s="197">
        <v>279.971</v>
      </c>
      <c r="BQ36" s="230"/>
      <c r="BR36" s="230"/>
      <c r="BS36" s="258"/>
      <c r="BT36" s="199"/>
      <c r="BU36" s="200">
        <v>1.33</v>
      </c>
      <c r="BV36" s="200"/>
      <c r="BW36" s="200"/>
      <c r="BX36" s="200">
        <v>1.1399999999999999</v>
      </c>
      <c r="BY36" s="208"/>
      <c r="BZ36" s="208">
        <v>1.33</v>
      </c>
      <c r="CA36" s="201"/>
      <c r="CB36" s="202">
        <v>36.369999999999997</v>
      </c>
      <c r="CC36" s="200">
        <v>43.45</v>
      </c>
      <c r="CD36" s="200"/>
      <c r="CE36" s="200">
        <v>37.369999999999997</v>
      </c>
      <c r="CF36" s="208"/>
      <c r="CG36" s="208">
        <v>36.369999999999997</v>
      </c>
      <c r="CH36" s="209"/>
      <c r="CI36" s="199"/>
      <c r="CJ36" s="197"/>
      <c r="CK36" s="197"/>
      <c r="CL36" s="230">
        <v>223.85</v>
      </c>
      <c r="CM36" s="198">
        <v>88</v>
      </c>
      <c r="CN36" s="202"/>
      <c r="CO36" s="208"/>
      <c r="CP36" s="208"/>
      <c r="CQ36" s="209"/>
      <c r="CR36" s="201"/>
      <c r="CT36" s="286">
        <f t="shared" si="20"/>
        <v>146.71932990000002</v>
      </c>
      <c r="CU36" s="27">
        <f t="shared" si="20"/>
        <v>95.637</v>
      </c>
      <c r="CV36" s="28">
        <f t="shared" si="20"/>
        <v>0</v>
      </c>
      <c r="CW36" s="27">
        <f t="shared" si="20"/>
        <v>276.77933060000004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223.85</v>
      </c>
      <c r="DD36" s="280">
        <f t="shared" si="21"/>
        <v>88</v>
      </c>
      <c r="DE36" s="508">
        <f t="shared" si="31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2"/>
        <v>0</v>
      </c>
    </row>
    <row r="37" spans="1:115" ht="16.5" customHeight="1" thickBot="1">
      <c r="A37" s="539">
        <v>31</v>
      </c>
      <c r="B37" s="568">
        <f>'[1]сентябрь 20'!K36</f>
        <v>0</v>
      </c>
      <c r="C37" s="541">
        <f t="shared" si="0"/>
        <v>0</v>
      </c>
      <c r="D37" s="542">
        <f t="shared" si="1"/>
        <v>0</v>
      </c>
      <c r="E37" s="541">
        <f t="shared" si="2"/>
        <v>0</v>
      </c>
      <c r="F37" s="505">
        <f t="shared" si="3"/>
        <v>0</v>
      </c>
      <c r="G37" s="543"/>
      <c r="H37" s="544">
        <f t="shared" si="4"/>
        <v>0</v>
      </c>
      <c r="I37" s="540">
        <f>'[1]сентябрь 20'!AE36</f>
        <v>0</v>
      </c>
      <c r="J37" s="573">
        <f>'[1]сентябрь 20'!AA36</f>
        <v>0</v>
      </c>
      <c r="K37" s="543"/>
      <c r="L37" s="567">
        <f>'[1]сентябрь 20'!AI36</f>
        <v>0</v>
      </c>
      <c r="M37" s="540">
        <f t="shared" si="5"/>
        <v>0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103">
        <f>'[1]сентябрь 20'!S36</f>
        <v>0</v>
      </c>
      <c r="S37" s="546">
        <f t="shared" si="6"/>
        <v>0</v>
      </c>
      <c r="T37" s="547">
        <f t="shared" si="7"/>
        <v>0</v>
      </c>
      <c r="U37" s="576"/>
      <c r="V37" s="547">
        <f t="shared" si="8"/>
        <v>0</v>
      </c>
      <c r="W37" s="549">
        <f t="shared" si="9"/>
        <v>0</v>
      </c>
      <c r="X37" s="227">
        <f t="shared" si="26"/>
        <v>0</v>
      </c>
      <c r="Y37" s="550"/>
      <c r="Z37" s="550"/>
      <c r="AA37" s="548"/>
      <c r="AB37" s="551"/>
      <c r="AC37" s="551"/>
      <c r="AD37" s="552"/>
      <c r="AE37" s="548"/>
      <c r="AF37" s="551"/>
      <c r="AG37" s="553"/>
      <c r="AH37" s="548"/>
      <c r="AI37" s="554">
        <f t="shared" si="10"/>
        <v>0</v>
      </c>
      <c r="AJ37" s="548"/>
      <c r="AK37" s="555">
        <f t="shared" si="11"/>
        <v>0</v>
      </c>
      <c r="AL37" s="556"/>
      <c r="AM37" s="548"/>
      <c r="AN37" s="550"/>
      <c r="AO37" s="557">
        <f t="shared" ref="AO37" si="60">AV37*0.19</f>
        <v>0</v>
      </c>
      <c r="AP37" s="549">
        <f t="shared" si="12"/>
        <v>0</v>
      </c>
      <c r="AQ37" s="558"/>
      <c r="AR37" s="559"/>
      <c r="AS37" s="560"/>
      <c r="AT37" s="553"/>
      <c r="AU37" s="548"/>
      <c r="AV37" s="548"/>
      <c r="AW37" s="548"/>
      <c r="AX37" s="548"/>
      <c r="AY37" s="548"/>
      <c r="AZ37" s="547">
        <f t="shared" ref="AZ37" si="61">IF(BA37=0,0,AY37/BA37*100)</f>
        <v>0</v>
      </c>
      <c r="BA37" s="547">
        <f t="shared" si="13"/>
        <v>0</v>
      </c>
      <c r="BB37" s="554">
        <f t="shared" si="27"/>
        <v>0</v>
      </c>
      <c r="BC37" s="561">
        <f t="shared" si="14"/>
        <v>0</v>
      </c>
      <c r="BD37" s="555">
        <f t="shared" ref="BD37" si="62">BA37*$BD$6</f>
        <v>0</v>
      </c>
      <c r="BE37" s="505">
        <f t="shared" si="16"/>
        <v>0</v>
      </c>
      <c r="BF37" s="555">
        <f t="shared" si="17"/>
        <v>0</v>
      </c>
      <c r="BG37" s="562"/>
      <c r="BH37" s="16">
        <f t="shared" si="28"/>
        <v>6244.2</v>
      </c>
      <c r="BI37" s="16">
        <f t="shared" si="18"/>
        <v>0</v>
      </c>
      <c r="BJ37" s="16">
        <f t="shared" si="29"/>
        <v>6600</v>
      </c>
      <c r="BK37" s="17">
        <f t="shared" si="19"/>
        <v>0</v>
      </c>
      <c r="BL37" s="16">
        <f t="shared" si="30"/>
        <v>6600</v>
      </c>
      <c r="BM37" s="256"/>
      <c r="BN37" s="257"/>
      <c r="BO37" s="257"/>
      <c r="BP37" s="257"/>
      <c r="BQ37" s="261"/>
      <c r="BR37" s="261"/>
      <c r="BS37" s="262"/>
      <c r="BT37" s="219"/>
      <c r="BU37" s="220"/>
      <c r="BV37" s="220"/>
      <c r="BW37" s="220"/>
      <c r="BX37" s="220"/>
      <c r="BY37" s="224"/>
      <c r="BZ37" s="224"/>
      <c r="CA37" s="221"/>
      <c r="CB37" s="222"/>
      <c r="CC37" s="220"/>
      <c r="CD37" s="220"/>
      <c r="CE37" s="220"/>
      <c r="CF37" s="224"/>
      <c r="CG37" s="224"/>
      <c r="CH37" s="221"/>
      <c r="CI37" s="219"/>
      <c r="CJ37" s="217"/>
      <c r="CK37" s="217"/>
      <c r="CL37" s="234"/>
      <c r="CM37" s="223"/>
      <c r="CN37" s="222"/>
      <c r="CO37" s="224"/>
      <c r="CP37" s="224"/>
      <c r="CQ37" s="218"/>
      <c r="CR37" s="221"/>
      <c r="CT37" s="287">
        <f t="shared" si="20"/>
        <v>0</v>
      </c>
      <c r="CU37" s="32">
        <f t="shared" si="20"/>
        <v>0</v>
      </c>
      <c r="CV37" s="30">
        <f t="shared" si="20"/>
        <v>0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0</v>
      </c>
      <c r="DD37" s="280">
        <f t="shared" si="21"/>
        <v>0</v>
      </c>
      <c r="DE37" s="563">
        <f t="shared" si="31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2"/>
        <v>0</v>
      </c>
    </row>
    <row r="38" spans="1:115" ht="16.5" customHeight="1" thickBot="1">
      <c r="A38" s="55" t="s">
        <v>58</v>
      </c>
      <c r="B38" s="574">
        <f>SUM(B7:B37)</f>
        <v>13982.993999999997</v>
      </c>
      <c r="C38" s="527"/>
      <c r="D38" s="327">
        <f>SUM(D7:D37)</f>
        <v>13809.684890510058</v>
      </c>
      <c r="E38" s="528"/>
      <c r="F38" s="340"/>
      <c r="G38" s="343">
        <f>SUM(G7:G37)</f>
        <v>0</v>
      </c>
      <c r="H38" s="340"/>
      <c r="I38" s="327">
        <f>SUM(I7:I37)</f>
        <v>0</v>
      </c>
      <c r="J38" s="574">
        <f>SUM(J7:J37)</f>
        <v>338.86399999999998</v>
      </c>
      <c r="K38" s="327">
        <f>SUM(K7:K37)</f>
        <v>572.08000000000004</v>
      </c>
      <c r="L38" s="529">
        <f>SUM(L7:L37)</f>
        <v>2734.3890000000001</v>
      </c>
      <c r="M38" s="575"/>
      <c r="N38" s="340">
        <f>SUM(N7:N37)</f>
        <v>0</v>
      </c>
      <c r="O38" s="529">
        <f>SUM(O7:O37)</f>
        <v>0</v>
      </c>
      <c r="P38" s="529">
        <f>SUM(P7:P37)</f>
        <v>0</v>
      </c>
      <c r="Q38" s="569"/>
      <c r="R38" s="327">
        <f>SUM(R7:R37)</f>
        <v>8671.5110000000004</v>
      </c>
      <c r="S38" s="340"/>
      <c r="T38" s="343">
        <f>SUM(T7:T37)</f>
        <v>8424.8000002999997</v>
      </c>
      <c r="U38" s="327">
        <f>SUM(U7:U37)</f>
        <v>582.7299999999999</v>
      </c>
      <c r="V38" s="343">
        <f>SUM(V7:V37)</f>
        <v>8424.8000002999997</v>
      </c>
      <c r="W38" s="346"/>
      <c r="X38" s="344"/>
      <c r="Y38" s="194">
        <f>SUM(Y7:Y37)</f>
        <v>6017.0399999999991</v>
      </c>
      <c r="Z38" s="194">
        <f>SUM(Z7:Z37)</f>
        <v>4691.45</v>
      </c>
      <c r="AA38" s="345"/>
      <c r="AB38" s="346"/>
      <c r="AC38" s="347"/>
      <c r="AD38" s="348"/>
      <c r="AE38" s="345"/>
      <c r="AF38" s="345"/>
      <c r="AG38" s="347">
        <f>SUM(AG7:AG37)</f>
        <v>148</v>
      </c>
      <c r="AH38" s="194">
        <f>SUM(AH7:AH37)</f>
        <v>106</v>
      </c>
      <c r="AI38" s="351"/>
      <c r="AJ38" s="194">
        <f>SUM(AJ7:AJ37)</f>
        <v>3800.6</v>
      </c>
      <c r="AK38" s="343"/>
      <c r="AL38" s="338">
        <f>SUM(AL7:AL37)</f>
        <v>987.09000000000015</v>
      </c>
      <c r="AM38" s="343">
        <f>SUM(AM7:AM37)</f>
        <v>0</v>
      </c>
      <c r="AN38" s="337">
        <f>SUM(AN7:AN37)</f>
        <v>398.30999999999995</v>
      </c>
      <c r="AO38" s="395">
        <f>SUM(AO7:AO37)</f>
        <v>1791.14</v>
      </c>
      <c r="AP38" s="530"/>
      <c r="AQ38" s="351"/>
      <c r="AR38" s="343"/>
      <c r="AS38" s="351"/>
      <c r="AT38" s="351"/>
      <c r="AU38" s="352"/>
      <c r="AV38" s="337">
        <f>SUM(AV7:AV37)</f>
        <v>8340.619999999999</v>
      </c>
      <c r="AW38" s="343">
        <f>SUM(AW7:AW37)</f>
        <v>93.029999999999987</v>
      </c>
      <c r="AX38" s="343">
        <f>SUM(AX7:AX36)</f>
        <v>0</v>
      </c>
      <c r="AY38" s="343">
        <f>SUM(AY7:AY37)</f>
        <v>0</v>
      </c>
      <c r="AZ38" s="340"/>
      <c r="BA38" s="194">
        <f>SUM(BA7:BA37)</f>
        <v>6244.2</v>
      </c>
      <c r="BB38" s="194">
        <f>SUM(BB7:BB37)</f>
        <v>5992.1719283638213</v>
      </c>
      <c r="BC38" s="351">
        <f>SUM(BC7:BC36)</f>
        <v>191.40890845070422</v>
      </c>
      <c r="BD38" s="351">
        <f>SUM(BD7:BD36)</f>
        <v>241.32360000000003</v>
      </c>
      <c r="BE38" s="340"/>
      <c r="BF38" s="351">
        <f>SUM(BF7:BF37)</f>
        <v>432.73250845070424</v>
      </c>
      <c r="BG38" s="353"/>
      <c r="BH38" s="16"/>
      <c r="BI38" s="16">
        <f t="shared" si="18"/>
        <v>0</v>
      </c>
      <c r="BJ38" s="16"/>
      <c r="BK38" s="17">
        <f>SUM(BK7:BK37)</f>
        <v>30</v>
      </c>
      <c r="BL38" s="33"/>
      <c r="BM38" s="228">
        <f t="shared" ref="BM38:BS38" si="63">SUM(BM7:BM37)</f>
        <v>8676.5329999999994</v>
      </c>
      <c r="BN38" s="38">
        <f t="shared" si="63"/>
        <v>849.62300000000005</v>
      </c>
      <c r="BO38" s="38">
        <f t="shared" si="63"/>
        <v>1884.7599999999998</v>
      </c>
      <c r="BP38" s="38">
        <f t="shared" si="63"/>
        <v>1976.3270000999999</v>
      </c>
      <c r="BQ38" s="38">
        <f t="shared" si="63"/>
        <v>9.9999999999999995E-8</v>
      </c>
      <c r="BR38" s="38">
        <f t="shared" si="63"/>
        <v>595.74500000000012</v>
      </c>
      <c r="BS38" s="38">
        <f t="shared" si="63"/>
        <v>1.0000000000000001E-5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1121.0000000999999</v>
      </c>
      <c r="CL38" s="39">
        <f>SUM(CL7:CL37)</f>
        <v>7046.800000000002</v>
      </c>
      <c r="CM38" s="40">
        <f>SUM(CM7:CM37)</f>
        <v>257.00000009999997</v>
      </c>
      <c r="CN38" s="34"/>
      <c r="CO38" s="35"/>
      <c r="CP38" s="236"/>
      <c r="CQ38" s="36"/>
      <c r="CR38" s="36"/>
      <c r="CT38" s="189">
        <f t="shared" ref="CT38:DE38" si="64">SUM(CT7:CT37)</f>
        <v>8544.1573632999989</v>
      </c>
      <c r="CU38" s="190">
        <f t="shared" si="64"/>
        <v>849.62299999251104</v>
      </c>
      <c r="CV38" s="191">
        <f t="shared" si="64"/>
        <v>1884.7599999175468</v>
      </c>
      <c r="CW38" s="192">
        <f t="shared" si="64"/>
        <v>1953.9555574999999</v>
      </c>
      <c r="CX38" s="192">
        <f t="shared" si="64"/>
        <v>9.99999999E-8</v>
      </c>
      <c r="CY38" s="192">
        <f t="shared" si="64"/>
        <v>577.18296989999999</v>
      </c>
      <c r="CZ38" s="278">
        <f t="shared" si="64"/>
        <v>9.999999990000001E-6</v>
      </c>
      <c r="DA38" s="278">
        <f t="shared" si="64"/>
        <v>9.99999999E-8</v>
      </c>
      <c r="DB38" s="192">
        <f t="shared" si="64"/>
        <v>1121.0000000999999</v>
      </c>
      <c r="DC38" s="192">
        <f t="shared" si="64"/>
        <v>7046.7999997209317</v>
      </c>
      <c r="DD38" s="498">
        <f t="shared" si="64"/>
        <v>257.00000009999997</v>
      </c>
      <c r="DE38" s="564">
        <f t="shared" si="64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466.0997999999999</v>
      </c>
      <c r="C39" s="84">
        <f>(BM38*BU39+BN38*BV39+BP38*BX39+BS38*CA39+BO38*BW39+BR38*BZ39+BQ38*BY39)/B38</f>
        <v>1.2394277612501448</v>
      </c>
      <c r="D39" s="82"/>
      <c r="E39" s="354">
        <f>(BM38*CB39+BN38*CC39+BP38*CE39+BS38*CH39+BO38*CD39+BR38*CG39+BQ38*CF39)/B38</f>
        <v>37.736947682306095</v>
      </c>
      <c r="F39" s="355">
        <f>IF(BA38=0,0,D38/BA38)</f>
        <v>2.2116019490903653</v>
      </c>
      <c r="G39" s="354">
        <f>G38/AV2</f>
        <v>0</v>
      </c>
      <c r="H39" s="355">
        <f>IF(BA38=0,0,(CZ38+CW38+CY38+CT38+CX38)/BA38)</f>
        <v>1.7736933315396688</v>
      </c>
      <c r="I39" s="354">
        <f>I38/AV2</f>
        <v>0</v>
      </c>
      <c r="J39" s="572">
        <f>J38/AV2</f>
        <v>11.295466666666666</v>
      </c>
      <c r="K39" s="354">
        <f>K38/AV2</f>
        <v>19.069333333333336</v>
      </c>
      <c r="L39" s="354">
        <f>L38/AV2</f>
        <v>91.146300000000011</v>
      </c>
      <c r="M39" s="355">
        <f>IF($BA$38=0,0,(CV38+CU38)/$BA$38)</f>
        <v>0.43790765829250472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289.05036666666666</v>
      </c>
      <c r="S39" s="354">
        <f>(SUMPRODUCT(R7:R37,S7:S37))/R38</f>
        <v>2.8450750936024853</v>
      </c>
      <c r="T39" s="357"/>
      <c r="U39" s="354">
        <f>U38/AV2</f>
        <v>19.42433333333333</v>
      </c>
      <c r="V39" s="354">
        <f>V38/AV2:AV2</f>
        <v>280.82666667666666</v>
      </c>
      <c r="W39" s="358">
        <f>IF($BA$38=0,0,T38/$BA$38)</f>
        <v>1.3492200762787867</v>
      </c>
      <c r="X39" s="358">
        <f>Q39+W39</f>
        <v>1.3492200762787867</v>
      </c>
      <c r="Y39" s="354">
        <f>Y38/AV2</f>
        <v>200.56799999999996</v>
      </c>
      <c r="Z39" s="354">
        <f>Z38/AV2</f>
        <v>156.38166666666666</v>
      </c>
      <c r="AA39" s="354">
        <f>(SUMPRODUCT(AA7:AA37,BA7:BA37))/BA38</f>
        <v>0.81123354472950926</v>
      </c>
      <c r="AB39" s="359">
        <f>AVERAGE(AB7:AB37)</f>
        <v>646.86666666666667</v>
      </c>
      <c r="AC39" s="359">
        <f>AVERAGE(AC7:AC37)</f>
        <v>1216.0333333333333</v>
      </c>
      <c r="AD39" s="359"/>
      <c r="AE39" s="354">
        <f>(SUMPRODUCT(AE7:AE37,BA7:BA37))/BA38</f>
        <v>75.928976714390942</v>
      </c>
      <c r="AF39" s="360">
        <f>AVERAGE(AF7:AF37)</f>
        <v>155.43333333333334</v>
      </c>
      <c r="AG39" s="360">
        <f>AVERAGE(AG7:AG37)</f>
        <v>4.9333333333333336</v>
      </c>
      <c r="AH39" s="354">
        <f>AH38/AV2</f>
        <v>3.5333333333333332</v>
      </c>
      <c r="AI39" s="361">
        <f>IF(BA38=0,0,AH38/BA38*1000)</f>
        <v>16.975753499247304</v>
      </c>
      <c r="AJ39" s="361">
        <f>AJ38/AV2</f>
        <v>126.68666666666667</v>
      </c>
      <c r="AK39" s="361">
        <f>IF(BA38=0,0,AJ38/BA38*1000)</f>
        <v>608.66083725697456</v>
      </c>
      <c r="AL39" s="354">
        <f>AL38/AV2</f>
        <v>32.903000000000006</v>
      </c>
      <c r="AM39" s="359"/>
      <c r="AN39" s="354">
        <f>AN38/AV2</f>
        <v>13.276999999999997</v>
      </c>
      <c r="AO39" s="354">
        <f>AO38/AV2</f>
        <v>59.704666666666668</v>
      </c>
      <c r="AP39" s="346">
        <f>IF(AO39=0,0,AO39/AV39)</f>
        <v>0.21474902345389196</v>
      </c>
      <c r="AQ39" s="361">
        <f>SUM(AQ8:AQ38)</f>
        <v>0</v>
      </c>
      <c r="AR39" s="354">
        <f>AVERAGE(AR7:AR37)</f>
        <v>7.915</v>
      </c>
      <c r="AS39" s="354">
        <f>AVERAGE(AS7:AS37)</f>
        <v>7.7796666666666656</v>
      </c>
      <c r="AT39" s="362"/>
      <c r="AU39" s="354">
        <f>AVERAGE(AU7:AU37)</f>
        <v>6.4856666666666678</v>
      </c>
      <c r="AV39" s="363">
        <f>AV38/AV2</f>
        <v>278.02066666666661</v>
      </c>
      <c r="AW39" s="363">
        <f>AW38/AV2</f>
        <v>3.1009999999999995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208.14</v>
      </c>
      <c r="BB39" s="354">
        <f>BB38/AV2</f>
        <v>199.73906427879405</v>
      </c>
      <c r="BC39" s="362" t="e">
        <f>BC38/$AY$2</f>
        <v>#DIV/0!</v>
      </c>
      <c r="BD39" s="362" t="e">
        <f>BD38/$AY$2</f>
        <v>#DIV/0!</v>
      </c>
      <c r="BE39" s="355">
        <f>(BA38*AE39)/(D38*E39)</f>
        <v>0.90977461179537966</v>
      </c>
      <c r="BF39" s="354">
        <f>BF38/AV2</f>
        <v>14.424416948356809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1.5256743298273632</v>
      </c>
      <c r="BV39" s="42">
        <f t="shared" ref="BV39:CA39" si="65">(SUMPRODUCT(BN7:BN37,BV7:BV37))/BN38</f>
        <v>8.8144977242847696E-10</v>
      </c>
      <c r="BW39" s="42">
        <f t="shared" si="65"/>
        <v>4.3747214499458825E-9</v>
      </c>
      <c r="BX39" s="42">
        <f>(SUMPRODUCT(BP7:BP37,BX7:BX37))/BP38</f>
        <v>1.1319707011475344</v>
      </c>
      <c r="BY39" s="42">
        <f t="shared" si="65"/>
        <v>9.9999999999999982E-8</v>
      </c>
      <c r="BZ39" s="46">
        <f t="shared" si="65"/>
        <v>3.1157676690530338</v>
      </c>
      <c r="CA39" s="240">
        <f t="shared" si="65"/>
        <v>9.9999999999999995E-8</v>
      </c>
      <c r="CB39" s="41">
        <f t="shared" ref="CB39:CH39" si="66">(SUMPRODUCT(BM7:BM37,CB7:CB37))/BM38</f>
        <v>36.440834931417889</v>
      </c>
      <c r="CC39" s="42">
        <f t="shared" si="66"/>
        <v>43.344817065922179</v>
      </c>
      <c r="CD39" s="42">
        <f t="shared" si="66"/>
        <v>43.161520469449684</v>
      </c>
      <c r="CE39" s="42">
        <f t="shared" si="66"/>
        <v>37.42452034317072</v>
      </c>
      <c r="CF39" s="42">
        <f t="shared" si="66"/>
        <v>9.9999999999999982E-8</v>
      </c>
      <c r="CG39" s="46">
        <f t="shared" si="66"/>
        <v>32.491175486155974</v>
      </c>
      <c r="CH39" s="240">
        <f t="shared" si="66"/>
        <v>9.9999999999999995E-8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8.9206066004531124E-18</v>
      </c>
      <c r="CP39" s="46">
        <f>(SUMPRODUCT(CL7:CL37,CP7:CP37))/CL38</f>
        <v>3.9602372708179588E-9</v>
      </c>
      <c r="CQ39" s="44">
        <f>(SUMPRODUCT(CM7:CM37,CQ7:CQ37))/CM38</f>
        <v>3.8910505821435599E-17</v>
      </c>
      <c r="CR39" s="44" t="e">
        <f>(SUMPRODUCT(O7:O37,CR7:CR37))/O38</f>
        <v>#DIV/0!</v>
      </c>
      <c r="CT39" s="667">
        <f>CT38+CU38</f>
        <v>9393.7803632925097</v>
      </c>
      <c r="CU39" s="667"/>
      <c r="CV39" s="668">
        <f>CV38+CW38+CZ38+CY38+CX38</f>
        <v>4415.8985374175472</v>
      </c>
      <c r="CW39" s="668"/>
      <c r="CX39" s="668"/>
      <c r="CY39" s="668"/>
      <c r="CZ39" s="668"/>
      <c r="DA39" s="669">
        <f>DA38+DB38+DD38+DC38</f>
        <v>8424.8000000209322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38</v>
      </c>
      <c r="F40" s="366">
        <v>2.12</v>
      </c>
      <c r="G40" s="366"/>
      <c r="H40" s="366">
        <v>1.484</v>
      </c>
      <c r="I40" s="366"/>
      <c r="J40" s="570"/>
      <c r="K40" s="366"/>
      <c r="L40" s="366"/>
      <c r="M40" s="366">
        <v>0.63600000000000001</v>
      </c>
      <c r="N40" s="365"/>
      <c r="O40" s="366"/>
      <c r="P40" s="366"/>
      <c r="Q40" s="366"/>
      <c r="R40" s="367"/>
      <c r="S40" s="368"/>
      <c r="T40" s="367"/>
      <c r="U40" s="450">
        <v>14.057960400000001</v>
      </c>
      <c r="V40" s="367"/>
      <c r="W40" s="369">
        <v>1.32</v>
      </c>
      <c r="X40" s="484"/>
      <c r="Y40" s="370">
        <v>6600</v>
      </c>
      <c r="Z40" s="370">
        <v>6600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720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6600</v>
      </c>
      <c r="AW40" s="379">
        <v>79.2</v>
      </c>
      <c r="AX40" s="380"/>
      <c r="AY40" s="381"/>
      <c r="AZ40" s="382"/>
      <c r="BA40" s="365">
        <v>220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13809.678900710056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9.1601949090365231E-2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2.8450750936024853</v>
      </c>
      <c r="T41" s="386"/>
      <c r="U41" s="388"/>
      <c r="V41" s="388"/>
      <c r="W41" s="385">
        <f>W39-W40</f>
        <v>2.9220076278786644E-2</v>
      </c>
      <c r="X41" s="385"/>
      <c r="Y41" s="385"/>
      <c r="Z41" s="385"/>
      <c r="AA41" s="385"/>
      <c r="AB41" s="385"/>
      <c r="AC41" s="389">
        <f>AC39-AC40</f>
        <v>-33.966666666666697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1740.619999999999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220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30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0.21474902345389196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56.355540540540531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29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227.58620689655172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-355.80000000000018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-5.3909090909090933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'[4]сентябрь 20'!$G$38</f>
        <v>1791.1407999999997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'[4]сентябрь 20'!$C$38</f>
        <v>1791.14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-7.9999999957180989E-4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BM3:BS5"/>
    <mergeCell ref="BU3:CA5"/>
    <mergeCell ref="CB3:CH5"/>
    <mergeCell ref="CJ3:CM5"/>
    <mergeCell ref="CN3:CQ5"/>
    <mergeCell ref="DG5:DK5"/>
    <mergeCell ref="CT39:CU39"/>
    <mergeCell ref="CV39:CZ39"/>
    <mergeCell ref="DA39:DD39"/>
    <mergeCell ref="CR3:CR6"/>
    <mergeCell ref="Y3:Y6"/>
    <mergeCell ref="V4:V6"/>
    <mergeCell ref="W4:W6"/>
    <mergeCell ref="X4:X6"/>
    <mergeCell ref="AH5:AH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2" zoomScaleNormal="92" workbookViewId="0">
      <pane xSplit="1" ySplit="6" topLeftCell="CQ25" activePane="bottomRight" state="frozen"/>
      <selection pane="topRight" activeCell="B1" sqref="B1"/>
      <selection pane="bottomLeft" activeCell="A7" sqref="A7"/>
      <selection pane="bottomRight" activeCell="CY46" sqref="CY46"/>
    </sheetView>
  </sheetViews>
  <sheetFormatPr defaultRowHeight="12.75"/>
  <cols>
    <col min="1" max="1" width="4.7109375" customWidth="1"/>
    <col min="2" max="2" width="9.710937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7.42578125" customWidth="1"/>
    <col min="11" max="11" width="8.140625" customWidth="1"/>
    <col min="12" max="12" width="8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7.710937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.5703125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9.140625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422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71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420</v>
      </c>
      <c r="BO6" s="232" t="s">
        <v>81</v>
      </c>
      <c r="BP6" s="396" t="s">
        <v>99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389</v>
      </c>
      <c r="CD6" s="232" t="s">
        <v>81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108</v>
      </c>
      <c r="CK6" s="225" t="s">
        <v>84</v>
      </c>
      <c r="CL6" s="263" t="s">
        <v>106</v>
      </c>
      <c r="CM6" s="288" t="s">
        <v>440</v>
      </c>
      <c r="CN6" s="312" t="s">
        <v>108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391</v>
      </c>
      <c r="CV6" s="51" t="s">
        <v>81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441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'[1]сентябрь 20'!K6</f>
        <v>449.85599999999999</v>
      </c>
      <c r="C7" s="104">
        <f t="shared" ref="C7:C37" si="0">IF(B7=0,0,(BM7*BU7+BN7*BV7+BP7*BX7+BS7*CA7+BO7*BW7+BR7*BZ7+BQ7*BY7)/B7)</f>
        <v>1.1560982825486399</v>
      </c>
      <c r="D7" s="447">
        <f t="shared" ref="D7:D37" si="1">B7*((100-C7)/100)</f>
        <v>444.65522251005797</v>
      </c>
      <c r="E7" s="104">
        <f t="shared" ref="E7:E37" si="2">IF(B7=0,0,(BM7*CB7+BN7*CC7+BP7*CE7+BS7*CH7+BO7*CD7+BR7*CG7+BQ7*CF7)/B7)</f>
        <v>37.558824823943667</v>
      </c>
      <c r="F7" s="103">
        <f t="shared" ref="F7:F37" si="3">IF(BA7=0,0,D7/BA7)</f>
        <v>1.9382176039877952</v>
      </c>
      <c r="G7" s="106"/>
      <c r="H7" s="107">
        <f t="shared" ref="H7:H37" si="4">IF(BA7=0,0,(CZ7+CW7+CY7+CT7+CX7)/BA7)</f>
        <v>1.5461674510547507</v>
      </c>
      <c r="I7" s="103">
        <f>'[1]сентябрь 20'!AE6</f>
        <v>0</v>
      </c>
      <c r="J7" s="328">
        <f>'[1]сентябрь 20'!AA6</f>
        <v>4.577</v>
      </c>
      <c r="K7" s="106">
        <v>30.72</v>
      </c>
      <c r="L7" s="328">
        <f>'[1]сентябрь 20'!AI6</f>
        <v>89.941999999999993</v>
      </c>
      <c r="M7" s="103">
        <f t="shared" ref="M7:M37" si="5">IF(BA7=0,0,(CV7+CU7)/BA7)</f>
        <v>0.39205019695816096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'[1]сентябрь 20'!S6</f>
        <v>288.27600000000001</v>
      </c>
      <c r="S7" s="108">
        <f t="shared" ref="S7:S37" si="6">IF(R7=0,0,(1-(V7/R7))*100)</f>
        <v>3.193467267479777</v>
      </c>
      <c r="T7" s="109">
        <f t="shared" ref="T7:T37" si="7">R7*((100-S7)/100)</f>
        <v>279.0700003</v>
      </c>
      <c r="U7" s="106">
        <v>46.95</v>
      </c>
      <c r="V7" s="109">
        <f t="shared" ref="V7:V37" si="8">CJ7+CK7+CM7+CL7</f>
        <v>279.0700003</v>
      </c>
      <c r="W7" s="110">
        <f t="shared" ref="W7:W37" si="9">IF(BA7=0,0,T7/BA7)</f>
        <v>1.2164444719056555</v>
      </c>
      <c r="X7" s="110">
        <f>Q7+W7</f>
        <v>1.2164444719056555</v>
      </c>
      <c r="Y7" s="136">
        <v>229.41449999999998</v>
      </c>
      <c r="Z7" s="111">
        <v>190.96</v>
      </c>
      <c r="AA7" s="106">
        <v>0.79</v>
      </c>
      <c r="AB7" s="112">
        <v>594</v>
      </c>
      <c r="AC7" s="238">
        <v>1224</v>
      </c>
      <c r="AD7" s="113" t="s">
        <v>221</v>
      </c>
      <c r="AE7" s="106">
        <v>76.19</v>
      </c>
      <c r="AF7" s="112">
        <v>150</v>
      </c>
      <c r="AG7" s="114">
        <v>5</v>
      </c>
      <c r="AH7" s="106">
        <v>4.9000000000000004</v>
      </c>
      <c r="AI7" s="115">
        <f t="shared" ref="AI7:AI37" si="10">IF(BA7=0,0,AH7/BA7*1000)</f>
        <v>21.358719697316431</v>
      </c>
      <c r="AJ7" s="106">
        <v>134.5</v>
      </c>
      <c r="AK7" s="115">
        <f t="shared" ref="AK7:AK37" si="11">IF(BA7=0,0,AJ7/BA7*1000)</f>
        <v>586.27506107939996</v>
      </c>
      <c r="AL7" s="106">
        <v>25.02</v>
      </c>
      <c r="AM7" s="116"/>
      <c r="AN7" s="117">
        <v>12.02</v>
      </c>
      <c r="AO7" s="466">
        <f>AV7*0.19</f>
        <v>54.9955</v>
      </c>
      <c r="AP7" s="110">
        <f t="shared" ref="AP7:AP37" si="12">IF(AO7=0,0,AO7/AV7)</f>
        <v>0.19</v>
      </c>
      <c r="AQ7" s="119" t="s">
        <v>128</v>
      </c>
      <c r="AR7" s="403">
        <v>8.5</v>
      </c>
      <c r="AS7" s="120">
        <v>8.07</v>
      </c>
      <c r="AT7" s="106"/>
      <c r="AU7" s="106">
        <v>7.96</v>
      </c>
      <c r="AV7" s="314">
        <v>289.45</v>
      </c>
      <c r="AW7" s="121">
        <v>6.98</v>
      </c>
      <c r="AX7" s="122"/>
      <c r="AY7" s="123"/>
      <c r="AZ7" s="124"/>
      <c r="BA7" s="598">
        <f t="shared" ref="BA7:BA38" si="13">AV7-AO7-AN7+AY7+AW7</f>
        <v>229.41449999999998</v>
      </c>
      <c r="BB7" s="115">
        <f>IF(AE7=0,0,((D7*0.97)*(E7/100)*0.9)/(AE7/100))</f>
        <v>191.36022053976868</v>
      </c>
      <c r="BC7" s="125">
        <f t="shared" ref="BC7:BC37" si="14">(AJ7*AU7)/100*(55/71)</f>
        <v>8.2935352112676046</v>
      </c>
      <c r="BD7" s="115">
        <f t="shared" ref="BD7:BD23" si="15">BA7*$BD$6</f>
        <v>9.1765799999999995</v>
      </c>
      <c r="BE7" s="103">
        <f t="shared" ref="BE7:BE37" si="16">IF((D7*E7)=0,0,(BA7*AE7)/(D7*E7))</f>
        <v>1.0466065409784464</v>
      </c>
      <c r="BF7" s="115">
        <f t="shared" ref="BF7:BF37" si="17">BC7+BD7</f>
        <v>17.470115211267604</v>
      </c>
      <c r="BG7" s="533">
        <v>1.0469999999999999</v>
      </c>
      <c r="BH7" s="16">
        <f>BA7</f>
        <v>229.41449999999998</v>
      </c>
      <c r="BI7" s="16">
        <f t="shared" ref="BI7:BI38" si="18">IF(A7&lt;=$BG$43,$AV$43,0)</f>
        <v>220</v>
      </c>
      <c r="BJ7" s="16">
        <f>BI7</f>
        <v>220</v>
      </c>
      <c r="BK7" s="17">
        <f t="shared" ref="BK7:BK37" si="19">IF(BA7&lt;&gt;0,1,0)</f>
        <v>1</v>
      </c>
      <c r="BL7" s="16">
        <f>BI7*BK7</f>
        <v>220</v>
      </c>
      <c r="BM7" s="336">
        <v>329.91</v>
      </c>
      <c r="BN7" s="336">
        <v>7.4889999999999999</v>
      </c>
      <c r="BO7" s="336">
        <v>82.453000000000003</v>
      </c>
      <c r="BP7" s="336">
        <v>9.9999999999999995E-8</v>
      </c>
      <c r="BQ7" s="336">
        <v>9.9999999999999995E-8</v>
      </c>
      <c r="BR7" s="336">
        <v>30.004000000000001</v>
      </c>
      <c r="BS7" s="336">
        <v>1.0000000000000001E-5</v>
      </c>
      <c r="BT7" s="336">
        <v>9.9999999999999995E-8</v>
      </c>
      <c r="BU7" s="336">
        <v>1.43</v>
      </c>
      <c r="BV7" s="336">
        <v>9.9999999999999995E-8</v>
      </c>
      <c r="BW7" s="336">
        <v>9.9999999999999995E-8</v>
      </c>
      <c r="BX7" s="336">
        <v>9.9999999999999995E-8</v>
      </c>
      <c r="BY7" s="336">
        <v>9.9999999999999995E-8</v>
      </c>
      <c r="BZ7" s="336">
        <v>1.61</v>
      </c>
      <c r="CA7" s="336">
        <v>9.9999999999999995E-8</v>
      </c>
      <c r="CB7" s="336">
        <v>36.299999999999997</v>
      </c>
      <c r="CC7" s="336">
        <v>43.47</v>
      </c>
      <c r="CD7" s="336">
        <v>43.19</v>
      </c>
      <c r="CE7" s="336">
        <v>9.9999999999999995E-8</v>
      </c>
      <c r="CF7" s="336">
        <v>9.9999999999999995E-8</v>
      </c>
      <c r="CG7" s="336">
        <v>34.450000000000003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279.07</v>
      </c>
      <c r="CM7" s="336">
        <v>9.9999999999999995E-8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325.19228700000002</v>
      </c>
      <c r="CU7" s="22">
        <f t="shared" si="20"/>
        <v>7.4889999925110002</v>
      </c>
      <c r="CV7" s="591">
        <f t="shared" si="20"/>
        <v>82.452999917547004</v>
      </c>
      <c r="CW7" s="595"/>
      <c r="CX7" s="28">
        <f t="shared" si="20"/>
        <v>9.99999999E-8</v>
      </c>
      <c r="CY7" s="276">
        <f t="shared" si="20"/>
        <v>29.520935600000001</v>
      </c>
      <c r="CZ7" s="279">
        <f t="shared" si="20"/>
        <v>9.999999990000001E-6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279.06999972093001</v>
      </c>
      <c r="DD7" s="279">
        <f t="shared" si="21"/>
        <v>9.99999999E-8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'[1]сентябрь 20'!K7</f>
        <v>471.10300000000001</v>
      </c>
      <c r="C8" s="104">
        <f t="shared" si="0"/>
        <v>0.43934528118054861</v>
      </c>
      <c r="D8" s="447">
        <f t="shared" si="1"/>
        <v>469.03323119999999</v>
      </c>
      <c r="E8" s="104">
        <f t="shared" si="2"/>
        <v>37.904704576281617</v>
      </c>
      <c r="F8" s="128">
        <f t="shared" si="3"/>
        <v>2.1973349536554454</v>
      </c>
      <c r="G8" s="106"/>
      <c r="H8" s="107">
        <f t="shared" si="4"/>
        <v>1.7559736394705219</v>
      </c>
      <c r="I8" s="103">
        <f>'[1]сентябрь 20'!AE7</f>
        <v>0</v>
      </c>
      <c r="J8" s="328">
        <f>'[1]сентябрь 20'!AA7</f>
        <v>6.9349999999999996</v>
      </c>
      <c r="K8" s="106">
        <v>28.52</v>
      </c>
      <c r="L8" s="328">
        <f>'[1]сентябрь 20'!AI7</f>
        <v>94.210999999999999</v>
      </c>
      <c r="M8" s="103">
        <f t="shared" si="5"/>
        <v>0.44136131418492375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'[1]сентябрь 20'!S7</f>
        <v>301.74400000000003</v>
      </c>
      <c r="S8" s="108">
        <f t="shared" si="6"/>
        <v>2.9541598175937378</v>
      </c>
      <c r="T8" s="109">
        <f t="shared" si="7"/>
        <v>292.83</v>
      </c>
      <c r="U8" s="106">
        <v>17.260000000000002</v>
      </c>
      <c r="V8" s="109">
        <f t="shared" si="8"/>
        <v>292.83</v>
      </c>
      <c r="W8" s="110">
        <f t="shared" si="9"/>
        <v>1.3718550236466147</v>
      </c>
      <c r="X8" s="110">
        <f t="shared" ref="X8:X37" si="26">Q8+W8</f>
        <v>1.3718550236466147</v>
      </c>
      <c r="Y8" s="136">
        <v>213.45550000000003</v>
      </c>
      <c r="Z8" s="130">
        <v>169.8</v>
      </c>
      <c r="AA8" s="131">
        <v>0.87</v>
      </c>
      <c r="AB8" s="112">
        <v>627</v>
      </c>
      <c r="AC8" s="112">
        <v>1218</v>
      </c>
      <c r="AD8" s="132" t="s">
        <v>207</v>
      </c>
      <c r="AE8" s="131">
        <v>76.260000000000005</v>
      </c>
      <c r="AF8" s="133">
        <v>157</v>
      </c>
      <c r="AG8" s="134">
        <v>5</v>
      </c>
      <c r="AH8" s="131">
        <v>2.5</v>
      </c>
      <c r="AI8" s="115">
        <f t="shared" si="10"/>
        <v>11.712043025361256</v>
      </c>
      <c r="AJ8" s="131">
        <v>117.3</v>
      </c>
      <c r="AK8" s="115">
        <f t="shared" si="11"/>
        <v>549.5290587499502</v>
      </c>
      <c r="AL8" s="131">
        <v>31.31</v>
      </c>
      <c r="AM8" s="116"/>
      <c r="AN8" s="135">
        <v>9.9499999999999993</v>
      </c>
      <c r="AO8" s="466">
        <f t="shared" ref="AO8:AO37" si="27">AV8*0.19</f>
        <v>51.974500000000006</v>
      </c>
      <c r="AP8" s="110">
        <f t="shared" si="12"/>
        <v>0.19</v>
      </c>
      <c r="AQ8" s="137" t="s">
        <v>148</v>
      </c>
      <c r="AR8" s="150">
        <v>9.07</v>
      </c>
      <c r="AS8" s="138">
        <v>7.59</v>
      </c>
      <c r="AT8" s="131"/>
      <c r="AU8" s="131">
        <v>5.47</v>
      </c>
      <c r="AV8" s="315">
        <v>273.55</v>
      </c>
      <c r="AW8" s="131">
        <v>1.83</v>
      </c>
      <c r="AX8" s="116"/>
      <c r="AY8" s="131"/>
      <c r="AZ8" s="109"/>
      <c r="BA8" s="598">
        <f t="shared" si="13"/>
        <v>213.45550000000003</v>
      </c>
      <c r="BB8" s="115">
        <f t="shared" ref="BB8:BB37" si="28">IF(AE8=0,0,((D8*0.97)*(E8/100)*0.9)/(AE8/100))</f>
        <v>203.52331726760755</v>
      </c>
      <c r="BC8" s="140">
        <f t="shared" si="14"/>
        <v>4.9703809859154919</v>
      </c>
      <c r="BD8" s="141">
        <f t="shared" si="15"/>
        <v>8.5382200000000008</v>
      </c>
      <c r="BE8" s="128">
        <f t="shared" si="16"/>
        <v>0.91560345026696677</v>
      </c>
      <c r="BF8" s="141">
        <f t="shared" si="17"/>
        <v>13.508600985915493</v>
      </c>
      <c r="BG8" s="535">
        <v>1.01</v>
      </c>
      <c r="BH8" s="16">
        <f t="shared" ref="BH8:BH37" si="29">BH7+BA8</f>
        <v>442.87</v>
      </c>
      <c r="BI8" s="16">
        <f t="shared" si="18"/>
        <v>220</v>
      </c>
      <c r="BJ8" s="16">
        <f t="shared" ref="BJ8:BJ37" si="30">BI8+BJ7</f>
        <v>440</v>
      </c>
      <c r="BK8" s="17">
        <f t="shared" si="19"/>
        <v>1</v>
      </c>
      <c r="BL8" s="16">
        <f t="shared" ref="BL8:BL37" si="31">BL7+BI8*BK8</f>
        <v>440</v>
      </c>
      <c r="BM8" s="249">
        <v>345.48399999999998</v>
      </c>
      <c r="BN8" s="195">
        <v>7.798</v>
      </c>
      <c r="BO8" s="197">
        <v>86.412999999999997</v>
      </c>
      <c r="BP8" s="197"/>
      <c r="BQ8" s="230"/>
      <c r="BR8" s="230">
        <v>31.408000000000001</v>
      </c>
      <c r="BS8" s="250"/>
      <c r="BT8" s="199"/>
      <c r="BU8" s="200">
        <v>0.46</v>
      </c>
      <c r="BV8" s="200"/>
      <c r="BW8" s="200"/>
      <c r="BX8" s="200"/>
      <c r="BY8" s="208"/>
      <c r="BZ8" s="208">
        <v>1.53</v>
      </c>
      <c r="CA8" s="198"/>
      <c r="CB8" s="202">
        <v>36.76</v>
      </c>
      <c r="CC8" s="200">
        <v>43.27</v>
      </c>
      <c r="CD8" s="200">
        <v>43.38</v>
      </c>
      <c r="CE8" s="200"/>
      <c r="CF8" s="197"/>
      <c r="CG8" s="197">
        <v>34.1</v>
      </c>
      <c r="CH8" s="197"/>
      <c r="CI8" s="203"/>
      <c r="CJ8" s="204"/>
      <c r="CK8" s="197"/>
      <c r="CL8" s="197">
        <v>292.83</v>
      </c>
      <c r="CM8" s="198"/>
      <c r="CN8" s="205"/>
      <c r="CO8" s="206"/>
      <c r="CP8" s="269"/>
      <c r="CQ8" s="207"/>
      <c r="CR8" s="207"/>
      <c r="CS8" s="284"/>
      <c r="CT8" s="286">
        <f t="shared" si="20"/>
        <v>343.89477360000001</v>
      </c>
      <c r="CU8" s="24">
        <f t="shared" si="20"/>
        <v>7.798</v>
      </c>
      <c r="CV8" s="592">
        <f t="shared" si="20"/>
        <v>86.412999999999997</v>
      </c>
      <c r="CW8" s="596"/>
      <c r="CX8" s="28">
        <f t="shared" si="20"/>
        <v>0</v>
      </c>
      <c r="CY8" s="237">
        <f t="shared" si="20"/>
        <v>30.9274576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292.83</v>
      </c>
      <c r="DD8" s="280">
        <f t="shared" si="21"/>
        <v>0</v>
      </c>
      <c r="DE8" s="508">
        <f t="shared" ref="DE8:DE37" si="32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3">IF(I8=0,0,(DJ8*DI8%)/(AE8/100))</f>
        <v>0</v>
      </c>
      <c r="DM8" s="402"/>
    </row>
    <row r="9" spans="1:117" ht="16.5" customHeight="1" thickBot="1">
      <c r="A9" s="534">
        <v>3</v>
      </c>
      <c r="B9" s="103">
        <f>'[1]сентябрь 20'!K8</f>
        <v>477.03399999999999</v>
      </c>
      <c r="C9" s="104">
        <f t="shared" si="0"/>
        <v>0.6126910870084733</v>
      </c>
      <c r="D9" s="448">
        <f t="shared" si="1"/>
        <v>474.11125519999996</v>
      </c>
      <c r="E9" s="104">
        <f t="shared" si="2"/>
        <v>37.337638533102471</v>
      </c>
      <c r="F9" s="128">
        <f t="shared" si="3"/>
        <v>2.0752438832971123</v>
      </c>
      <c r="G9" s="106"/>
      <c r="H9" s="107">
        <f t="shared" si="4"/>
        <v>1.6574254858060802</v>
      </c>
      <c r="I9" s="103">
        <f>'[1]сентябрь 20'!AE8</f>
        <v>0</v>
      </c>
      <c r="J9" s="328">
        <f>'[1]сентябрь 20'!AA8</f>
        <v>8.4619999999999997</v>
      </c>
      <c r="K9" s="106"/>
      <c r="L9" s="328">
        <f>'[1]сентябрь 20'!AI8</f>
        <v>95.454999999999998</v>
      </c>
      <c r="M9" s="103">
        <f t="shared" si="5"/>
        <v>0.41781839749103233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'[1]сентябрь 20'!S8</f>
        <v>303.63900000000001</v>
      </c>
      <c r="S9" s="108">
        <f t="shared" si="6"/>
        <v>2.9735969358349879</v>
      </c>
      <c r="T9" s="109">
        <f t="shared" si="7"/>
        <v>294.61</v>
      </c>
      <c r="U9" s="106">
        <v>16.57</v>
      </c>
      <c r="V9" s="109">
        <f t="shared" si="8"/>
        <v>294.61</v>
      </c>
      <c r="W9" s="110">
        <f t="shared" si="9"/>
        <v>1.2895445821050027</v>
      </c>
      <c r="X9" s="110">
        <f t="shared" si="26"/>
        <v>1.2895445821050027</v>
      </c>
      <c r="Y9" s="136">
        <v>228.46050000000002</v>
      </c>
      <c r="Z9" s="130">
        <v>177.03</v>
      </c>
      <c r="AA9" s="131">
        <v>0.78</v>
      </c>
      <c r="AB9" s="112">
        <v>663</v>
      </c>
      <c r="AC9" s="112">
        <v>1229</v>
      </c>
      <c r="AD9" s="144" t="s">
        <v>426</v>
      </c>
      <c r="AE9" s="131">
        <v>76.239999999999995</v>
      </c>
      <c r="AF9" s="133">
        <v>159</v>
      </c>
      <c r="AG9" s="134">
        <v>5</v>
      </c>
      <c r="AH9" s="131"/>
      <c r="AI9" s="115">
        <f t="shared" si="10"/>
        <v>0</v>
      </c>
      <c r="AJ9" s="131">
        <v>127.55</v>
      </c>
      <c r="AK9" s="115">
        <f t="shared" si="11"/>
        <v>558.30220103694057</v>
      </c>
      <c r="AL9" s="131">
        <v>24.59</v>
      </c>
      <c r="AM9" s="116"/>
      <c r="AN9" s="135">
        <v>9.4499999999999993</v>
      </c>
      <c r="AO9" s="466">
        <f t="shared" si="27"/>
        <v>55.299500000000002</v>
      </c>
      <c r="AP9" s="110">
        <f t="shared" si="12"/>
        <v>0.19</v>
      </c>
      <c r="AQ9" s="137" t="s">
        <v>427</v>
      </c>
      <c r="AR9" s="150">
        <v>8.67</v>
      </c>
      <c r="AS9" s="131">
        <v>7.62</v>
      </c>
      <c r="AT9" s="131"/>
      <c r="AU9" s="131">
        <v>6.11</v>
      </c>
      <c r="AV9" s="315">
        <v>291.05</v>
      </c>
      <c r="AW9" s="131">
        <v>2.16</v>
      </c>
      <c r="AX9" s="116"/>
      <c r="AY9" s="131"/>
      <c r="AZ9" s="109"/>
      <c r="BA9" s="598">
        <f t="shared" si="13"/>
        <v>228.46050000000002</v>
      </c>
      <c r="BB9" s="115">
        <f t="shared" si="28"/>
        <v>202.70220288430212</v>
      </c>
      <c r="BC9" s="140">
        <f t="shared" si="14"/>
        <v>6.0370672535211263</v>
      </c>
      <c r="BD9" s="141">
        <f t="shared" si="15"/>
        <v>9.1384200000000018</v>
      </c>
      <c r="BE9" s="128">
        <f t="shared" si="16"/>
        <v>0.98393610756089966</v>
      </c>
      <c r="BF9" s="141">
        <f t="shared" si="17"/>
        <v>15.175487253521128</v>
      </c>
      <c r="BG9" s="535">
        <v>0.98099999999999998</v>
      </c>
      <c r="BH9" s="16">
        <f t="shared" si="29"/>
        <v>671.33050000000003</v>
      </c>
      <c r="BI9" s="16">
        <f t="shared" si="18"/>
        <v>220</v>
      </c>
      <c r="BJ9" s="16">
        <f t="shared" si="30"/>
        <v>660</v>
      </c>
      <c r="BK9" s="17">
        <f t="shared" si="19"/>
        <v>1</v>
      </c>
      <c r="BL9" s="16">
        <f t="shared" si="31"/>
        <v>660</v>
      </c>
      <c r="BM9" s="249">
        <v>349.762</v>
      </c>
      <c r="BN9" s="195">
        <v>7.9969999999999999</v>
      </c>
      <c r="BO9" s="197">
        <v>87.457999999999998</v>
      </c>
      <c r="BP9" s="197"/>
      <c r="BQ9" s="230"/>
      <c r="BR9" s="230">
        <v>31.817</v>
      </c>
      <c r="BS9" s="250"/>
      <c r="BT9" s="199"/>
      <c r="BU9" s="200">
        <v>0.55000000000000004</v>
      </c>
      <c r="BV9" s="200"/>
      <c r="BW9" s="200"/>
      <c r="BX9" s="200"/>
      <c r="BY9" s="208"/>
      <c r="BZ9" s="208">
        <v>3.14</v>
      </c>
      <c r="CA9" s="201"/>
      <c r="CB9" s="202">
        <v>36.090000000000003</v>
      </c>
      <c r="CC9" s="200">
        <v>43.15</v>
      </c>
      <c r="CD9" s="200">
        <v>43.13</v>
      </c>
      <c r="CE9" s="200"/>
      <c r="CF9" s="200"/>
      <c r="CG9" s="200">
        <v>33.67</v>
      </c>
      <c r="CH9" s="200"/>
      <c r="CI9" s="203"/>
      <c r="CJ9" s="204"/>
      <c r="CK9" s="197"/>
      <c r="CL9" s="197">
        <v>294.61</v>
      </c>
      <c r="CM9" s="198"/>
      <c r="CN9" s="202"/>
      <c r="CO9" s="208"/>
      <c r="CP9" s="208"/>
      <c r="CQ9" s="201"/>
      <c r="CR9" s="201"/>
      <c r="CS9" s="284"/>
      <c r="CT9" s="286">
        <f t="shared" si="20"/>
        <v>347.83830900000004</v>
      </c>
      <c r="CU9" s="27">
        <f t="shared" si="20"/>
        <v>7.9969999999999999</v>
      </c>
      <c r="CV9" s="593">
        <f t="shared" si="20"/>
        <v>87.457999999999998</v>
      </c>
      <c r="CW9" s="596"/>
      <c r="CX9" s="28">
        <f t="shared" si="20"/>
        <v>0</v>
      </c>
      <c r="CY9" s="237">
        <f t="shared" si="20"/>
        <v>30.817946200000002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294.61</v>
      </c>
      <c r="DD9" s="280">
        <f t="shared" si="21"/>
        <v>0</v>
      </c>
      <c r="DE9" s="508">
        <f t="shared" si="32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3"/>
        <v>0</v>
      </c>
      <c r="DM9" s="402"/>
    </row>
    <row r="10" spans="1:117" ht="16.5" customHeight="1" thickBot="1">
      <c r="A10" s="534">
        <v>4</v>
      </c>
      <c r="B10" s="103">
        <f>'[1]сентябрь 20'!K9</f>
        <v>468.23399999999998</v>
      </c>
      <c r="C10" s="104">
        <f t="shared" si="0"/>
        <v>0.75957241464737724</v>
      </c>
      <c r="D10" s="448">
        <f t="shared" si="1"/>
        <v>464.67742369999996</v>
      </c>
      <c r="E10" s="104">
        <f t="shared" si="2"/>
        <v>37.931000888444665</v>
      </c>
      <c r="F10" s="128">
        <f t="shared" si="3"/>
        <v>2.3859098870912252</v>
      </c>
      <c r="G10" s="106"/>
      <c r="H10" s="107">
        <f t="shared" si="4"/>
        <v>1.9052389039787634</v>
      </c>
      <c r="I10" s="103">
        <f>'[1]сентябрь 20'!AE9</f>
        <v>0</v>
      </c>
      <c r="J10" s="328">
        <f>'[1]сентябрь 20'!AA9</f>
        <v>9.3510000000000009</v>
      </c>
      <c r="K10" s="106">
        <v>49.64</v>
      </c>
      <c r="L10" s="328">
        <f>'[1]сентябрь 20'!AI9</f>
        <v>93.614999999999995</v>
      </c>
      <c r="M10" s="103">
        <f t="shared" si="5"/>
        <v>0.48067098311246198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'[1]сентябрь 20'!S9</f>
        <v>297.13799999999998</v>
      </c>
      <c r="S10" s="108">
        <f t="shared" si="6"/>
        <v>2.9171630690116856</v>
      </c>
      <c r="T10" s="109">
        <f t="shared" si="7"/>
        <v>288.47000000000008</v>
      </c>
      <c r="U10" s="106">
        <v>3.97</v>
      </c>
      <c r="V10" s="109">
        <f t="shared" si="8"/>
        <v>288.47000000000003</v>
      </c>
      <c r="W10" s="110">
        <f t="shared" si="9"/>
        <v>1.4811638999994869</v>
      </c>
      <c r="X10" s="110">
        <f t="shared" si="26"/>
        <v>1.4811638999994869</v>
      </c>
      <c r="Y10" s="136">
        <v>194.75900000000001</v>
      </c>
      <c r="Z10" s="130">
        <v>119.5</v>
      </c>
      <c r="AA10" s="131">
        <v>0.9</v>
      </c>
      <c r="AB10" s="112">
        <v>663</v>
      </c>
      <c r="AC10" s="112">
        <v>1220</v>
      </c>
      <c r="AD10" s="144" t="s">
        <v>144</v>
      </c>
      <c r="AE10" s="131">
        <v>76.08</v>
      </c>
      <c r="AF10" s="133">
        <v>156</v>
      </c>
      <c r="AG10" s="134">
        <v>5</v>
      </c>
      <c r="AH10" s="131"/>
      <c r="AI10" s="115">
        <f t="shared" si="10"/>
        <v>0</v>
      </c>
      <c r="AJ10" s="131">
        <v>119.9</v>
      </c>
      <c r="AK10" s="115">
        <f t="shared" si="11"/>
        <v>615.63265368994507</v>
      </c>
      <c r="AL10" s="131">
        <v>32.950000000000003</v>
      </c>
      <c r="AM10" s="116"/>
      <c r="AN10" s="135">
        <v>10.41</v>
      </c>
      <c r="AO10" s="466">
        <f t="shared" si="27"/>
        <v>47.670999999999999</v>
      </c>
      <c r="AP10" s="110">
        <f t="shared" si="12"/>
        <v>0.19</v>
      </c>
      <c r="AQ10" s="137" t="s">
        <v>428</v>
      </c>
      <c r="AR10" s="150">
        <v>8.93</v>
      </c>
      <c r="AS10" s="138">
        <v>7.76</v>
      </c>
      <c r="AT10" s="131"/>
      <c r="AU10" s="131">
        <v>4.66</v>
      </c>
      <c r="AV10" s="315">
        <v>250.9</v>
      </c>
      <c r="AW10" s="131">
        <v>1.94</v>
      </c>
      <c r="AX10" s="116"/>
      <c r="AY10" s="131"/>
      <c r="AZ10" s="109"/>
      <c r="BA10" s="598">
        <f t="shared" si="13"/>
        <v>194.75900000000001</v>
      </c>
      <c r="BB10" s="115">
        <f>IF(AE10=0,0,((D10*0.97)*(E10/100)*0.9)/(AE10/100))</f>
        <v>202.25050526106543</v>
      </c>
      <c r="BC10" s="140">
        <f t="shared" si="14"/>
        <v>4.328221126760563</v>
      </c>
      <c r="BD10" s="141">
        <f t="shared" si="15"/>
        <v>7.7903600000000006</v>
      </c>
      <c r="BE10" s="128">
        <f t="shared" si="16"/>
        <v>0.8406634474437128</v>
      </c>
      <c r="BF10" s="141">
        <f t="shared" si="17"/>
        <v>12.118581126760564</v>
      </c>
      <c r="BG10" s="535">
        <v>0.94499999999999995</v>
      </c>
      <c r="BH10" s="16">
        <f t="shared" si="29"/>
        <v>866.08950000000004</v>
      </c>
      <c r="BI10" s="16">
        <f t="shared" si="18"/>
        <v>220</v>
      </c>
      <c r="BJ10" s="16">
        <f t="shared" si="30"/>
        <v>880</v>
      </c>
      <c r="BK10" s="17">
        <f t="shared" si="19"/>
        <v>1</v>
      </c>
      <c r="BL10" s="16">
        <f t="shared" si="31"/>
        <v>880</v>
      </c>
      <c r="BM10" s="249">
        <v>343.34800000000001</v>
      </c>
      <c r="BN10" s="195">
        <v>7.798</v>
      </c>
      <c r="BO10" s="197">
        <v>85.816999999999993</v>
      </c>
      <c r="BP10" s="195"/>
      <c r="BQ10" s="195"/>
      <c r="BR10" s="230">
        <v>31.271000000000001</v>
      </c>
      <c r="BS10" s="250"/>
      <c r="BT10" s="199"/>
      <c r="BU10" s="200">
        <v>0.82</v>
      </c>
      <c r="BV10" s="200"/>
      <c r="BW10" s="200"/>
      <c r="BX10" s="200"/>
      <c r="BY10" s="208"/>
      <c r="BZ10" s="208">
        <v>2.37</v>
      </c>
      <c r="CA10" s="201"/>
      <c r="CB10" s="202">
        <v>36.89</v>
      </c>
      <c r="CC10" s="200">
        <v>43.77</v>
      </c>
      <c r="CD10" s="200">
        <v>43.61</v>
      </c>
      <c r="CE10" s="200"/>
      <c r="CF10" s="200"/>
      <c r="CG10" s="200">
        <v>32.32</v>
      </c>
      <c r="CH10" s="200"/>
      <c r="CI10" s="203"/>
      <c r="CJ10" s="204"/>
      <c r="CK10" s="197"/>
      <c r="CL10" s="197">
        <v>288.47000000000003</v>
      </c>
      <c r="CM10" s="198"/>
      <c r="CN10" s="202"/>
      <c r="CO10" s="208"/>
      <c r="CP10" s="208"/>
      <c r="CQ10" s="201"/>
      <c r="CR10" s="201"/>
      <c r="CS10" s="284"/>
      <c r="CT10" s="286">
        <f t="shared" si="20"/>
        <v>340.5325464</v>
      </c>
      <c r="CU10" s="29">
        <f t="shared" si="20"/>
        <v>7.798</v>
      </c>
      <c r="CV10" s="594">
        <f t="shared" si="20"/>
        <v>85.816999999999993</v>
      </c>
      <c r="CW10" s="596"/>
      <c r="CX10" s="28">
        <f t="shared" si="20"/>
        <v>0</v>
      </c>
      <c r="CY10" s="24">
        <f t="shared" si="20"/>
        <v>30.529877299999999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288.47000000000003</v>
      </c>
      <c r="DD10" s="280">
        <f t="shared" si="21"/>
        <v>0</v>
      </c>
      <c r="DE10" s="508">
        <f t="shared" si="32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3"/>
        <v>0</v>
      </c>
      <c r="DM10" s="402"/>
    </row>
    <row r="11" spans="1:117" ht="16.5" customHeight="1" thickBot="1">
      <c r="A11" s="534">
        <v>5</v>
      </c>
      <c r="B11" s="103">
        <f>'[1]сентябрь 20'!K10</f>
        <v>471.03300000000002</v>
      </c>
      <c r="C11" s="104">
        <f t="shared" si="0"/>
        <v>0.67742718663023604</v>
      </c>
      <c r="D11" s="448">
        <f t="shared" si="1"/>
        <v>467.84209440000001</v>
      </c>
      <c r="E11" s="104">
        <f t="shared" si="2"/>
        <v>37.458140958276807</v>
      </c>
      <c r="F11" s="128">
        <f t="shared" si="3"/>
        <v>2.1476704802214504</v>
      </c>
      <c r="G11" s="106"/>
      <c r="H11" s="107">
        <f t="shared" si="4"/>
        <v>1.7154803564132819</v>
      </c>
      <c r="I11" s="103">
        <f>'[1]сентябрь 20'!AE10</f>
        <v>0</v>
      </c>
      <c r="J11" s="328">
        <f>'[1]сентябрь 20'!AA10</f>
        <v>9.4730000000000008</v>
      </c>
      <c r="K11" s="106">
        <v>29.75</v>
      </c>
      <c r="L11" s="328">
        <f>'[1]сентябрь 20'!AI10</f>
        <v>94.147000000000006</v>
      </c>
      <c r="M11" s="103">
        <f t="shared" si="5"/>
        <v>0.43219012380816851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'[1]сентябрь 20'!S10</f>
        <v>297.57</v>
      </c>
      <c r="S11" s="108">
        <f t="shared" si="6"/>
        <v>3.0816278522700635</v>
      </c>
      <c r="T11" s="109">
        <f t="shared" si="7"/>
        <v>288.39999999999998</v>
      </c>
      <c r="U11" s="106">
        <v>29.45</v>
      </c>
      <c r="V11" s="109">
        <f t="shared" si="8"/>
        <v>288.39999999999998</v>
      </c>
      <c r="W11" s="110">
        <f t="shared" si="9"/>
        <v>1.3239256875553742</v>
      </c>
      <c r="X11" s="110">
        <f t="shared" si="26"/>
        <v>1.3239256875553742</v>
      </c>
      <c r="Y11" s="136">
        <v>217.83699999999996</v>
      </c>
      <c r="Z11" s="130">
        <v>128.18</v>
      </c>
      <c r="AA11" s="131">
        <v>0.99</v>
      </c>
      <c r="AB11" s="112">
        <v>681</v>
      </c>
      <c r="AC11" s="112">
        <v>1215</v>
      </c>
      <c r="AD11" s="144" t="s">
        <v>429</v>
      </c>
      <c r="AE11" s="131">
        <v>76.03</v>
      </c>
      <c r="AF11" s="133">
        <v>157</v>
      </c>
      <c r="AG11" s="134">
        <v>5</v>
      </c>
      <c r="AH11" s="131">
        <v>5.65</v>
      </c>
      <c r="AI11" s="115">
        <f t="shared" si="10"/>
        <v>25.936824322773454</v>
      </c>
      <c r="AJ11" s="131">
        <v>122.5</v>
      </c>
      <c r="AK11" s="115">
        <f t="shared" si="11"/>
        <v>562.34707602473418</v>
      </c>
      <c r="AL11" s="131">
        <v>26.63</v>
      </c>
      <c r="AM11" s="116"/>
      <c r="AN11" s="135">
        <v>10.64</v>
      </c>
      <c r="AO11" s="466">
        <f t="shared" si="27"/>
        <v>53.143000000000001</v>
      </c>
      <c r="AP11" s="110">
        <f t="shared" si="12"/>
        <v>0.19</v>
      </c>
      <c r="AQ11" s="137" t="s">
        <v>150</v>
      </c>
      <c r="AR11" s="150">
        <v>8.48</v>
      </c>
      <c r="AS11" s="138">
        <v>7.34</v>
      </c>
      <c r="AT11" s="131"/>
      <c r="AU11" s="131">
        <v>6.52</v>
      </c>
      <c r="AV11" s="315">
        <v>279.7</v>
      </c>
      <c r="AW11" s="131">
        <v>1.92</v>
      </c>
      <c r="AX11" s="145"/>
      <c r="AY11" s="131"/>
      <c r="AZ11" s="109"/>
      <c r="BA11" s="598">
        <f t="shared" si="13"/>
        <v>217.83699999999996</v>
      </c>
      <c r="BB11" s="115">
        <f t="shared" si="28"/>
        <v>201.22167878775238</v>
      </c>
      <c r="BC11" s="140">
        <f t="shared" si="14"/>
        <v>6.1871126760563371</v>
      </c>
      <c r="BD11" s="141">
        <f t="shared" si="15"/>
        <v>8.7134799999999988</v>
      </c>
      <c r="BE11" s="128">
        <f t="shared" si="16"/>
        <v>0.94508555015382878</v>
      </c>
      <c r="BF11" s="141">
        <f t="shared" si="17"/>
        <v>14.900592676056336</v>
      </c>
      <c r="BG11" s="535">
        <v>0.94499999999999995</v>
      </c>
      <c r="BH11" s="16">
        <f t="shared" si="29"/>
        <v>1083.9265</v>
      </c>
      <c r="BI11" s="16">
        <f t="shared" si="18"/>
        <v>220</v>
      </c>
      <c r="BJ11" s="16">
        <f t="shared" si="30"/>
        <v>1100</v>
      </c>
      <c r="BK11" s="17">
        <f t="shared" si="19"/>
        <v>1</v>
      </c>
      <c r="BL11" s="16">
        <f t="shared" si="31"/>
        <v>1100</v>
      </c>
      <c r="BM11" s="249">
        <v>345.49</v>
      </c>
      <c r="BN11" s="195">
        <v>7.8140000000000001</v>
      </c>
      <c r="BO11" s="197">
        <v>86.332999999999998</v>
      </c>
      <c r="BP11" s="197"/>
      <c r="BQ11" s="230"/>
      <c r="BR11" s="230">
        <v>31.396000000000001</v>
      </c>
      <c r="BS11" s="250"/>
      <c r="BT11" s="199"/>
      <c r="BU11" s="200">
        <v>0.8</v>
      </c>
      <c r="BV11" s="200"/>
      <c r="BW11" s="200"/>
      <c r="BX11" s="200"/>
      <c r="BY11" s="208"/>
      <c r="BZ11" s="208">
        <v>1.36</v>
      </c>
      <c r="CA11" s="201"/>
      <c r="CB11" s="202">
        <v>36.21</v>
      </c>
      <c r="CC11" s="200">
        <v>43.29</v>
      </c>
      <c r="CD11" s="200">
        <v>42.99</v>
      </c>
      <c r="CE11" s="200"/>
      <c r="CF11" s="200"/>
      <c r="CG11" s="200">
        <v>34.53</v>
      </c>
      <c r="CH11" s="200"/>
      <c r="CI11" s="203"/>
      <c r="CJ11" s="204"/>
      <c r="CK11" s="197"/>
      <c r="CL11" s="230">
        <v>288.39999999999998</v>
      </c>
      <c r="CM11" s="198"/>
      <c r="CN11" s="202"/>
      <c r="CO11" s="208"/>
      <c r="CP11" s="208"/>
      <c r="CQ11" s="201"/>
      <c r="CR11" s="201"/>
      <c r="CS11" s="284"/>
      <c r="CT11" s="286">
        <f t="shared" si="20"/>
        <v>342.72608000000002</v>
      </c>
      <c r="CU11" s="24">
        <f t="shared" si="20"/>
        <v>7.8140000000000001</v>
      </c>
      <c r="CV11" s="592">
        <f t="shared" si="20"/>
        <v>86.332999999999998</v>
      </c>
      <c r="CW11" s="596"/>
      <c r="CX11" s="28">
        <f t="shared" si="20"/>
        <v>0</v>
      </c>
      <c r="CY11" s="24">
        <f t="shared" si="20"/>
        <v>30.969014400000002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288.39999999999998</v>
      </c>
      <c r="DD11" s="280">
        <f t="shared" si="21"/>
        <v>0</v>
      </c>
      <c r="DE11" s="508">
        <f t="shared" si="32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3"/>
        <v>0</v>
      </c>
      <c r="DM11" s="402"/>
    </row>
    <row r="12" spans="1:117" ht="16.5" customHeight="1" thickBot="1">
      <c r="A12" s="534">
        <v>6</v>
      </c>
      <c r="B12" s="103">
        <f>'[1]сентябрь 20'!K11</f>
        <v>480.27699999999999</v>
      </c>
      <c r="C12" s="104">
        <f t="shared" si="0"/>
        <v>1.1827429171082522</v>
      </c>
      <c r="D12" s="448">
        <f t="shared" si="1"/>
        <v>474.59655779999997</v>
      </c>
      <c r="E12" s="104">
        <f t="shared" si="2"/>
        <v>37.816216079470813</v>
      </c>
      <c r="F12" s="128">
        <f t="shared" si="3"/>
        <v>2.1814814407258787</v>
      </c>
      <c r="G12" s="106"/>
      <c r="H12" s="107">
        <f t="shared" si="4"/>
        <v>1.7401120524736047</v>
      </c>
      <c r="I12" s="103">
        <f>'[1]сентябрь 20'!AE11</f>
        <v>0</v>
      </c>
      <c r="J12" s="328">
        <f>'[1]сентябрь 20'!AA11</f>
        <v>11.2</v>
      </c>
      <c r="K12" s="106">
        <v>22.98</v>
      </c>
      <c r="L12" s="328">
        <f>'[1]сентябрь 20'!AI11</f>
        <v>96.022999999999996</v>
      </c>
      <c r="M12" s="103">
        <f t="shared" si="5"/>
        <v>0.44136938825227418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'[1]сентябрь 20'!S11</f>
        <v>302.87799999999999</v>
      </c>
      <c r="S12" s="108">
        <f t="shared" si="6"/>
        <v>3.0269613507749038</v>
      </c>
      <c r="T12" s="109">
        <f t="shared" si="7"/>
        <v>293.70999999999998</v>
      </c>
      <c r="U12" s="106"/>
      <c r="V12" s="109">
        <f t="shared" si="8"/>
        <v>293.70999999999998</v>
      </c>
      <c r="W12" s="110">
        <f t="shared" si="9"/>
        <v>1.3500370017972301</v>
      </c>
      <c r="X12" s="110">
        <f t="shared" si="26"/>
        <v>1.3500370017972301</v>
      </c>
      <c r="Y12" s="136">
        <v>217.55699999999999</v>
      </c>
      <c r="Z12" s="130">
        <v>217.56</v>
      </c>
      <c r="AA12" s="131">
        <v>0.47</v>
      </c>
      <c r="AB12" s="112">
        <v>690</v>
      </c>
      <c r="AC12" s="133">
        <v>1220</v>
      </c>
      <c r="AD12" s="144" t="s">
        <v>200</v>
      </c>
      <c r="AE12" s="131">
        <v>75.88</v>
      </c>
      <c r="AF12" s="133">
        <v>160</v>
      </c>
      <c r="AG12" s="134">
        <v>5</v>
      </c>
      <c r="AH12" s="131">
        <v>2.95</v>
      </c>
      <c r="AI12" s="115">
        <f t="shared" si="10"/>
        <v>13.559664823471552</v>
      </c>
      <c r="AJ12" s="131">
        <v>145</v>
      </c>
      <c r="AK12" s="115">
        <f t="shared" si="11"/>
        <v>666.49199979775415</v>
      </c>
      <c r="AL12" s="131">
        <v>32.4</v>
      </c>
      <c r="AM12" s="116"/>
      <c r="AN12" s="135">
        <v>12.91</v>
      </c>
      <c r="AO12" s="466">
        <f t="shared" si="27"/>
        <v>53.522999999999996</v>
      </c>
      <c r="AP12" s="110">
        <f t="shared" si="12"/>
        <v>0.19</v>
      </c>
      <c r="AQ12" s="137" t="s">
        <v>430</v>
      </c>
      <c r="AR12" s="150">
        <v>8.18</v>
      </c>
      <c r="AS12" s="138">
        <v>7.7</v>
      </c>
      <c r="AT12" s="131"/>
      <c r="AU12" s="131">
        <v>6.11</v>
      </c>
      <c r="AV12" s="315">
        <v>281.7</v>
      </c>
      <c r="AW12" s="131">
        <v>2.29</v>
      </c>
      <c r="AX12" s="116"/>
      <c r="AY12" s="131"/>
      <c r="AZ12" s="109"/>
      <c r="BA12" s="598">
        <f t="shared" si="13"/>
        <v>217.55699999999999</v>
      </c>
      <c r="BB12" s="115">
        <f t="shared" si="28"/>
        <v>206.48550791822549</v>
      </c>
      <c r="BC12" s="140">
        <f t="shared" si="14"/>
        <v>6.8629929577464788</v>
      </c>
      <c r="BD12" s="141">
        <f t="shared" si="15"/>
        <v>8.70228</v>
      </c>
      <c r="BE12" s="128">
        <f t="shared" si="16"/>
        <v>0.91980915714054323</v>
      </c>
      <c r="BF12" s="141">
        <f t="shared" si="17"/>
        <v>15.56527295774648</v>
      </c>
      <c r="BG12" s="535">
        <v>0.94099999999999995</v>
      </c>
      <c r="BH12" s="16">
        <f t="shared" si="29"/>
        <v>1301.4835</v>
      </c>
      <c r="BI12" s="16">
        <f t="shared" si="18"/>
        <v>220</v>
      </c>
      <c r="BJ12" s="16">
        <f t="shared" si="30"/>
        <v>1320</v>
      </c>
      <c r="BK12" s="17">
        <f t="shared" si="19"/>
        <v>1</v>
      </c>
      <c r="BL12" s="16">
        <f t="shared" si="31"/>
        <v>1320</v>
      </c>
      <c r="BM12" s="249">
        <v>352.26600000000002</v>
      </c>
      <c r="BN12" s="195">
        <v>7.9980000000000002</v>
      </c>
      <c r="BO12" s="271">
        <v>88.025000000000006</v>
      </c>
      <c r="BP12" s="197"/>
      <c r="BQ12" s="230"/>
      <c r="BR12" s="230">
        <v>31.988</v>
      </c>
      <c r="BS12" s="250"/>
      <c r="BT12" s="199"/>
      <c r="BU12" s="200">
        <v>1.45</v>
      </c>
      <c r="BV12" s="200"/>
      <c r="BW12" s="200"/>
      <c r="BX12" s="200"/>
      <c r="BY12" s="208"/>
      <c r="BZ12" s="208">
        <v>1.79</v>
      </c>
      <c r="CA12" s="201"/>
      <c r="CB12" s="202">
        <v>36.630000000000003</v>
      </c>
      <c r="CC12" s="200">
        <v>43.46</v>
      </c>
      <c r="CD12" s="200">
        <v>43.51</v>
      </c>
      <c r="CE12" s="200"/>
      <c r="CF12" s="200"/>
      <c r="CG12" s="200">
        <v>33.799999999999997</v>
      </c>
      <c r="CH12" s="200"/>
      <c r="CI12" s="203"/>
      <c r="CJ12" s="204"/>
      <c r="CK12" s="197"/>
      <c r="CL12" s="230">
        <v>293.70999999999998</v>
      </c>
      <c r="CM12" s="198"/>
      <c r="CN12" s="202"/>
      <c r="CO12" s="202"/>
      <c r="CP12" s="270"/>
      <c r="CQ12" s="201"/>
      <c r="CR12" s="201"/>
      <c r="CS12" s="284"/>
      <c r="CT12" s="286">
        <f t="shared" si="20"/>
        <v>347.158143</v>
      </c>
      <c r="CU12" s="24">
        <f t="shared" si="20"/>
        <v>7.9980000000000002</v>
      </c>
      <c r="CV12" s="592">
        <f t="shared" si="20"/>
        <v>88.025000000000006</v>
      </c>
      <c r="CW12" s="590"/>
      <c r="CX12" s="28">
        <f t="shared" si="20"/>
        <v>0</v>
      </c>
      <c r="CY12" s="30">
        <f t="shared" si="20"/>
        <v>31.415414799999997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293.70999999999998</v>
      </c>
      <c r="DD12" s="280">
        <f t="shared" si="21"/>
        <v>0</v>
      </c>
      <c r="DE12" s="508">
        <f t="shared" si="32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3"/>
        <v>0</v>
      </c>
    </row>
    <row r="13" spans="1:117" ht="16.5" customHeight="1" thickBot="1">
      <c r="A13" s="534">
        <v>7</v>
      </c>
      <c r="B13" s="103">
        <f>'[1]сентябрь 20'!K12</f>
        <v>449.64499999999998</v>
      </c>
      <c r="C13" s="104">
        <f t="shared" si="0"/>
        <v>1.0730001445584851</v>
      </c>
      <c r="D13" s="448">
        <f t="shared" si="1"/>
        <v>444.82030849999995</v>
      </c>
      <c r="E13" s="104">
        <f t="shared" si="2"/>
        <v>37.746527838628253</v>
      </c>
      <c r="F13" s="128">
        <f t="shared" si="3"/>
        <v>2.3449113766236502</v>
      </c>
      <c r="G13" s="106"/>
      <c r="H13" s="107">
        <f t="shared" si="4"/>
        <v>1.8706262045588731</v>
      </c>
      <c r="I13" s="103">
        <f>'[1]сентябрь 20'!AE12</f>
        <v>0</v>
      </c>
      <c r="J13" s="328">
        <f>'[1]сентябрь 20'!AA12</f>
        <v>9.1219999999999999</v>
      </c>
      <c r="K13" s="106">
        <v>15.75</v>
      </c>
      <c r="L13" s="328">
        <f>'[1]сентябрь 20'!AI12</f>
        <v>89.97</v>
      </c>
      <c r="M13" s="103">
        <f t="shared" si="5"/>
        <v>0.47428517206477733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'[1]сентябрь 20'!S12</f>
        <v>286.52699999999999</v>
      </c>
      <c r="S13" s="108">
        <f t="shared" si="6"/>
        <v>3.0073954636037681</v>
      </c>
      <c r="T13" s="109">
        <f t="shared" si="7"/>
        <v>277.91000000000003</v>
      </c>
      <c r="U13" s="106">
        <v>9.92</v>
      </c>
      <c r="V13" s="109">
        <f t="shared" si="8"/>
        <v>277.91000000000003</v>
      </c>
      <c r="W13" s="110">
        <f t="shared" si="9"/>
        <v>1.4650282557354928</v>
      </c>
      <c r="X13" s="110">
        <f t="shared" si="26"/>
        <v>1.4650282557354928</v>
      </c>
      <c r="Y13" s="136">
        <v>189.696</v>
      </c>
      <c r="Z13" s="130">
        <v>189.7</v>
      </c>
      <c r="AA13" s="131">
        <v>0.35</v>
      </c>
      <c r="AB13" s="146">
        <v>677</v>
      </c>
      <c r="AC13" s="147">
        <v>1222</v>
      </c>
      <c r="AD13" s="144" t="s">
        <v>192</v>
      </c>
      <c r="AE13" s="131">
        <v>75.97</v>
      </c>
      <c r="AF13" s="133">
        <v>150</v>
      </c>
      <c r="AG13" s="134">
        <v>5</v>
      </c>
      <c r="AH13" s="131"/>
      <c r="AI13" s="115">
        <f t="shared" si="10"/>
        <v>0</v>
      </c>
      <c r="AJ13" s="131">
        <v>133.69999999999999</v>
      </c>
      <c r="AK13" s="115">
        <f t="shared" si="11"/>
        <v>704.81190958164643</v>
      </c>
      <c r="AL13" s="131">
        <v>29.02</v>
      </c>
      <c r="AM13" s="116"/>
      <c r="AN13" s="135">
        <v>11.27</v>
      </c>
      <c r="AO13" s="466">
        <f t="shared" si="27"/>
        <v>46.473999999999997</v>
      </c>
      <c r="AP13" s="110">
        <f t="shared" si="12"/>
        <v>0.19</v>
      </c>
      <c r="AQ13" s="137" t="s">
        <v>238</v>
      </c>
      <c r="AR13" s="150">
        <v>7.69</v>
      </c>
      <c r="AS13" s="138">
        <v>7.43</v>
      </c>
      <c r="AT13" s="131"/>
      <c r="AU13" s="131">
        <v>7.97</v>
      </c>
      <c r="AV13" s="315">
        <v>244.6</v>
      </c>
      <c r="AW13" s="131">
        <v>2.84</v>
      </c>
      <c r="AX13" s="148"/>
      <c r="AY13" s="149"/>
      <c r="AZ13" s="109"/>
      <c r="BA13" s="598">
        <f t="shared" si="13"/>
        <v>189.696</v>
      </c>
      <c r="BB13" s="115">
        <f t="shared" si="28"/>
        <v>192.94509074527687</v>
      </c>
      <c r="BC13" s="140">
        <f t="shared" si="14"/>
        <v>8.254562676056338</v>
      </c>
      <c r="BD13" s="141">
        <f t="shared" si="15"/>
        <v>7.5878399999999999</v>
      </c>
      <c r="BE13" s="128">
        <f t="shared" si="16"/>
        <v>0.85829915319601813</v>
      </c>
      <c r="BF13" s="141">
        <f t="shared" si="17"/>
        <v>15.842402676056338</v>
      </c>
      <c r="BG13" s="535">
        <v>0.93</v>
      </c>
      <c r="BH13" s="16">
        <f t="shared" si="29"/>
        <v>1491.1795</v>
      </c>
      <c r="BI13" s="16">
        <f t="shared" si="18"/>
        <v>220</v>
      </c>
      <c r="BJ13" s="16">
        <f t="shared" si="30"/>
        <v>1540</v>
      </c>
      <c r="BK13" s="17">
        <f t="shared" si="19"/>
        <v>1</v>
      </c>
      <c r="BL13" s="16">
        <f t="shared" si="31"/>
        <v>1540</v>
      </c>
      <c r="BM13" s="249">
        <v>329.85500000000002</v>
      </c>
      <c r="BN13" s="195">
        <v>7.4909999999999997</v>
      </c>
      <c r="BO13" s="266">
        <v>82.478999999999999</v>
      </c>
      <c r="BP13" s="196"/>
      <c r="BQ13" s="313"/>
      <c r="BR13" s="230">
        <v>29.82</v>
      </c>
      <c r="BS13" s="250"/>
      <c r="BT13" s="199"/>
      <c r="BU13" s="200">
        <v>1.29</v>
      </c>
      <c r="BV13" s="200"/>
      <c r="BW13" s="200"/>
      <c r="BX13" s="200"/>
      <c r="BY13" s="208"/>
      <c r="BZ13" s="208">
        <v>1.91</v>
      </c>
      <c r="CA13" s="201"/>
      <c r="CB13" s="202">
        <v>36.68</v>
      </c>
      <c r="CC13" s="200">
        <v>42.88</v>
      </c>
      <c r="CD13" s="202">
        <v>42.77</v>
      </c>
      <c r="CE13" s="200"/>
      <c r="CF13" s="200"/>
      <c r="CG13" s="200">
        <v>34.36</v>
      </c>
      <c r="CH13" s="200"/>
      <c r="CI13" s="203"/>
      <c r="CJ13" s="204"/>
      <c r="CK13" s="197"/>
      <c r="CL13" s="264">
        <v>277.91000000000003</v>
      </c>
      <c r="CM13" s="265"/>
      <c r="CN13" s="202"/>
      <c r="CO13" s="202"/>
      <c r="CP13" s="270"/>
      <c r="CQ13" s="201"/>
      <c r="CR13" s="201"/>
      <c r="CS13" s="284"/>
      <c r="CT13" s="286">
        <f t="shared" si="20"/>
        <v>325.59987050000001</v>
      </c>
      <c r="CU13" s="24">
        <f t="shared" si="20"/>
        <v>7.4909999999999997</v>
      </c>
      <c r="CV13" s="592">
        <f t="shared" si="20"/>
        <v>82.478999999999999</v>
      </c>
      <c r="CW13" s="590"/>
      <c r="CX13" s="28">
        <f t="shared" si="20"/>
        <v>0</v>
      </c>
      <c r="CY13" s="24">
        <f t="shared" si="20"/>
        <v>29.250437999999999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277.91000000000003</v>
      </c>
      <c r="DD13" s="280">
        <f t="shared" si="21"/>
        <v>0</v>
      </c>
      <c r="DE13" s="508">
        <f t="shared" si="32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3"/>
        <v>0</v>
      </c>
    </row>
    <row r="14" spans="1:117" ht="16.5" customHeight="1" thickBot="1">
      <c r="A14" s="534">
        <v>8</v>
      </c>
      <c r="B14" s="103">
        <f>'[1]сентябрь 20'!K13</f>
        <v>471.19</v>
      </c>
      <c r="C14" s="104">
        <f>IF(B14=0,0,(BM14*BU14+BN14*BV14+BP14*BX14+BS14*CA14+BO14*BW14+BR14*BZ14+BQ14*BY14)/B14)</f>
        <v>0.88624953840276754</v>
      </c>
      <c r="D14" s="448">
        <f>B14*((100-C14)/100)</f>
        <v>467.01408080000004</v>
      </c>
      <c r="E14" s="104">
        <f>IF(B14=0,0,(BM14*CB14+BN14*CC14+BP14*CE14+BS14*CH14+BO14*CD14+BR14*CG14+BQ14*CF14)/B14)</f>
        <v>37.726531038434601</v>
      </c>
      <c r="F14" s="128">
        <f>IF(BA14=0,0,D14/BA14)</f>
        <v>2.0442636749237253</v>
      </c>
      <c r="G14" s="106"/>
      <c r="H14" s="107">
        <f t="shared" si="4"/>
        <v>1.6316981794783123</v>
      </c>
      <c r="I14" s="103">
        <f>'[1]сентябрь 20'!AE13</f>
        <v>0</v>
      </c>
      <c r="J14" s="328">
        <f>'[1]сентябрь 20'!AA13</f>
        <v>10.436999999999999</v>
      </c>
      <c r="K14" s="106">
        <v>22.46</v>
      </c>
      <c r="L14" s="328">
        <f>'[1]сентябрь 20'!AI13</f>
        <v>94.251000000000005</v>
      </c>
      <c r="M14" s="103">
        <f>IF(BA14=0,0,(CV14+CU14)/BA14)</f>
        <v>0.41256549544541277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'[1]сентябрь 20'!S13</f>
        <v>301.86599999999999</v>
      </c>
      <c r="S14" s="108">
        <f>IF(R14=0,0,(1-(V14/R14))*100)</f>
        <v>3.1093266548733456</v>
      </c>
      <c r="T14" s="109">
        <f>R14*((100-S14)/100)</f>
        <v>292.48</v>
      </c>
      <c r="U14" s="106">
        <v>4.9400000000000004</v>
      </c>
      <c r="V14" s="109">
        <f>CJ14+CK14+CM14+CL14</f>
        <v>292.48</v>
      </c>
      <c r="W14" s="110">
        <f>IF(BA14=0,0,T14/BA14)</f>
        <v>1.2802745446507129</v>
      </c>
      <c r="X14" s="110">
        <f t="shared" si="26"/>
        <v>1.2802745446507129</v>
      </c>
      <c r="Y14" s="136">
        <v>228.45100000000002</v>
      </c>
      <c r="Z14" s="130">
        <v>228.45</v>
      </c>
      <c r="AA14" s="131">
        <v>0.63</v>
      </c>
      <c r="AB14" s="146">
        <v>667</v>
      </c>
      <c r="AC14" s="147">
        <v>1219</v>
      </c>
      <c r="AD14" s="144" t="s">
        <v>217</v>
      </c>
      <c r="AE14" s="131">
        <v>76.040000000000006</v>
      </c>
      <c r="AF14" s="133">
        <v>157</v>
      </c>
      <c r="AG14" s="134">
        <v>5</v>
      </c>
      <c r="AH14" s="131">
        <v>3.3</v>
      </c>
      <c r="AI14" s="115">
        <f t="shared" si="10"/>
        <v>14.445110767735748</v>
      </c>
      <c r="AJ14" s="131">
        <v>130.25</v>
      </c>
      <c r="AK14" s="115">
        <f>IF(BA14=0,0,AJ14/BA14*1000)</f>
        <v>570.14414469623671</v>
      </c>
      <c r="AL14" s="131">
        <v>32.9</v>
      </c>
      <c r="AM14" s="116"/>
      <c r="AN14" s="135">
        <v>10.33</v>
      </c>
      <c r="AO14" s="466">
        <f t="shared" si="27"/>
        <v>55.499000000000002</v>
      </c>
      <c r="AP14" s="110">
        <f>IF(AO14=0,0,AO14/AV14)</f>
        <v>0.19</v>
      </c>
      <c r="AQ14" s="137" t="s">
        <v>218</v>
      </c>
      <c r="AR14" s="150">
        <v>8.26</v>
      </c>
      <c r="AS14" s="138">
        <v>7.3</v>
      </c>
      <c r="AT14" s="131"/>
      <c r="AU14" s="131">
        <v>5.73</v>
      </c>
      <c r="AV14" s="315">
        <v>292.10000000000002</v>
      </c>
      <c r="AW14" s="131">
        <v>2.1800000000000002</v>
      </c>
      <c r="AX14" s="148"/>
      <c r="AY14" s="149"/>
      <c r="AZ14" s="109"/>
      <c r="BA14" s="598">
        <f t="shared" si="13"/>
        <v>228.45100000000002</v>
      </c>
      <c r="BB14" s="115">
        <f>IF(AE14=0,0,((D14*0.97)*(E14/100)*0.9)/(AE14/100))</f>
        <v>202.27815518703221</v>
      </c>
      <c r="BC14" s="140">
        <f>(AJ14*AU14)/100*(55/71)</f>
        <v>5.7814489436619727</v>
      </c>
      <c r="BD14" s="141">
        <f>BA14*$BD$6</f>
        <v>9.1380400000000019</v>
      </c>
      <c r="BE14" s="128">
        <f>IF((D14*E14)=0,0,(BA14*AE14)/(D14*E14))</f>
        <v>0.98595779072433276</v>
      </c>
      <c r="BF14" s="141">
        <f>BC14+BD14</f>
        <v>14.919488943661975</v>
      </c>
      <c r="BG14" s="535">
        <v>0.93700000000000006</v>
      </c>
      <c r="BH14" s="16">
        <f>BH13+BA14</f>
        <v>1719.6305</v>
      </c>
      <c r="BI14" s="16">
        <f>IF(A14&lt;=$BG$43,$AV$43,0)</f>
        <v>220</v>
      </c>
      <c r="BJ14" s="16">
        <f>BI14+BJ13</f>
        <v>1760</v>
      </c>
      <c r="BK14" s="17">
        <f>IF(BA14&lt;&gt;0,1,0)</f>
        <v>1</v>
      </c>
      <c r="BL14" s="16">
        <f>BL13+BI14*BK14</f>
        <v>1760</v>
      </c>
      <c r="BM14" s="249">
        <v>350.298</v>
      </c>
      <c r="BN14" s="195">
        <v>7.8639999999999999</v>
      </c>
      <c r="BO14" s="266">
        <v>86.387</v>
      </c>
      <c r="BP14" s="196"/>
      <c r="BQ14" s="313"/>
      <c r="BR14" s="230">
        <v>26.640999999999998</v>
      </c>
      <c r="BS14" s="250"/>
      <c r="BT14" s="199"/>
      <c r="BU14" s="200">
        <v>1.04</v>
      </c>
      <c r="BV14" s="200"/>
      <c r="BW14" s="200"/>
      <c r="BX14" s="200"/>
      <c r="BY14" s="208"/>
      <c r="BZ14" s="208">
        <v>2</v>
      </c>
      <c r="CA14" s="201"/>
      <c r="CB14" s="202">
        <v>36.76</v>
      </c>
      <c r="CC14" s="200">
        <v>43.24</v>
      </c>
      <c r="CD14" s="202">
        <v>42.95</v>
      </c>
      <c r="CE14" s="200"/>
      <c r="CF14" s="200"/>
      <c r="CG14" s="200">
        <v>31.87</v>
      </c>
      <c r="CH14" s="200"/>
      <c r="CI14" s="203"/>
      <c r="CJ14" s="204"/>
      <c r="CK14" s="197"/>
      <c r="CL14" s="264">
        <v>292.48</v>
      </c>
      <c r="CM14" s="265"/>
      <c r="CN14" s="202"/>
      <c r="CO14" s="202"/>
      <c r="CP14" s="270"/>
      <c r="CQ14" s="201"/>
      <c r="CR14" s="201"/>
      <c r="CS14" s="284"/>
      <c r="CT14" s="286">
        <f t="shared" si="20"/>
        <v>346.65490079999995</v>
      </c>
      <c r="CU14" s="27">
        <f t="shared" si="20"/>
        <v>7.8639999999999999</v>
      </c>
      <c r="CV14" s="593">
        <f t="shared" si="20"/>
        <v>86.387</v>
      </c>
      <c r="CW14" s="597"/>
      <c r="CX14" s="28">
        <f t="shared" si="20"/>
        <v>0</v>
      </c>
      <c r="CY14" s="24">
        <f t="shared" si="20"/>
        <v>26.108179999999997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292.48</v>
      </c>
      <c r="DD14" s="280">
        <f t="shared" si="21"/>
        <v>0</v>
      </c>
      <c r="DE14" s="508">
        <f t="shared" si="32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3"/>
        <v>0</v>
      </c>
    </row>
    <row r="15" spans="1:117" ht="16.5" customHeight="1" thickBot="1">
      <c r="A15" s="536">
        <v>9</v>
      </c>
      <c r="B15" s="103">
        <f>'[1]сентябрь 20'!K14</f>
        <v>464.44400000000002</v>
      </c>
      <c r="C15" s="104">
        <f t="shared" si="0"/>
        <v>1.2072898131959935</v>
      </c>
      <c r="D15" s="448">
        <f t="shared" si="1"/>
        <v>458.83681489999998</v>
      </c>
      <c r="E15" s="104">
        <f t="shared" si="2"/>
        <v>37.568138849893643</v>
      </c>
      <c r="F15" s="128">
        <f t="shared" si="3"/>
        <v>2.8740170053241467</v>
      </c>
      <c r="G15" s="106"/>
      <c r="H15" s="107">
        <f t="shared" si="4"/>
        <v>2.2923132784215476</v>
      </c>
      <c r="I15" s="103">
        <f>'[1]сентябрь 20'!AE14</f>
        <v>0</v>
      </c>
      <c r="J15" s="328">
        <f>'[1]сентябрь 20'!AA14</f>
        <v>13.039</v>
      </c>
      <c r="K15" s="106"/>
      <c r="L15" s="328">
        <f>'[1]сентябрь 20'!AI14</f>
        <v>92.869</v>
      </c>
      <c r="M15" s="103">
        <f t="shared" si="5"/>
        <v>0.58170372690259953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'[1]сентябрь 20'!S14</f>
        <v>299.26499999999999</v>
      </c>
      <c r="S15" s="108">
        <f t="shared" si="6"/>
        <v>2.9121347300887113</v>
      </c>
      <c r="T15" s="109">
        <f t="shared" si="7"/>
        <v>290.55</v>
      </c>
      <c r="U15" s="106">
        <v>30.58</v>
      </c>
      <c r="V15" s="109">
        <f t="shared" si="8"/>
        <v>290.55</v>
      </c>
      <c r="W15" s="110">
        <f t="shared" si="9"/>
        <v>1.8199185718759789</v>
      </c>
      <c r="X15" s="110">
        <f t="shared" si="26"/>
        <v>1.8199185718759789</v>
      </c>
      <c r="Y15" s="136">
        <v>159.65</v>
      </c>
      <c r="Z15" s="130">
        <v>159.65</v>
      </c>
      <c r="AA15" s="131">
        <v>0.55000000000000004</v>
      </c>
      <c r="AB15" s="112">
        <v>690</v>
      </c>
      <c r="AC15" s="133">
        <v>1227</v>
      </c>
      <c r="AD15" s="144" t="s">
        <v>217</v>
      </c>
      <c r="AE15" s="131">
        <v>76.11</v>
      </c>
      <c r="AF15" s="133">
        <v>155</v>
      </c>
      <c r="AG15" s="134">
        <v>5</v>
      </c>
      <c r="AH15" s="131">
        <v>3.1</v>
      </c>
      <c r="AI15" s="115">
        <f t="shared" si="10"/>
        <v>19.417475728155342</v>
      </c>
      <c r="AJ15" s="131">
        <v>117.75</v>
      </c>
      <c r="AK15" s="115">
        <f t="shared" si="11"/>
        <v>737.55089257751342</v>
      </c>
      <c r="AL15" s="131">
        <v>31.77</v>
      </c>
      <c r="AM15" s="116"/>
      <c r="AN15" s="135">
        <v>9.83</v>
      </c>
      <c r="AO15" s="466">
        <v>117.32</v>
      </c>
      <c r="AP15" s="110">
        <f t="shared" si="12"/>
        <v>0.41288052085166288</v>
      </c>
      <c r="AQ15" s="137" t="s">
        <v>204</v>
      </c>
      <c r="AR15" s="150">
        <v>8.08</v>
      </c>
      <c r="AS15" s="138">
        <v>7.44</v>
      </c>
      <c r="AT15" s="131"/>
      <c r="AU15" s="131">
        <v>5.81</v>
      </c>
      <c r="AV15" s="315">
        <v>284.14999999999998</v>
      </c>
      <c r="AW15" s="131">
        <v>2.65</v>
      </c>
      <c r="AX15" s="116"/>
      <c r="AY15" s="131"/>
      <c r="AZ15" s="109"/>
      <c r="BA15" s="598">
        <f t="shared" si="13"/>
        <v>159.64999999999998</v>
      </c>
      <c r="BB15" s="115">
        <f t="shared" si="28"/>
        <v>197.71993476300315</v>
      </c>
      <c r="BC15" s="140">
        <f t="shared" si="14"/>
        <v>5.2995792253521117</v>
      </c>
      <c r="BD15" s="141">
        <f t="shared" si="15"/>
        <v>6.3859999999999992</v>
      </c>
      <c r="BE15" s="128">
        <f t="shared" si="16"/>
        <v>0.70490843610211118</v>
      </c>
      <c r="BF15" s="141">
        <f t="shared" si="17"/>
        <v>11.685579225352111</v>
      </c>
      <c r="BG15" s="535">
        <v>0.91100000000000003</v>
      </c>
      <c r="BH15" s="16">
        <f t="shared" si="29"/>
        <v>1879.2804999999998</v>
      </c>
      <c r="BI15" s="16">
        <f t="shared" si="18"/>
        <v>220</v>
      </c>
      <c r="BJ15" s="16">
        <f t="shared" si="30"/>
        <v>1980</v>
      </c>
      <c r="BK15" s="17">
        <f t="shared" si="19"/>
        <v>1</v>
      </c>
      <c r="BL15" s="16">
        <f t="shared" si="31"/>
        <v>1980</v>
      </c>
      <c r="BM15" s="249">
        <v>356.14600000000002</v>
      </c>
      <c r="BN15" s="195">
        <v>7.6890000000000001</v>
      </c>
      <c r="BO15" s="197">
        <v>85.18</v>
      </c>
      <c r="BP15" s="197"/>
      <c r="BQ15" s="230"/>
      <c r="BR15" s="195">
        <v>15.429</v>
      </c>
      <c r="BS15" s="329"/>
      <c r="BT15" s="199"/>
      <c r="BU15" s="200">
        <v>1.47</v>
      </c>
      <c r="BV15" s="200"/>
      <c r="BW15" s="200"/>
      <c r="BX15" s="200"/>
      <c r="BY15" s="208"/>
      <c r="BZ15" s="208">
        <v>2.41</v>
      </c>
      <c r="CA15" s="330"/>
      <c r="CB15" s="202">
        <v>36.26</v>
      </c>
      <c r="CC15" s="200">
        <v>43.12</v>
      </c>
      <c r="CD15" s="200">
        <v>43.19</v>
      </c>
      <c r="CE15" s="200"/>
      <c r="CF15" s="200"/>
      <c r="CG15" s="200">
        <v>33.96</v>
      </c>
      <c r="CH15" s="200"/>
      <c r="CI15" s="203"/>
      <c r="CJ15" s="204"/>
      <c r="CK15" s="230"/>
      <c r="CL15" s="266">
        <v>290.55</v>
      </c>
      <c r="CM15" s="265"/>
      <c r="CN15" s="202"/>
      <c r="CO15" s="208"/>
      <c r="CP15" s="208"/>
      <c r="CQ15" s="201"/>
      <c r="CR15" s="201"/>
      <c r="CS15" s="284"/>
      <c r="CT15" s="286">
        <f t="shared" si="20"/>
        <v>350.91065380000003</v>
      </c>
      <c r="CU15" s="29">
        <f t="shared" si="20"/>
        <v>7.6890000000000001</v>
      </c>
      <c r="CV15" s="594">
        <f t="shared" si="20"/>
        <v>85.18</v>
      </c>
      <c r="CW15" s="596"/>
      <c r="CX15" s="28">
        <f t="shared" si="20"/>
        <v>0</v>
      </c>
      <c r="CY15" s="24">
        <f t="shared" si="20"/>
        <v>15.0571611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290.55</v>
      </c>
      <c r="DD15" s="280">
        <f t="shared" si="21"/>
        <v>0</v>
      </c>
      <c r="DE15" s="508">
        <f t="shared" si="32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3"/>
        <v>0</v>
      </c>
    </row>
    <row r="16" spans="1:117" ht="16.5" customHeight="1" thickBot="1">
      <c r="A16" s="534">
        <v>10</v>
      </c>
      <c r="B16" s="103">
        <f>'[1]сентябрь 20'!K15</f>
        <v>441.09699999999998</v>
      </c>
      <c r="C16" s="104">
        <f t="shared" si="0"/>
        <v>1.1177758633588533</v>
      </c>
      <c r="D16" s="448">
        <f t="shared" si="1"/>
        <v>436.16652419999997</v>
      </c>
      <c r="E16" s="104">
        <f t="shared" si="2"/>
        <v>37.766410494743795</v>
      </c>
      <c r="F16" s="128">
        <f t="shared" si="3"/>
        <v>2.1648613563435748</v>
      </c>
      <c r="G16" s="106"/>
      <c r="H16" s="107">
        <f t="shared" si="4"/>
        <v>1.7269272154678854</v>
      </c>
      <c r="I16" s="103">
        <f>'[1]сентябрь 20'!AE15</f>
        <v>0</v>
      </c>
      <c r="J16" s="328">
        <f>'[1]сентябрь 20'!AA15</f>
        <v>13.326000000000001</v>
      </c>
      <c r="K16" s="106">
        <v>24.55</v>
      </c>
      <c r="L16" s="328">
        <f>'[1]сентябрь 20'!AI15</f>
        <v>88.233000000000004</v>
      </c>
      <c r="M16" s="103">
        <f t="shared" si="5"/>
        <v>0.43793414087568955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'[1]сентябрь 20'!S15</f>
        <v>286.01299999999998</v>
      </c>
      <c r="S16" s="108">
        <f t="shared" si="6"/>
        <v>2.8156062836304674</v>
      </c>
      <c r="T16" s="109">
        <f t="shared" si="7"/>
        <v>277.95999999999998</v>
      </c>
      <c r="U16" s="566">
        <v>18.329999999999998</v>
      </c>
      <c r="V16" s="109">
        <f t="shared" si="8"/>
        <v>277.95999999999998</v>
      </c>
      <c r="W16" s="110">
        <f t="shared" si="9"/>
        <v>1.3796218398763123</v>
      </c>
      <c r="X16" s="110">
        <f t="shared" si="26"/>
        <v>1.3796218398763123</v>
      </c>
      <c r="Y16" s="136">
        <v>201.48</v>
      </c>
      <c r="Z16" s="130">
        <v>201.48</v>
      </c>
      <c r="AA16" s="131">
        <v>0.56999999999999995</v>
      </c>
      <c r="AB16" s="112">
        <v>690</v>
      </c>
      <c r="AC16" s="133">
        <v>1217</v>
      </c>
      <c r="AD16" s="144" t="s">
        <v>149</v>
      </c>
      <c r="AE16" s="131">
        <v>75.86</v>
      </c>
      <c r="AF16" s="133">
        <v>147</v>
      </c>
      <c r="AG16" s="134">
        <v>5</v>
      </c>
      <c r="AH16" s="131"/>
      <c r="AI16" s="115">
        <f t="shared" si="10"/>
        <v>0</v>
      </c>
      <c r="AJ16" s="131">
        <v>129.4</v>
      </c>
      <c r="AK16" s="115">
        <f t="shared" si="11"/>
        <v>642.26171420346395</v>
      </c>
      <c r="AL16" s="139">
        <v>25.45</v>
      </c>
      <c r="AM16" s="131"/>
      <c r="AN16" s="136">
        <v>13.84</v>
      </c>
      <c r="AO16" s="466">
        <f t="shared" si="27"/>
        <v>50.0745</v>
      </c>
      <c r="AP16" s="110">
        <f t="shared" si="12"/>
        <v>0.19</v>
      </c>
      <c r="AQ16" s="137" t="s">
        <v>431</v>
      </c>
      <c r="AR16" s="150">
        <v>7.92</v>
      </c>
      <c r="AS16" s="138">
        <v>7.64</v>
      </c>
      <c r="AT16" s="131"/>
      <c r="AU16" s="131">
        <v>6.1</v>
      </c>
      <c r="AV16" s="315">
        <v>263.55</v>
      </c>
      <c r="AW16" s="131">
        <v>1.84</v>
      </c>
      <c r="AX16" s="116"/>
      <c r="AY16" s="131"/>
      <c r="AZ16" s="109"/>
      <c r="BA16" s="598">
        <f t="shared" si="13"/>
        <v>201.47550000000001</v>
      </c>
      <c r="BB16" s="115">
        <f t="shared" si="28"/>
        <v>189.56556300268187</v>
      </c>
      <c r="BC16" s="140">
        <f t="shared" si="14"/>
        <v>6.1146056338028174</v>
      </c>
      <c r="BD16" s="141">
        <f t="shared" si="15"/>
        <v>8.0590200000000003</v>
      </c>
      <c r="BE16" s="128">
        <f t="shared" si="16"/>
        <v>0.92784843783842552</v>
      </c>
      <c r="BF16" s="141">
        <f t="shared" si="17"/>
        <v>14.173625633802818</v>
      </c>
      <c r="BG16" s="535">
        <v>0.91300000000000003</v>
      </c>
      <c r="BH16" s="16">
        <f t="shared" si="29"/>
        <v>2080.7559999999999</v>
      </c>
      <c r="BI16" s="16">
        <f t="shared" si="18"/>
        <v>220</v>
      </c>
      <c r="BJ16" s="16">
        <f t="shared" si="30"/>
        <v>2200</v>
      </c>
      <c r="BK16" s="17">
        <f t="shared" si="19"/>
        <v>1</v>
      </c>
      <c r="BL16" s="16">
        <f t="shared" si="31"/>
        <v>2200</v>
      </c>
      <c r="BM16" s="249">
        <v>338.05799999999999</v>
      </c>
      <c r="BN16" s="195">
        <v>7.3890000000000002</v>
      </c>
      <c r="BO16" s="195">
        <v>80.843999999999994</v>
      </c>
      <c r="BP16" s="197"/>
      <c r="BQ16" s="230"/>
      <c r="BR16" s="230">
        <v>14.805999999999999</v>
      </c>
      <c r="BS16" s="250"/>
      <c r="BT16" s="199"/>
      <c r="BU16" s="200">
        <v>1.37</v>
      </c>
      <c r="BV16" s="200"/>
      <c r="BW16" s="200"/>
      <c r="BX16" s="200"/>
      <c r="BY16" s="208"/>
      <c r="BZ16" s="208">
        <v>2.02</v>
      </c>
      <c r="CA16" s="201"/>
      <c r="CB16" s="202">
        <v>36.64</v>
      </c>
      <c r="CC16" s="200">
        <v>43.27</v>
      </c>
      <c r="CD16" s="200">
        <v>43.2</v>
      </c>
      <c r="CE16" s="200"/>
      <c r="CF16" s="200"/>
      <c r="CG16" s="200">
        <v>31.07</v>
      </c>
      <c r="CH16" s="200"/>
      <c r="CI16" s="203"/>
      <c r="CJ16" s="204"/>
      <c r="CK16" s="230"/>
      <c r="CL16" s="266">
        <v>277.95999999999998</v>
      </c>
      <c r="CM16" s="265"/>
      <c r="CN16" s="202"/>
      <c r="CO16" s="208"/>
      <c r="CP16" s="208"/>
      <c r="CQ16" s="201"/>
      <c r="CR16" s="201"/>
      <c r="CS16" s="284"/>
      <c r="CT16" s="286">
        <f t="shared" si="20"/>
        <v>333.42660539999997</v>
      </c>
      <c r="CU16" s="24">
        <f t="shared" si="20"/>
        <v>7.3890000000000002</v>
      </c>
      <c r="CV16" s="592">
        <f t="shared" si="20"/>
        <v>80.843999999999994</v>
      </c>
      <c r="CW16" s="596"/>
      <c r="CX16" s="28">
        <f t="shared" si="20"/>
        <v>0</v>
      </c>
      <c r="CY16" s="24">
        <f t="shared" si="20"/>
        <v>14.506918799999999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277.95999999999998</v>
      </c>
      <c r="DD16" s="280">
        <f t="shared" si="21"/>
        <v>0</v>
      </c>
      <c r="DE16" s="508">
        <f t="shared" si="32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3"/>
        <v>0</v>
      </c>
    </row>
    <row r="17" spans="1:115" ht="16.5" customHeight="1" thickBot="1">
      <c r="A17" s="534">
        <v>11</v>
      </c>
      <c r="B17" s="103">
        <f>'[1]сентябрь 20'!K16</f>
        <v>456.60300000000001</v>
      </c>
      <c r="C17" s="104">
        <f t="shared" si="0"/>
        <v>1.2175604847099122</v>
      </c>
      <c r="D17" s="448">
        <f t="shared" si="1"/>
        <v>451.04358230000003</v>
      </c>
      <c r="E17" s="104">
        <f t="shared" si="2"/>
        <v>37.788807103764093</v>
      </c>
      <c r="F17" s="128">
        <f t="shared" si="3"/>
        <v>2.1505352327097702</v>
      </c>
      <c r="G17" s="106"/>
      <c r="H17" s="107">
        <f t="shared" si="4"/>
        <v>1.7130890206951135</v>
      </c>
      <c r="I17" s="103">
        <f>'[1]сентябрь 20'!AE16</f>
        <v>0</v>
      </c>
      <c r="J17" s="328">
        <f>'[1]сентябрь 20'!AA16</f>
        <v>14.742000000000001</v>
      </c>
      <c r="K17" s="106">
        <v>34.83</v>
      </c>
      <c r="L17" s="328">
        <f>'[1]сентябрь 20'!AI16</f>
        <v>91.748000000000005</v>
      </c>
      <c r="M17" s="103">
        <f t="shared" si="5"/>
        <v>0.4374462120146565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'[1]сентябрь 20'!S16</f>
        <v>294.96499999999997</v>
      </c>
      <c r="S17" s="108">
        <f t="shared" si="6"/>
        <v>2.9545878324546915</v>
      </c>
      <c r="T17" s="109">
        <f t="shared" si="7"/>
        <v>286.25</v>
      </c>
      <c r="U17" s="106">
        <v>16.25</v>
      </c>
      <c r="V17" s="109">
        <f t="shared" si="8"/>
        <v>286.25</v>
      </c>
      <c r="W17" s="110">
        <f t="shared" si="9"/>
        <v>1.3648142541439099</v>
      </c>
      <c r="X17" s="110">
        <f t="shared" si="26"/>
        <v>1.3648142541439099</v>
      </c>
      <c r="Y17" s="136">
        <v>209.74</v>
      </c>
      <c r="Z17" s="130">
        <v>167.2</v>
      </c>
      <c r="AA17" s="131">
        <v>0.75</v>
      </c>
      <c r="AB17" s="112">
        <v>683</v>
      </c>
      <c r="AC17" s="133">
        <v>1227</v>
      </c>
      <c r="AD17" s="144" t="s">
        <v>232</v>
      </c>
      <c r="AE17" s="131">
        <v>75.95</v>
      </c>
      <c r="AF17" s="133">
        <v>152</v>
      </c>
      <c r="AG17" s="134">
        <v>5</v>
      </c>
      <c r="AH17" s="131">
        <v>3.25</v>
      </c>
      <c r="AI17" s="115">
        <f t="shared" si="10"/>
        <v>15.495707688970155</v>
      </c>
      <c r="AJ17" s="131">
        <v>111.95</v>
      </c>
      <c r="AK17" s="115">
        <f t="shared" si="11"/>
        <v>533.76753100929511</v>
      </c>
      <c r="AL17" s="139">
        <v>29.4</v>
      </c>
      <c r="AM17" s="131"/>
      <c r="AN17" s="136">
        <v>12.32</v>
      </c>
      <c r="AO17" s="466">
        <f t="shared" si="27"/>
        <v>51.404500000000006</v>
      </c>
      <c r="AP17" s="110">
        <f t="shared" si="12"/>
        <v>0.19</v>
      </c>
      <c r="AQ17" s="137" t="s">
        <v>240</v>
      </c>
      <c r="AR17" s="150">
        <v>8.36</v>
      </c>
      <c r="AS17" s="138">
        <v>7.36</v>
      </c>
      <c r="AT17" s="131"/>
      <c r="AU17" s="131">
        <v>5.31</v>
      </c>
      <c r="AV17" s="315">
        <v>270.55</v>
      </c>
      <c r="AW17" s="131">
        <v>2.91</v>
      </c>
      <c r="AX17" s="116"/>
      <c r="AY17" s="131"/>
      <c r="AZ17" s="109"/>
      <c r="BA17" s="598">
        <f t="shared" si="13"/>
        <v>209.7355</v>
      </c>
      <c r="BB17" s="115">
        <f t="shared" si="28"/>
        <v>195.91521083878752</v>
      </c>
      <c r="BC17" s="140">
        <f t="shared" si="14"/>
        <v>4.6049292253521124</v>
      </c>
      <c r="BD17" s="141">
        <f t="shared" si="15"/>
        <v>8.3894199999999994</v>
      </c>
      <c r="BE17" s="128">
        <f t="shared" si="16"/>
        <v>0.93458333692459683</v>
      </c>
      <c r="BF17" s="141">
        <f t="shared" si="17"/>
        <v>12.994349225352112</v>
      </c>
      <c r="BG17" s="535">
        <v>0.91500000000000004</v>
      </c>
      <c r="BH17" s="16">
        <f t="shared" si="29"/>
        <v>2290.4915000000001</v>
      </c>
      <c r="BI17" s="16">
        <f t="shared" si="18"/>
        <v>220</v>
      </c>
      <c r="BJ17" s="16">
        <f t="shared" si="30"/>
        <v>2420</v>
      </c>
      <c r="BK17" s="17">
        <f t="shared" si="19"/>
        <v>1</v>
      </c>
      <c r="BL17" s="16">
        <f t="shared" si="31"/>
        <v>2420</v>
      </c>
      <c r="BM17" s="249">
        <v>349.67099999999999</v>
      </c>
      <c r="BN17" s="195">
        <v>7.6059999999999999</v>
      </c>
      <c r="BO17" s="195">
        <v>84.141999999999996</v>
      </c>
      <c r="BP17" s="197"/>
      <c r="BQ17" s="230"/>
      <c r="BR17" s="230">
        <v>15.183999999999999</v>
      </c>
      <c r="BS17" s="250"/>
      <c r="BT17" s="199"/>
      <c r="BU17" s="200">
        <v>1.51</v>
      </c>
      <c r="BV17" s="200"/>
      <c r="BW17" s="200"/>
      <c r="BX17" s="200"/>
      <c r="BY17" s="208"/>
      <c r="BZ17" s="208">
        <v>1.84</v>
      </c>
      <c r="CA17" s="201"/>
      <c r="CB17" s="202">
        <v>36.65</v>
      </c>
      <c r="CC17" s="200">
        <v>43.31</v>
      </c>
      <c r="CD17" s="200">
        <v>43.02</v>
      </c>
      <c r="CE17" s="200"/>
      <c r="CF17" s="208"/>
      <c r="CG17" s="208">
        <v>32.26</v>
      </c>
      <c r="CH17" s="201"/>
      <c r="CI17" s="199"/>
      <c r="CJ17" s="197"/>
      <c r="CK17" s="244"/>
      <c r="CL17" s="266">
        <v>286.25</v>
      </c>
      <c r="CM17" s="265"/>
      <c r="CN17" s="231"/>
      <c r="CO17" s="208"/>
      <c r="CP17" s="208"/>
      <c r="CQ17" s="201"/>
      <c r="CR17" s="201"/>
      <c r="CS17" s="284"/>
      <c r="CT17" s="286">
        <f t="shared" si="20"/>
        <v>344.39096789999996</v>
      </c>
      <c r="CU17" s="24">
        <f t="shared" si="20"/>
        <v>7.6059999999999999</v>
      </c>
      <c r="CV17" s="592">
        <f t="shared" si="20"/>
        <v>84.141999999999996</v>
      </c>
      <c r="CW17" s="590"/>
      <c r="CX17" s="28">
        <f t="shared" si="20"/>
        <v>0</v>
      </c>
      <c r="CY17" s="27">
        <f t="shared" si="20"/>
        <v>14.904614399999998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286.25</v>
      </c>
      <c r="DD17" s="280">
        <f t="shared" si="21"/>
        <v>0</v>
      </c>
      <c r="DE17" s="508">
        <f t="shared" si="32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3"/>
        <v>0</v>
      </c>
    </row>
    <row r="18" spans="1:115" ht="16.5" customHeight="1" thickBot="1">
      <c r="A18" s="534">
        <v>12</v>
      </c>
      <c r="B18" s="103">
        <f>'[1]сентябрь 20'!K17</f>
        <v>384.15600000000001</v>
      </c>
      <c r="C18" s="104">
        <f t="shared" si="0"/>
        <v>1.579261680150772</v>
      </c>
      <c r="D18" s="143">
        <f t="shared" si="1"/>
        <v>378.08917149999996</v>
      </c>
      <c r="E18" s="104">
        <f t="shared" si="2"/>
        <v>37.938268151480123</v>
      </c>
      <c r="F18" s="128">
        <f t="shared" si="3"/>
        <v>2.1318633983924573</v>
      </c>
      <c r="G18" s="106"/>
      <c r="H18" s="107">
        <f t="shared" si="4"/>
        <v>1.6987348373145978</v>
      </c>
      <c r="I18" s="103">
        <f>'[1]сентябрь 20'!AE17</f>
        <v>0</v>
      </c>
      <c r="J18" s="328">
        <f>'[1]сентябрь 20'!AA17</f>
        <v>12.795999999999999</v>
      </c>
      <c r="K18" s="106">
        <v>23.64</v>
      </c>
      <c r="L18" s="328">
        <f>'[1]сентябрь 20'!AI17</f>
        <v>76.816000000000003</v>
      </c>
      <c r="M18" s="103">
        <f t="shared" si="5"/>
        <v>0.43312856107785946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'[1]сентябрь 20'!S17</f>
        <v>246.7</v>
      </c>
      <c r="S18" s="108">
        <f t="shared" si="6"/>
        <v>2.8739359546007148</v>
      </c>
      <c r="T18" s="109">
        <f t="shared" si="7"/>
        <v>239.61</v>
      </c>
      <c r="U18" s="566"/>
      <c r="V18" s="109">
        <f t="shared" si="8"/>
        <v>239.61</v>
      </c>
      <c r="W18" s="110">
        <f t="shared" si="9"/>
        <v>1.3510458045181462</v>
      </c>
      <c r="X18" s="110">
        <f t="shared" si="26"/>
        <v>1.3510458045181462</v>
      </c>
      <c r="Y18" s="136">
        <v>140.21</v>
      </c>
      <c r="Z18" s="130">
        <v>46.54</v>
      </c>
      <c r="AA18" s="131">
        <v>1.36</v>
      </c>
      <c r="AB18" s="112">
        <v>690</v>
      </c>
      <c r="AC18" s="133">
        <v>1208</v>
      </c>
      <c r="AD18" s="144" t="s">
        <v>432</v>
      </c>
      <c r="AE18" s="131">
        <v>75.569999999999993</v>
      </c>
      <c r="AF18" s="133">
        <v>128</v>
      </c>
      <c r="AG18" s="134">
        <v>5</v>
      </c>
      <c r="AH18" s="131">
        <v>4.4000000000000004</v>
      </c>
      <c r="AI18" s="115">
        <f t="shared" si="10"/>
        <v>24.809488501647856</v>
      </c>
      <c r="AJ18" s="131">
        <v>104.85</v>
      </c>
      <c r="AK18" s="115">
        <f t="shared" si="11"/>
        <v>591.19883395404042</v>
      </c>
      <c r="AL18" s="139">
        <v>25.54</v>
      </c>
      <c r="AM18" s="131"/>
      <c r="AN18" s="136">
        <v>11.63</v>
      </c>
      <c r="AO18" s="466">
        <f t="shared" si="27"/>
        <v>43.728500000000004</v>
      </c>
      <c r="AP18" s="110">
        <f t="shared" si="12"/>
        <v>0.19</v>
      </c>
      <c r="AQ18" s="137" t="s">
        <v>433</v>
      </c>
      <c r="AR18" s="150">
        <v>8.1999999999999993</v>
      </c>
      <c r="AS18" s="138">
        <v>8.34</v>
      </c>
      <c r="AT18" s="131"/>
      <c r="AU18" s="131">
        <v>5.66</v>
      </c>
      <c r="AV18" s="315">
        <v>230.15</v>
      </c>
      <c r="AW18" s="131">
        <v>2.56</v>
      </c>
      <c r="AX18" s="116"/>
      <c r="AY18" s="131"/>
      <c r="AZ18" s="109">
        <f t="shared" ref="AZ18:AZ37" si="34">IF(BA18=0,0,AY18/BA18*100)</f>
        <v>0</v>
      </c>
      <c r="BA18" s="598">
        <f t="shared" si="13"/>
        <v>177.35150000000002</v>
      </c>
      <c r="BB18" s="115">
        <f>IF(AE18=0,0,((D18*0.97)*(E18/100)*0.9)/(AE18/100))</f>
        <v>165.70536231439246</v>
      </c>
      <c r="BC18" s="140">
        <f t="shared" si="14"/>
        <v>4.5971556338028172</v>
      </c>
      <c r="BD18" s="141">
        <f t="shared" si="15"/>
        <v>7.0940600000000007</v>
      </c>
      <c r="BE18" s="128">
        <f t="shared" si="16"/>
        <v>0.93435636202433481</v>
      </c>
      <c r="BF18" s="141">
        <f t="shared" si="17"/>
        <v>11.691215633802818</v>
      </c>
      <c r="BG18" s="535">
        <v>0.91600000000000004</v>
      </c>
      <c r="BH18" s="16">
        <f t="shared" si="29"/>
        <v>2467.8430000000003</v>
      </c>
      <c r="BI18" s="16">
        <f t="shared" si="18"/>
        <v>220</v>
      </c>
      <c r="BJ18" s="16">
        <f t="shared" si="30"/>
        <v>2640</v>
      </c>
      <c r="BK18" s="17">
        <f t="shared" si="19"/>
        <v>1</v>
      </c>
      <c r="BL18" s="16">
        <f t="shared" si="31"/>
        <v>2640</v>
      </c>
      <c r="BM18" s="249">
        <v>294.46699999999998</v>
      </c>
      <c r="BN18" s="195">
        <v>6.3970000000000002</v>
      </c>
      <c r="BO18" s="195">
        <v>70.418999999999997</v>
      </c>
      <c r="BP18" s="197"/>
      <c r="BQ18" s="230"/>
      <c r="BR18" s="230">
        <v>12.872999999999999</v>
      </c>
      <c r="BS18" s="250"/>
      <c r="BT18" s="199"/>
      <c r="BU18" s="200">
        <v>1.93</v>
      </c>
      <c r="BV18" s="200"/>
      <c r="BW18" s="200"/>
      <c r="BX18" s="200"/>
      <c r="BY18" s="208"/>
      <c r="BZ18" s="208">
        <v>2.98</v>
      </c>
      <c r="CA18" s="201"/>
      <c r="CB18" s="202">
        <v>36.83</v>
      </c>
      <c r="CC18" s="200">
        <v>43.29</v>
      </c>
      <c r="CD18" s="200">
        <v>43.3</v>
      </c>
      <c r="CE18" s="200"/>
      <c r="CF18" s="208"/>
      <c r="CG18" s="208">
        <v>31.3</v>
      </c>
      <c r="CH18" s="209"/>
      <c r="CI18" s="199"/>
      <c r="CJ18" s="197"/>
      <c r="CK18" s="268"/>
      <c r="CL18" s="289">
        <v>239.61</v>
      </c>
      <c r="CM18" s="267"/>
      <c r="CN18" s="202"/>
      <c r="CO18" s="208"/>
      <c r="CP18" s="208"/>
      <c r="CQ18" s="201"/>
      <c r="CR18" s="201"/>
      <c r="CS18" s="284"/>
      <c r="CT18" s="286">
        <f t="shared" si="20"/>
        <v>288.78378689999994</v>
      </c>
      <c r="CU18" s="24">
        <f t="shared" si="20"/>
        <v>6.3970000000000002</v>
      </c>
      <c r="CV18" s="589">
        <f t="shared" si="20"/>
        <v>70.418999999999997</v>
      </c>
      <c r="CW18" s="590"/>
      <c r="CX18" s="28">
        <f t="shared" si="20"/>
        <v>0</v>
      </c>
      <c r="CY18" s="30">
        <f t="shared" si="20"/>
        <v>12.489384599999999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239.61</v>
      </c>
      <c r="DD18" s="280">
        <f t="shared" si="21"/>
        <v>0</v>
      </c>
      <c r="DE18" s="508">
        <f t="shared" si="32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3"/>
        <v>0</v>
      </c>
    </row>
    <row r="19" spans="1:115" ht="16.5" customHeight="1" thickBot="1">
      <c r="A19" s="534">
        <v>13</v>
      </c>
      <c r="B19" s="103">
        <f>'[1]сентябрь 20'!K18</f>
        <v>458.79399999999998</v>
      </c>
      <c r="C19" s="104">
        <f t="shared" si="0"/>
        <v>1.9415530499527023</v>
      </c>
      <c r="D19" s="143">
        <f t="shared" si="1"/>
        <v>449.88627109999999</v>
      </c>
      <c r="E19" s="104">
        <f>IF(B19=0,0,(BM19*CB19+BN19*CC19+BP19*CE19+BS19*CH19+BO19*CD19+BR19*CG19+BQ19*CF19)/B19)</f>
        <v>37.240943669707974</v>
      </c>
      <c r="F19" s="128">
        <f t="shared" si="3"/>
        <v>1.9929488085798202</v>
      </c>
      <c r="G19" s="106"/>
      <c r="H19" s="107">
        <f t="shared" si="4"/>
        <v>1.5865325490943083</v>
      </c>
      <c r="I19" s="103">
        <f>'[1]сентябрь 20'!AE18</f>
        <v>0</v>
      </c>
      <c r="J19" s="328">
        <f>'[1]сентябрь 20'!AA18</f>
        <v>15.198</v>
      </c>
      <c r="K19" s="106">
        <v>15.59</v>
      </c>
      <c r="L19" s="328">
        <f>'[1]сентябрь 20'!AI18</f>
        <v>91.744</v>
      </c>
      <c r="M19" s="103">
        <f t="shared" si="5"/>
        <v>0.40641625948551208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'[1]сентябрь 20'!S18</f>
        <v>291.33499999999998</v>
      </c>
      <c r="S19" s="108">
        <f t="shared" si="6"/>
        <v>2.7476959513961341</v>
      </c>
      <c r="T19" s="109">
        <f t="shared" si="7"/>
        <v>283.33000000000004</v>
      </c>
      <c r="U19" s="566">
        <v>32.159999999999997</v>
      </c>
      <c r="V19" s="109">
        <f t="shared" si="8"/>
        <v>283.33000000000004</v>
      </c>
      <c r="W19" s="110">
        <f t="shared" si="9"/>
        <v>1.2551220657484974</v>
      </c>
      <c r="X19" s="110">
        <f t="shared" si="26"/>
        <v>1.2551220657484974</v>
      </c>
      <c r="Y19" s="136">
        <v>180.72</v>
      </c>
      <c r="Z19" s="130">
        <v>95.87</v>
      </c>
      <c r="AA19" s="131">
        <v>1.1100000000000001</v>
      </c>
      <c r="AB19" s="112">
        <v>682</v>
      </c>
      <c r="AC19" s="133">
        <v>1218</v>
      </c>
      <c r="AD19" s="144" t="s">
        <v>149</v>
      </c>
      <c r="AE19" s="131">
        <v>75.849999999999994</v>
      </c>
      <c r="AF19" s="133">
        <v>153</v>
      </c>
      <c r="AG19" s="134">
        <v>5</v>
      </c>
      <c r="AH19" s="131">
        <v>2.95</v>
      </c>
      <c r="AI19" s="115">
        <f t="shared" si="10"/>
        <v>13.068189369138699</v>
      </c>
      <c r="AJ19" s="131">
        <v>119.55</v>
      </c>
      <c r="AK19" s="115">
        <f t="shared" si="11"/>
        <v>529.59391155272237</v>
      </c>
      <c r="AL19" s="139">
        <v>34.74</v>
      </c>
      <c r="AM19" s="131"/>
      <c r="AN19" s="136">
        <v>14.64</v>
      </c>
      <c r="AO19" s="466">
        <f t="shared" si="27"/>
        <v>55.650999999999996</v>
      </c>
      <c r="AP19" s="110">
        <f t="shared" si="12"/>
        <v>0.19</v>
      </c>
      <c r="AQ19" s="137" t="s">
        <v>233</v>
      </c>
      <c r="AR19" s="150">
        <v>8.09</v>
      </c>
      <c r="AS19" s="138">
        <v>7.17</v>
      </c>
      <c r="AT19" s="134"/>
      <c r="AU19" s="131">
        <v>5.38</v>
      </c>
      <c r="AV19" s="315">
        <v>292.89999999999998</v>
      </c>
      <c r="AW19" s="131">
        <v>3.13</v>
      </c>
      <c r="AX19" s="116"/>
      <c r="AY19" s="131"/>
      <c r="AZ19" s="109">
        <f t="shared" si="34"/>
        <v>0</v>
      </c>
      <c r="BA19" s="598">
        <f t="shared" si="13"/>
        <v>225.73899999999998</v>
      </c>
      <c r="BB19" s="115">
        <f t="shared" si="28"/>
        <v>192.83331893571778</v>
      </c>
      <c r="BC19" s="140">
        <f t="shared" si="14"/>
        <v>4.9823725352112671</v>
      </c>
      <c r="BD19" s="141">
        <f t="shared" si="15"/>
        <v>9.02956</v>
      </c>
      <c r="BE19" s="128">
        <f t="shared" si="16"/>
        <v>1.0219714522763288</v>
      </c>
      <c r="BF19" s="141">
        <f t="shared" si="17"/>
        <v>14.011932535211267</v>
      </c>
      <c r="BG19" s="535">
        <v>0.92400000000000004</v>
      </c>
      <c r="BH19" s="16">
        <f t="shared" si="29"/>
        <v>2693.5820000000003</v>
      </c>
      <c r="BI19" s="16">
        <f t="shared" si="18"/>
        <v>220</v>
      </c>
      <c r="BJ19" s="16">
        <f t="shared" si="30"/>
        <v>2860</v>
      </c>
      <c r="BK19" s="17">
        <f t="shared" si="19"/>
        <v>1</v>
      </c>
      <c r="BL19" s="16">
        <f t="shared" si="31"/>
        <v>2860</v>
      </c>
      <c r="BM19" s="254">
        <v>351.971</v>
      </c>
      <c r="BN19" s="197">
        <v>7.6020000000000003</v>
      </c>
      <c r="BO19" s="197">
        <v>84.141999999999996</v>
      </c>
      <c r="BP19" s="197"/>
      <c r="BQ19" s="230"/>
      <c r="BR19" s="230">
        <v>15.079000000000001</v>
      </c>
      <c r="BS19" s="258"/>
      <c r="BT19" s="199"/>
      <c r="BU19" s="200">
        <v>2.41</v>
      </c>
      <c r="BV19" s="200"/>
      <c r="BW19" s="200"/>
      <c r="BX19" s="200"/>
      <c r="BY19" s="208"/>
      <c r="BZ19" s="208">
        <v>2.82</v>
      </c>
      <c r="CA19" s="201"/>
      <c r="CB19" s="202">
        <v>35.96</v>
      </c>
      <c r="CC19" s="200">
        <v>43.07</v>
      </c>
      <c r="CD19" s="200">
        <v>43.01</v>
      </c>
      <c r="CE19" s="200"/>
      <c r="CF19" s="208"/>
      <c r="CG19" s="208">
        <v>32.01</v>
      </c>
      <c r="CH19" s="209"/>
      <c r="CI19" s="199"/>
      <c r="CJ19" s="197"/>
      <c r="CK19" s="197">
        <v>37.5</v>
      </c>
      <c r="CL19" s="197">
        <v>245.83</v>
      </c>
      <c r="CM19" s="198"/>
      <c r="CN19" s="202"/>
      <c r="CO19" s="208"/>
      <c r="CP19" s="208"/>
      <c r="CQ19" s="201"/>
      <c r="CR19" s="201"/>
      <c r="CS19" s="284"/>
      <c r="CT19" s="286">
        <f t="shared" si="20"/>
        <v>343.48849890000002</v>
      </c>
      <c r="CU19" s="24">
        <f t="shared" si="20"/>
        <v>7.6020000000000003</v>
      </c>
      <c r="CV19" s="25">
        <f t="shared" si="20"/>
        <v>84.141999999999996</v>
      </c>
      <c r="CW19" s="27">
        <f t="shared" si="20"/>
        <v>0</v>
      </c>
      <c r="CX19" s="27">
        <f t="shared" si="20"/>
        <v>0</v>
      </c>
      <c r="CY19" s="24">
        <f t="shared" si="20"/>
        <v>14.653772200000002</v>
      </c>
      <c r="CZ19" s="280">
        <f t="shared" si="20"/>
        <v>0</v>
      </c>
      <c r="DA19" s="237">
        <f t="shared" si="21"/>
        <v>0</v>
      </c>
      <c r="DB19" s="24">
        <f t="shared" si="21"/>
        <v>37.5</v>
      </c>
      <c r="DC19" s="277">
        <f t="shared" si="21"/>
        <v>245.83</v>
      </c>
      <c r="DD19" s="280">
        <f t="shared" si="21"/>
        <v>0</v>
      </c>
      <c r="DE19" s="508">
        <f t="shared" si="32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3"/>
        <v>0</v>
      </c>
    </row>
    <row r="20" spans="1:115" ht="16.5" customHeight="1" thickBot="1">
      <c r="A20" s="534">
        <v>14</v>
      </c>
      <c r="B20" s="103">
        <f>'[1]сентябрь 20'!K19</f>
        <v>459.15600000000001</v>
      </c>
      <c r="C20" s="104">
        <f t="shared" si="0"/>
        <v>1.3816040300028747</v>
      </c>
      <c r="D20" s="143">
        <f t="shared" si="1"/>
        <v>452.81228219999997</v>
      </c>
      <c r="E20" s="104">
        <f t="shared" si="2"/>
        <v>37.611201900879003</v>
      </c>
      <c r="F20" s="128">
        <f t="shared" si="3"/>
        <v>2.0808527321939811</v>
      </c>
      <c r="G20" s="106"/>
      <c r="H20" s="107">
        <f t="shared" si="4"/>
        <v>1.6587791966324923</v>
      </c>
      <c r="I20" s="103">
        <f>'[1]сентябрь 20'!AE19</f>
        <v>0</v>
      </c>
      <c r="J20" s="328">
        <f>'[1]сентябрь 20'!AA19</f>
        <v>15.417999999999999</v>
      </c>
      <c r="K20" s="106">
        <v>14.82</v>
      </c>
      <c r="L20" s="328">
        <f>'[1]сентябрь 20'!AI19</f>
        <v>91.846999999999994</v>
      </c>
      <c r="M20" s="103">
        <f t="shared" si="5"/>
        <v>0.42207353556148874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'[1]сентябрь 20'!S19</f>
        <v>286.75400000000002</v>
      </c>
      <c r="S20" s="108">
        <f t="shared" si="6"/>
        <v>2.6622122097686551</v>
      </c>
      <c r="T20" s="109">
        <f t="shared" si="7"/>
        <v>279.12</v>
      </c>
      <c r="U20" s="566">
        <v>21.73</v>
      </c>
      <c r="V20" s="109">
        <f t="shared" si="8"/>
        <v>279.12</v>
      </c>
      <c r="W20" s="110">
        <f t="shared" si="9"/>
        <v>1.2826675367287199</v>
      </c>
      <c r="X20" s="110">
        <f t="shared" si="26"/>
        <v>1.2826675367287199</v>
      </c>
      <c r="Y20" s="136">
        <v>217.61</v>
      </c>
      <c r="Z20" s="130">
        <v>96.6</v>
      </c>
      <c r="AA20" s="131">
        <v>0.92</v>
      </c>
      <c r="AB20" s="112">
        <v>690</v>
      </c>
      <c r="AC20" s="133">
        <v>1223</v>
      </c>
      <c r="AD20" s="151" t="s">
        <v>434</v>
      </c>
      <c r="AE20" s="131">
        <v>75.58</v>
      </c>
      <c r="AF20" s="133">
        <v>153</v>
      </c>
      <c r="AG20" s="134">
        <v>5</v>
      </c>
      <c r="AH20" s="131"/>
      <c r="AI20" s="115">
        <f t="shared" si="10"/>
        <v>0</v>
      </c>
      <c r="AJ20" s="131">
        <v>124.95</v>
      </c>
      <c r="AK20" s="115">
        <f t="shared" si="11"/>
        <v>574.19500112587264</v>
      </c>
      <c r="AL20" s="139">
        <v>30.56</v>
      </c>
      <c r="AM20" s="131"/>
      <c r="AN20" s="136">
        <v>12.56</v>
      </c>
      <c r="AO20" s="466">
        <f t="shared" si="27"/>
        <v>53.370999999999995</v>
      </c>
      <c r="AP20" s="110">
        <f t="shared" si="12"/>
        <v>0.19</v>
      </c>
      <c r="AQ20" s="137" t="s">
        <v>168</v>
      </c>
      <c r="AR20" s="150">
        <v>7.88</v>
      </c>
      <c r="AS20" s="138">
        <v>7.99</v>
      </c>
      <c r="AT20" s="131"/>
      <c r="AU20" s="131">
        <v>5.77</v>
      </c>
      <c r="AV20" s="315">
        <v>280.89999999999998</v>
      </c>
      <c r="AW20" s="131">
        <v>2.64</v>
      </c>
      <c r="AX20" s="148"/>
      <c r="AY20" s="131"/>
      <c r="AZ20" s="109">
        <f t="shared" si="34"/>
        <v>0</v>
      </c>
      <c r="BA20" s="598">
        <f t="shared" si="13"/>
        <v>217.60899999999998</v>
      </c>
      <c r="BB20" s="115">
        <f t="shared" si="28"/>
        <v>196.7173957337418</v>
      </c>
      <c r="BC20" s="140">
        <f t="shared" si="14"/>
        <v>5.584913028169014</v>
      </c>
      <c r="BD20" s="141">
        <f t="shared" si="15"/>
        <v>8.7043599999999994</v>
      </c>
      <c r="BE20" s="128">
        <f t="shared" si="16"/>
        <v>0.96571356229791239</v>
      </c>
      <c r="BF20" s="141">
        <f t="shared" si="17"/>
        <v>14.289273028169013</v>
      </c>
      <c r="BG20" s="535">
        <v>0.92700000000000005</v>
      </c>
      <c r="BH20" s="16">
        <f t="shared" si="29"/>
        <v>2911.1910000000003</v>
      </c>
      <c r="BI20" s="16">
        <f t="shared" si="18"/>
        <v>220</v>
      </c>
      <c r="BJ20" s="16">
        <f t="shared" si="30"/>
        <v>3080</v>
      </c>
      <c r="BK20" s="17">
        <f t="shared" si="19"/>
        <v>1</v>
      </c>
      <c r="BL20" s="16">
        <f t="shared" si="31"/>
        <v>3080</v>
      </c>
      <c r="BM20" s="254">
        <v>351.83800000000002</v>
      </c>
      <c r="BN20" s="197">
        <v>7.6870000000000003</v>
      </c>
      <c r="BO20" s="197">
        <v>84.16</v>
      </c>
      <c r="BP20" s="197"/>
      <c r="BQ20" s="230"/>
      <c r="BR20" s="230">
        <v>15.471</v>
      </c>
      <c r="BS20" s="259"/>
      <c r="BT20" s="199"/>
      <c r="BU20" s="200">
        <v>1.65</v>
      </c>
      <c r="BV20" s="200"/>
      <c r="BW20" s="200"/>
      <c r="BX20" s="200"/>
      <c r="BY20" s="208"/>
      <c r="BZ20" s="208">
        <v>3.48</v>
      </c>
      <c r="CA20" s="201"/>
      <c r="CB20" s="202">
        <v>36.44</v>
      </c>
      <c r="CC20" s="200">
        <v>43.3</v>
      </c>
      <c r="CD20" s="200">
        <v>43.24</v>
      </c>
      <c r="CE20" s="200"/>
      <c r="CF20" s="208"/>
      <c r="CG20" s="208">
        <v>30.8</v>
      </c>
      <c r="CH20" s="209"/>
      <c r="CI20" s="199"/>
      <c r="CJ20" s="197"/>
      <c r="CK20" s="197">
        <v>76.5</v>
      </c>
      <c r="CL20" s="197">
        <v>202.62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346.03267299999999</v>
      </c>
      <c r="CU20" s="24">
        <f t="shared" si="20"/>
        <v>7.6870000000000003</v>
      </c>
      <c r="CV20" s="25">
        <f t="shared" si="20"/>
        <v>84.16</v>
      </c>
      <c r="CW20" s="24">
        <f t="shared" si="20"/>
        <v>0</v>
      </c>
      <c r="CX20" s="27">
        <f t="shared" si="20"/>
        <v>0</v>
      </c>
      <c r="CY20" s="30">
        <f t="shared" si="20"/>
        <v>14.9326092</v>
      </c>
      <c r="CZ20" s="280">
        <f t="shared" si="20"/>
        <v>0</v>
      </c>
      <c r="DA20" s="237">
        <f t="shared" si="21"/>
        <v>0</v>
      </c>
      <c r="DB20" s="29">
        <f t="shared" si="21"/>
        <v>76.5</v>
      </c>
      <c r="DC20" s="277">
        <f t="shared" si="21"/>
        <v>202.62</v>
      </c>
      <c r="DD20" s="280">
        <f t="shared" si="21"/>
        <v>0</v>
      </c>
      <c r="DE20" s="508">
        <f t="shared" si="32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3"/>
        <v>0</v>
      </c>
    </row>
    <row r="21" spans="1:115" ht="16.5" customHeight="1" thickBot="1">
      <c r="A21" s="534">
        <v>15</v>
      </c>
      <c r="B21" s="103">
        <f>'[1]сентябрь 20'!K20</f>
        <v>452.80099999999999</v>
      </c>
      <c r="C21" s="104">
        <f t="shared" si="0"/>
        <v>1.262081267488367</v>
      </c>
      <c r="D21" s="143">
        <f t="shared" si="1"/>
        <v>447.08628339999996</v>
      </c>
      <c r="E21" s="104">
        <f t="shared" si="2"/>
        <v>37.339578711177758</v>
      </c>
      <c r="F21" s="128">
        <f t="shared" si="3"/>
        <v>2.0844330056385383</v>
      </c>
      <c r="G21" s="106"/>
      <c r="H21" s="107">
        <f t="shared" si="4"/>
        <v>1.6623724913538365</v>
      </c>
      <c r="I21" s="103">
        <f>'[1]сентябрь 20'!AE20</f>
        <v>0</v>
      </c>
      <c r="J21" s="328">
        <f>'[1]сентябрь 20'!AA20</f>
        <v>16.372</v>
      </c>
      <c r="K21" s="106">
        <v>20.350000000000001</v>
      </c>
      <c r="L21" s="328">
        <f>'[1]сентябрь 20'!AI20</f>
        <v>90.527000000000001</v>
      </c>
      <c r="M21" s="103">
        <f t="shared" si="5"/>
        <v>0.42206051428470187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'[1]сентябрь 20'!S20</f>
        <v>278.89400000000001</v>
      </c>
      <c r="S21" s="108">
        <f t="shared" si="6"/>
        <v>2.6260873306704346</v>
      </c>
      <c r="T21" s="109">
        <f t="shared" si="7"/>
        <v>271.57</v>
      </c>
      <c r="U21" s="566">
        <v>2.59</v>
      </c>
      <c r="V21" s="109">
        <f t="shared" si="8"/>
        <v>271.57</v>
      </c>
      <c r="W21" s="110">
        <f t="shared" si="9"/>
        <v>1.2661302579815576</v>
      </c>
      <c r="X21" s="110">
        <f t="shared" si="26"/>
        <v>1.2661302579815576</v>
      </c>
      <c r="Y21" s="136">
        <v>214.49</v>
      </c>
      <c r="Z21" s="130">
        <v>124.53</v>
      </c>
      <c r="AA21" s="131">
        <v>1</v>
      </c>
      <c r="AB21" s="112">
        <v>689</v>
      </c>
      <c r="AC21" s="133">
        <v>1231</v>
      </c>
      <c r="AD21" s="151" t="s">
        <v>192</v>
      </c>
      <c r="AE21" s="131">
        <v>75.790000000000006</v>
      </c>
      <c r="AF21" s="133">
        <v>151</v>
      </c>
      <c r="AG21" s="134">
        <v>5</v>
      </c>
      <c r="AH21" s="131">
        <v>3.1</v>
      </c>
      <c r="AI21" s="115">
        <f t="shared" si="10"/>
        <v>14.453009536188935</v>
      </c>
      <c r="AJ21" s="131">
        <v>122.35</v>
      </c>
      <c r="AK21" s="115">
        <f t="shared" si="11"/>
        <v>570.42765056539224</v>
      </c>
      <c r="AL21" s="139">
        <v>33.020000000000003</v>
      </c>
      <c r="AM21" s="131"/>
      <c r="AN21" s="136">
        <v>15.91</v>
      </c>
      <c r="AO21" s="466">
        <f t="shared" si="27"/>
        <v>53.431800000000003</v>
      </c>
      <c r="AP21" s="110">
        <f t="shared" si="12"/>
        <v>0.19</v>
      </c>
      <c r="AQ21" s="137" t="s">
        <v>159</v>
      </c>
      <c r="AR21" s="150">
        <v>7.83</v>
      </c>
      <c r="AS21" s="138">
        <v>7.8</v>
      </c>
      <c r="AT21" s="131"/>
      <c r="AU21" s="131">
        <v>5.84</v>
      </c>
      <c r="AV21" s="315">
        <v>281.22000000000003</v>
      </c>
      <c r="AW21" s="131">
        <v>2.61</v>
      </c>
      <c r="AX21" s="116"/>
      <c r="AY21" s="131"/>
      <c r="AZ21" s="109">
        <f t="shared" si="34"/>
        <v>0</v>
      </c>
      <c r="BA21" s="598">
        <f t="shared" si="13"/>
        <v>214.48820000000003</v>
      </c>
      <c r="BB21" s="115">
        <f t="shared" si="28"/>
        <v>192.29283228724162</v>
      </c>
      <c r="BC21" s="140">
        <f t="shared" si="14"/>
        <v>5.5350450704225356</v>
      </c>
      <c r="BD21" s="141">
        <f t="shared" si="15"/>
        <v>8.5795280000000016</v>
      </c>
      <c r="BE21" s="128">
        <f t="shared" si="16"/>
        <v>0.97376587766045253</v>
      </c>
      <c r="BF21" s="141">
        <f t="shared" si="17"/>
        <v>14.114573070422537</v>
      </c>
      <c r="BG21" s="535">
        <v>0.93</v>
      </c>
      <c r="BH21" s="16">
        <f t="shared" si="29"/>
        <v>3125.6792000000005</v>
      </c>
      <c r="BI21" s="16">
        <f t="shared" si="18"/>
        <v>220</v>
      </c>
      <c r="BJ21" s="16">
        <f t="shared" si="30"/>
        <v>3300</v>
      </c>
      <c r="BK21" s="17">
        <f t="shared" si="19"/>
        <v>1</v>
      </c>
      <c r="BL21" s="16">
        <f t="shared" si="31"/>
        <v>3300</v>
      </c>
      <c r="BM21" s="254">
        <v>347.32900000000001</v>
      </c>
      <c r="BN21" s="197">
        <v>7.484</v>
      </c>
      <c r="BO21" s="197">
        <v>83.043000000000006</v>
      </c>
      <c r="BP21" s="197"/>
      <c r="BQ21" s="230"/>
      <c r="BR21" s="230">
        <v>14.945</v>
      </c>
      <c r="BS21" s="259"/>
      <c r="BT21" s="199"/>
      <c r="BU21" s="200">
        <v>1.49</v>
      </c>
      <c r="BV21" s="200"/>
      <c r="BW21" s="200"/>
      <c r="BX21" s="200"/>
      <c r="BY21" s="208"/>
      <c r="BZ21" s="208">
        <v>3.61</v>
      </c>
      <c r="CA21" s="201"/>
      <c r="CB21" s="202">
        <v>36.11</v>
      </c>
      <c r="CC21" s="200">
        <v>43.09</v>
      </c>
      <c r="CD21" s="200">
        <v>43.06</v>
      </c>
      <c r="CE21" s="200"/>
      <c r="CF21" s="208"/>
      <c r="CG21" s="208">
        <v>31.25</v>
      </c>
      <c r="CH21" s="209"/>
      <c r="CI21" s="199"/>
      <c r="CJ21" s="197"/>
      <c r="CK21" s="197">
        <v>75.5</v>
      </c>
      <c r="CL21" s="197">
        <v>196.07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342.15379790000003</v>
      </c>
      <c r="CU21" s="27">
        <f t="shared" si="20"/>
        <v>7.484</v>
      </c>
      <c r="CV21" s="28">
        <f t="shared" si="20"/>
        <v>83.043000000000006</v>
      </c>
      <c r="CW21" s="27">
        <f t="shared" si="20"/>
        <v>0</v>
      </c>
      <c r="CX21" s="27">
        <f t="shared" si="20"/>
        <v>0</v>
      </c>
      <c r="CY21" s="24">
        <f t="shared" si="20"/>
        <v>14.405485499999999</v>
      </c>
      <c r="CZ21" s="281">
        <f t="shared" si="20"/>
        <v>0</v>
      </c>
      <c r="DA21" s="237">
        <f t="shared" si="21"/>
        <v>0</v>
      </c>
      <c r="DB21" s="24">
        <f t="shared" si="21"/>
        <v>75.5</v>
      </c>
      <c r="DC21" s="277">
        <f t="shared" si="21"/>
        <v>196.07</v>
      </c>
      <c r="DD21" s="280">
        <f t="shared" si="21"/>
        <v>0</v>
      </c>
      <c r="DE21" s="508">
        <f t="shared" si="32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3"/>
        <v>0</v>
      </c>
    </row>
    <row r="22" spans="1:115" ht="16.5" customHeight="1" thickBot="1">
      <c r="A22" s="534">
        <v>16</v>
      </c>
      <c r="B22" s="103">
        <f>'[1]сентябрь 20'!K21</f>
        <v>396.37200000000001</v>
      </c>
      <c r="C22" s="104">
        <f t="shared" si="0"/>
        <v>1.8350922618146588</v>
      </c>
      <c r="D22" s="143">
        <f t="shared" si="1"/>
        <v>389.09820810000002</v>
      </c>
      <c r="E22" s="104">
        <f t="shared" si="2"/>
        <v>37.985700150363805</v>
      </c>
      <c r="F22" s="128">
        <f t="shared" si="3"/>
        <v>1.762627273962736</v>
      </c>
      <c r="G22" s="106"/>
      <c r="H22" s="107">
        <f t="shared" si="4"/>
        <v>1.4033006178963439</v>
      </c>
      <c r="I22" s="103">
        <f>'[1]сентябрь 20'!AE21</f>
        <v>0</v>
      </c>
      <c r="J22" s="328">
        <f>'[1]сентябрь 20'!AA21</f>
        <v>13.278</v>
      </c>
      <c r="K22" s="106">
        <v>15.56</v>
      </c>
      <c r="L22" s="328">
        <f>'[1]сентябрь 20'!AI21</f>
        <v>79.320999999999998</v>
      </c>
      <c r="M22" s="103">
        <f t="shared" si="5"/>
        <v>0.35932665606639214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'[1]сентябрь 20'!S21</f>
        <v>241.303</v>
      </c>
      <c r="S22" s="108">
        <f t="shared" si="6"/>
        <v>3.0264853731615471</v>
      </c>
      <c r="T22" s="109">
        <f t="shared" si="7"/>
        <v>234</v>
      </c>
      <c r="U22" s="566">
        <v>38.74</v>
      </c>
      <c r="V22" s="109">
        <f t="shared" si="8"/>
        <v>234</v>
      </c>
      <c r="W22" s="110">
        <f t="shared" si="9"/>
        <v>1.0600274519929875</v>
      </c>
      <c r="X22" s="110">
        <f t="shared" si="26"/>
        <v>1.0600274519929875</v>
      </c>
      <c r="Y22" s="136">
        <v>220.75</v>
      </c>
      <c r="Z22" s="129">
        <v>180.9</v>
      </c>
      <c r="AA22" s="131">
        <v>0.89</v>
      </c>
      <c r="AB22" s="112">
        <v>664</v>
      </c>
      <c r="AC22" s="152">
        <v>1230</v>
      </c>
      <c r="AD22" s="144" t="s">
        <v>142</v>
      </c>
      <c r="AE22" s="131">
        <v>76.25</v>
      </c>
      <c r="AF22" s="133">
        <v>132</v>
      </c>
      <c r="AG22" s="134">
        <v>5</v>
      </c>
      <c r="AH22" s="131">
        <v>4.05</v>
      </c>
      <c r="AI22" s="115">
        <f t="shared" si="10"/>
        <v>18.346628976801707</v>
      </c>
      <c r="AJ22" s="131">
        <v>145.80000000000001</v>
      </c>
      <c r="AK22" s="115">
        <f t="shared" si="11"/>
        <v>660.47864316486152</v>
      </c>
      <c r="AL22" s="139">
        <v>31.16</v>
      </c>
      <c r="AM22" s="131"/>
      <c r="AN22" s="136">
        <v>14.86</v>
      </c>
      <c r="AO22" s="466">
        <f t="shared" si="27"/>
        <v>54.320999999999998</v>
      </c>
      <c r="AP22" s="110">
        <f t="shared" si="12"/>
        <v>0.19</v>
      </c>
      <c r="AQ22" s="137" t="s">
        <v>177</v>
      </c>
      <c r="AR22" s="150">
        <v>7.51</v>
      </c>
      <c r="AS22" s="138">
        <v>7.75</v>
      </c>
      <c r="AT22" s="134"/>
      <c r="AU22" s="131">
        <v>7.08</v>
      </c>
      <c r="AV22" s="315">
        <v>285.89999999999998</v>
      </c>
      <c r="AW22" s="131">
        <v>4.03</v>
      </c>
      <c r="AX22" s="116"/>
      <c r="AY22" s="131"/>
      <c r="AZ22" s="109">
        <f t="shared" si="34"/>
        <v>0</v>
      </c>
      <c r="BA22" s="598">
        <f t="shared" si="13"/>
        <v>220.749</v>
      </c>
      <c r="BB22" s="115">
        <f t="shared" si="28"/>
        <v>169.22080712741365</v>
      </c>
      <c r="BC22" s="140">
        <f t="shared" si="14"/>
        <v>7.9964112676056347</v>
      </c>
      <c r="BD22" s="141">
        <f t="shared" si="15"/>
        <v>8.8299599999999998</v>
      </c>
      <c r="BE22" s="128">
        <f t="shared" si="16"/>
        <v>1.1388308581633073</v>
      </c>
      <c r="BF22" s="141">
        <f t="shared" si="17"/>
        <v>16.826371267605634</v>
      </c>
      <c r="BG22" s="535">
        <v>0.94199999999999995</v>
      </c>
      <c r="BH22" s="16">
        <f t="shared" si="29"/>
        <v>3346.4282000000003</v>
      </c>
      <c r="BI22" s="16">
        <f t="shared" si="18"/>
        <v>220</v>
      </c>
      <c r="BJ22" s="16">
        <f t="shared" si="30"/>
        <v>3520</v>
      </c>
      <c r="BK22" s="17">
        <f t="shared" si="19"/>
        <v>1</v>
      </c>
      <c r="BL22" s="16">
        <f t="shared" si="31"/>
        <v>3520</v>
      </c>
      <c r="BM22" s="254">
        <v>303.83600000000001</v>
      </c>
      <c r="BN22" s="197">
        <v>6.6840000000000002</v>
      </c>
      <c r="BO22" s="197">
        <v>72.637</v>
      </c>
      <c r="BP22" s="197"/>
      <c r="BQ22" s="230"/>
      <c r="BR22" s="230">
        <v>13.215</v>
      </c>
      <c r="BS22" s="258"/>
      <c r="BT22" s="199"/>
      <c r="BU22" s="200">
        <v>2.19</v>
      </c>
      <c r="BV22" s="200"/>
      <c r="BW22" s="200"/>
      <c r="BX22" s="200"/>
      <c r="BY22" s="208"/>
      <c r="BZ22" s="208">
        <v>4.6900000000000004</v>
      </c>
      <c r="CA22" s="201"/>
      <c r="CB22" s="202">
        <v>36.950000000000003</v>
      </c>
      <c r="CC22" s="200">
        <v>43.21</v>
      </c>
      <c r="CD22" s="200">
        <v>43.15</v>
      </c>
      <c r="CE22" s="200"/>
      <c r="CF22" s="208"/>
      <c r="CG22" s="208">
        <v>30.77</v>
      </c>
      <c r="CH22" s="201"/>
      <c r="CI22" s="199"/>
      <c r="CJ22" s="197"/>
      <c r="CK22" s="197">
        <v>66</v>
      </c>
      <c r="CL22" s="197">
        <v>168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297.1819916</v>
      </c>
      <c r="CU22" s="29">
        <f t="shared" si="20"/>
        <v>6.6840000000000002</v>
      </c>
      <c r="CV22" s="30">
        <f t="shared" si="20"/>
        <v>72.637</v>
      </c>
      <c r="CW22" s="29">
        <f t="shared" si="20"/>
        <v>0</v>
      </c>
      <c r="CX22" s="27">
        <f t="shared" si="20"/>
        <v>0</v>
      </c>
      <c r="CY22" s="24">
        <f t="shared" si="20"/>
        <v>12.595216500000001</v>
      </c>
      <c r="CZ22" s="282">
        <f t="shared" si="20"/>
        <v>0</v>
      </c>
      <c r="DA22" s="237">
        <f t="shared" si="21"/>
        <v>0</v>
      </c>
      <c r="DB22" s="24">
        <f t="shared" si="21"/>
        <v>66</v>
      </c>
      <c r="DC22" s="277">
        <f t="shared" si="21"/>
        <v>168</v>
      </c>
      <c r="DD22" s="280">
        <f t="shared" si="21"/>
        <v>0</v>
      </c>
      <c r="DE22" s="508">
        <f t="shared" si="32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3"/>
        <v>0</v>
      </c>
    </row>
    <row r="23" spans="1:115" ht="16.5" customHeight="1" thickBot="1">
      <c r="A23" s="534">
        <v>17</v>
      </c>
      <c r="B23" s="103">
        <f>'[1]сентябрь 20'!K22</f>
        <v>351.06099999999998</v>
      </c>
      <c r="C23" s="104">
        <f t="shared" si="0"/>
        <v>1.7075439311116873</v>
      </c>
      <c r="D23" s="143">
        <f t="shared" si="1"/>
        <v>345.0664792</v>
      </c>
      <c r="E23" s="104">
        <f t="shared" si="2"/>
        <v>37.635127997698412</v>
      </c>
      <c r="F23" s="128">
        <f t="shared" si="3"/>
        <v>2.9298166390015075</v>
      </c>
      <c r="G23" s="106"/>
      <c r="H23" s="107">
        <f t="shared" si="4"/>
        <v>2.3335737233342533</v>
      </c>
      <c r="I23" s="103">
        <f>'[1]сентябрь 20'!AE22</f>
        <v>0</v>
      </c>
      <c r="J23" s="328">
        <f>'[1]сентябрь 20'!AA22</f>
        <v>11.617000000000001</v>
      </c>
      <c r="K23" s="106">
        <v>15.38</v>
      </c>
      <c r="L23" s="328">
        <f>'[1]сентябрь 20'!AI22</f>
        <v>70.224000000000004</v>
      </c>
      <c r="M23" s="103">
        <f t="shared" si="5"/>
        <v>0.59624291566725407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'[1]сентябрь 20'!S22</f>
        <v>219.578</v>
      </c>
      <c r="S23" s="108">
        <f t="shared" si="6"/>
        <v>3.2052391405332115</v>
      </c>
      <c r="T23" s="109">
        <f t="shared" si="7"/>
        <v>212.54</v>
      </c>
      <c r="U23" s="566">
        <v>20.149999999999999</v>
      </c>
      <c r="V23" s="109">
        <f t="shared" si="8"/>
        <v>212.54</v>
      </c>
      <c r="W23" s="110">
        <f t="shared" si="9"/>
        <v>1.804589161766891</v>
      </c>
      <c r="X23" s="110">
        <f t="shared" si="26"/>
        <v>1.804589161766891</v>
      </c>
      <c r="Y23" s="136">
        <v>117.78</v>
      </c>
      <c r="Z23" s="129">
        <v>117.78</v>
      </c>
      <c r="AA23" s="131">
        <v>0.43</v>
      </c>
      <c r="AB23" s="112">
        <v>596</v>
      </c>
      <c r="AC23" s="133">
        <v>1141</v>
      </c>
      <c r="AD23" s="144" t="s">
        <v>435</v>
      </c>
      <c r="AE23" s="131">
        <v>75.92</v>
      </c>
      <c r="AF23" s="133">
        <v>118</v>
      </c>
      <c r="AG23" s="134">
        <v>3</v>
      </c>
      <c r="AH23" s="131">
        <v>4.4000000000000004</v>
      </c>
      <c r="AI23" s="115">
        <f t="shared" si="10"/>
        <v>37.358578675893106</v>
      </c>
      <c r="AJ23" s="131">
        <v>78.8</v>
      </c>
      <c r="AK23" s="115">
        <f t="shared" si="11"/>
        <v>669.05818174099477</v>
      </c>
      <c r="AL23" s="139">
        <v>18.850000000000001</v>
      </c>
      <c r="AM23" s="131"/>
      <c r="AN23" s="136">
        <v>11.23</v>
      </c>
      <c r="AO23" s="466">
        <f t="shared" si="27"/>
        <v>29.592500000000001</v>
      </c>
      <c r="AP23" s="110">
        <f t="shared" si="12"/>
        <v>0.19</v>
      </c>
      <c r="AQ23" s="137" t="s">
        <v>276</v>
      </c>
      <c r="AR23" s="150">
        <v>7.34</v>
      </c>
      <c r="AS23" s="138">
        <v>7.23</v>
      </c>
      <c r="AT23" s="134"/>
      <c r="AU23" s="131">
        <v>8.69</v>
      </c>
      <c r="AV23" s="315">
        <v>155.75</v>
      </c>
      <c r="AW23" s="131">
        <v>2.85</v>
      </c>
      <c r="AX23" s="116"/>
      <c r="AY23" s="131"/>
      <c r="AZ23" s="109">
        <f t="shared" si="34"/>
        <v>0</v>
      </c>
      <c r="BA23" s="598">
        <f t="shared" si="13"/>
        <v>117.77749999999999</v>
      </c>
      <c r="BB23" s="115">
        <f t="shared" si="28"/>
        <v>149.33245826042454</v>
      </c>
      <c r="BC23" s="140">
        <f t="shared" si="14"/>
        <v>5.304571830985914</v>
      </c>
      <c r="BD23" s="141">
        <f t="shared" si="15"/>
        <v>4.7111000000000001</v>
      </c>
      <c r="BE23" s="128">
        <f t="shared" si="16"/>
        <v>0.68852919651727762</v>
      </c>
      <c r="BF23" s="141">
        <f t="shared" si="17"/>
        <v>10.015671830985914</v>
      </c>
      <c r="BG23" s="535">
        <v>0.93</v>
      </c>
      <c r="BH23" s="16">
        <f t="shared" si="29"/>
        <v>3464.2057000000004</v>
      </c>
      <c r="BI23" s="16">
        <f t="shared" si="18"/>
        <v>220</v>
      </c>
      <c r="BJ23" s="16">
        <f t="shared" si="30"/>
        <v>3740</v>
      </c>
      <c r="BK23" s="17">
        <f t="shared" si="19"/>
        <v>1</v>
      </c>
      <c r="BL23" s="16">
        <f t="shared" si="31"/>
        <v>3740</v>
      </c>
      <c r="BM23" s="254">
        <v>269.14100000000002</v>
      </c>
      <c r="BN23" s="197">
        <v>5.8929999999999998</v>
      </c>
      <c r="BO23" s="197">
        <v>64.331000000000003</v>
      </c>
      <c r="BP23" s="197"/>
      <c r="BQ23" s="230"/>
      <c r="BR23" s="230">
        <v>11.696</v>
      </c>
      <c r="BS23" s="258"/>
      <c r="BT23" s="199"/>
      <c r="BU23" s="200">
        <v>2</v>
      </c>
      <c r="BV23" s="200"/>
      <c r="BW23" s="200"/>
      <c r="BX23" s="200"/>
      <c r="BY23" s="208"/>
      <c r="BZ23" s="208">
        <v>5.23</v>
      </c>
      <c r="CA23" s="201"/>
      <c r="CB23" s="202">
        <v>36.380000000000003</v>
      </c>
      <c r="CC23" s="200">
        <v>43.29</v>
      </c>
      <c r="CD23" s="200">
        <v>42.92</v>
      </c>
      <c r="CE23" s="200"/>
      <c r="CF23" s="208"/>
      <c r="CG23" s="208">
        <v>34.6</v>
      </c>
      <c r="CH23" s="209"/>
      <c r="CI23" s="199"/>
      <c r="CJ23" s="197"/>
      <c r="CK23" s="197">
        <v>58.5</v>
      </c>
      <c r="CL23" s="197">
        <v>154.04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263.75818000000004</v>
      </c>
      <c r="CU23" s="24">
        <f t="shared" si="20"/>
        <v>5.8929999999999998</v>
      </c>
      <c r="CV23" s="25">
        <f t="shared" si="20"/>
        <v>64.331000000000003</v>
      </c>
      <c r="CW23" s="24">
        <f t="shared" si="20"/>
        <v>0</v>
      </c>
      <c r="CX23" s="27">
        <f t="shared" si="20"/>
        <v>0</v>
      </c>
      <c r="CY23" s="24">
        <f t="shared" si="20"/>
        <v>11.0842992</v>
      </c>
      <c r="CZ23" s="280">
        <f t="shared" si="20"/>
        <v>0</v>
      </c>
      <c r="DA23" s="237">
        <f t="shared" si="21"/>
        <v>0</v>
      </c>
      <c r="DB23" s="29">
        <f t="shared" si="21"/>
        <v>58.5</v>
      </c>
      <c r="DC23" s="277">
        <f t="shared" si="21"/>
        <v>154.04</v>
      </c>
      <c r="DD23" s="280">
        <f t="shared" si="21"/>
        <v>0</v>
      </c>
      <c r="DE23" s="508">
        <f t="shared" si="32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3"/>
        <v>0</v>
      </c>
    </row>
    <row r="24" spans="1:115" ht="16.5" customHeight="1" thickBot="1">
      <c r="A24" s="534">
        <v>18</v>
      </c>
      <c r="B24" s="103">
        <f>'[1]сентябрь 20'!K23</f>
        <v>489.12400000000002</v>
      </c>
      <c r="C24" s="104">
        <f t="shared" si="0"/>
        <v>2.3856213557298354</v>
      </c>
      <c r="D24" s="143">
        <f t="shared" si="1"/>
        <v>477.45535339999998</v>
      </c>
      <c r="E24" s="104">
        <f t="shared" si="2"/>
        <v>38.029471156598333</v>
      </c>
      <c r="F24" s="128">
        <f t="shared" si="3"/>
        <v>2.2484464414713514</v>
      </c>
      <c r="G24" s="106"/>
      <c r="H24" s="107">
        <f t="shared" si="4"/>
        <v>1.7880816646181525</v>
      </c>
      <c r="I24" s="103">
        <f>'[1]сентябрь 20'!AE23</f>
        <v>0</v>
      </c>
      <c r="J24" s="328">
        <f>'[1]сентябрь 20'!AA23</f>
        <v>15.606999999999999</v>
      </c>
      <c r="K24" s="106">
        <v>27.11</v>
      </c>
      <c r="L24" s="328">
        <f>'[1]сентябрь 20'!AI23</f>
        <v>97.757999999999996</v>
      </c>
      <c r="M24" s="103">
        <f t="shared" si="5"/>
        <v>0.46036477685319921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'[1]сентябрь 20'!S23</f>
        <v>301.88099999999997</v>
      </c>
      <c r="S24" s="108">
        <f t="shared" si="6"/>
        <v>2.9054494983122403</v>
      </c>
      <c r="T24" s="109">
        <f t="shared" si="7"/>
        <v>293.11</v>
      </c>
      <c r="U24" s="106">
        <v>5.42</v>
      </c>
      <c r="V24" s="109">
        <f t="shared" si="8"/>
        <v>293.11</v>
      </c>
      <c r="W24" s="110">
        <f t="shared" si="9"/>
        <v>1.3803220170568264</v>
      </c>
      <c r="X24" s="110">
        <f t="shared" si="26"/>
        <v>1.3803220170568264</v>
      </c>
      <c r="Y24" s="136">
        <v>212.35</v>
      </c>
      <c r="Z24" s="129">
        <v>212.35</v>
      </c>
      <c r="AA24" s="131">
        <v>0.51</v>
      </c>
      <c r="AB24" s="133">
        <v>630</v>
      </c>
      <c r="AC24" s="133">
        <v>1221</v>
      </c>
      <c r="AD24" s="144" t="s">
        <v>192</v>
      </c>
      <c r="AE24" s="131">
        <v>76.400000000000006</v>
      </c>
      <c r="AF24" s="133">
        <v>163</v>
      </c>
      <c r="AG24" s="134">
        <v>5</v>
      </c>
      <c r="AH24" s="131">
        <v>3.95</v>
      </c>
      <c r="AI24" s="115">
        <f t="shared" si="10"/>
        <v>18.601453267969241</v>
      </c>
      <c r="AJ24" s="131">
        <v>139.44999999999999</v>
      </c>
      <c r="AK24" s="115">
        <f t="shared" si="11"/>
        <v>656.70193878944565</v>
      </c>
      <c r="AL24" s="139">
        <v>31.3</v>
      </c>
      <c r="AM24" s="131"/>
      <c r="AN24" s="136">
        <v>12.89</v>
      </c>
      <c r="AO24" s="466">
        <f t="shared" si="27"/>
        <v>51.850999999999999</v>
      </c>
      <c r="AP24" s="110">
        <f t="shared" si="12"/>
        <v>0.19</v>
      </c>
      <c r="AQ24" s="137" t="s">
        <v>431</v>
      </c>
      <c r="AR24" s="150">
        <v>7.29</v>
      </c>
      <c r="AS24" s="138">
        <v>7.44</v>
      </c>
      <c r="AT24" s="134"/>
      <c r="AU24" s="131">
        <v>7.35</v>
      </c>
      <c r="AV24" s="315">
        <v>272.89999999999998</v>
      </c>
      <c r="AW24" s="131">
        <v>4.1900000000000004</v>
      </c>
      <c r="AX24" s="116"/>
      <c r="AY24" s="131"/>
      <c r="AZ24" s="109">
        <f t="shared" si="34"/>
        <v>0</v>
      </c>
      <c r="BA24" s="598">
        <f t="shared" si="13"/>
        <v>212.34899999999999</v>
      </c>
      <c r="BB24" s="115">
        <f t="shared" si="28"/>
        <v>207.47890075485981</v>
      </c>
      <c r="BC24" s="140">
        <f t="shared" si="14"/>
        <v>7.9398116197183084</v>
      </c>
      <c r="BD24" s="141"/>
      <c r="BE24" s="128">
        <f t="shared" si="16"/>
        <v>0.89349170602668038</v>
      </c>
      <c r="BF24" s="141">
        <f t="shared" si="17"/>
        <v>7.9398116197183084</v>
      </c>
      <c r="BG24" s="535">
        <v>0.92800000000000005</v>
      </c>
      <c r="BH24" s="16">
        <f t="shared" si="29"/>
        <v>3676.5547000000006</v>
      </c>
      <c r="BI24" s="16">
        <f t="shared" si="18"/>
        <v>220</v>
      </c>
      <c r="BJ24" s="16">
        <f t="shared" si="30"/>
        <v>3960</v>
      </c>
      <c r="BK24" s="17">
        <f t="shared" si="19"/>
        <v>1</v>
      </c>
      <c r="BL24" s="16">
        <f t="shared" si="31"/>
        <v>3960</v>
      </c>
      <c r="BM24" s="254">
        <v>375.12400000000002</v>
      </c>
      <c r="BN24" s="197">
        <v>8.1790000000000003</v>
      </c>
      <c r="BO24" s="197">
        <v>89.578999999999994</v>
      </c>
      <c r="BP24" s="197"/>
      <c r="BQ24" s="230"/>
      <c r="BR24" s="230">
        <v>16.242000000000001</v>
      </c>
      <c r="BS24" s="258"/>
      <c r="BT24" s="199"/>
      <c r="BU24" s="200">
        <v>2.84</v>
      </c>
      <c r="BV24" s="200"/>
      <c r="BW24" s="200"/>
      <c r="BX24" s="200"/>
      <c r="BY24" s="208"/>
      <c r="BZ24" s="208">
        <v>6.25</v>
      </c>
      <c r="CA24" s="201"/>
      <c r="CB24" s="202">
        <v>37.020000000000003</v>
      </c>
      <c r="CC24" s="200">
        <v>43.18</v>
      </c>
      <c r="CD24" s="200">
        <v>43.11</v>
      </c>
      <c r="CE24" s="200"/>
      <c r="CF24" s="208"/>
      <c r="CG24" s="208">
        <v>30.73</v>
      </c>
      <c r="CH24" s="209"/>
      <c r="CI24" s="199"/>
      <c r="CJ24" s="197"/>
      <c r="CK24" s="197">
        <v>81.5</v>
      </c>
      <c r="CL24" s="197">
        <v>211.61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364.47047840000005</v>
      </c>
      <c r="CU24" s="29">
        <f t="shared" si="20"/>
        <v>8.1790000000000003</v>
      </c>
      <c r="CV24" s="30">
        <f t="shared" si="20"/>
        <v>89.578999999999994</v>
      </c>
      <c r="CW24" s="29">
        <f t="shared" si="20"/>
        <v>0</v>
      </c>
      <c r="CX24" s="27">
        <f t="shared" si="20"/>
        <v>0</v>
      </c>
      <c r="CY24" s="27">
        <f t="shared" si="20"/>
        <v>15.226875000000001</v>
      </c>
      <c r="CZ24" s="282">
        <f t="shared" si="20"/>
        <v>0</v>
      </c>
      <c r="DA24" s="25">
        <f t="shared" si="21"/>
        <v>0</v>
      </c>
      <c r="DB24" s="26">
        <f t="shared" si="21"/>
        <v>81.5</v>
      </c>
      <c r="DC24" s="277">
        <f t="shared" si="21"/>
        <v>211.61</v>
      </c>
      <c r="DD24" s="280">
        <f t="shared" si="21"/>
        <v>0</v>
      </c>
      <c r="DE24" s="508">
        <f t="shared" si="32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3"/>
        <v>0</v>
      </c>
    </row>
    <row r="25" spans="1:115" ht="16.5" customHeight="1" thickBot="1">
      <c r="A25" s="534">
        <v>19</v>
      </c>
      <c r="B25" s="103">
        <f>'[1]сентябрь 20'!K24</f>
        <v>461.68200000000002</v>
      </c>
      <c r="C25" s="104">
        <f t="shared" si="0"/>
        <v>1.764040053543348</v>
      </c>
      <c r="D25" s="143">
        <f t="shared" si="1"/>
        <v>453.53774459999994</v>
      </c>
      <c r="E25" s="104">
        <f t="shared" si="2"/>
        <v>37.398148899025742</v>
      </c>
      <c r="F25" s="128">
        <f t="shared" si="3"/>
        <v>3.5915247434273039</v>
      </c>
      <c r="G25" s="106"/>
      <c r="H25" s="107">
        <f t="shared" si="4"/>
        <v>2.860245047513462</v>
      </c>
      <c r="I25" s="103">
        <f>'[1]сентябрь 20'!AE24</f>
        <v>0</v>
      </c>
      <c r="J25" s="328">
        <f>'[1]сентябрь 20'!AA24</f>
        <v>14.968999999999999</v>
      </c>
      <c r="K25" s="106">
        <v>28.82</v>
      </c>
      <c r="L25" s="328">
        <f>'[1]сентябрь 20'!AI24</f>
        <v>92.346000000000004</v>
      </c>
      <c r="M25" s="103">
        <f t="shared" si="5"/>
        <v>0.73127969591384223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'[1]сентябрь 20'!S24</f>
        <v>284.29199999999997</v>
      </c>
      <c r="S25" s="108">
        <f t="shared" si="6"/>
        <v>2.6529061668988163</v>
      </c>
      <c r="T25" s="109">
        <f t="shared" si="7"/>
        <v>276.75</v>
      </c>
      <c r="U25" s="566">
        <v>13.82</v>
      </c>
      <c r="V25" s="109">
        <f t="shared" si="8"/>
        <v>276.75</v>
      </c>
      <c r="W25" s="110">
        <f t="shared" si="9"/>
        <v>2.1915584415584415</v>
      </c>
      <c r="X25" s="110">
        <f t="shared" si="26"/>
        <v>2.1915584415584415</v>
      </c>
      <c r="Y25" s="136">
        <v>126.28</v>
      </c>
      <c r="Z25" s="129">
        <v>76.69</v>
      </c>
      <c r="AA25" s="131">
        <v>0.85</v>
      </c>
      <c r="AB25" s="133">
        <v>646</v>
      </c>
      <c r="AC25" s="133">
        <v>1224</v>
      </c>
      <c r="AD25" s="144" t="s">
        <v>192</v>
      </c>
      <c r="AE25" s="131">
        <v>76.14</v>
      </c>
      <c r="AF25" s="133">
        <v>154</v>
      </c>
      <c r="AG25" s="134">
        <v>5</v>
      </c>
      <c r="AH25" s="131"/>
      <c r="AI25" s="115">
        <f t="shared" si="10"/>
        <v>0</v>
      </c>
      <c r="AJ25" s="131">
        <v>121.85</v>
      </c>
      <c r="AK25" s="115">
        <f t="shared" si="11"/>
        <v>964.91922711434893</v>
      </c>
      <c r="AL25" s="139">
        <v>30.88</v>
      </c>
      <c r="AM25" s="131"/>
      <c r="AN25" s="136">
        <v>12.74</v>
      </c>
      <c r="AO25" s="466">
        <v>138.61000000000001</v>
      </c>
      <c r="AP25" s="110">
        <f t="shared" si="12"/>
        <v>0.5053226394458622</v>
      </c>
      <c r="AQ25" s="137" t="s">
        <v>233</v>
      </c>
      <c r="AR25" s="150">
        <v>7.79</v>
      </c>
      <c r="AS25" s="138">
        <v>7.23</v>
      </c>
      <c r="AT25" s="153"/>
      <c r="AU25" s="131">
        <v>5.49</v>
      </c>
      <c r="AV25" s="315">
        <v>274.3</v>
      </c>
      <c r="AW25" s="131">
        <v>3.33</v>
      </c>
      <c r="AX25" s="148"/>
      <c r="AY25" s="131"/>
      <c r="AZ25" s="109">
        <f t="shared" si="34"/>
        <v>0</v>
      </c>
      <c r="BA25" s="598">
        <f t="shared" si="13"/>
        <v>126.28</v>
      </c>
      <c r="BB25" s="115">
        <f t="shared" si="28"/>
        <v>194.47550757402757</v>
      </c>
      <c r="BC25" s="140">
        <f t="shared" si="14"/>
        <v>5.1820573943661969</v>
      </c>
      <c r="BD25" s="141">
        <f t="shared" ref="BD25:BD37" si="35">BA25*$BD$6</f>
        <v>5.0512000000000006</v>
      </c>
      <c r="BE25" s="128">
        <f t="shared" si="16"/>
        <v>0.56687056059249996</v>
      </c>
      <c r="BF25" s="141">
        <f t="shared" si="17"/>
        <v>10.233257394366198</v>
      </c>
      <c r="BG25" s="535">
        <v>0.90900000000000003</v>
      </c>
      <c r="BH25" s="16">
        <f t="shared" si="29"/>
        <v>3802.8347000000008</v>
      </c>
      <c r="BI25" s="16">
        <f t="shared" si="18"/>
        <v>220</v>
      </c>
      <c r="BJ25" s="16">
        <f t="shared" si="30"/>
        <v>4180</v>
      </c>
      <c r="BK25" s="17">
        <f t="shared" si="19"/>
        <v>1</v>
      </c>
      <c r="BL25" s="16">
        <f t="shared" si="31"/>
        <v>4180</v>
      </c>
      <c r="BM25" s="254">
        <v>353.89800000000002</v>
      </c>
      <c r="BN25" s="197">
        <v>7.6820000000000004</v>
      </c>
      <c r="BO25" s="197">
        <v>84.664000000000001</v>
      </c>
      <c r="BP25" s="197"/>
      <c r="BQ25" s="230"/>
      <c r="BR25" s="230">
        <v>15.438000000000001</v>
      </c>
      <c r="BS25" s="258"/>
      <c r="BT25" s="199"/>
      <c r="BU25" s="200">
        <v>2.04</v>
      </c>
      <c r="BV25" s="200"/>
      <c r="BW25" s="200"/>
      <c r="BX25" s="200"/>
      <c r="BY25" s="208"/>
      <c r="BZ25" s="208">
        <v>5.99</v>
      </c>
      <c r="CA25" s="201"/>
      <c r="CB25" s="202">
        <v>36.1</v>
      </c>
      <c r="CC25" s="200">
        <v>43.41</v>
      </c>
      <c r="CD25" s="200">
        <v>43.07</v>
      </c>
      <c r="CE25" s="200"/>
      <c r="CF25" s="208"/>
      <c r="CG25" s="208">
        <v>33.06</v>
      </c>
      <c r="CH25" s="201"/>
      <c r="CI25" s="199"/>
      <c r="CJ25" s="197"/>
      <c r="CK25" s="197">
        <v>77</v>
      </c>
      <c r="CL25" s="197">
        <v>199.75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346.67848079999999</v>
      </c>
      <c r="CU25" s="24">
        <f t="shared" si="20"/>
        <v>7.6820000000000004</v>
      </c>
      <c r="CV25" s="25">
        <f t="shared" si="20"/>
        <v>84.664000000000001</v>
      </c>
      <c r="CW25" s="24">
        <f t="shared" si="20"/>
        <v>0</v>
      </c>
      <c r="CX25" s="27">
        <f t="shared" si="20"/>
        <v>0</v>
      </c>
      <c r="CY25" s="30">
        <f t="shared" si="20"/>
        <v>14.513263800000001</v>
      </c>
      <c r="CZ25" s="280">
        <f t="shared" si="20"/>
        <v>0</v>
      </c>
      <c r="DA25" s="25">
        <f t="shared" si="21"/>
        <v>0</v>
      </c>
      <c r="DB25" s="26">
        <f t="shared" si="21"/>
        <v>77</v>
      </c>
      <c r="DC25" s="277">
        <f t="shared" si="21"/>
        <v>199.75</v>
      </c>
      <c r="DD25" s="280">
        <f t="shared" si="21"/>
        <v>0</v>
      </c>
      <c r="DE25" s="508">
        <f t="shared" si="32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3"/>
        <v>0</v>
      </c>
    </row>
    <row r="26" spans="1:115" ht="16.5" customHeight="1" thickBot="1">
      <c r="A26" s="534">
        <v>20</v>
      </c>
      <c r="B26" s="103">
        <f>'[1]сентябрь 20'!K25</f>
        <v>461.923</v>
      </c>
      <c r="C26" s="104">
        <f t="shared" si="0"/>
        <v>1.2399877901728209</v>
      </c>
      <c r="D26" s="143">
        <f t="shared" si="1"/>
        <v>456.19521120000002</v>
      </c>
      <c r="E26" s="104">
        <f t="shared" si="2"/>
        <v>37.491619382451184</v>
      </c>
      <c r="F26" s="128">
        <f t="shared" si="3"/>
        <v>2.0182547849996353</v>
      </c>
      <c r="G26" s="106"/>
      <c r="H26" s="107">
        <f t="shared" si="4"/>
        <v>1.6096180503418729</v>
      </c>
      <c r="I26" s="103">
        <f>'[1]сентябрь 20'!AE25</f>
        <v>0</v>
      </c>
      <c r="J26" s="328">
        <f>'[1]сентябрь 20'!AA25</f>
        <v>16.434000000000001</v>
      </c>
      <c r="K26" s="106">
        <v>31.78</v>
      </c>
      <c r="L26" s="328">
        <f>'[1]сентябрь 20'!AI25</f>
        <v>92.366</v>
      </c>
      <c r="M26" s="103">
        <f t="shared" si="5"/>
        <v>0.40863673465776246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'[1]сентябрь 20'!S25</f>
        <v>283.74700000000001</v>
      </c>
      <c r="S26" s="108">
        <f t="shared" si="6"/>
        <v>2.6527152709984514</v>
      </c>
      <c r="T26" s="109">
        <f t="shared" si="7"/>
        <v>276.22000000000003</v>
      </c>
      <c r="U26" s="566">
        <v>25.08</v>
      </c>
      <c r="V26" s="109">
        <f t="shared" si="8"/>
        <v>276.22000000000003</v>
      </c>
      <c r="W26" s="110">
        <f t="shared" si="9"/>
        <v>1.2220258411879605</v>
      </c>
      <c r="X26" s="110">
        <f t="shared" si="26"/>
        <v>1.2220258411879605</v>
      </c>
      <c r="Y26" s="136">
        <v>226.03</v>
      </c>
      <c r="Z26" s="154">
        <v>182.46</v>
      </c>
      <c r="AA26" s="149">
        <v>0.81</v>
      </c>
      <c r="AB26" s="147">
        <v>650</v>
      </c>
      <c r="AC26" s="147">
        <v>1220</v>
      </c>
      <c r="AD26" s="144" t="s">
        <v>205</v>
      </c>
      <c r="AE26" s="149">
        <v>75.959999999999994</v>
      </c>
      <c r="AF26" s="147">
        <v>154</v>
      </c>
      <c r="AG26" s="155">
        <v>5</v>
      </c>
      <c r="AH26" s="149">
        <v>7.15</v>
      </c>
      <c r="AI26" s="115">
        <f t="shared" si="10"/>
        <v>31.632339311034382</v>
      </c>
      <c r="AJ26" s="149">
        <v>124.5</v>
      </c>
      <c r="AK26" s="115">
        <f t="shared" si="11"/>
        <v>550.80087331801121</v>
      </c>
      <c r="AL26" s="156">
        <v>42.45</v>
      </c>
      <c r="AM26" s="149"/>
      <c r="AN26" s="157">
        <v>11.06</v>
      </c>
      <c r="AO26" s="466">
        <f t="shared" si="27"/>
        <v>54.9955</v>
      </c>
      <c r="AP26" s="110">
        <f t="shared" si="12"/>
        <v>0.19</v>
      </c>
      <c r="AQ26" s="158" t="s">
        <v>159</v>
      </c>
      <c r="AR26" s="404">
        <v>7.9</v>
      </c>
      <c r="AS26" s="159">
        <v>7.92</v>
      </c>
      <c r="AT26" s="155"/>
      <c r="AU26" s="149">
        <v>5.0999999999999996</v>
      </c>
      <c r="AV26" s="315">
        <v>289.45</v>
      </c>
      <c r="AW26" s="131">
        <v>2.64</v>
      </c>
      <c r="AX26" s="148"/>
      <c r="AY26" s="149"/>
      <c r="AZ26" s="160">
        <f t="shared" si="34"/>
        <v>0</v>
      </c>
      <c r="BA26" s="598">
        <f t="shared" si="13"/>
        <v>226.03449999999998</v>
      </c>
      <c r="BB26" s="115">
        <f t="shared" si="28"/>
        <v>196.56862921487101</v>
      </c>
      <c r="BC26" s="140">
        <f t="shared" si="14"/>
        <v>4.9186267605633791</v>
      </c>
      <c r="BD26" s="140">
        <f t="shared" si="35"/>
        <v>9.0413800000000002</v>
      </c>
      <c r="BE26" s="161">
        <f t="shared" si="16"/>
        <v>1.0038637359794516</v>
      </c>
      <c r="BF26" s="140">
        <f t="shared" si="17"/>
        <v>13.960006760563379</v>
      </c>
      <c r="BG26" s="537">
        <v>0.91300000000000003</v>
      </c>
      <c r="BH26" s="16">
        <f t="shared" si="29"/>
        <v>4028.869200000001</v>
      </c>
      <c r="BI26" s="16">
        <f t="shared" si="18"/>
        <v>220</v>
      </c>
      <c r="BJ26" s="16">
        <f t="shared" si="30"/>
        <v>4400</v>
      </c>
      <c r="BK26" s="17">
        <f t="shared" si="19"/>
        <v>1</v>
      </c>
      <c r="BL26" s="16">
        <f t="shared" si="31"/>
        <v>4400</v>
      </c>
      <c r="BM26" s="254">
        <v>354.21899999999999</v>
      </c>
      <c r="BN26" s="197">
        <v>7.6989999999999998</v>
      </c>
      <c r="BO26" s="197">
        <v>84.667000000000002</v>
      </c>
      <c r="BP26" s="197"/>
      <c r="BQ26" s="230"/>
      <c r="BR26" s="230">
        <v>15.337999999999999</v>
      </c>
      <c r="BS26" s="258"/>
      <c r="BT26" s="199"/>
      <c r="BU26" s="200">
        <v>1.42</v>
      </c>
      <c r="BV26" s="200"/>
      <c r="BW26" s="200"/>
      <c r="BX26" s="200"/>
      <c r="BY26" s="208"/>
      <c r="BZ26" s="208">
        <v>4.55</v>
      </c>
      <c r="CA26" s="201"/>
      <c r="CB26" s="202">
        <v>36.07</v>
      </c>
      <c r="CC26" s="200">
        <v>43.36</v>
      </c>
      <c r="CD26" s="200">
        <v>43.27</v>
      </c>
      <c r="CE26" s="200"/>
      <c r="CF26" s="208"/>
      <c r="CG26" s="208">
        <v>35.479999999999997</v>
      </c>
      <c r="CH26" s="209"/>
      <c r="CI26" s="199"/>
      <c r="CJ26" s="197"/>
      <c r="CK26" s="197">
        <v>77</v>
      </c>
      <c r="CL26" s="197">
        <v>199.22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349.18909020000001</v>
      </c>
      <c r="CU26" s="24">
        <f t="shared" si="20"/>
        <v>7.6989999999999998</v>
      </c>
      <c r="CV26" s="25">
        <f t="shared" si="20"/>
        <v>84.667000000000002</v>
      </c>
      <c r="CW26" s="24">
        <f t="shared" si="20"/>
        <v>0</v>
      </c>
      <c r="CX26" s="27">
        <f t="shared" si="20"/>
        <v>0</v>
      </c>
      <c r="CY26" s="24">
        <f t="shared" si="20"/>
        <v>14.640120999999999</v>
      </c>
      <c r="CZ26" s="280">
        <f t="shared" si="20"/>
        <v>0</v>
      </c>
      <c r="DA26" s="30">
        <f t="shared" si="21"/>
        <v>0</v>
      </c>
      <c r="DB26" s="26">
        <f t="shared" si="21"/>
        <v>77</v>
      </c>
      <c r="DC26" s="277">
        <f t="shared" si="21"/>
        <v>199.22</v>
      </c>
      <c r="DD26" s="280">
        <f t="shared" si="21"/>
        <v>0</v>
      </c>
      <c r="DE26" s="508">
        <f t="shared" si="32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3"/>
        <v>0</v>
      </c>
    </row>
    <row r="27" spans="1:115" ht="16.5" customHeight="1" thickBot="1">
      <c r="A27" s="534">
        <v>21</v>
      </c>
      <c r="B27" s="103">
        <f>'[1]сентябрь 20'!K26</f>
        <v>462.202</v>
      </c>
      <c r="C27" s="104">
        <f t="shared" si="0"/>
        <v>1.9140820247424286</v>
      </c>
      <c r="D27" s="143">
        <f t="shared" si="1"/>
        <v>453.35507460000002</v>
      </c>
      <c r="E27" s="104">
        <f t="shared" si="2"/>
        <v>37.534986607587165</v>
      </c>
      <c r="F27" s="128">
        <f t="shared" si="3"/>
        <v>2.0452677612835846</v>
      </c>
      <c r="G27" s="106"/>
      <c r="H27" s="107">
        <f t="shared" si="4"/>
        <v>1.6283148084570773</v>
      </c>
      <c r="I27" s="103">
        <f>'[1]сентябрь 20'!AE26</f>
        <v>0</v>
      </c>
      <c r="J27" s="328">
        <f>'[1]сентябрь 20'!AA26</f>
        <v>16.928999999999998</v>
      </c>
      <c r="K27" s="106">
        <v>28.46</v>
      </c>
      <c r="L27" s="328">
        <f>'[1]сентябрь 20'!AI26</f>
        <v>92.421999999999997</v>
      </c>
      <c r="M27" s="103">
        <f t="shared" si="5"/>
        <v>0.41695295282650718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'[1]сентябрь 20'!S26</f>
        <v>279.89299999999997</v>
      </c>
      <c r="S27" s="108">
        <f t="shared" si="6"/>
        <v>2.2805143394082683</v>
      </c>
      <c r="T27" s="109">
        <f t="shared" si="7"/>
        <v>273.51</v>
      </c>
      <c r="U27" s="566">
        <v>32.85</v>
      </c>
      <c r="V27" s="109">
        <f t="shared" si="8"/>
        <v>273.51</v>
      </c>
      <c r="W27" s="110">
        <f t="shared" si="9"/>
        <v>1.2339140261796755</v>
      </c>
      <c r="X27" s="110">
        <f t="shared" si="26"/>
        <v>1.2339140261796755</v>
      </c>
      <c r="Y27" s="129">
        <v>221.66</v>
      </c>
      <c r="Z27" s="129">
        <v>54.31</v>
      </c>
      <c r="AA27" s="131">
        <v>1.26</v>
      </c>
      <c r="AB27" s="133">
        <v>650</v>
      </c>
      <c r="AC27" s="133">
        <v>1211</v>
      </c>
      <c r="AD27" s="144" t="s">
        <v>211</v>
      </c>
      <c r="AE27" s="131">
        <v>75.66</v>
      </c>
      <c r="AF27" s="133">
        <v>154</v>
      </c>
      <c r="AG27" s="134">
        <v>5</v>
      </c>
      <c r="AH27" s="131">
        <v>3.25</v>
      </c>
      <c r="AI27" s="115">
        <f t="shared" si="10"/>
        <v>14.66206202728948</v>
      </c>
      <c r="AJ27" s="131">
        <v>120.4</v>
      </c>
      <c r="AK27" s="115">
        <f t="shared" si="11"/>
        <v>543.17300556481655</v>
      </c>
      <c r="AL27" s="139">
        <v>44.64</v>
      </c>
      <c r="AM27" s="131"/>
      <c r="AN27" s="136">
        <v>14.84</v>
      </c>
      <c r="AO27" s="466">
        <f t="shared" si="27"/>
        <v>54.919499999999999</v>
      </c>
      <c r="AP27" s="110">
        <f t="shared" si="12"/>
        <v>0.19</v>
      </c>
      <c r="AQ27" s="137" t="s">
        <v>201</v>
      </c>
      <c r="AR27" s="150">
        <v>7.59</v>
      </c>
      <c r="AS27" s="138">
        <v>7.46</v>
      </c>
      <c r="AT27" s="134"/>
      <c r="AU27" s="131">
        <v>5.34</v>
      </c>
      <c r="AV27" s="139">
        <v>289.05</v>
      </c>
      <c r="AW27" s="131">
        <v>2.37</v>
      </c>
      <c r="AX27" s="148"/>
      <c r="AY27" s="131"/>
      <c r="AZ27" s="109">
        <f t="shared" si="34"/>
        <v>0</v>
      </c>
      <c r="BA27" s="598">
        <f t="shared" si="13"/>
        <v>221.66050000000001</v>
      </c>
      <c r="BB27" s="115">
        <f t="shared" si="28"/>
        <v>196.34626907991554</v>
      </c>
      <c r="BC27" s="140">
        <f t="shared" si="14"/>
        <v>4.9804901408450704</v>
      </c>
      <c r="BD27" s="141">
        <f t="shared" si="35"/>
        <v>8.8664200000000015</v>
      </c>
      <c r="BE27" s="128">
        <f t="shared" si="16"/>
        <v>0.98555280630893471</v>
      </c>
      <c r="BF27" s="141">
        <f t="shared" si="17"/>
        <v>13.846910140845072</v>
      </c>
      <c r="BG27" s="535">
        <v>0.91700000000000004</v>
      </c>
      <c r="BH27" s="16">
        <f t="shared" si="29"/>
        <v>4250.529700000001</v>
      </c>
      <c r="BI27" s="16">
        <f t="shared" si="18"/>
        <v>220</v>
      </c>
      <c r="BJ27" s="16">
        <f t="shared" si="30"/>
        <v>4620</v>
      </c>
      <c r="BK27" s="17">
        <f t="shared" si="19"/>
        <v>1</v>
      </c>
      <c r="BL27" s="16">
        <f t="shared" si="31"/>
        <v>4620</v>
      </c>
      <c r="BM27" s="254">
        <v>354.322</v>
      </c>
      <c r="BN27" s="197">
        <v>7.6929999999999996</v>
      </c>
      <c r="BO27" s="197">
        <v>84.728999999999999</v>
      </c>
      <c r="BP27" s="197"/>
      <c r="BQ27" s="230"/>
      <c r="BR27" s="230">
        <v>15.458</v>
      </c>
      <c r="BS27" s="258"/>
      <c r="BT27" s="199"/>
      <c r="BU27" s="200">
        <v>2.27</v>
      </c>
      <c r="BV27" s="200"/>
      <c r="BW27" s="200"/>
      <c r="BX27" s="200"/>
      <c r="BY27" s="208"/>
      <c r="BZ27" s="208">
        <v>5.2</v>
      </c>
      <c r="CA27" s="201"/>
      <c r="CB27" s="202">
        <v>36.270000000000003</v>
      </c>
      <c r="CC27" s="200">
        <v>43.49</v>
      </c>
      <c r="CD27" s="200">
        <v>43.17</v>
      </c>
      <c r="CE27" s="200"/>
      <c r="CF27" s="208"/>
      <c r="CG27" s="208">
        <v>32.68</v>
      </c>
      <c r="CH27" s="209"/>
      <c r="CI27" s="199"/>
      <c r="CJ27" s="197"/>
      <c r="CK27" s="197">
        <v>77</v>
      </c>
      <c r="CL27" s="197">
        <v>196.51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346.27889060000001</v>
      </c>
      <c r="CU27" s="24">
        <f t="shared" si="20"/>
        <v>7.6929999999999996</v>
      </c>
      <c r="CV27" s="25">
        <f t="shared" si="20"/>
        <v>84.728999999999999</v>
      </c>
      <c r="CW27" s="24">
        <f t="shared" si="20"/>
        <v>0</v>
      </c>
      <c r="CX27" s="27">
        <f t="shared" si="20"/>
        <v>0</v>
      </c>
      <c r="CY27" s="29">
        <f t="shared" si="20"/>
        <v>14.654183999999999</v>
      </c>
      <c r="CZ27" s="280">
        <f t="shared" si="20"/>
        <v>0</v>
      </c>
      <c r="DA27" s="237">
        <f t="shared" si="21"/>
        <v>0</v>
      </c>
      <c r="DB27" s="26">
        <f t="shared" si="21"/>
        <v>77</v>
      </c>
      <c r="DC27" s="277">
        <f t="shared" si="21"/>
        <v>196.51</v>
      </c>
      <c r="DD27" s="280">
        <f t="shared" si="21"/>
        <v>0</v>
      </c>
      <c r="DE27" s="508">
        <f t="shared" si="32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3"/>
        <v>0</v>
      </c>
    </row>
    <row r="28" spans="1:115" ht="16.5" customHeight="1" thickBot="1">
      <c r="A28" s="534">
        <v>22</v>
      </c>
      <c r="B28" s="103">
        <f>'[1]сентябрь 20'!K27</f>
        <v>489.03</v>
      </c>
      <c r="C28" s="104">
        <f t="shared" si="0"/>
        <v>1.5626522708218311</v>
      </c>
      <c r="D28" s="143">
        <f t="shared" si="1"/>
        <v>481.38816159999999</v>
      </c>
      <c r="E28" s="104">
        <f t="shared" si="2"/>
        <v>37.791383943725329</v>
      </c>
      <c r="F28" s="128">
        <f t="shared" si="3"/>
        <v>1.9174113179440098</v>
      </c>
      <c r="G28" s="106"/>
      <c r="H28" s="107">
        <f t="shared" si="4"/>
        <v>1.5277338883102349</v>
      </c>
      <c r="I28" s="103">
        <f>'[1]сентябрь 20'!AE27</f>
        <v>0</v>
      </c>
      <c r="J28" s="328">
        <f>'[1]сентябрь 20'!AA27</f>
        <v>18.039000000000001</v>
      </c>
      <c r="K28" s="106">
        <v>35.89</v>
      </c>
      <c r="L28" s="328">
        <f>'[1]сентябрь 20'!AI27</f>
        <v>97.832999999999998</v>
      </c>
      <c r="M28" s="103">
        <f t="shared" si="5"/>
        <v>0.389677429633775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'[1]сентябрь 20'!S27</f>
        <v>296.48099999999999</v>
      </c>
      <c r="S28" s="108">
        <f t="shared" si="6"/>
        <v>2.8470627122817449</v>
      </c>
      <c r="T28" s="109">
        <f t="shared" si="7"/>
        <v>288.03999999999996</v>
      </c>
      <c r="U28" s="566">
        <v>5.05</v>
      </c>
      <c r="V28" s="109">
        <f t="shared" si="8"/>
        <v>288.03999999999996</v>
      </c>
      <c r="W28" s="110">
        <f t="shared" si="9"/>
        <v>1.1472886125511079</v>
      </c>
      <c r="X28" s="110">
        <f t="shared" si="26"/>
        <v>1.1472886125511079</v>
      </c>
      <c r="Y28" s="129">
        <v>251.06</v>
      </c>
      <c r="Z28" s="136">
        <v>89.36</v>
      </c>
      <c r="AA28" s="131">
        <v>1.06</v>
      </c>
      <c r="AB28" s="133">
        <v>615</v>
      </c>
      <c r="AC28" s="133">
        <v>1221</v>
      </c>
      <c r="AD28" s="144" t="s">
        <v>181</v>
      </c>
      <c r="AE28" s="131">
        <v>75.959999999999994</v>
      </c>
      <c r="AF28" s="133">
        <v>163</v>
      </c>
      <c r="AG28" s="134">
        <v>6</v>
      </c>
      <c r="AH28" s="131">
        <v>4.3</v>
      </c>
      <c r="AI28" s="115">
        <f t="shared" si="10"/>
        <v>17.127277579397877</v>
      </c>
      <c r="AJ28" s="131">
        <v>163.30000000000001</v>
      </c>
      <c r="AK28" s="115">
        <f t="shared" si="11"/>
        <v>650.43823923620312</v>
      </c>
      <c r="AL28" s="139">
        <v>42.81</v>
      </c>
      <c r="AM28" s="131"/>
      <c r="AN28" s="136">
        <v>16.48</v>
      </c>
      <c r="AO28" s="466">
        <f t="shared" si="27"/>
        <v>61.968499999999999</v>
      </c>
      <c r="AP28" s="110">
        <f t="shared" si="12"/>
        <v>0.19</v>
      </c>
      <c r="AQ28" s="137" t="s">
        <v>121</v>
      </c>
      <c r="AR28" s="150">
        <v>7.53</v>
      </c>
      <c r="AS28" s="138">
        <v>7.69</v>
      </c>
      <c r="AT28" s="134"/>
      <c r="AU28" s="131">
        <v>5.68</v>
      </c>
      <c r="AV28" s="139">
        <v>326.14999999999998</v>
      </c>
      <c r="AW28" s="131">
        <v>3.36</v>
      </c>
      <c r="AX28" s="148"/>
      <c r="AY28" s="131"/>
      <c r="AZ28" s="109">
        <f t="shared" si="34"/>
        <v>0</v>
      </c>
      <c r="BA28" s="598">
        <f t="shared" si="13"/>
        <v>251.0615</v>
      </c>
      <c r="BB28" s="115">
        <f t="shared" si="28"/>
        <v>209.08240634786733</v>
      </c>
      <c r="BC28" s="140">
        <f t="shared" si="14"/>
        <v>7.1851999999999991</v>
      </c>
      <c r="BD28" s="141">
        <f t="shared" si="35"/>
        <v>10.04246</v>
      </c>
      <c r="BE28" s="128">
        <f t="shared" si="16"/>
        <v>1.0482789696582024</v>
      </c>
      <c r="BF28" s="141">
        <f t="shared" si="17"/>
        <v>17.22766</v>
      </c>
      <c r="BG28" s="535">
        <v>0.92300000000000004</v>
      </c>
      <c r="BH28" s="16">
        <f t="shared" si="29"/>
        <v>4501.5912000000008</v>
      </c>
      <c r="BI28" s="16">
        <f t="shared" si="18"/>
        <v>220</v>
      </c>
      <c r="BJ28" s="16">
        <f t="shared" si="30"/>
        <v>4840</v>
      </c>
      <c r="BK28" s="17">
        <f t="shared" si="19"/>
        <v>1</v>
      </c>
      <c r="BL28" s="16">
        <f t="shared" si="31"/>
        <v>4840</v>
      </c>
      <c r="BM28" s="254">
        <v>375.07</v>
      </c>
      <c r="BN28" s="197">
        <v>8.1760000000000002</v>
      </c>
      <c r="BO28" s="197">
        <v>89.656999999999996</v>
      </c>
      <c r="BP28" s="197"/>
      <c r="BQ28" s="230"/>
      <c r="BR28" s="230">
        <v>16.126999999999999</v>
      </c>
      <c r="BS28" s="258"/>
      <c r="BT28" s="199"/>
      <c r="BU28" s="200">
        <v>1.77</v>
      </c>
      <c r="BV28" s="200"/>
      <c r="BW28" s="200"/>
      <c r="BX28" s="200"/>
      <c r="BY28" s="208"/>
      <c r="BZ28" s="208">
        <v>6.22</v>
      </c>
      <c r="CA28" s="201"/>
      <c r="CB28" s="202">
        <v>36.51</v>
      </c>
      <c r="CC28" s="200">
        <v>43.23</v>
      </c>
      <c r="CD28" s="200">
        <v>43.23</v>
      </c>
      <c r="CE28" s="200"/>
      <c r="CF28" s="208"/>
      <c r="CG28" s="208">
        <v>34.6</v>
      </c>
      <c r="CH28" s="209"/>
      <c r="CI28" s="199"/>
      <c r="CJ28" s="197"/>
      <c r="CK28" s="197">
        <v>81.5</v>
      </c>
      <c r="CL28" s="197">
        <v>206.54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368.43126100000001</v>
      </c>
      <c r="CU28" s="29">
        <f t="shared" si="20"/>
        <v>8.1760000000000002</v>
      </c>
      <c r="CV28" s="30">
        <f t="shared" si="20"/>
        <v>89.656999999999996</v>
      </c>
      <c r="CW28" s="29">
        <f t="shared" si="20"/>
        <v>0</v>
      </c>
      <c r="CX28" s="27">
        <f t="shared" si="20"/>
        <v>0</v>
      </c>
      <c r="CY28" s="24">
        <f t="shared" si="20"/>
        <v>15.123900599999999</v>
      </c>
      <c r="CZ28" s="282">
        <f t="shared" si="20"/>
        <v>0</v>
      </c>
      <c r="DA28" s="25">
        <f t="shared" si="21"/>
        <v>0</v>
      </c>
      <c r="DB28" s="24">
        <f t="shared" si="21"/>
        <v>81.5</v>
      </c>
      <c r="DC28" s="277">
        <f t="shared" si="21"/>
        <v>206.54</v>
      </c>
      <c r="DD28" s="280">
        <f t="shared" si="21"/>
        <v>0</v>
      </c>
      <c r="DE28" s="508">
        <f t="shared" si="32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3"/>
        <v>0</v>
      </c>
    </row>
    <row r="29" spans="1:115" ht="16.5" customHeight="1" thickBot="1">
      <c r="A29" s="534">
        <v>23</v>
      </c>
      <c r="B29" s="103">
        <f>'[1]сентябрь 20'!K28</f>
        <v>459.32600000000002</v>
      </c>
      <c r="C29" s="104">
        <f t="shared" si="0"/>
        <v>1.8752426381262981</v>
      </c>
      <c r="D29" s="143">
        <f t="shared" si="1"/>
        <v>450.71252300000003</v>
      </c>
      <c r="E29" s="104">
        <f t="shared" si="2"/>
        <v>37.511239315867158</v>
      </c>
      <c r="F29" s="128">
        <f t="shared" si="3"/>
        <v>2.4826900827356755</v>
      </c>
      <c r="G29" s="106"/>
      <c r="H29" s="107">
        <f t="shared" si="4"/>
        <v>1.9906166231505655</v>
      </c>
      <c r="I29" s="103">
        <f>'[1]сентябрь 20'!AE28</f>
        <v>0</v>
      </c>
      <c r="J29" s="328">
        <f>'[1]сентябрь 20'!AA28</f>
        <v>13.723000000000001</v>
      </c>
      <c r="K29" s="106">
        <v>23.39</v>
      </c>
      <c r="L29" s="328">
        <f>'[1]сентябрь 20'!AI28</f>
        <v>89.331999999999994</v>
      </c>
      <c r="M29" s="103">
        <f t="shared" si="5"/>
        <v>0.49207345958510973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'[1]сентябрь 20'!S28</f>
        <v>276.24299999999999</v>
      </c>
      <c r="S29" s="108">
        <f t="shared" si="6"/>
        <v>2.9188069923943738</v>
      </c>
      <c r="T29" s="109">
        <f t="shared" si="7"/>
        <v>268.17999999999995</v>
      </c>
      <c r="U29" s="566">
        <v>18.399999999999999</v>
      </c>
      <c r="V29" s="109">
        <f t="shared" si="8"/>
        <v>268.18</v>
      </c>
      <c r="W29" s="110">
        <f t="shared" si="9"/>
        <v>1.4772339183219307</v>
      </c>
      <c r="X29" s="110">
        <f t="shared" si="26"/>
        <v>1.4772339183219307</v>
      </c>
      <c r="Y29" s="129">
        <v>181.54</v>
      </c>
      <c r="Z29" s="136">
        <v>133.36000000000001</v>
      </c>
      <c r="AA29" s="131">
        <v>0.81</v>
      </c>
      <c r="AB29" s="133">
        <v>636</v>
      </c>
      <c r="AC29" s="133">
        <v>1222</v>
      </c>
      <c r="AD29" s="144" t="s">
        <v>178</v>
      </c>
      <c r="AE29" s="131">
        <v>75.819999999999993</v>
      </c>
      <c r="AF29" s="133">
        <v>153</v>
      </c>
      <c r="AG29" s="134">
        <v>4</v>
      </c>
      <c r="AH29" s="131"/>
      <c r="AI29" s="115">
        <f t="shared" si="10"/>
        <v>0</v>
      </c>
      <c r="AJ29" s="131">
        <v>110.8</v>
      </c>
      <c r="AK29" s="115">
        <f t="shared" si="11"/>
        <v>610.3270868449174</v>
      </c>
      <c r="AL29" s="139">
        <v>30.36</v>
      </c>
      <c r="AM29" s="131"/>
      <c r="AN29" s="136">
        <v>14.55</v>
      </c>
      <c r="AO29" s="466">
        <f t="shared" si="27"/>
        <v>44.687999999999995</v>
      </c>
      <c r="AP29" s="110">
        <f t="shared" si="12"/>
        <v>0.19</v>
      </c>
      <c r="AQ29" s="137" t="s">
        <v>208</v>
      </c>
      <c r="AR29" s="150">
        <v>7.16</v>
      </c>
      <c r="AS29" s="138">
        <v>7.23</v>
      </c>
      <c r="AT29" s="134"/>
      <c r="AU29" s="131">
        <v>7.08</v>
      </c>
      <c r="AV29" s="139">
        <v>235.2</v>
      </c>
      <c r="AW29" s="131">
        <v>5.58</v>
      </c>
      <c r="AX29" s="148"/>
      <c r="AY29" s="131"/>
      <c r="AZ29" s="109">
        <f t="shared" si="34"/>
        <v>0</v>
      </c>
      <c r="BA29" s="598">
        <f t="shared" si="13"/>
        <v>181.542</v>
      </c>
      <c r="BB29" s="115">
        <f t="shared" si="28"/>
        <v>194.66662593209639</v>
      </c>
      <c r="BC29" s="140">
        <f t="shared" si="14"/>
        <v>6.0768338028169007</v>
      </c>
      <c r="BD29" s="141">
        <f t="shared" si="35"/>
        <v>7.2616800000000001</v>
      </c>
      <c r="BE29" s="128">
        <f t="shared" si="16"/>
        <v>0.81414143406011019</v>
      </c>
      <c r="BF29" s="141">
        <f t="shared" si="17"/>
        <v>13.338513802816902</v>
      </c>
      <c r="BG29" s="535">
        <v>0.91900000000000004</v>
      </c>
      <c r="BH29" s="16">
        <f t="shared" si="29"/>
        <v>4683.1332000000011</v>
      </c>
      <c r="BI29" s="16">
        <f t="shared" si="18"/>
        <v>220</v>
      </c>
      <c r="BJ29" s="16">
        <f t="shared" si="30"/>
        <v>5060</v>
      </c>
      <c r="BK29" s="17">
        <f t="shared" si="19"/>
        <v>1</v>
      </c>
      <c r="BL29" s="16">
        <f t="shared" si="31"/>
        <v>5060</v>
      </c>
      <c r="BM29" s="254">
        <v>273.41399999999999</v>
      </c>
      <c r="BN29" s="197">
        <v>32.131</v>
      </c>
      <c r="BO29" s="197">
        <v>57.201000000000001</v>
      </c>
      <c r="BP29" s="197">
        <v>78.409000000000006</v>
      </c>
      <c r="BQ29" s="230"/>
      <c r="BR29" s="230">
        <v>18.170999999999999</v>
      </c>
      <c r="BS29" s="258"/>
      <c r="BT29" s="199"/>
      <c r="BU29" s="200">
        <v>2.12</v>
      </c>
      <c r="BV29" s="200"/>
      <c r="BW29" s="200"/>
      <c r="BX29" s="200">
        <v>2.0099999999999998</v>
      </c>
      <c r="BY29" s="208"/>
      <c r="BZ29" s="208">
        <v>6.83</v>
      </c>
      <c r="CA29" s="201"/>
      <c r="CB29" s="202">
        <v>35.94</v>
      </c>
      <c r="CC29" s="200">
        <v>43.37</v>
      </c>
      <c r="CD29" s="200">
        <v>43.19</v>
      </c>
      <c r="CE29" s="200">
        <v>37.74</v>
      </c>
      <c r="CF29" s="208"/>
      <c r="CG29" s="208">
        <v>31.93</v>
      </c>
      <c r="CH29" s="201"/>
      <c r="CI29" s="199"/>
      <c r="CJ29" s="197"/>
      <c r="CK29" s="197">
        <v>76.5</v>
      </c>
      <c r="CL29" s="230">
        <v>191.68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267.61762319999997</v>
      </c>
      <c r="CU29" s="24">
        <f t="shared" si="20"/>
        <v>32.131</v>
      </c>
      <c r="CV29" s="25">
        <f t="shared" si="20"/>
        <v>57.201000000000001</v>
      </c>
      <c r="CW29" s="24">
        <f t="shared" si="20"/>
        <v>76.832979100000003</v>
      </c>
      <c r="CX29" s="27">
        <f t="shared" si="20"/>
        <v>0</v>
      </c>
      <c r="CY29" s="29">
        <f t="shared" si="20"/>
        <v>16.9299207</v>
      </c>
      <c r="CZ29" s="280">
        <f t="shared" si="20"/>
        <v>0</v>
      </c>
      <c r="DA29" s="30">
        <f t="shared" si="21"/>
        <v>0</v>
      </c>
      <c r="DB29" s="29">
        <f t="shared" si="21"/>
        <v>76.5</v>
      </c>
      <c r="DC29" s="277">
        <f t="shared" si="21"/>
        <v>191.68</v>
      </c>
      <c r="DD29" s="280">
        <f t="shared" si="21"/>
        <v>0</v>
      </c>
      <c r="DE29" s="508">
        <f t="shared" si="32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3"/>
        <v>0</v>
      </c>
    </row>
    <row r="30" spans="1:115" ht="16.5" customHeight="1" thickBot="1">
      <c r="A30" s="534">
        <v>24</v>
      </c>
      <c r="B30" s="103">
        <f>'[1]сентябрь 20'!K29</f>
        <v>479.96</v>
      </c>
      <c r="C30" s="104">
        <f t="shared" si="0"/>
        <v>1.4596127385615469</v>
      </c>
      <c r="D30" s="143">
        <f t="shared" si="1"/>
        <v>472.95444270000002</v>
      </c>
      <c r="E30" s="104">
        <f t="shared" si="2"/>
        <v>37.597297795649638</v>
      </c>
      <c r="F30" s="128">
        <f t="shared" si="3"/>
        <v>2.2227182877311051</v>
      </c>
      <c r="G30" s="106"/>
      <c r="H30" s="107">
        <f t="shared" si="4"/>
        <v>1.8093515555827091</v>
      </c>
      <c r="I30" s="103">
        <f>'[1]сентябрь 20'!AE29</f>
        <v>0</v>
      </c>
      <c r="J30" s="328">
        <f>'[1]сентябрь 20'!AA29</f>
        <v>7.2039999999999997</v>
      </c>
      <c r="K30" s="106">
        <v>11.22</v>
      </c>
      <c r="L30" s="328">
        <f>'[1]сентябрь 20'!AI29</f>
        <v>87.956999999999994</v>
      </c>
      <c r="M30" s="103">
        <f t="shared" si="5"/>
        <v>0.41336673214839603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'[1]сентябрь 20'!S29</f>
        <v>287.62299999999999</v>
      </c>
      <c r="S30" s="108">
        <f t="shared" si="6"/>
        <v>2.6503443744067767</v>
      </c>
      <c r="T30" s="109">
        <f t="shared" si="7"/>
        <v>280</v>
      </c>
      <c r="U30" s="566">
        <v>42.24</v>
      </c>
      <c r="V30" s="109">
        <f t="shared" si="8"/>
        <v>280</v>
      </c>
      <c r="W30" s="110">
        <f t="shared" si="9"/>
        <v>1.3159007810811065</v>
      </c>
      <c r="X30" s="110">
        <f t="shared" si="26"/>
        <v>1.3159007810811065</v>
      </c>
      <c r="Y30" s="154">
        <v>212.78</v>
      </c>
      <c r="Z30" s="157">
        <v>212.78</v>
      </c>
      <c r="AA30" s="149">
        <v>0.74</v>
      </c>
      <c r="AB30" s="147">
        <v>638</v>
      </c>
      <c r="AC30" s="147">
        <v>1209</v>
      </c>
      <c r="AD30" s="144" t="s">
        <v>234</v>
      </c>
      <c r="AE30" s="149">
        <v>75.900000000000006</v>
      </c>
      <c r="AF30" s="147">
        <v>160</v>
      </c>
      <c r="AG30" s="155">
        <v>5</v>
      </c>
      <c r="AH30" s="149">
        <v>5.2</v>
      </c>
      <c r="AI30" s="115">
        <f t="shared" si="10"/>
        <v>24.438157362934838</v>
      </c>
      <c r="AJ30" s="131">
        <v>121.85</v>
      </c>
      <c r="AK30" s="115">
        <f t="shared" si="11"/>
        <v>572.65182205261726</v>
      </c>
      <c r="AL30" s="139">
        <v>32.799999999999997</v>
      </c>
      <c r="AM30" s="131"/>
      <c r="AN30" s="157">
        <v>13.9</v>
      </c>
      <c r="AO30" s="466">
        <f t="shared" si="27"/>
        <v>52.097999999999999</v>
      </c>
      <c r="AP30" s="110">
        <f t="shared" si="12"/>
        <v>0.19</v>
      </c>
      <c r="AQ30" s="158" t="s">
        <v>351</v>
      </c>
      <c r="AR30" s="404">
        <v>7.37</v>
      </c>
      <c r="AS30" s="159">
        <v>8.2100000000000009</v>
      </c>
      <c r="AT30" s="155"/>
      <c r="AU30" s="149">
        <v>6.82</v>
      </c>
      <c r="AV30" s="156">
        <v>274.2</v>
      </c>
      <c r="AW30" s="131">
        <v>4.58</v>
      </c>
      <c r="AX30" s="164"/>
      <c r="AY30" s="149"/>
      <c r="AZ30" s="109">
        <f t="shared" si="34"/>
        <v>0</v>
      </c>
      <c r="BA30" s="598">
        <f t="shared" si="13"/>
        <v>212.78199999999998</v>
      </c>
      <c r="BB30" s="115">
        <f t="shared" si="28"/>
        <v>204.52594571369633</v>
      </c>
      <c r="BC30" s="140">
        <f t="shared" si="14"/>
        <v>6.4374556338028164</v>
      </c>
      <c r="BD30" s="141">
        <f t="shared" si="35"/>
        <v>8.5112799999999993</v>
      </c>
      <c r="BE30" s="128">
        <f t="shared" si="16"/>
        <v>0.90824020078133505</v>
      </c>
      <c r="BF30" s="141">
        <f t="shared" si="17"/>
        <v>14.948735633802816</v>
      </c>
      <c r="BG30" s="537">
        <v>0.91800000000000004</v>
      </c>
      <c r="BH30" s="16">
        <f t="shared" si="29"/>
        <v>4895.9152000000013</v>
      </c>
      <c r="BI30" s="16">
        <f t="shared" si="18"/>
        <v>220</v>
      </c>
      <c r="BJ30" s="16">
        <f t="shared" si="30"/>
        <v>5280</v>
      </c>
      <c r="BK30" s="17">
        <f t="shared" si="19"/>
        <v>1</v>
      </c>
      <c r="BL30" s="16">
        <f t="shared" si="31"/>
        <v>5280</v>
      </c>
      <c r="BM30" s="255">
        <v>111.953</v>
      </c>
      <c r="BN30" s="210">
        <v>87.956999999999994</v>
      </c>
      <c r="BO30" s="210"/>
      <c r="BP30" s="210">
        <v>256.07499999999999</v>
      </c>
      <c r="BQ30" s="233"/>
      <c r="BR30" s="233">
        <v>23.975000000000001</v>
      </c>
      <c r="BS30" s="260"/>
      <c r="BT30" s="212"/>
      <c r="BU30" s="213">
        <v>1.91</v>
      </c>
      <c r="BV30" s="213"/>
      <c r="BW30" s="213"/>
      <c r="BX30" s="213">
        <v>1.5</v>
      </c>
      <c r="BY30" s="235"/>
      <c r="BZ30" s="235">
        <v>4.28</v>
      </c>
      <c r="CA30" s="214"/>
      <c r="CB30" s="215">
        <v>36.81</v>
      </c>
      <c r="CC30" s="213">
        <v>43.41</v>
      </c>
      <c r="CD30" s="216"/>
      <c r="CE30" s="213">
        <v>36.880000000000003</v>
      </c>
      <c r="CF30" s="235"/>
      <c r="CG30" s="235">
        <v>27.61</v>
      </c>
      <c r="CH30" s="214"/>
      <c r="CI30" s="212"/>
      <c r="CJ30" s="210"/>
      <c r="CK30" s="210">
        <v>80</v>
      </c>
      <c r="CL30" s="233">
        <v>200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109.8146977</v>
      </c>
      <c r="CU30" s="24">
        <f t="shared" si="20"/>
        <v>87.956999999999994</v>
      </c>
      <c r="CV30" s="25">
        <f t="shared" si="20"/>
        <v>0</v>
      </c>
      <c r="CW30" s="24">
        <f t="shared" si="20"/>
        <v>252.23387499999998</v>
      </c>
      <c r="CX30" s="27">
        <f t="shared" si="20"/>
        <v>0</v>
      </c>
      <c r="CY30" s="24">
        <f t="shared" si="20"/>
        <v>22.948869999999999</v>
      </c>
      <c r="CZ30" s="280">
        <f t="shared" si="20"/>
        <v>0</v>
      </c>
      <c r="DA30" s="25">
        <f t="shared" si="21"/>
        <v>0</v>
      </c>
      <c r="DB30" s="26">
        <f t="shared" si="21"/>
        <v>80</v>
      </c>
      <c r="DC30" s="277">
        <f t="shared" si="21"/>
        <v>200</v>
      </c>
      <c r="DD30" s="280">
        <f t="shared" si="21"/>
        <v>0</v>
      </c>
      <c r="DE30" s="508">
        <f t="shared" si="32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3"/>
        <v>0</v>
      </c>
    </row>
    <row r="31" spans="1:115" ht="16.5" customHeight="1" thickBot="1">
      <c r="A31" s="534">
        <v>25</v>
      </c>
      <c r="B31" s="103">
        <f>'[1]сентябрь 20'!K30</f>
        <v>519.15599999999995</v>
      </c>
      <c r="C31" s="104">
        <f t="shared" si="0"/>
        <v>1.0238151923506615</v>
      </c>
      <c r="D31" s="143">
        <f t="shared" si="1"/>
        <v>513.84080199999994</v>
      </c>
      <c r="E31" s="104">
        <f t="shared" si="2"/>
        <v>37.859917096210005</v>
      </c>
      <c r="F31" s="128">
        <f t="shared" si="3"/>
        <v>2.1465665265813896</v>
      </c>
      <c r="G31" s="106"/>
      <c r="H31" s="107">
        <f t="shared" si="4"/>
        <v>1.7495709797892871</v>
      </c>
      <c r="I31" s="103">
        <f>'[1]сентябрь 20'!AE30</f>
        <v>0</v>
      </c>
      <c r="J31" s="328">
        <f>'[1]сентябрь 20'!AA30</f>
        <v>7.7380000000000004</v>
      </c>
      <c r="K31" s="106"/>
      <c r="L31" s="328">
        <f>'[1]сентябрь 20'!AI30</f>
        <v>95.03</v>
      </c>
      <c r="M31" s="103">
        <f t="shared" si="5"/>
        <v>0.39698719180542907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'[1]сентябрь 20'!S30</f>
        <v>308.577</v>
      </c>
      <c r="S31" s="108">
        <f t="shared" si="6"/>
        <v>2.6434244937244333</v>
      </c>
      <c r="T31" s="109">
        <f t="shared" si="7"/>
        <v>300.41999999999996</v>
      </c>
      <c r="U31" s="566">
        <v>3.53</v>
      </c>
      <c r="V31" s="109">
        <f t="shared" si="8"/>
        <v>300.41999999999996</v>
      </c>
      <c r="W31" s="110">
        <f t="shared" si="9"/>
        <v>1.2550025482709353</v>
      </c>
      <c r="X31" s="110">
        <f t="shared" si="26"/>
        <v>1.2550025482709353</v>
      </c>
      <c r="Y31" s="136">
        <v>239.38</v>
      </c>
      <c r="Z31" s="136">
        <v>144.52000000000001</v>
      </c>
      <c r="AA31" s="131">
        <v>0.91</v>
      </c>
      <c r="AB31" s="133">
        <v>602</v>
      </c>
      <c r="AC31" s="133">
        <v>1200</v>
      </c>
      <c r="AD31" s="144" t="s">
        <v>174</v>
      </c>
      <c r="AE31" s="131">
        <v>75.83</v>
      </c>
      <c r="AF31" s="133">
        <v>173</v>
      </c>
      <c r="AG31" s="134">
        <v>5</v>
      </c>
      <c r="AH31" s="131">
        <v>6.75</v>
      </c>
      <c r="AI31" s="115">
        <f t="shared" si="10"/>
        <v>28.19808002406236</v>
      </c>
      <c r="AJ31" s="131">
        <v>130.1</v>
      </c>
      <c r="AK31" s="115">
        <f t="shared" si="11"/>
        <v>543.49188313044635</v>
      </c>
      <c r="AL31" s="139">
        <v>40.97</v>
      </c>
      <c r="AM31" s="131"/>
      <c r="AN31" s="136">
        <v>17.95</v>
      </c>
      <c r="AO31" s="466">
        <f t="shared" si="27"/>
        <v>59.432000000000002</v>
      </c>
      <c r="AP31" s="110">
        <f t="shared" si="12"/>
        <v>0.19</v>
      </c>
      <c r="AQ31" s="137" t="s">
        <v>437</v>
      </c>
      <c r="AR31" s="150">
        <v>7.78</v>
      </c>
      <c r="AS31" s="138">
        <v>8.57</v>
      </c>
      <c r="AT31" s="134"/>
      <c r="AU31" s="131">
        <v>5.81</v>
      </c>
      <c r="AV31" s="139">
        <v>312.8</v>
      </c>
      <c r="AW31" s="131">
        <v>3.96</v>
      </c>
      <c r="AX31" s="148"/>
      <c r="AY31" s="131"/>
      <c r="AZ31" s="109">
        <f t="shared" si="34"/>
        <v>0</v>
      </c>
      <c r="BA31" s="598">
        <f t="shared" si="13"/>
        <v>239.37800000000001</v>
      </c>
      <c r="BB31" s="115">
        <f t="shared" si="28"/>
        <v>223.96565941573334</v>
      </c>
      <c r="BC31" s="140">
        <f t="shared" si="14"/>
        <v>5.8554161971830982</v>
      </c>
      <c r="BD31" s="141">
        <f t="shared" si="35"/>
        <v>9.5751200000000001</v>
      </c>
      <c r="BE31" s="128">
        <f t="shared" si="16"/>
        <v>0.93307605525402959</v>
      </c>
      <c r="BF31" s="141">
        <f t="shared" si="17"/>
        <v>15.430536197183098</v>
      </c>
      <c r="BG31" s="535">
        <v>0.91900000000000004</v>
      </c>
      <c r="BH31" s="16">
        <f t="shared" si="29"/>
        <v>5135.293200000001</v>
      </c>
      <c r="BI31" s="16">
        <f t="shared" si="18"/>
        <v>220</v>
      </c>
      <c r="BJ31" s="16">
        <f t="shared" si="30"/>
        <v>5500</v>
      </c>
      <c r="BK31" s="17">
        <f>IF(BA31&lt;&gt;0,1,0)</f>
        <v>1</v>
      </c>
      <c r="BL31" s="16">
        <f t="shared" si="31"/>
        <v>5500</v>
      </c>
      <c r="BM31" s="254">
        <v>121.15300000000001</v>
      </c>
      <c r="BN31" s="197">
        <v>95.03</v>
      </c>
      <c r="BO31" s="197"/>
      <c r="BP31" s="197">
        <v>277.19</v>
      </c>
      <c r="BQ31" s="230"/>
      <c r="BR31" s="230">
        <v>25.780999999999999</v>
      </c>
      <c r="BS31" s="259"/>
      <c r="BT31" s="199"/>
      <c r="BU31" s="200">
        <v>1.1399999999999999</v>
      </c>
      <c r="BV31" s="200"/>
      <c r="BW31" s="200"/>
      <c r="BX31" s="200">
        <v>1.17</v>
      </c>
      <c r="BY31" s="208"/>
      <c r="BZ31" s="208">
        <v>2.68</v>
      </c>
      <c r="CA31" s="201"/>
      <c r="CB31" s="202">
        <v>36.06</v>
      </c>
      <c r="CC31" s="200">
        <v>43.32</v>
      </c>
      <c r="CD31" s="200"/>
      <c r="CE31" s="200">
        <v>37.4</v>
      </c>
      <c r="CF31" s="208"/>
      <c r="CG31" s="208">
        <v>31.14</v>
      </c>
      <c r="CH31" s="209"/>
      <c r="CI31" s="199"/>
      <c r="CJ31" s="197"/>
      <c r="CK31" s="197">
        <v>86.5</v>
      </c>
      <c r="CL31" s="230">
        <v>213.92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119.77185580000001</v>
      </c>
      <c r="CU31" s="24">
        <f t="shared" si="20"/>
        <v>95.03</v>
      </c>
      <c r="CV31" s="25">
        <f t="shared" si="20"/>
        <v>0</v>
      </c>
      <c r="CW31" s="24">
        <f t="shared" si="20"/>
        <v>273.94687699999997</v>
      </c>
      <c r="CX31" s="27">
        <f t="shared" si="20"/>
        <v>0</v>
      </c>
      <c r="CY31" s="24">
        <f t="shared" si="20"/>
        <v>25.090069199999999</v>
      </c>
      <c r="CZ31" s="280">
        <f t="shared" si="20"/>
        <v>0</v>
      </c>
      <c r="DA31" s="28">
        <f t="shared" si="21"/>
        <v>0</v>
      </c>
      <c r="DB31" s="24">
        <f t="shared" si="21"/>
        <v>86.5</v>
      </c>
      <c r="DC31" s="277">
        <f t="shared" si="21"/>
        <v>213.92</v>
      </c>
      <c r="DD31" s="280">
        <f t="shared" si="21"/>
        <v>0</v>
      </c>
      <c r="DE31" s="508">
        <f t="shared" si="32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3"/>
        <v>0</v>
      </c>
    </row>
    <row r="32" spans="1:115" ht="16.5" customHeight="1" thickBot="1">
      <c r="A32" s="534">
        <v>26</v>
      </c>
      <c r="B32" s="103">
        <f>'[1]сентябрь 20'!K31</f>
        <v>509.97199999999998</v>
      </c>
      <c r="C32" s="104">
        <f t="shared" si="0"/>
        <v>0.9198008910293114</v>
      </c>
      <c r="D32" s="143">
        <f t="shared" si="1"/>
        <v>505.281273</v>
      </c>
      <c r="E32" s="104">
        <f t="shared" si="2"/>
        <v>38.066316660522546</v>
      </c>
      <c r="F32" s="128">
        <f t="shared" si="3"/>
        <v>2.2024722523107636</v>
      </c>
      <c r="G32" s="106"/>
      <c r="H32" s="107">
        <f t="shared" si="4"/>
        <v>1.7948842732945245</v>
      </c>
      <c r="I32" s="103">
        <f>'[1]сентябрь 20'!AE31</f>
        <v>0</v>
      </c>
      <c r="J32" s="328">
        <f>'[1]сентябрь 20'!AA31</f>
        <v>7.2480000000000002</v>
      </c>
      <c r="K32" s="106"/>
      <c r="L32" s="328">
        <f>'[1]сентябрь 20'!AI31</f>
        <v>93.507000000000005</v>
      </c>
      <c r="M32" s="103">
        <f t="shared" si="5"/>
        <v>0.40758797901623911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'[1]сентябрь 20'!S31</f>
        <v>302.75299999999999</v>
      </c>
      <c r="S32" s="108">
        <f t="shared" si="6"/>
        <v>2.6368029383688985</v>
      </c>
      <c r="T32" s="109">
        <f t="shared" si="7"/>
        <v>294.77</v>
      </c>
      <c r="U32" s="566"/>
      <c r="V32" s="109">
        <f t="shared" si="8"/>
        <v>294.77</v>
      </c>
      <c r="W32" s="110">
        <f t="shared" si="9"/>
        <v>1.2848739514113039</v>
      </c>
      <c r="X32" s="110">
        <f t="shared" si="26"/>
        <v>1.2848739514113039</v>
      </c>
      <c r="Y32" s="136">
        <v>184.66</v>
      </c>
      <c r="Z32" s="136">
        <v>173.45</v>
      </c>
      <c r="AA32" s="131">
        <v>0.81</v>
      </c>
      <c r="AB32" s="133">
        <v>588</v>
      </c>
      <c r="AC32" s="133">
        <v>1208</v>
      </c>
      <c r="AD32" s="144" t="s">
        <v>438</v>
      </c>
      <c r="AE32" s="131">
        <v>75.489999999999995</v>
      </c>
      <c r="AF32" s="133">
        <v>170</v>
      </c>
      <c r="AG32" s="134">
        <v>5</v>
      </c>
      <c r="AH32" s="131">
        <v>4.5999999999999996</v>
      </c>
      <c r="AI32" s="115">
        <f t="shared" si="10"/>
        <v>20.050955580595033</v>
      </c>
      <c r="AJ32" s="131">
        <v>130.9</v>
      </c>
      <c r="AK32" s="115">
        <f t="shared" si="11"/>
        <v>570.58045336954137</v>
      </c>
      <c r="AL32" s="139">
        <v>35.49</v>
      </c>
      <c r="AM32" s="131"/>
      <c r="AN32" s="136">
        <v>15.71</v>
      </c>
      <c r="AO32" s="466">
        <f t="shared" si="27"/>
        <v>56.724500000000006</v>
      </c>
      <c r="AP32" s="110">
        <f t="shared" si="12"/>
        <v>0.19</v>
      </c>
      <c r="AQ32" s="137" t="s">
        <v>439</v>
      </c>
      <c r="AR32" s="150">
        <v>7.56</v>
      </c>
      <c r="AS32" s="138">
        <v>8.85</v>
      </c>
      <c r="AT32" s="134"/>
      <c r="AU32" s="131">
        <v>7.08</v>
      </c>
      <c r="AV32" s="139">
        <v>298.55</v>
      </c>
      <c r="AW32" s="131">
        <v>3.3</v>
      </c>
      <c r="AX32" s="148"/>
      <c r="AY32" s="131"/>
      <c r="AZ32" s="109">
        <f t="shared" si="34"/>
        <v>0</v>
      </c>
      <c r="BA32" s="598">
        <f t="shared" si="13"/>
        <v>229.41550000000001</v>
      </c>
      <c r="BB32" s="115">
        <f t="shared" si="28"/>
        <v>222.43282460176715</v>
      </c>
      <c r="BC32" s="140">
        <f t="shared" si="14"/>
        <v>7.1792197183098594</v>
      </c>
      <c r="BD32" s="141">
        <f t="shared" si="35"/>
        <v>9.1766199999999998</v>
      </c>
      <c r="BE32" s="128">
        <f t="shared" si="16"/>
        <v>0.90040546784662323</v>
      </c>
      <c r="BF32" s="141">
        <f t="shared" si="17"/>
        <v>16.355839718309859</v>
      </c>
      <c r="BG32" s="535">
        <v>0.91800000000000004</v>
      </c>
      <c r="BH32" s="16">
        <f t="shared" si="29"/>
        <v>5364.708700000001</v>
      </c>
      <c r="BI32" s="16">
        <f t="shared" si="18"/>
        <v>220</v>
      </c>
      <c r="BJ32" s="16">
        <f t="shared" si="30"/>
        <v>5720</v>
      </c>
      <c r="BK32" s="17">
        <f>IF(BA32&lt;&gt;0,1,0)</f>
        <v>1</v>
      </c>
      <c r="BL32" s="16">
        <f t="shared" si="31"/>
        <v>5720</v>
      </c>
      <c r="BM32" s="254">
        <v>118.98</v>
      </c>
      <c r="BN32" s="197">
        <v>93.507000000000005</v>
      </c>
      <c r="BO32" s="197"/>
      <c r="BP32" s="197">
        <v>272.18</v>
      </c>
      <c r="BQ32" s="230"/>
      <c r="BR32" s="230">
        <v>25.305</v>
      </c>
      <c r="BS32" s="258"/>
      <c r="BT32" s="199"/>
      <c r="BU32" s="200">
        <v>0.97</v>
      </c>
      <c r="BV32" s="200"/>
      <c r="BW32" s="200"/>
      <c r="BX32" s="200">
        <v>1</v>
      </c>
      <c r="BY32" s="208"/>
      <c r="BZ32" s="208">
        <v>3.22</v>
      </c>
      <c r="CA32" s="201"/>
      <c r="CB32" s="202">
        <v>36.68</v>
      </c>
      <c r="CC32" s="200">
        <v>43.42</v>
      </c>
      <c r="CD32" s="200"/>
      <c r="CE32" s="200">
        <v>37.57</v>
      </c>
      <c r="CF32" s="208"/>
      <c r="CG32" s="208">
        <v>30.14</v>
      </c>
      <c r="CH32" s="209"/>
      <c r="CI32" s="199"/>
      <c r="CJ32" s="197"/>
      <c r="CK32" s="197">
        <v>85</v>
      </c>
      <c r="CL32" s="230">
        <v>209.77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117.82589400000001</v>
      </c>
      <c r="CU32" s="24">
        <f t="shared" si="20"/>
        <v>93.507000000000005</v>
      </c>
      <c r="CV32" s="25">
        <f t="shared" si="20"/>
        <v>0</v>
      </c>
      <c r="CW32" s="24">
        <f t="shared" si="20"/>
        <v>269.45819999999998</v>
      </c>
      <c r="CX32" s="27">
        <f t="shared" si="20"/>
        <v>0</v>
      </c>
      <c r="CY32" s="24">
        <f t="shared" si="20"/>
        <v>24.490179000000001</v>
      </c>
      <c r="CZ32" s="280">
        <f t="shared" si="20"/>
        <v>0</v>
      </c>
      <c r="DA32" s="25">
        <f t="shared" si="21"/>
        <v>0</v>
      </c>
      <c r="DB32" s="24">
        <f t="shared" si="21"/>
        <v>85</v>
      </c>
      <c r="DC32" s="277">
        <f t="shared" si="21"/>
        <v>209.77</v>
      </c>
      <c r="DD32" s="280">
        <f t="shared" si="21"/>
        <v>0</v>
      </c>
      <c r="DE32" s="508">
        <f t="shared" si="32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3"/>
        <v>0</v>
      </c>
    </row>
    <row r="33" spans="1:115" ht="16.5" customHeight="1" thickBot="1">
      <c r="A33" s="534">
        <v>27</v>
      </c>
      <c r="B33" s="103">
        <f>'[1]сентябрь 20'!K32</f>
        <v>509.666</v>
      </c>
      <c r="C33" s="104">
        <f t="shared" si="0"/>
        <v>0.69770520301530814</v>
      </c>
      <c r="D33" s="143">
        <f t="shared" si="1"/>
        <v>506.1100338</v>
      </c>
      <c r="E33" s="104">
        <f t="shared" si="2"/>
        <v>38.378843988023533</v>
      </c>
      <c r="F33" s="128">
        <f t="shared" si="3"/>
        <v>2.123011562024812</v>
      </c>
      <c r="G33" s="106"/>
      <c r="H33" s="107">
        <f t="shared" si="4"/>
        <v>1.7309522480782744</v>
      </c>
      <c r="I33" s="103">
        <f>'[1]сентябрь 20'!AE32</f>
        <v>0</v>
      </c>
      <c r="J33" s="328">
        <f>'[1]сентябрь 20'!AA32</f>
        <v>6.55</v>
      </c>
      <c r="K33" s="106">
        <v>17.850000000000001</v>
      </c>
      <c r="L33" s="328">
        <f>'[1]сентябрь 20'!AI32</f>
        <v>93.463999999999999</v>
      </c>
      <c r="M33" s="103">
        <f t="shared" si="5"/>
        <v>0.3920593139465377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'[1]сентябрь 20'!S32</f>
        <v>301.18700000000001</v>
      </c>
      <c r="S33" s="108">
        <f t="shared" si="6"/>
        <v>2.6086783294099636</v>
      </c>
      <c r="T33" s="109">
        <f t="shared" si="7"/>
        <v>293.33000000000004</v>
      </c>
      <c r="U33" s="566">
        <v>30.04</v>
      </c>
      <c r="V33" s="109">
        <f t="shared" si="8"/>
        <v>293.33000000000004</v>
      </c>
      <c r="W33" s="110">
        <f t="shared" si="9"/>
        <v>1.2304497834453685</v>
      </c>
      <c r="X33" s="110">
        <f t="shared" si="26"/>
        <v>1.2304497834453685</v>
      </c>
      <c r="Y33" s="136">
        <v>238.39</v>
      </c>
      <c r="Z33" s="136">
        <v>192.32</v>
      </c>
      <c r="AA33" s="131">
        <v>0.94</v>
      </c>
      <c r="AB33" s="133">
        <v>619</v>
      </c>
      <c r="AC33" s="133">
        <v>1213</v>
      </c>
      <c r="AD33" s="144" t="s">
        <v>176</v>
      </c>
      <c r="AE33" s="131">
        <v>75.52</v>
      </c>
      <c r="AF33" s="133">
        <v>170</v>
      </c>
      <c r="AG33" s="134">
        <v>5</v>
      </c>
      <c r="AH33" s="131">
        <v>3.15</v>
      </c>
      <c r="AI33" s="115">
        <f t="shared" si="10"/>
        <v>13.21350294157744</v>
      </c>
      <c r="AJ33" s="131">
        <v>132.55000000000001</v>
      </c>
      <c r="AK33" s="115">
        <f t="shared" si="11"/>
        <v>556.01581425590155</v>
      </c>
      <c r="AL33" s="139">
        <v>41.44</v>
      </c>
      <c r="AM33" s="131"/>
      <c r="AN33" s="136">
        <v>17.28</v>
      </c>
      <c r="AO33" s="466">
        <f t="shared" si="27"/>
        <v>58.7575</v>
      </c>
      <c r="AP33" s="110">
        <f t="shared" si="12"/>
        <v>0.19</v>
      </c>
      <c r="AQ33" s="137" t="s">
        <v>329</v>
      </c>
      <c r="AR33" s="150">
        <v>7.48</v>
      </c>
      <c r="AS33" s="138">
        <v>8.57</v>
      </c>
      <c r="AT33" s="134"/>
      <c r="AU33" s="131">
        <v>7.27</v>
      </c>
      <c r="AV33" s="139">
        <v>309.25</v>
      </c>
      <c r="AW33" s="131">
        <v>5.18</v>
      </c>
      <c r="AX33" s="116"/>
      <c r="AY33" s="131"/>
      <c r="AZ33" s="109">
        <f t="shared" si="34"/>
        <v>0</v>
      </c>
      <c r="BA33" s="598">
        <f t="shared" si="13"/>
        <v>238.39250000000001</v>
      </c>
      <c r="BB33" s="115">
        <f t="shared" si="28"/>
        <v>224.53761173768024</v>
      </c>
      <c r="BC33" s="140">
        <f t="shared" si="14"/>
        <v>7.4648052816901407</v>
      </c>
      <c r="BD33" s="141">
        <f t="shared" si="35"/>
        <v>9.5357000000000003</v>
      </c>
      <c r="BE33" s="128">
        <f t="shared" si="16"/>
        <v>0.92686766769006046</v>
      </c>
      <c r="BF33" s="141">
        <f t="shared" si="17"/>
        <v>17.000505281690142</v>
      </c>
      <c r="BG33" s="535">
        <v>0.91800000000000004</v>
      </c>
      <c r="BH33" s="16">
        <f t="shared" si="29"/>
        <v>5603.101200000001</v>
      </c>
      <c r="BI33" s="16">
        <f t="shared" si="18"/>
        <v>220</v>
      </c>
      <c r="BJ33" s="16">
        <f t="shared" si="30"/>
        <v>5940</v>
      </c>
      <c r="BK33" s="17">
        <f t="shared" si="19"/>
        <v>1</v>
      </c>
      <c r="BL33" s="16">
        <f t="shared" si="31"/>
        <v>5940</v>
      </c>
      <c r="BM33" s="254">
        <v>119.086</v>
      </c>
      <c r="BN33" s="197">
        <v>93.463999999999999</v>
      </c>
      <c r="BO33" s="197"/>
      <c r="BP33" s="197">
        <v>271.69499999999999</v>
      </c>
      <c r="BQ33" s="230"/>
      <c r="BR33" s="230">
        <v>25.420999999999999</v>
      </c>
      <c r="BS33" s="258"/>
      <c r="BT33" s="199"/>
      <c r="BU33" s="200">
        <v>0.66</v>
      </c>
      <c r="BV33" s="200"/>
      <c r="BW33" s="200"/>
      <c r="BX33" s="200">
        <v>0.78</v>
      </c>
      <c r="BY33" s="208"/>
      <c r="BZ33" s="208">
        <v>2.56</v>
      </c>
      <c r="CA33" s="201"/>
      <c r="CB33" s="202">
        <v>36.33</v>
      </c>
      <c r="CC33" s="200">
        <v>43.48</v>
      </c>
      <c r="CD33" s="200"/>
      <c r="CE33" s="200">
        <v>38.03</v>
      </c>
      <c r="CF33" s="208"/>
      <c r="CG33" s="208">
        <v>32.950000000000003</v>
      </c>
      <c r="CH33" s="209"/>
      <c r="CI33" s="199"/>
      <c r="CJ33" s="197"/>
      <c r="CK33" s="197">
        <v>85</v>
      </c>
      <c r="CL33" s="230">
        <v>208.33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118.30003240000001</v>
      </c>
      <c r="CU33" s="24">
        <f t="shared" si="20"/>
        <v>93.463999999999999</v>
      </c>
      <c r="CV33" s="25">
        <f t="shared" si="20"/>
        <v>0</v>
      </c>
      <c r="CW33" s="24">
        <f t="shared" si="20"/>
        <v>269.57577900000001</v>
      </c>
      <c r="CX33" s="27">
        <f t="shared" si="20"/>
        <v>0</v>
      </c>
      <c r="CY33" s="24">
        <f t="shared" si="20"/>
        <v>24.770222399999998</v>
      </c>
      <c r="CZ33" s="280">
        <f t="shared" si="20"/>
        <v>0</v>
      </c>
      <c r="DA33" s="25">
        <f t="shared" si="21"/>
        <v>0</v>
      </c>
      <c r="DB33" s="24">
        <f t="shared" si="21"/>
        <v>85</v>
      </c>
      <c r="DC33" s="277">
        <f t="shared" si="21"/>
        <v>208.33</v>
      </c>
      <c r="DD33" s="280">
        <f t="shared" si="21"/>
        <v>0</v>
      </c>
      <c r="DE33" s="508">
        <f t="shared" si="32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3"/>
        <v>0</v>
      </c>
    </row>
    <row r="34" spans="1:115" ht="16.5" customHeight="1" thickBot="1">
      <c r="A34" s="534">
        <v>28</v>
      </c>
      <c r="B34" s="103">
        <f>'[1]сентябрь 20'!K33</f>
        <v>507.05500000000001</v>
      </c>
      <c r="C34" s="104">
        <f t="shared" si="0"/>
        <v>0.84518133141375196</v>
      </c>
      <c r="D34" s="143">
        <f t="shared" si="1"/>
        <v>502.76946579999998</v>
      </c>
      <c r="E34" s="104">
        <f t="shared" si="2"/>
        <v>37.518587411622015</v>
      </c>
      <c r="F34" s="128">
        <f t="shared" si="3"/>
        <v>2.221115421962458</v>
      </c>
      <c r="G34" s="106"/>
      <c r="H34" s="107">
        <f t="shared" si="4"/>
        <v>1.810656814175712</v>
      </c>
      <c r="I34" s="103">
        <f>'[1]сентябрь 20'!AE33</f>
        <v>0</v>
      </c>
      <c r="J34" s="328">
        <f>'[1]сентябрь 20'!AA33</f>
        <v>7.0110000000000001</v>
      </c>
      <c r="K34" s="106">
        <v>3.02</v>
      </c>
      <c r="L34" s="328">
        <f>'[1]сентябрь 20'!AI33</f>
        <v>92.911000000000001</v>
      </c>
      <c r="M34" s="103">
        <f t="shared" si="5"/>
        <v>0.41045860778674587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'[1]сентябрь 20'!S33</f>
        <v>300.47000000000003</v>
      </c>
      <c r="S34" s="108">
        <f t="shared" si="6"/>
        <v>2.8854794155822594</v>
      </c>
      <c r="T34" s="109">
        <f t="shared" si="7"/>
        <v>291.80000000000007</v>
      </c>
      <c r="U34" s="566">
        <v>54.46</v>
      </c>
      <c r="V34" s="109">
        <f t="shared" si="8"/>
        <v>291.8</v>
      </c>
      <c r="W34" s="110">
        <f t="shared" si="9"/>
        <v>1.2891027085293718</v>
      </c>
      <c r="X34" s="110">
        <f t="shared" si="26"/>
        <v>1.2891027085293718</v>
      </c>
      <c r="Y34" s="157">
        <v>226.36</v>
      </c>
      <c r="Z34" s="157">
        <v>186.51</v>
      </c>
      <c r="AA34" s="149">
        <v>0.91</v>
      </c>
      <c r="AB34" s="147">
        <v>648</v>
      </c>
      <c r="AC34" s="147">
        <v>1218</v>
      </c>
      <c r="AD34" s="144" t="s">
        <v>222</v>
      </c>
      <c r="AE34" s="149">
        <v>76.09</v>
      </c>
      <c r="AF34" s="147">
        <v>169</v>
      </c>
      <c r="AG34" s="155">
        <v>5</v>
      </c>
      <c r="AH34" s="149">
        <v>6.3</v>
      </c>
      <c r="AI34" s="115">
        <f t="shared" si="10"/>
        <v>27.831895352073477</v>
      </c>
      <c r="AJ34" s="149">
        <v>136.94999999999999</v>
      </c>
      <c r="AK34" s="115">
        <f t="shared" si="11"/>
        <v>605.01239182007339</v>
      </c>
      <c r="AL34" s="156">
        <v>35.46</v>
      </c>
      <c r="AM34" s="149"/>
      <c r="AN34" s="157">
        <v>14.97</v>
      </c>
      <c r="AO34" s="466">
        <f t="shared" si="27"/>
        <v>55.650999999999996</v>
      </c>
      <c r="AP34" s="110">
        <f t="shared" si="12"/>
        <v>0.19</v>
      </c>
      <c r="AQ34" s="158" t="s">
        <v>442</v>
      </c>
      <c r="AR34" s="404">
        <v>8.1999999999999993</v>
      </c>
      <c r="AS34" s="159">
        <v>7.91</v>
      </c>
      <c r="AT34" s="155"/>
      <c r="AU34" s="149">
        <v>8.27</v>
      </c>
      <c r="AV34" s="156">
        <v>292.89999999999998</v>
      </c>
      <c r="AW34" s="131">
        <v>4.08</v>
      </c>
      <c r="AX34" s="148"/>
      <c r="AY34" s="149"/>
      <c r="AZ34" s="109">
        <f t="shared" si="34"/>
        <v>0</v>
      </c>
      <c r="BA34" s="598">
        <f t="shared" si="13"/>
        <v>226.35899999999998</v>
      </c>
      <c r="BB34" s="115">
        <f t="shared" si="28"/>
        <v>216.42231214872922</v>
      </c>
      <c r="BC34" s="140">
        <f t="shared" si="14"/>
        <v>8.7734799295774639</v>
      </c>
      <c r="BD34" s="141">
        <f t="shared" si="35"/>
        <v>9.0543599999999991</v>
      </c>
      <c r="BE34" s="128">
        <f t="shared" si="16"/>
        <v>0.91308241298243753</v>
      </c>
      <c r="BF34" s="141">
        <f t="shared" si="17"/>
        <v>17.827839929577465</v>
      </c>
      <c r="BG34" s="538">
        <v>0.91800000000000004</v>
      </c>
      <c r="BH34" s="16">
        <f t="shared" si="29"/>
        <v>5829.4602000000014</v>
      </c>
      <c r="BI34" s="16">
        <f t="shared" si="18"/>
        <v>220</v>
      </c>
      <c r="BJ34" s="16">
        <f t="shared" si="30"/>
        <v>6160</v>
      </c>
      <c r="BK34" s="17">
        <f t="shared" si="19"/>
        <v>1</v>
      </c>
      <c r="BL34" s="16">
        <f t="shared" si="31"/>
        <v>6160</v>
      </c>
      <c r="BM34" s="255">
        <v>118.298</v>
      </c>
      <c r="BN34" s="210">
        <v>92.911000000000001</v>
      </c>
      <c r="BO34" s="210"/>
      <c r="BP34" s="210">
        <v>270.39999999999998</v>
      </c>
      <c r="BQ34" s="233"/>
      <c r="BR34" s="233">
        <v>25.446000000000002</v>
      </c>
      <c r="BS34" s="260"/>
      <c r="BT34" s="212"/>
      <c r="BU34" s="213">
        <v>0.85</v>
      </c>
      <c r="BV34" s="213"/>
      <c r="BW34" s="213"/>
      <c r="BX34" s="213">
        <v>0.91</v>
      </c>
      <c r="BY34" s="235"/>
      <c r="BZ34" s="235">
        <v>3.22</v>
      </c>
      <c r="CA34" s="214"/>
      <c r="CB34" s="215">
        <v>35.83</v>
      </c>
      <c r="CC34" s="213">
        <v>43.1</v>
      </c>
      <c r="CD34" s="213"/>
      <c r="CE34" s="213">
        <v>37.08</v>
      </c>
      <c r="CF34" s="235"/>
      <c r="CG34" s="235">
        <v>29.65</v>
      </c>
      <c r="CH34" s="211"/>
      <c r="CI34" s="212"/>
      <c r="CJ34" s="210"/>
      <c r="CK34" s="210"/>
      <c r="CL34" s="233">
        <v>207.3</v>
      </c>
      <c r="CM34" s="198">
        <v>84.5</v>
      </c>
      <c r="CN34" s="202"/>
      <c r="CO34" s="208"/>
      <c r="CP34" s="208"/>
      <c r="CQ34" s="209"/>
      <c r="CR34" s="201"/>
      <c r="CS34" s="284"/>
      <c r="CT34" s="286">
        <f t="shared" si="20"/>
        <v>117.292467</v>
      </c>
      <c r="CU34" s="24">
        <f t="shared" si="20"/>
        <v>92.911000000000001</v>
      </c>
      <c r="CV34" s="25">
        <f t="shared" si="20"/>
        <v>0</v>
      </c>
      <c r="CW34" s="24">
        <f t="shared" si="20"/>
        <v>267.93935999999997</v>
      </c>
      <c r="CX34" s="27">
        <f t="shared" si="20"/>
        <v>0</v>
      </c>
      <c r="CY34" s="24">
        <f t="shared" si="20"/>
        <v>24.626638800000002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207.3</v>
      </c>
      <c r="DD34" s="280">
        <f t="shared" si="21"/>
        <v>84.5</v>
      </c>
      <c r="DE34" s="508">
        <f t="shared" si="32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3"/>
        <v>0</v>
      </c>
    </row>
    <row r="35" spans="1:115" ht="16.5" customHeight="1" thickBot="1">
      <c r="A35" s="534">
        <v>29</v>
      </c>
      <c r="B35" s="103">
        <f>'[1]сентябрь 20'!K34</f>
        <v>506.73700000000002</v>
      </c>
      <c r="C35" s="104">
        <f t="shared" si="0"/>
        <v>0.912430688897791</v>
      </c>
      <c r="D35" s="143">
        <f t="shared" si="1"/>
        <v>502.1133761000001</v>
      </c>
      <c r="E35" s="104">
        <f t="shared" si="2"/>
        <v>38.204626561707549</v>
      </c>
      <c r="F35" s="128">
        <f t="shared" si="3"/>
        <v>2.214987829581498</v>
      </c>
      <c r="G35" s="106"/>
      <c r="H35" s="107">
        <f t="shared" si="4"/>
        <v>1.8052502596067741</v>
      </c>
      <c r="I35" s="103">
        <f>'[1]сентябрь 20'!AE34</f>
        <v>0</v>
      </c>
      <c r="J35" s="328">
        <f>'[1]сентябрь 20'!AA34</f>
        <v>5.8780000000000001</v>
      </c>
      <c r="K35" s="106"/>
      <c r="L35" s="328">
        <f>'[1]сентябрь 20'!AI34</f>
        <v>92.882999999999996</v>
      </c>
      <c r="M35" s="103">
        <f t="shared" si="5"/>
        <v>0.4097375699747231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'[1]сентябрь 20'!S34</f>
        <v>302.91899999999998</v>
      </c>
      <c r="S35" s="108">
        <f t="shared" si="6"/>
        <v>2.809001746341433</v>
      </c>
      <c r="T35" s="109">
        <f t="shared" si="7"/>
        <v>294.40999999999997</v>
      </c>
      <c r="U35" s="566">
        <v>4.59</v>
      </c>
      <c r="V35" s="109">
        <f t="shared" si="8"/>
        <v>294.40999999999997</v>
      </c>
      <c r="W35" s="110">
        <f t="shared" si="9"/>
        <v>1.2987396830018219</v>
      </c>
      <c r="X35" s="110">
        <f t="shared" si="26"/>
        <v>1.2987396830018219</v>
      </c>
      <c r="Y35" s="136">
        <v>226.69</v>
      </c>
      <c r="Z35" s="136">
        <v>226.69</v>
      </c>
      <c r="AA35" s="131">
        <v>0.56000000000000005</v>
      </c>
      <c r="AB35" s="133">
        <v>574</v>
      </c>
      <c r="AC35" s="133">
        <v>1209</v>
      </c>
      <c r="AD35" s="144" t="s">
        <v>252</v>
      </c>
      <c r="AE35" s="131">
        <v>75.77</v>
      </c>
      <c r="AF35" s="133">
        <v>169</v>
      </c>
      <c r="AG35" s="134">
        <v>5</v>
      </c>
      <c r="AH35" s="166">
        <v>10.25</v>
      </c>
      <c r="AI35" s="115">
        <f t="shared" si="10"/>
        <v>45.2161331162959</v>
      </c>
      <c r="AJ35" s="166">
        <v>138.85</v>
      </c>
      <c r="AK35" s="115">
        <f t="shared" si="11"/>
        <v>612.51317884855473</v>
      </c>
      <c r="AL35" s="139">
        <v>38.96</v>
      </c>
      <c r="AM35" s="131"/>
      <c r="AN35" s="167">
        <v>17.71</v>
      </c>
      <c r="AO35" s="466">
        <f t="shared" si="27"/>
        <v>56.600999999999999</v>
      </c>
      <c r="AP35" s="110">
        <f t="shared" si="12"/>
        <v>0.19</v>
      </c>
      <c r="AQ35" s="168" t="s">
        <v>348</v>
      </c>
      <c r="AR35" s="405">
        <v>7.2</v>
      </c>
      <c r="AS35" s="169">
        <v>8.2899999999999991</v>
      </c>
      <c r="AT35" s="170"/>
      <c r="AU35" s="166">
        <v>8.49</v>
      </c>
      <c r="AV35" s="171">
        <v>297.89999999999998</v>
      </c>
      <c r="AW35" s="131">
        <v>3.1</v>
      </c>
      <c r="AX35" s="116"/>
      <c r="AY35" s="131"/>
      <c r="AZ35" s="109">
        <f t="shared" si="34"/>
        <v>0</v>
      </c>
      <c r="BA35" s="598">
        <f t="shared" si="13"/>
        <v>226.68899999999996</v>
      </c>
      <c r="BB35" s="115">
        <f t="shared" si="28"/>
        <v>221.02159382731028</v>
      </c>
      <c r="BC35" s="140">
        <f t="shared" si="14"/>
        <v>9.1318320422535191</v>
      </c>
      <c r="BD35" s="141">
        <f t="shared" si="35"/>
        <v>9.0675599999999985</v>
      </c>
      <c r="BE35" s="128">
        <f t="shared" si="16"/>
        <v>0.89538534933660741</v>
      </c>
      <c r="BF35" s="141">
        <f t="shared" si="17"/>
        <v>18.199392042253518</v>
      </c>
      <c r="BG35" s="538">
        <v>0.91700000000000004</v>
      </c>
      <c r="BH35" s="16">
        <f t="shared" si="29"/>
        <v>6056.1492000000017</v>
      </c>
      <c r="BI35" s="16">
        <f t="shared" si="18"/>
        <v>220</v>
      </c>
      <c r="BJ35" s="16">
        <f t="shared" si="30"/>
        <v>6380</v>
      </c>
      <c r="BK35" s="17">
        <f t="shared" si="19"/>
        <v>1</v>
      </c>
      <c r="BL35" s="16">
        <f t="shared" si="31"/>
        <v>6380</v>
      </c>
      <c r="BM35" s="254">
        <v>143.447</v>
      </c>
      <c r="BN35" s="197">
        <v>92.882999999999996</v>
      </c>
      <c r="BO35" s="197"/>
      <c r="BP35" s="197">
        <v>270.40699999999998</v>
      </c>
      <c r="BQ35" s="230"/>
      <c r="BR35" s="230"/>
      <c r="BS35" s="259"/>
      <c r="BT35" s="199"/>
      <c r="BU35" s="200">
        <v>0.98</v>
      </c>
      <c r="BV35" s="200"/>
      <c r="BW35" s="200"/>
      <c r="BX35" s="200">
        <v>1.19</v>
      </c>
      <c r="BY35" s="208"/>
      <c r="BZ35" s="208">
        <v>2.06</v>
      </c>
      <c r="CA35" s="201"/>
      <c r="CB35" s="202">
        <v>36.17</v>
      </c>
      <c r="CC35" s="200">
        <v>43.34</v>
      </c>
      <c r="CD35" s="200"/>
      <c r="CE35" s="200">
        <v>37.520000000000003</v>
      </c>
      <c r="CF35" s="208"/>
      <c r="CG35" s="208">
        <v>28.81</v>
      </c>
      <c r="CH35" s="209"/>
      <c r="CI35" s="199"/>
      <c r="CJ35" s="197"/>
      <c r="CK35" s="197"/>
      <c r="CL35" s="230">
        <v>209.91</v>
      </c>
      <c r="CM35" s="198">
        <v>84.5</v>
      </c>
      <c r="CN35" s="202"/>
      <c r="CO35" s="208"/>
      <c r="CP35" s="208"/>
      <c r="CQ35" s="209"/>
      <c r="CR35" s="201"/>
      <c r="CT35" s="286">
        <f t="shared" si="20"/>
        <v>142.04121939999999</v>
      </c>
      <c r="CU35" s="24">
        <f t="shared" si="20"/>
        <v>92.882999999999996</v>
      </c>
      <c r="CV35" s="24">
        <f t="shared" si="20"/>
        <v>0</v>
      </c>
      <c r="CW35" s="24">
        <f t="shared" si="20"/>
        <v>267.18915669999996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209.91</v>
      </c>
      <c r="DD35" s="280">
        <f t="shared" si="21"/>
        <v>84.5</v>
      </c>
      <c r="DE35" s="508">
        <f t="shared" si="32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3"/>
        <v>0</v>
      </c>
    </row>
    <row r="36" spans="1:115" ht="16.5" customHeight="1" thickBot="1">
      <c r="A36" s="534">
        <v>30</v>
      </c>
      <c r="B36" s="103">
        <f>'[1]сентябрь 20'!K35</f>
        <v>524.30499999999995</v>
      </c>
      <c r="C36" s="104">
        <f t="shared" si="0"/>
        <v>0.98594129371262917</v>
      </c>
      <c r="D36" s="143">
        <f t="shared" si="1"/>
        <v>519.13566049999997</v>
      </c>
      <c r="E36" s="104">
        <f t="shared" si="2"/>
        <v>38.195427871181856</v>
      </c>
      <c r="F36" s="128">
        <f t="shared" si="3"/>
        <v>2.7606256873172024</v>
      </c>
      <c r="G36" s="106"/>
      <c r="H36" s="107">
        <f t="shared" si="4"/>
        <v>2.2520534990693966</v>
      </c>
      <c r="I36" s="103">
        <f>'[1]сентябрь 20'!AE35</f>
        <v>0</v>
      </c>
      <c r="J36" s="328">
        <f>'[1]сентябрь 20'!AA35</f>
        <v>6.1909999999999998</v>
      </c>
      <c r="K36" s="106"/>
      <c r="L36" s="328">
        <f>'[1]сентябрь 20'!AI35</f>
        <v>95.637</v>
      </c>
      <c r="M36" s="103">
        <f t="shared" si="5"/>
        <v>0.50857218824780637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'[1]сентябрь 20'!S35</f>
        <v>321</v>
      </c>
      <c r="S36" s="108">
        <f t="shared" si="6"/>
        <v>2.8504672897196159</v>
      </c>
      <c r="T36" s="109">
        <f t="shared" si="7"/>
        <v>311.85000000000002</v>
      </c>
      <c r="U36" s="566">
        <v>37.659999999999997</v>
      </c>
      <c r="V36" s="109">
        <f t="shared" si="8"/>
        <v>311.85000000000002</v>
      </c>
      <c r="W36" s="110">
        <f t="shared" si="9"/>
        <v>1.658335549056102</v>
      </c>
      <c r="X36" s="110">
        <f t="shared" si="26"/>
        <v>1.658335549056102</v>
      </c>
      <c r="Y36" s="136">
        <v>152.44999999999999</v>
      </c>
      <c r="Z36" s="136">
        <v>188.05</v>
      </c>
      <c r="AA36" s="131">
        <v>0.59</v>
      </c>
      <c r="AB36" s="133">
        <v>574</v>
      </c>
      <c r="AC36" s="133">
        <v>1216</v>
      </c>
      <c r="AD36" s="144" t="s">
        <v>198</v>
      </c>
      <c r="AE36" s="131">
        <v>75.73</v>
      </c>
      <c r="AF36" s="133">
        <v>176</v>
      </c>
      <c r="AG36" s="134">
        <v>5</v>
      </c>
      <c r="AH36" s="131">
        <v>6.55</v>
      </c>
      <c r="AI36" s="115">
        <f t="shared" si="10"/>
        <v>34.831161925019934</v>
      </c>
      <c r="AJ36" s="131">
        <v>143</v>
      </c>
      <c r="AK36" s="115">
        <f t="shared" si="11"/>
        <v>760.43605424089333</v>
      </c>
      <c r="AL36" s="139">
        <v>44.22</v>
      </c>
      <c r="AM36" s="131"/>
      <c r="AN36" s="136">
        <v>14.43</v>
      </c>
      <c r="AO36" s="466">
        <v>117.37</v>
      </c>
      <c r="AP36" s="110">
        <f t="shared" si="12"/>
        <v>0.36695325934031575</v>
      </c>
      <c r="AQ36" s="137" t="s">
        <v>331</v>
      </c>
      <c r="AR36" s="150">
        <v>7.61</v>
      </c>
      <c r="AS36" s="138">
        <v>8.49</v>
      </c>
      <c r="AT36" s="134"/>
      <c r="AU36" s="131">
        <v>8.6199999999999992</v>
      </c>
      <c r="AV36" s="139">
        <v>319.85000000000002</v>
      </c>
      <c r="AW36" s="131"/>
      <c r="AX36" s="116"/>
      <c r="AY36" s="131"/>
      <c r="AZ36" s="109">
        <f t="shared" si="34"/>
        <v>0</v>
      </c>
      <c r="BA36" s="598">
        <f t="shared" si="13"/>
        <v>188.05</v>
      </c>
      <c r="BB36" s="115">
        <f t="shared" si="28"/>
        <v>228.58015811614771</v>
      </c>
      <c r="BC36" s="140">
        <f t="shared" si="14"/>
        <v>9.5487746478873223</v>
      </c>
      <c r="BD36" s="141">
        <f t="shared" si="35"/>
        <v>7.5220000000000002</v>
      </c>
      <c r="BE36" s="128">
        <f t="shared" si="16"/>
        <v>0.71820603919865189</v>
      </c>
      <c r="BF36" s="141">
        <f t="shared" si="17"/>
        <v>17.070774647887323</v>
      </c>
      <c r="BG36" s="538">
        <v>0.91</v>
      </c>
      <c r="BH36" s="16">
        <f t="shared" si="29"/>
        <v>6244.1992000000018</v>
      </c>
      <c r="BI36" s="16">
        <f t="shared" si="18"/>
        <v>220</v>
      </c>
      <c r="BJ36" s="16">
        <f t="shared" si="30"/>
        <v>6600</v>
      </c>
      <c r="BK36" s="17">
        <f t="shared" si="19"/>
        <v>1</v>
      </c>
      <c r="BL36" s="16">
        <f t="shared" si="31"/>
        <v>6600</v>
      </c>
      <c r="BM36" s="254">
        <v>148.697</v>
      </c>
      <c r="BN36" s="197">
        <v>95.637</v>
      </c>
      <c r="BO36" s="197"/>
      <c r="BP36" s="197">
        <v>279.971</v>
      </c>
      <c r="BQ36" s="230"/>
      <c r="BR36" s="230"/>
      <c r="BS36" s="258"/>
      <c r="BT36" s="199"/>
      <c r="BU36" s="200">
        <v>1.33</v>
      </c>
      <c r="BV36" s="200"/>
      <c r="BW36" s="200"/>
      <c r="BX36" s="200">
        <v>1.1399999999999999</v>
      </c>
      <c r="BY36" s="208"/>
      <c r="BZ36" s="208">
        <v>1.33</v>
      </c>
      <c r="CA36" s="201"/>
      <c r="CB36" s="202">
        <v>36.369999999999997</v>
      </c>
      <c r="CC36" s="200">
        <v>43.45</v>
      </c>
      <c r="CD36" s="200"/>
      <c r="CE36" s="200">
        <v>37.369999999999997</v>
      </c>
      <c r="CF36" s="208"/>
      <c r="CG36" s="208">
        <v>36.369999999999997</v>
      </c>
      <c r="CH36" s="209"/>
      <c r="CI36" s="199"/>
      <c r="CJ36" s="197"/>
      <c r="CK36" s="197"/>
      <c r="CL36" s="230">
        <v>223.85</v>
      </c>
      <c r="CM36" s="198">
        <v>88</v>
      </c>
      <c r="CN36" s="202"/>
      <c r="CO36" s="208"/>
      <c r="CP36" s="208"/>
      <c r="CQ36" s="209"/>
      <c r="CR36" s="201"/>
      <c r="CT36" s="286">
        <f t="shared" si="20"/>
        <v>146.71932990000002</v>
      </c>
      <c r="CU36" s="27">
        <f t="shared" si="20"/>
        <v>95.637</v>
      </c>
      <c r="CV36" s="28">
        <f t="shared" si="20"/>
        <v>0</v>
      </c>
      <c r="CW36" s="27">
        <f t="shared" si="20"/>
        <v>276.77933060000004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223.85</v>
      </c>
      <c r="DD36" s="280">
        <f t="shared" si="21"/>
        <v>88</v>
      </c>
      <c r="DE36" s="508">
        <f t="shared" si="32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3"/>
        <v>0</v>
      </c>
    </row>
    <row r="37" spans="1:115" ht="16.5" customHeight="1" thickBot="1">
      <c r="A37" s="539">
        <v>31</v>
      </c>
      <c r="B37" s="568">
        <f>'[1]сентябрь 20'!K36</f>
        <v>0</v>
      </c>
      <c r="C37" s="541">
        <f t="shared" si="0"/>
        <v>0</v>
      </c>
      <c r="D37" s="542">
        <f t="shared" si="1"/>
        <v>0</v>
      </c>
      <c r="E37" s="541">
        <f t="shared" si="2"/>
        <v>0</v>
      </c>
      <c r="F37" s="505">
        <f t="shared" si="3"/>
        <v>0</v>
      </c>
      <c r="G37" s="543"/>
      <c r="H37" s="544">
        <f t="shared" si="4"/>
        <v>0</v>
      </c>
      <c r="I37" s="540">
        <f>'[1]сентябрь 20'!AE36</f>
        <v>0</v>
      </c>
      <c r="J37" s="573">
        <f>'[1]сентябрь 20'!AA36</f>
        <v>0</v>
      </c>
      <c r="K37" s="543"/>
      <c r="L37" s="567">
        <f>'[1]сентябрь 20'!AI36</f>
        <v>0</v>
      </c>
      <c r="M37" s="540">
        <f t="shared" si="5"/>
        <v>0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103">
        <f>'[1]сентябрь 20'!S36</f>
        <v>0</v>
      </c>
      <c r="S37" s="546">
        <f t="shared" si="6"/>
        <v>0</v>
      </c>
      <c r="T37" s="547">
        <f t="shared" si="7"/>
        <v>0</v>
      </c>
      <c r="U37" s="576"/>
      <c r="V37" s="547">
        <f t="shared" si="8"/>
        <v>0</v>
      </c>
      <c r="W37" s="549">
        <f t="shared" si="9"/>
        <v>0</v>
      </c>
      <c r="X37" s="227">
        <f t="shared" si="26"/>
        <v>0</v>
      </c>
      <c r="Y37" s="550"/>
      <c r="Z37" s="550"/>
      <c r="AA37" s="548"/>
      <c r="AB37" s="551"/>
      <c r="AC37" s="551"/>
      <c r="AD37" s="552"/>
      <c r="AE37" s="548"/>
      <c r="AF37" s="551"/>
      <c r="AG37" s="553"/>
      <c r="AH37" s="548"/>
      <c r="AI37" s="554">
        <f t="shared" si="10"/>
        <v>0</v>
      </c>
      <c r="AJ37" s="548"/>
      <c r="AK37" s="555">
        <f t="shared" si="11"/>
        <v>0</v>
      </c>
      <c r="AL37" s="556"/>
      <c r="AM37" s="548"/>
      <c r="AN37" s="550"/>
      <c r="AO37" s="557">
        <f t="shared" si="27"/>
        <v>0</v>
      </c>
      <c r="AP37" s="549">
        <f t="shared" si="12"/>
        <v>0</v>
      </c>
      <c r="AQ37" s="558"/>
      <c r="AR37" s="559"/>
      <c r="AS37" s="560"/>
      <c r="AT37" s="553"/>
      <c r="AU37" s="548"/>
      <c r="AV37" s="548"/>
      <c r="AW37" s="548"/>
      <c r="AX37" s="548"/>
      <c r="AY37" s="548"/>
      <c r="AZ37" s="547">
        <f t="shared" si="34"/>
        <v>0</v>
      </c>
      <c r="BA37" s="598">
        <f t="shared" si="13"/>
        <v>0</v>
      </c>
      <c r="BB37" s="554">
        <f t="shared" si="28"/>
        <v>0</v>
      </c>
      <c r="BC37" s="561">
        <f t="shared" si="14"/>
        <v>0</v>
      </c>
      <c r="BD37" s="555">
        <f t="shared" si="35"/>
        <v>0</v>
      </c>
      <c r="BE37" s="505">
        <f t="shared" si="16"/>
        <v>0</v>
      </c>
      <c r="BF37" s="555">
        <f t="shared" si="17"/>
        <v>0</v>
      </c>
      <c r="BG37" s="562"/>
      <c r="BH37" s="16">
        <f t="shared" si="29"/>
        <v>6244.1992000000018</v>
      </c>
      <c r="BI37" s="16">
        <f t="shared" si="18"/>
        <v>0</v>
      </c>
      <c r="BJ37" s="16">
        <f t="shared" si="30"/>
        <v>6600</v>
      </c>
      <c r="BK37" s="17">
        <f t="shared" si="19"/>
        <v>0</v>
      </c>
      <c r="BL37" s="16">
        <f t="shared" si="31"/>
        <v>6600</v>
      </c>
      <c r="BM37" s="256"/>
      <c r="BN37" s="257"/>
      <c r="BO37" s="257"/>
      <c r="BP37" s="257"/>
      <c r="BQ37" s="261"/>
      <c r="BR37" s="261"/>
      <c r="BS37" s="262"/>
      <c r="BT37" s="219"/>
      <c r="BU37" s="220"/>
      <c r="BV37" s="220"/>
      <c r="BW37" s="220"/>
      <c r="BX37" s="220"/>
      <c r="BY37" s="224"/>
      <c r="BZ37" s="224"/>
      <c r="CA37" s="221"/>
      <c r="CB37" s="222"/>
      <c r="CC37" s="220"/>
      <c r="CD37" s="220"/>
      <c r="CE37" s="220"/>
      <c r="CF37" s="224"/>
      <c r="CG37" s="224"/>
      <c r="CH37" s="221"/>
      <c r="CI37" s="219"/>
      <c r="CJ37" s="217"/>
      <c r="CK37" s="217"/>
      <c r="CL37" s="234"/>
      <c r="CM37" s="223"/>
      <c r="CN37" s="222"/>
      <c r="CO37" s="224"/>
      <c r="CP37" s="224"/>
      <c r="CQ37" s="218"/>
      <c r="CR37" s="221"/>
      <c r="CT37" s="287">
        <f t="shared" si="20"/>
        <v>0</v>
      </c>
      <c r="CU37" s="32">
        <f t="shared" si="20"/>
        <v>0</v>
      </c>
      <c r="CV37" s="30">
        <f t="shared" si="20"/>
        <v>0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0</v>
      </c>
      <c r="DD37" s="280">
        <f t="shared" si="21"/>
        <v>0</v>
      </c>
      <c r="DE37" s="563">
        <f t="shared" si="32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3"/>
        <v>0</v>
      </c>
    </row>
    <row r="38" spans="1:115" ht="16.5" customHeight="1" thickBot="1">
      <c r="A38" s="55" t="s">
        <v>58</v>
      </c>
      <c r="B38" s="574">
        <f>SUM(B7:B37)</f>
        <v>13982.993999999997</v>
      </c>
      <c r="C38" s="527"/>
      <c r="D38" s="327">
        <f>SUM(D7:D37)</f>
        <v>13809.684913310059</v>
      </c>
      <c r="E38" s="528"/>
      <c r="F38" s="340"/>
      <c r="G38" s="343">
        <f>SUM(G7:G37)</f>
        <v>0</v>
      </c>
      <c r="H38" s="340"/>
      <c r="I38" s="327">
        <f>SUM(I7:I37)</f>
        <v>0</v>
      </c>
      <c r="J38" s="574">
        <f>SUM(J7:J37)</f>
        <v>338.86399999999998</v>
      </c>
      <c r="K38" s="327">
        <f>SUM(K7:K37)</f>
        <v>572.08000000000004</v>
      </c>
      <c r="L38" s="529">
        <f>SUM(L7:L37)</f>
        <v>2734.3890000000001</v>
      </c>
      <c r="M38" s="575"/>
      <c r="N38" s="340">
        <f>SUM(N7:N37)</f>
        <v>0</v>
      </c>
      <c r="O38" s="529">
        <f>SUM(O7:O37)</f>
        <v>0</v>
      </c>
      <c r="P38" s="529">
        <f>SUM(P7:P37)</f>
        <v>0</v>
      </c>
      <c r="Q38" s="569"/>
      <c r="R38" s="327">
        <f>SUM(R7:R37)</f>
        <v>8671.5110000000004</v>
      </c>
      <c r="S38" s="340"/>
      <c r="T38" s="343">
        <f>SUM(T7:T37)</f>
        <v>8424.8000002999997</v>
      </c>
      <c r="U38" s="327">
        <f>SUM(U7:U37)</f>
        <v>582.7299999999999</v>
      </c>
      <c r="V38" s="343">
        <f>SUM(V7:V37)</f>
        <v>8424.8000002999997</v>
      </c>
      <c r="W38" s="346"/>
      <c r="X38" s="344"/>
      <c r="Y38" s="194">
        <f>SUM(Y7:Y37)</f>
        <v>6081.6904999999997</v>
      </c>
      <c r="Z38" s="194">
        <f>SUM(Z7:Z37)</f>
        <v>4684.5800000000008</v>
      </c>
      <c r="AA38" s="345"/>
      <c r="AB38" s="346"/>
      <c r="AC38" s="347"/>
      <c r="AD38" s="348"/>
      <c r="AE38" s="345"/>
      <c r="AF38" s="345"/>
      <c r="AG38" s="347">
        <f>SUM(AG7:AG37)</f>
        <v>148</v>
      </c>
      <c r="AH38" s="194">
        <f>SUM(AH7:AH37)</f>
        <v>106</v>
      </c>
      <c r="AI38" s="351"/>
      <c r="AJ38" s="194">
        <f>SUM(AJ7:AJ37)</f>
        <v>3800.6</v>
      </c>
      <c r="AK38" s="343"/>
      <c r="AL38" s="338">
        <f>SUM(AL7:AL37)</f>
        <v>987.09000000000015</v>
      </c>
      <c r="AM38" s="343">
        <f>SUM(AM7:AM37)</f>
        <v>0</v>
      </c>
      <c r="AN38" s="337">
        <f>SUM(AN7:AN37)</f>
        <v>398.30999999999995</v>
      </c>
      <c r="AO38" s="395">
        <f>SUM(AO7:AO37)</f>
        <v>1791.1407999999997</v>
      </c>
      <c r="AP38" s="530"/>
      <c r="AQ38" s="351"/>
      <c r="AR38" s="343"/>
      <c r="AS38" s="351"/>
      <c r="AT38" s="351"/>
      <c r="AU38" s="352"/>
      <c r="AV38" s="337">
        <f>SUM(AV7:AV37)</f>
        <v>8340.619999999999</v>
      </c>
      <c r="AW38" s="343">
        <f>SUM(AW7:AW37)</f>
        <v>93.029999999999987</v>
      </c>
      <c r="AX38" s="343">
        <f>SUM(AX7:AX36)</f>
        <v>0</v>
      </c>
      <c r="AY38" s="343">
        <f>SUM(AY7:AY37)</f>
        <v>0</v>
      </c>
      <c r="AZ38" s="340"/>
      <c r="BA38" s="598">
        <f t="shared" si="13"/>
        <v>6244.1992</v>
      </c>
      <c r="BB38" s="194">
        <f>SUM(BB7:BB37)</f>
        <v>5992.1740063191373</v>
      </c>
      <c r="BC38" s="351">
        <f>SUM(BC7:BC36)</f>
        <v>191.40890845070422</v>
      </c>
      <c r="BD38" s="351">
        <f>SUM(BD7:BD36)</f>
        <v>241.27400799999995</v>
      </c>
      <c r="BE38" s="340"/>
      <c r="BF38" s="351">
        <f>SUM(BF7:BF37)</f>
        <v>432.68291645070428</v>
      </c>
      <c r="BG38" s="353"/>
      <c r="BH38" s="16"/>
      <c r="BI38" s="16">
        <f t="shared" si="18"/>
        <v>0</v>
      </c>
      <c r="BJ38" s="16"/>
      <c r="BK38" s="17">
        <f>SUM(BK7:BK37)</f>
        <v>30</v>
      </c>
      <c r="BL38" s="33"/>
      <c r="BM38" s="228">
        <f t="shared" ref="BM38:BS38" si="36">SUM(BM7:BM37)</f>
        <v>8676.530999999999</v>
      </c>
      <c r="BN38" s="38">
        <f t="shared" si="36"/>
        <v>849.62899999999991</v>
      </c>
      <c r="BO38" s="38">
        <f t="shared" si="36"/>
        <v>1884.7599999999998</v>
      </c>
      <c r="BP38" s="38">
        <f t="shared" si="36"/>
        <v>1976.3270000999999</v>
      </c>
      <c r="BQ38" s="38">
        <f t="shared" si="36"/>
        <v>9.9999999999999995E-8</v>
      </c>
      <c r="BR38" s="38">
        <f t="shared" si="36"/>
        <v>595.74500000000012</v>
      </c>
      <c r="BS38" s="38">
        <f t="shared" si="36"/>
        <v>1.0000000000000001E-5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1121.0000000999999</v>
      </c>
      <c r="CL38" s="39">
        <f>SUM(CL7:CL37)</f>
        <v>7046.800000000002</v>
      </c>
      <c r="CM38" s="40">
        <f>SUM(CM7:CM37)</f>
        <v>257.00000009999997</v>
      </c>
      <c r="CN38" s="34"/>
      <c r="CO38" s="35"/>
      <c r="CP38" s="236"/>
      <c r="CQ38" s="36"/>
      <c r="CR38" s="36"/>
      <c r="CT38" s="189">
        <f t="shared" ref="CT38:DE38" si="37">SUM(CT7:CT37)</f>
        <v>8544.1553860999993</v>
      </c>
      <c r="CU38" s="190">
        <f t="shared" si="37"/>
        <v>849.6289999925109</v>
      </c>
      <c r="CV38" s="191">
        <f t="shared" si="37"/>
        <v>1884.7599999175468</v>
      </c>
      <c r="CW38" s="192">
        <f t="shared" si="37"/>
        <v>1953.9555574000001</v>
      </c>
      <c r="CX38" s="192">
        <f t="shared" si="37"/>
        <v>9.99999999E-8</v>
      </c>
      <c r="CY38" s="192">
        <f t="shared" si="37"/>
        <v>577.18296989999999</v>
      </c>
      <c r="CZ38" s="278">
        <f t="shared" si="37"/>
        <v>9.999999990000001E-6</v>
      </c>
      <c r="DA38" s="278">
        <f t="shared" si="37"/>
        <v>9.99999999E-8</v>
      </c>
      <c r="DB38" s="192">
        <f t="shared" si="37"/>
        <v>1121.0000000999999</v>
      </c>
      <c r="DC38" s="192">
        <f t="shared" si="37"/>
        <v>7046.7999997209317</v>
      </c>
      <c r="DD38" s="498">
        <f t="shared" si="37"/>
        <v>257.00000009999997</v>
      </c>
      <c r="DE38" s="564">
        <f t="shared" si="37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466.0997999999999</v>
      </c>
      <c r="C39" s="84">
        <f>(BM38*BU39+BN38*BV39+BP38*BX39+BS38*CA39+BO38*BW39+BR38*BZ39+BQ38*BY39)/B38</f>
        <v>1.2394275981949363</v>
      </c>
      <c r="D39" s="82"/>
      <c r="E39" s="354">
        <f>(BM38*CB39+BN38*CC39+BP38*CE39+BS38*CH39+BO38*CD39+BR38*CG39+BQ38*CF39)/B38</f>
        <v>37.736961052833188</v>
      </c>
      <c r="F39" s="355">
        <f>IF(BA38=0,0,D38/BA38)</f>
        <v>2.2116022360897869</v>
      </c>
      <c r="G39" s="354">
        <f>G38/AV2</f>
        <v>0</v>
      </c>
      <c r="H39" s="355">
        <f>IF(BA38=0,0,(CZ38+CW38+CY38+CT38+CX38)/BA38)</f>
        <v>1.7736932421214238</v>
      </c>
      <c r="I39" s="354">
        <f>I38/AV2</f>
        <v>0</v>
      </c>
      <c r="J39" s="572">
        <f>J38/AV2</f>
        <v>11.295466666666666</v>
      </c>
      <c r="K39" s="354">
        <f>K38/AV2</f>
        <v>19.069333333333336</v>
      </c>
      <c r="L39" s="354">
        <f>L38/AV2</f>
        <v>91.146300000000011</v>
      </c>
      <c r="M39" s="355">
        <f>IF($BA$38=0,0,(CV38+CU38)/$BA$38)</f>
        <v>0.43790867528858746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289.05036666666666</v>
      </c>
      <c r="S39" s="354">
        <f>(SUMPRODUCT(R7:R37,S7:S37))/R38</f>
        <v>2.8450750936024853</v>
      </c>
      <c r="T39" s="357"/>
      <c r="U39" s="354">
        <f>U38/AV2</f>
        <v>19.42433333333333</v>
      </c>
      <c r="V39" s="354">
        <f>V38/AV2:AV2</f>
        <v>280.82666667666666</v>
      </c>
      <c r="W39" s="358">
        <f>IF($BA$38=0,0,T38/$BA$38)</f>
        <v>1.3492202491393932</v>
      </c>
      <c r="X39" s="358">
        <f>Q39+W39</f>
        <v>1.3492202491393932</v>
      </c>
      <c r="Y39" s="354">
        <f>Y38/AV2</f>
        <v>202.72301666666667</v>
      </c>
      <c r="Z39" s="354">
        <f>Z38/AV2</f>
        <v>156.1526666666667</v>
      </c>
      <c r="AA39" s="354">
        <f>(SUMPRODUCT(AA7:AA37,BA7:BA37))/BA38</f>
        <v>0.8139478726111109</v>
      </c>
      <c r="AB39" s="359">
        <f>AVERAGE(AB7:AB37)</f>
        <v>646.86666666666667</v>
      </c>
      <c r="AC39" s="359">
        <f>AVERAGE(AC7:AC37)</f>
        <v>1216.0333333333333</v>
      </c>
      <c r="AD39" s="359"/>
      <c r="AE39" s="354">
        <f>(SUMPRODUCT(AE7:AE37,BA7:BA37))/BA38</f>
        <v>75.924889835032801</v>
      </c>
      <c r="AF39" s="360">
        <f>AVERAGE(AF7:AF37)</f>
        <v>155.43333333333334</v>
      </c>
      <c r="AG39" s="360">
        <f>AVERAGE(AG7:AG37)</f>
        <v>4.9333333333333336</v>
      </c>
      <c r="AH39" s="354">
        <f>AH38/AV2</f>
        <v>3.5333333333333332</v>
      </c>
      <c r="AI39" s="361">
        <f>IF(BA38=0,0,AH38/BA38*1000)</f>
        <v>16.97575567416235</v>
      </c>
      <c r="AJ39" s="361">
        <f>AJ38/AV2</f>
        <v>126.68666666666667</v>
      </c>
      <c r="AK39" s="361">
        <f>IF(BA38=0,0,AJ38/BA38*1000)</f>
        <v>608.66091523793796</v>
      </c>
      <c r="AL39" s="354">
        <f>AL38/AV2</f>
        <v>32.903000000000006</v>
      </c>
      <c r="AM39" s="359"/>
      <c r="AN39" s="354">
        <f>AN38/AV2</f>
        <v>13.276999999999997</v>
      </c>
      <c r="AO39" s="354">
        <f>AO38/AV2</f>
        <v>59.704693333333324</v>
      </c>
      <c r="AP39" s="346">
        <f>IF(AO39=0,0,AO39/AV39)</f>
        <v>0.21474911937002286</v>
      </c>
      <c r="AQ39" s="361">
        <f>SUM(AQ8:AQ38)</f>
        <v>0</v>
      </c>
      <c r="AR39" s="354">
        <f>AVERAGE(AR7:AR37)</f>
        <v>7.915</v>
      </c>
      <c r="AS39" s="354">
        <f>AVERAGE(AS7:AS37)</f>
        <v>7.7796666666666656</v>
      </c>
      <c r="AT39" s="362"/>
      <c r="AU39" s="354">
        <f>AVERAGE(AU7:AU37)</f>
        <v>6.4856666666666678</v>
      </c>
      <c r="AV39" s="363">
        <f>AV38/AV2</f>
        <v>278.02066666666661</v>
      </c>
      <c r="AW39" s="363">
        <f>AW38/AV2</f>
        <v>3.1009999999999995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208.13997333333333</v>
      </c>
      <c r="BB39" s="354">
        <f>BB38/AV2</f>
        <v>199.73913354397123</v>
      </c>
      <c r="BC39" s="362" t="e">
        <f>BC38/$AY$2</f>
        <v>#DIV/0!</v>
      </c>
      <c r="BD39" s="362" t="e">
        <f>BD38/$AY$2</f>
        <v>#DIV/0!</v>
      </c>
      <c r="BE39" s="355">
        <f>(BA38*AE39)/(D38*E39)</f>
        <v>0.90972520277217617</v>
      </c>
      <c r="BF39" s="354">
        <f>BF38/AV2</f>
        <v>14.422763881690143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1.5256744187279456</v>
      </c>
      <c r="BV39" s="42">
        <f t="shared" ref="BV39:CA39" si="38">(SUMPRODUCT(BN7:BN37,BV7:BV37))/BN38</f>
        <v>8.8144354771317834E-10</v>
      </c>
      <c r="BW39" s="42">
        <f t="shared" si="38"/>
        <v>4.3747214499458825E-9</v>
      </c>
      <c r="BX39" s="42">
        <f>(SUMPRODUCT(BP7:BP37,BX7:BX37))/BP38</f>
        <v>1.1319707011475344</v>
      </c>
      <c r="BY39" s="42">
        <f t="shared" si="38"/>
        <v>9.9999999999999982E-8</v>
      </c>
      <c r="BZ39" s="46">
        <f t="shared" si="38"/>
        <v>3.1157676690530338</v>
      </c>
      <c r="CA39" s="240">
        <f t="shared" si="38"/>
        <v>9.9999999999999995E-8</v>
      </c>
      <c r="CB39" s="41">
        <f t="shared" ref="CB39:CH39" si="39">(SUMPRODUCT(BM7:BM37,CB7:CB37))/BM38</f>
        <v>36.440835019202957</v>
      </c>
      <c r="CC39" s="42">
        <f t="shared" si="39"/>
        <v>43.344815901999581</v>
      </c>
      <c r="CD39" s="42">
        <f t="shared" si="39"/>
        <v>43.161520469449684</v>
      </c>
      <c r="CE39" s="42">
        <f t="shared" si="39"/>
        <v>37.42452034317072</v>
      </c>
      <c r="CF39" s="42">
        <f t="shared" si="39"/>
        <v>9.9999999999999982E-8</v>
      </c>
      <c r="CG39" s="46">
        <f t="shared" si="39"/>
        <v>32.491175486155974</v>
      </c>
      <c r="CH39" s="240">
        <f t="shared" si="39"/>
        <v>9.9999999999999995E-8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8.9206066004531124E-18</v>
      </c>
      <c r="CP39" s="46">
        <f>(SUMPRODUCT(CL7:CL37,CP7:CP37))/CL38</f>
        <v>3.9602372708179588E-9</v>
      </c>
      <c r="CQ39" s="44">
        <f>(SUMPRODUCT(CM7:CM37,CQ7:CQ37))/CM38</f>
        <v>3.8910505821435599E-17</v>
      </c>
      <c r="CR39" s="44" t="e">
        <f>(SUMPRODUCT(O7:O37,CR7:CR37))/O38</f>
        <v>#DIV/0!</v>
      </c>
      <c r="CT39" s="667">
        <f>CT38+CU38</f>
        <v>9393.7843860925095</v>
      </c>
      <c r="CU39" s="667"/>
      <c r="CV39" s="668">
        <f>CV38+CW38+CZ38+CY38+CX38</f>
        <v>4415.8985373175465</v>
      </c>
      <c r="CW39" s="668"/>
      <c r="CX39" s="668"/>
      <c r="CY39" s="668"/>
      <c r="CZ39" s="668"/>
      <c r="DA39" s="669">
        <f>DA38+DB38+DD38+DC38</f>
        <v>8424.8000000209322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38</v>
      </c>
      <c r="F40" s="366">
        <v>2.12</v>
      </c>
      <c r="G40" s="366"/>
      <c r="H40" s="366">
        <v>1.484</v>
      </c>
      <c r="I40" s="366"/>
      <c r="J40" s="570"/>
      <c r="K40" s="366"/>
      <c r="L40" s="366"/>
      <c r="M40" s="366">
        <v>0.63600000000000001</v>
      </c>
      <c r="N40" s="365"/>
      <c r="O40" s="366"/>
      <c r="P40" s="366"/>
      <c r="Q40" s="366"/>
      <c r="R40" s="367"/>
      <c r="S40" s="368"/>
      <c r="T40" s="367"/>
      <c r="U40" s="450">
        <v>14.057960400000001</v>
      </c>
      <c r="V40" s="367"/>
      <c r="W40" s="369">
        <v>1.32</v>
      </c>
      <c r="X40" s="484"/>
      <c r="Y40" s="370">
        <v>6600</v>
      </c>
      <c r="Z40" s="370">
        <v>6600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720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6600</v>
      </c>
      <c r="AW40" s="379">
        <v>79.2</v>
      </c>
      <c r="AX40" s="380"/>
      <c r="AY40" s="381"/>
      <c r="AZ40" s="382"/>
      <c r="BA40" s="365">
        <v>220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13809.682923410055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9.1602236089786793E-2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2.8450750936024853</v>
      </c>
      <c r="T41" s="386"/>
      <c r="U41" s="388"/>
      <c r="V41" s="388"/>
      <c r="W41" s="385">
        <f>W39-W40</f>
        <v>2.922024913939314E-2</v>
      </c>
      <c r="X41" s="385"/>
      <c r="Y41" s="385"/>
      <c r="Z41" s="385"/>
      <c r="AA41" s="385"/>
      <c r="AB41" s="385"/>
      <c r="AC41" s="389">
        <f>AC39-AC40</f>
        <v>-33.966666666666697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1740.619999999999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220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30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0.21474911937002283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W44">
        <v>13809.683000000001</v>
      </c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56.355540540540531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29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227.58620689655172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-355.80079999999816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-5.3909212121211842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'[4]сентябрь 20'!$G$38</f>
        <v>1791.1407999999997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'[4]сентябрь 20'!$C$38</f>
        <v>1791.14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-7.9999999957180989E-4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338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Q88"/>
  <sheetViews>
    <sheetView showZeros="0" zoomScale="92" zoomScaleNormal="92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K36" sqref="K36"/>
    </sheetView>
  </sheetViews>
  <sheetFormatPr defaultRowHeight="12.75"/>
  <cols>
    <col min="1" max="1" width="4.7109375" customWidth="1"/>
    <col min="2" max="2" width="9.710937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7.42578125" customWidth="1"/>
    <col min="11" max="11" width="8.140625" customWidth="1"/>
    <col min="12" max="12" width="8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7.710937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.5703125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9.140625" hidden="1" customWidth="1"/>
    <col min="47" max="47" width="6.140625" customWidth="1"/>
    <col min="48" max="48" width="8.7109375" customWidth="1"/>
    <col min="49" max="49" width="6.5703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21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21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422</v>
      </c>
      <c r="BB2" s="526"/>
      <c r="BC2" s="526"/>
      <c r="BD2" s="526"/>
      <c r="BE2" s="526" t="s">
        <v>107</v>
      </c>
      <c r="BF2" s="324"/>
      <c r="BG2" s="49"/>
      <c r="BO2" s="2"/>
    </row>
    <row r="3" spans="1:121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21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21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21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99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433" t="s">
        <v>384</v>
      </c>
      <c r="BN6" s="523" t="s">
        <v>420</v>
      </c>
      <c r="BO6" s="435" t="s">
        <v>81</v>
      </c>
      <c r="BP6" s="436" t="s">
        <v>99</v>
      </c>
      <c r="BQ6" s="435" t="s">
        <v>296</v>
      </c>
      <c r="BR6" s="437" t="s">
        <v>147</v>
      </c>
      <c r="BS6" s="438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389</v>
      </c>
      <c r="CD6" s="232" t="s">
        <v>81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612" t="s">
        <v>108</v>
      </c>
      <c r="CK6" s="613" t="s">
        <v>84</v>
      </c>
      <c r="CL6" s="525" t="s">
        <v>106</v>
      </c>
      <c r="CM6" s="614" t="s">
        <v>440</v>
      </c>
      <c r="CN6" s="312" t="s">
        <v>108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391</v>
      </c>
      <c r="CV6" s="51" t="s">
        <v>81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108</v>
      </c>
      <c r="DB6" s="273" t="s">
        <v>93</v>
      </c>
      <c r="DC6" s="229" t="s">
        <v>106</v>
      </c>
      <c r="DD6" s="229" t="s">
        <v>441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21" ht="16.5" customHeight="1" thickBot="1">
      <c r="A7" s="532">
        <v>1</v>
      </c>
      <c r="B7" s="103">
        <f>BM7+BN7+BO7+BP7+BQ7+BR7+BS7</f>
        <v>442.45601020000004</v>
      </c>
      <c r="C7" s="104">
        <f t="shared" ref="C7:C37" si="0">IF(B7=0,0,(BM7*BU7+BN7*BV7+BP7*BX7+BS7*CA7+BO7*BW7+BR7*BZ7+BQ7*BY7)/B7)</f>
        <v>1.1515172971972911</v>
      </c>
      <c r="D7" s="447">
        <f t="shared" ref="D7:D37" si="1">B7*((100-C7)/100)</f>
        <v>437.361052710058</v>
      </c>
      <c r="E7" s="104">
        <f t="shared" ref="E7:E37" si="2">IF(B7=0,0,(BM7*CB7+BN7*CC7+BP7*CE7+BS7*CH7+BO7*CD7+BR7*CG7+BQ7*CF7)/B7)</f>
        <v>37.579877584856462</v>
      </c>
      <c r="F7" s="103">
        <f t="shared" ref="F7:F37" si="3">IF(BA7=0,0,D7/BA7)</f>
        <v>1.9064228839504829</v>
      </c>
      <c r="G7" s="106"/>
      <c r="H7" s="107">
        <f t="shared" ref="H7:H37" si="4">IF(BA7=0,0,(CZ7+CW7+CY7+CT7+CX7)/BA7)</f>
        <v>1.51437268655643</v>
      </c>
      <c r="I7" s="103">
        <f>'[1]сентябрь 20'!AE6</f>
        <v>0</v>
      </c>
      <c r="J7" s="328">
        <f>'[1]сентябрь 20'!AA6</f>
        <v>4.577</v>
      </c>
      <c r="K7" s="106">
        <v>30.72</v>
      </c>
      <c r="L7" s="328">
        <f>'[1]сентябрь 20'!AI6</f>
        <v>89.941999999999993</v>
      </c>
      <c r="M7" s="103">
        <f t="shared" ref="M7:M37" si="5">IF(BA7=0,0,(CV7+CU7)/BA7)</f>
        <v>0.39205019695816096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'[1]сентябрь 20'!S6</f>
        <v>288.27600000000001</v>
      </c>
      <c r="S7" s="108">
        <f t="shared" ref="S7:S37" si="6">IF(R7=0,0,(1-(V7/R7))*100)</f>
        <v>3.193467267479777</v>
      </c>
      <c r="T7" s="109">
        <f t="shared" ref="T7:T37" si="7">R7*((100-S7)/100)</f>
        <v>279.0700003</v>
      </c>
      <c r="U7" s="106">
        <v>46.95</v>
      </c>
      <c r="V7" s="109">
        <f t="shared" ref="V7:V37" si="8">CJ7+CK7+CM7+CL7</f>
        <v>279.0700003</v>
      </c>
      <c r="W7" s="110">
        <f t="shared" ref="W7:W37" si="9">IF(BA7=0,0,T7/BA7)</f>
        <v>1.2164444719056555</v>
      </c>
      <c r="X7" s="110">
        <f>Q7+W7</f>
        <v>1.2164444719056555</v>
      </c>
      <c r="Y7" s="136">
        <v>229.41449999999998</v>
      </c>
      <c r="Z7" s="111">
        <v>190.96</v>
      </c>
      <c r="AA7" s="106">
        <v>0.79</v>
      </c>
      <c r="AB7" s="112">
        <v>594</v>
      </c>
      <c r="AC7" s="238">
        <v>1224</v>
      </c>
      <c r="AD7" s="113" t="s">
        <v>221</v>
      </c>
      <c r="AE7" s="106">
        <v>76.19</v>
      </c>
      <c r="AF7" s="112">
        <v>150</v>
      </c>
      <c r="AG7" s="114">
        <v>5</v>
      </c>
      <c r="AH7" s="106">
        <v>4.9000000000000004</v>
      </c>
      <c r="AI7" s="115">
        <f t="shared" ref="AI7:AI37" si="10">IF(BA7=0,0,AH7/BA7*1000)</f>
        <v>21.358719697316431</v>
      </c>
      <c r="AJ7" s="106">
        <v>134.5</v>
      </c>
      <c r="AK7" s="115">
        <f t="shared" ref="AK7:AK37" si="11">IF(BA7=0,0,AJ7/BA7*1000)</f>
        <v>586.27506107939996</v>
      </c>
      <c r="AL7" s="106">
        <v>25.02</v>
      </c>
      <c r="AM7" s="116"/>
      <c r="AN7" s="117">
        <v>12.02</v>
      </c>
      <c r="AO7" s="466">
        <f>AV7*0.19</f>
        <v>54.9955</v>
      </c>
      <c r="AP7" s="110">
        <f t="shared" ref="AP7:AP37" si="12">IF(AO7=0,0,AO7/AV7)</f>
        <v>0.19</v>
      </c>
      <c r="AQ7" s="119" t="s">
        <v>128</v>
      </c>
      <c r="AR7" s="403">
        <v>8.5</v>
      </c>
      <c r="AS7" s="120">
        <v>8.07</v>
      </c>
      <c r="AT7" s="106"/>
      <c r="AU7" s="106">
        <v>7.96</v>
      </c>
      <c r="AV7" s="314">
        <v>289.45</v>
      </c>
      <c r="AW7" s="121">
        <v>6.98</v>
      </c>
      <c r="AX7" s="122"/>
      <c r="AY7" s="123"/>
      <c r="AZ7" s="124"/>
      <c r="BA7" s="598">
        <f t="shared" ref="BA7:BA38" si="13">AV7-AO7-AN7+AY7+AW7</f>
        <v>229.41449999999998</v>
      </c>
      <c r="BB7" s="115">
        <f>IF(AE7=0,0,((D7*0.97)*(E7/100)*0.9)/(AE7/100))</f>
        <v>188.32663103992635</v>
      </c>
      <c r="BC7" s="125">
        <f t="shared" ref="BC7:BC37" si="14">(AJ7*AU7)/100*(55/71)</f>
        <v>8.2935352112676046</v>
      </c>
      <c r="BD7" s="115">
        <f t="shared" ref="BD7:BD23" si="15">BA7*$BD$6</f>
        <v>9.1765799999999995</v>
      </c>
      <c r="BE7" s="103">
        <f t="shared" ref="BE7:BE37" si="16">IF((D7*E7)=0,0,(BA7*AE7)/(D7*E7))</f>
        <v>1.0634654132242174</v>
      </c>
      <c r="BF7" s="115">
        <f t="shared" ref="BF7:BF37" si="17">BC7+BD7</f>
        <v>17.470115211267604</v>
      </c>
      <c r="BG7" s="533">
        <v>1.0629999999999999</v>
      </c>
      <c r="BH7" s="16">
        <f>BA7</f>
        <v>229.41449999999998</v>
      </c>
      <c r="BI7" s="16">
        <f t="shared" ref="BI7:BI38" si="18">IF(A7&lt;=$BG$43,$AV$43,0)</f>
        <v>220</v>
      </c>
      <c r="BJ7" s="16">
        <f>BI7</f>
        <v>220</v>
      </c>
      <c r="BK7" s="17">
        <f t="shared" ref="BK7:BK37" si="19">IF(BA7&lt;&gt;0,1,0)</f>
        <v>1</v>
      </c>
      <c r="BL7" s="16">
        <f>BI7*BK7</f>
        <v>220</v>
      </c>
      <c r="BM7" s="439">
        <f>DN7</f>
        <v>322.51000000000005</v>
      </c>
      <c r="BN7" s="601">
        <v>7.4889999999999999</v>
      </c>
      <c r="BO7" s="601">
        <v>82.453000000000003</v>
      </c>
      <c r="BP7" s="601">
        <v>9.9999999999999995E-8</v>
      </c>
      <c r="BQ7" s="601">
        <v>9.9999999999999995E-8</v>
      </c>
      <c r="BR7" s="601">
        <v>30.004000000000001</v>
      </c>
      <c r="BS7" s="602">
        <v>1.0000000000000001E-5</v>
      </c>
      <c r="BT7" s="432">
        <v>9.9999999999999995E-8</v>
      </c>
      <c r="BU7" s="336">
        <v>1.43</v>
      </c>
      <c r="BV7" s="336">
        <v>9.9999999999999995E-8</v>
      </c>
      <c r="BW7" s="336">
        <v>9.9999999999999995E-8</v>
      </c>
      <c r="BX7" s="336">
        <v>9.9999999999999995E-8</v>
      </c>
      <c r="BY7" s="336">
        <v>9.9999999999999995E-8</v>
      </c>
      <c r="BZ7" s="336">
        <v>1.61</v>
      </c>
      <c r="CA7" s="336">
        <v>9.9999999999999995E-8</v>
      </c>
      <c r="CB7" s="336">
        <v>36.299999999999997</v>
      </c>
      <c r="CC7" s="336">
        <v>43.47</v>
      </c>
      <c r="CD7" s="336">
        <v>43.19</v>
      </c>
      <c r="CE7" s="336">
        <v>9.9999999999999995E-8</v>
      </c>
      <c r="CF7" s="336">
        <v>9.9999999999999995E-8</v>
      </c>
      <c r="CG7" s="336">
        <v>34.450000000000003</v>
      </c>
      <c r="CH7" s="336">
        <v>9.9999999999999995E-8</v>
      </c>
      <c r="CI7" s="518">
        <v>9.9999999999999995E-8</v>
      </c>
      <c r="CJ7" s="336">
        <v>9.9999999999999995E-8</v>
      </c>
      <c r="CK7" s="336">
        <v>9.9999999999999995E-8</v>
      </c>
      <c r="CL7" s="336">
        <v>279.07</v>
      </c>
      <c r="CM7" s="336">
        <v>9.9999999999999995E-8</v>
      </c>
      <c r="CN7" s="432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317.89810700000004</v>
      </c>
      <c r="CU7" s="22">
        <f t="shared" si="20"/>
        <v>7.4889999925110002</v>
      </c>
      <c r="CV7" s="591">
        <f t="shared" si="20"/>
        <v>82.452999917547004</v>
      </c>
      <c r="CW7" s="595"/>
      <c r="CX7" s="28">
        <f t="shared" si="20"/>
        <v>9.99999999E-8</v>
      </c>
      <c r="CY7" s="276">
        <f t="shared" si="20"/>
        <v>29.520935600000001</v>
      </c>
      <c r="CZ7" s="279">
        <f t="shared" si="20"/>
        <v>9.999999990000001E-6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279.06999972093001</v>
      </c>
      <c r="DD7" s="279">
        <f t="shared" si="21"/>
        <v>9.99999999E-8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336">
        <v>329.91</v>
      </c>
      <c r="DN7" s="247">
        <f>DM7-7.4</f>
        <v>322.51000000000005</v>
      </c>
      <c r="DP7" s="336">
        <v>279.07</v>
      </c>
      <c r="DQ7" s="247">
        <f>DP7+31.17</f>
        <v>310.24</v>
      </c>
    </row>
    <row r="8" spans="1:121" ht="16.5" customHeight="1" thickBot="1">
      <c r="A8" s="534">
        <v>2</v>
      </c>
      <c r="B8" s="103">
        <f t="shared" ref="B8:B36" si="24">BM8+BN8+BO8+BP8+BQ8+BR8+BS8</f>
        <v>463.70300000000003</v>
      </c>
      <c r="C8" s="104">
        <f t="shared" si="0"/>
        <v>0.4390156630429391</v>
      </c>
      <c r="D8" s="447">
        <f t="shared" si="1"/>
        <v>461.66727120000002</v>
      </c>
      <c r="E8" s="104">
        <f t="shared" si="2"/>
        <v>37.922972333584205</v>
      </c>
      <c r="F8" s="128">
        <f t="shared" si="3"/>
        <v>2.1628267774782097</v>
      </c>
      <c r="G8" s="106"/>
      <c r="H8" s="107">
        <f t="shared" si="4"/>
        <v>1.721465463293286</v>
      </c>
      <c r="I8" s="103">
        <f>'[1]сентябрь 20'!AE7</f>
        <v>0</v>
      </c>
      <c r="J8" s="328">
        <f>'[1]сентябрь 20'!AA7</f>
        <v>6.9349999999999996</v>
      </c>
      <c r="K8" s="106">
        <v>28.52</v>
      </c>
      <c r="L8" s="328">
        <f>'[1]сентябрь 20'!AI7</f>
        <v>94.210999999999999</v>
      </c>
      <c r="M8" s="103">
        <f t="shared" si="5"/>
        <v>0.44136131418492375</v>
      </c>
      <c r="N8" s="103">
        <f>'[1]август 20'!W7</f>
        <v>0</v>
      </c>
      <c r="O8" s="103">
        <f>'[1]сентябрь 20'!AM7</f>
        <v>0</v>
      </c>
      <c r="P8" s="447">
        <f t="shared" ref="P8:P37" si="25">O8*((100-CR8)/100)</f>
        <v>0</v>
      </c>
      <c r="Q8" s="103">
        <f t="shared" ref="Q8:Q37" si="26">IF(O8=0,0,P8/BA8)</f>
        <v>0</v>
      </c>
      <c r="R8" s="103">
        <f>'[1]сентябрь 20'!S7</f>
        <v>301.74400000000003</v>
      </c>
      <c r="S8" s="108">
        <f t="shared" si="6"/>
        <v>2.9541598175937378</v>
      </c>
      <c r="T8" s="109">
        <f t="shared" si="7"/>
        <v>292.83</v>
      </c>
      <c r="U8" s="106">
        <v>17.260000000000002</v>
      </c>
      <c r="V8" s="109">
        <f t="shared" si="8"/>
        <v>292.83</v>
      </c>
      <c r="W8" s="110">
        <f t="shared" si="9"/>
        <v>1.3718550236466147</v>
      </c>
      <c r="X8" s="110">
        <f t="shared" ref="X8:X37" si="27">Q8+W8</f>
        <v>1.3718550236466147</v>
      </c>
      <c r="Y8" s="136">
        <v>213.45550000000003</v>
      </c>
      <c r="Z8" s="130">
        <v>169.8</v>
      </c>
      <c r="AA8" s="131">
        <v>0.87</v>
      </c>
      <c r="AB8" s="112">
        <v>627</v>
      </c>
      <c r="AC8" s="112">
        <v>1218</v>
      </c>
      <c r="AD8" s="132" t="s">
        <v>207</v>
      </c>
      <c r="AE8" s="131">
        <v>76.260000000000005</v>
      </c>
      <c r="AF8" s="133">
        <v>157</v>
      </c>
      <c r="AG8" s="134">
        <v>5</v>
      </c>
      <c r="AH8" s="131">
        <v>2.5</v>
      </c>
      <c r="AI8" s="115">
        <f t="shared" si="10"/>
        <v>11.712043025361256</v>
      </c>
      <c r="AJ8" s="131">
        <v>117.3</v>
      </c>
      <c r="AK8" s="115">
        <f t="shared" si="11"/>
        <v>549.5290587499502</v>
      </c>
      <c r="AL8" s="131">
        <v>31.31</v>
      </c>
      <c r="AM8" s="116"/>
      <c r="AN8" s="135">
        <v>9.9499999999999993</v>
      </c>
      <c r="AO8" s="466">
        <f t="shared" ref="AO8:AO37" si="28">AV8*0.19</f>
        <v>51.974500000000006</v>
      </c>
      <c r="AP8" s="110">
        <f t="shared" si="12"/>
        <v>0.19</v>
      </c>
      <c r="AQ8" s="137" t="s">
        <v>148</v>
      </c>
      <c r="AR8" s="150">
        <v>9.07</v>
      </c>
      <c r="AS8" s="138">
        <v>7.59</v>
      </c>
      <c r="AT8" s="131"/>
      <c r="AU8" s="131">
        <v>5.47</v>
      </c>
      <c r="AV8" s="315">
        <v>273.55</v>
      </c>
      <c r="AW8" s="131">
        <v>1.83</v>
      </c>
      <c r="AX8" s="116"/>
      <c r="AY8" s="131"/>
      <c r="AZ8" s="109"/>
      <c r="BA8" s="598">
        <f t="shared" si="13"/>
        <v>213.45550000000003</v>
      </c>
      <c r="BB8" s="115">
        <f t="shared" ref="BB8:BB37" si="29">IF(AE8=0,0,((D8*0.97)*(E8/100)*0.9)/(AE8/100))</f>
        <v>200.42361878577202</v>
      </c>
      <c r="BC8" s="140">
        <f t="shared" si="14"/>
        <v>4.9703809859154919</v>
      </c>
      <c r="BD8" s="141">
        <f t="shared" si="15"/>
        <v>8.5382200000000008</v>
      </c>
      <c r="BE8" s="128">
        <f t="shared" si="16"/>
        <v>0.92976393016424608</v>
      </c>
      <c r="BF8" s="141">
        <f t="shared" si="17"/>
        <v>13.508600985915493</v>
      </c>
      <c r="BG8" s="535">
        <v>0.995</v>
      </c>
      <c r="BH8" s="16">
        <f t="shared" ref="BH8:BH37" si="30">BH7+BA8</f>
        <v>442.87</v>
      </c>
      <c r="BI8" s="16">
        <f t="shared" si="18"/>
        <v>220</v>
      </c>
      <c r="BJ8" s="16">
        <f t="shared" ref="BJ8:BJ37" si="31">BI8+BJ7</f>
        <v>440</v>
      </c>
      <c r="BK8" s="17">
        <f t="shared" si="19"/>
        <v>1</v>
      </c>
      <c r="BL8" s="16">
        <f t="shared" ref="BL8:BL37" si="32">BL7+BI8*BK8</f>
        <v>440</v>
      </c>
      <c r="BM8" s="441">
        <f t="shared" ref="BM8:BM35" si="33">DN8</f>
        <v>338.084</v>
      </c>
      <c r="BN8" s="266">
        <v>7.798</v>
      </c>
      <c r="BO8" s="266">
        <v>86.412999999999997</v>
      </c>
      <c r="BP8" s="266"/>
      <c r="BQ8" s="266"/>
      <c r="BR8" s="266">
        <v>31.408000000000001</v>
      </c>
      <c r="BS8" s="603"/>
      <c r="BT8" s="199"/>
      <c r="BU8" s="200">
        <v>0.46</v>
      </c>
      <c r="BV8" s="200"/>
      <c r="BW8" s="200"/>
      <c r="BX8" s="200"/>
      <c r="BY8" s="208"/>
      <c r="BZ8" s="208">
        <v>1.53</v>
      </c>
      <c r="CA8" s="198"/>
      <c r="CB8" s="202">
        <v>36.76</v>
      </c>
      <c r="CC8" s="200">
        <v>43.27</v>
      </c>
      <c r="CD8" s="200">
        <v>43.38</v>
      </c>
      <c r="CE8" s="200"/>
      <c r="CF8" s="197"/>
      <c r="CG8" s="197">
        <v>34.1</v>
      </c>
      <c r="CH8" s="197"/>
      <c r="CI8" s="203"/>
      <c r="CJ8" s="204"/>
      <c r="CK8" s="197"/>
      <c r="CL8" s="197">
        <v>292.83</v>
      </c>
      <c r="CM8" s="198"/>
      <c r="CN8" s="611"/>
      <c r="CO8" s="206"/>
      <c r="CP8" s="269"/>
      <c r="CQ8" s="207"/>
      <c r="CR8" s="207"/>
      <c r="CS8" s="284"/>
      <c r="CT8" s="286">
        <f t="shared" si="20"/>
        <v>336.52881360000003</v>
      </c>
      <c r="CU8" s="24">
        <f t="shared" si="20"/>
        <v>7.798</v>
      </c>
      <c r="CV8" s="592">
        <f t="shared" si="20"/>
        <v>86.412999999999997</v>
      </c>
      <c r="CW8" s="596"/>
      <c r="CX8" s="28">
        <f t="shared" si="20"/>
        <v>0</v>
      </c>
      <c r="CY8" s="237">
        <f t="shared" si="20"/>
        <v>30.9274576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292.83</v>
      </c>
      <c r="DD8" s="280">
        <f t="shared" si="21"/>
        <v>0</v>
      </c>
      <c r="DE8" s="508">
        <f t="shared" ref="DE8:DE37" si="34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5">IF(I8=0,0,(DJ8*DI8%)/(AE8/100))</f>
        <v>0</v>
      </c>
      <c r="DM8" s="249">
        <v>345.48399999999998</v>
      </c>
      <c r="DN8" s="247">
        <f t="shared" ref="DN8:DN36" si="36">DM8-7.4</f>
        <v>338.084</v>
      </c>
      <c r="DP8" s="197">
        <v>292.83</v>
      </c>
      <c r="DQ8" s="247">
        <f t="shared" ref="DQ8:DQ35" si="37">DP8+31.17</f>
        <v>324</v>
      </c>
    </row>
    <row r="9" spans="1:121" ht="16.5" customHeight="1" thickBot="1">
      <c r="A9" s="534">
        <v>3</v>
      </c>
      <c r="B9" s="103">
        <f t="shared" si="24"/>
        <v>469.63400000000001</v>
      </c>
      <c r="C9" s="104">
        <f t="shared" si="0"/>
        <v>0.61367890740448949</v>
      </c>
      <c r="D9" s="448">
        <f t="shared" si="1"/>
        <v>466.7519552</v>
      </c>
      <c r="E9" s="104">
        <f t="shared" si="2"/>
        <v>37.357297512531041</v>
      </c>
      <c r="F9" s="128">
        <f t="shared" si="3"/>
        <v>2.0430313126339126</v>
      </c>
      <c r="G9" s="106"/>
      <c r="H9" s="107">
        <f t="shared" si="4"/>
        <v>1.6252129151428802</v>
      </c>
      <c r="I9" s="103">
        <f>'[1]сентябрь 20'!AE8</f>
        <v>0</v>
      </c>
      <c r="J9" s="328">
        <f>'[1]сентябрь 20'!AA8</f>
        <v>8.4619999999999997</v>
      </c>
      <c r="K9" s="106"/>
      <c r="L9" s="328">
        <f>'[1]сентябрь 20'!AI8</f>
        <v>95.454999999999998</v>
      </c>
      <c r="M9" s="103">
        <f t="shared" si="5"/>
        <v>0.41781839749103233</v>
      </c>
      <c r="N9" s="103">
        <f>'[1]август 20'!W8</f>
        <v>0</v>
      </c>
      <c r="O9" s="103">
        <f>'[1]сентябрь 20'!AM8</f>
        <v>0</v>
      </c>
      <c r="P9" s="447">
        <f t="shared" si="25"/>
        <v>0</v>
      </c>
      <c r="Q9" s="103">
        <f t="shared" si="26"/>
        <v>0</v>
      </c>
      <c r="R9" s="103">
        <f>'[1]сентябрь 20'!S8</f>
        <v>303.63900000000001</v>
      </c>
      <c r="S9" s="108">
        <f t="shared" si="6"/>
        <v>2.9735969358349879</v>
      </c>
      <c r="T9" s="109">
        <f t="shared" si="7"/>
        <v>294.61</v>
      </c>
      <c r="U9" s="106">
        <v>16.57</v>
      </c>
      <c r="V9" s="109">
        <f t="shared" si="8"/>
        <v>294.61</v>
      </c>
      <c r="W9" s="110">
        <f t="shared" si="9"/>
        <v>1.2895445821050027</v>
      </c>
      <c r="X9" s="110">
        <f t="shared" si="27"/>
        <v>1.2895445821050027</v>
      </c>
      <c r="Y9" s="136">
        <v>228.46050000000002</v>
      </c>
      <c r="Z9" s="130">
        <v>177.03</v>
      </c>
      <c r="AA9" s="131">
        <v>0.78</v>
      </c>
      <c r="AB9" s="112">
        <v>663</v>
      </c>
      <c r="AC9" s="112">
        <v>1229</v>
      </c>
      <c r="AD9" s="144" t="s">
        <v>426</v>
      </c>
      <c r="AE9" s="131">
        <v>76.239999999999995</v>
      </c>
      <c r="AF9" s="133">
        <v>159</v>
      </c>
      <c r="AG9" s="134">
        <v>5</v>
      </c>
      <c r="AH9" s="131"/>
      <c r="AI9" s="115">
        <f t="shared" si="10"/>
        <v>0</v>
      </c>
      <c r="AJ9" s="131">
        <v>127.55</v>
      </c>
      <c r="AK9" s="115">
        <f t="shared" si="11"/>
        <v>558.30220103694057</v>
      </c>
      <c r="AL9" s="131">
        <v>24.59</v>
      </c>
      <c r="AM9" s="116"/>
      <c r="AN9" s="135">
        <v>9.4499999999999993</v>
      </c>
      <c r="AO9" s="466">
        <f t="shared" si="28"/>
        <v>55.299500000000002</v>
      </c>
      <c r="AP9" s="110">
        <f t="shared" si="12"/>
        <v>0.19</v>
      </c>
      <c r="AQ9" s="137" t="s">
        <v>427</v>
      </c>
      <c r="AR9" s="150">
        <v>8.67</v>
      </c>
      <c r="AS9" s="131">
        <v>7.62</v>
      </c>
      <c r="AT9" s="131"/>
      <c r="AU9" s="131">
        <v>6.11</v>
      </c>
      <c r="AV9" s="315">
        <v>291.05</v>
      </c>
      <c r="AW9" s="131">
        <v>2.16</v>
      </c>
      <c r="AX9" s="116"/>
      <c r="AY9" s="131"/>
      <c r="AZ9" s="109"/>
      <c r="BA9" s="598">
        <f t="shared" si="13"/>
        <v>228.46050000000002</v>
      </c>
      <c r="BB9" s="115">
        <f t="shared" si="29"/>
        <v>199.6608671928357</v>
      </c>
      <c r="BC9" s="140">
        <f t="shared" si="14"/>
        <v>6.0370672535211263</v>
      </c>
      <c r="BD9" s="141">
        <f t="shared" si="15"/>
        <v>9.1384200000000018</v>
      </c>
      <c r="BE9" s="128">
        <f t="shared" si="16"/>
        <v>0.99892392186883483</v>
      </c>
      <c r="BF9" s="141">
        <f t="shared" si="17"/>
        <v>15.175487253521128</v>
      </c>
      <c r="BG9" s="535">
        <v>0.996</v>
      </c>
      <c r="BH9" s="16">
        <f t="shared" si="30"/>
        <v>671.33050000000003</v>
      </c>
      <c r="BI9" s="16">
        <f t="shared" si="18"/>
        <v>220</v>
      </c>
      <c r="BJ9" s="16">
        <f t="shared" si="31"/>
        <v>660</v>
      </c>
      <c r="BK9" s="17">
        <f t="shared" si="19"/>
        <v>1</v>
      </c>
      <c r="BL9" s="16">
        <f t="shared" si="32"/>
        <v>660</v>
      </c>
      <c r="BM9" s="441">
        <f t="shared" si="33"/>
        <v>342.36200000000002</v>
      </c>
      <c r="BN9" s="266">
        <v>7.9969999999999999</v>
      </c>
      <c r="BO9" s="266">
        <v>87.457999999999998</v>
      </c>
      <c r="BP9" s="266"/>
      <c r="BQ9" s="266"/>
      <c r="BR9" s="266">
        <v>31.817</v>
      </c>
      <c r="BS9" s="603"/>
      <c r="BT9" s="199"/>
      <c r="BU9" s="200">
        <v>0.55000000000000004</v>
      </c>
      <c r="BV9" s="200"/>
      <c r="BW9" s="200"/>
      <c r="BX9" s="200"/>
      <c r="BY9" s="208"/>
      <c r="BZ9" s="208">
        <v>3.14</v>
      </c>
      <c r="CA9" s="201"/>
      <c r="CB9" s="202">
        <v>36.090000000000003</v>
      </c>
      <c r="CC9" s="200">
        <v>43.15</v>
      </c>
      <c r="CD9" s="200">
        <v>43.13</v>
      </c>
      <c r="CE9" s="200"/>
      <c r="CF9" s="200"/>
      <c r="CG9" s="200">
        <v>33.67</v>
      </c>
      <c r="CH9" s="200"/>
      <c r="CI9" s="203"/>
      <c r="CJ9" s="204"/>
      <c r="CK9" s="197"/>
      <c r="CL9" s="197">
        <v>294.61</v>
      </c>
      <c r="CM9" s="198"/>
      <c r="CN9" s="202"/>
      <c r="CO9" s="208"/>
      <c r="CP9" s="208"/>
      <c r="CQ9" s="201"/>
      <c r="CR9" s="201"/>
      <c r="CS9" s="284"/>
      <c r="CT9" s="286">
        <f t="shared" si="20"/>
        <v>340.47900900000002</v>
      </c>
      <c r="CU9" s="27">
        <f t="shared" si="20"/>
        <v>7.9969999999999999</v>
      </c>
      <c r="CV9" s="593">
        <f t="shared" si="20"/>
        <v>87.457999999999998</v>
      </c>
      <c r="CW9" s="596"/>
      <c r="CX9" s="28">
        <f t="shared" si="20"/>
        <v>0</v>
      </c>
      <c r="CY9" s="237">
        <f t="shared" si="20"/>
        <v>30.817946200000002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294.61</v>
      </c>
      <c r="DD9" s="280">
        <f t="shared" si="21"/>
        <v>0</v>
      </c>
      <c r="DE9" s="508">
        <f t="shared" si="34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5"/>
        <v>0</v>
      </c>
      <c r="DM9" s="249">
        <v>349.762</v>
      </c>
      <c r="DN9" s="247">
        <f t="shared" si="36"/>
        <v>342.36200000000002</v>
      </c>
      <c r="DP9" s="197">
        <v>294.61</v>
      </c>
      <c r="DQ9" s="247">
        <f t="shared" si="37"/>
        <v>325.78000000000003</v>
      </c>
    </row>
    <row r="10" spans="1:121" ht="16.5" customHeight="1" thickBot="1">
      <c r="A10" s="534">
        <v>4</v>
      </c>
      <c r="B10" s="103">
        <f t="shared" si="24"/>
        <v>460.83400000000006</v>
      </c>
      <c r="C10" s="104">
        <f t="shared" si="0"/>
        <v>0.75860207797167745</v>
      </c>
      <c r="D10" s="448">
        <f t="shared" si="1"/>
        <v>457.33810370000009</v>
      </c>
      <c r="E10" s="104">
        <f t="shared" si="2"/>
        <v>37.947717117226595</v>
      </c>
      <c r="F10" s="128">
        <f t="shared" si="3"/>
        <v>2.3482257749320961</v>
      </c>
      <c r="G10" s="106"/>
      <c r="H10" s="107">
        <f t="shared" si="4"/>
        <v>1.8675547918196336</v>
      </c>
      <c r="I10" s="103">
        <f>'[1]сентябрь 20'!AE9</f>
        <v>0</v>
      </c>
      <c r="J10" s="328">
        <f>'[1]сентябрь 20'!AA9</f>
        <v>9.3510000000000009</v>
      </c>
      <c r="K10" s="106">
        <v>49.64</v>
      </c>
      <c r="L10" s="328">
        <f>'[1]сентябрь 20'!AI9</f>
        <v>93.614999999999995</v>
      </c>
      <c r="M10" s="103">
        <f t="shared" si="5"/>
        <v>0.48067098311246198</v>
      </c>
      <c r="N10" s="103">
        <f>'[1]август 20'!W9</f>
        <v>0</v>
      </c>
      <c r="O10" s="103">
        <f>'[1]сентябрь 20'!AM9</f>
        <v>0</v>
      </c>
      <c r="P10" s="447">
        <f t="shared" si="25"/>
        <v>0</v>
      </c>
      <c r="Q10" s="103">
        <f t="shared" si="26"/>
        <v>0</v>
      </c>
      <c r="R10" s="103">
        <f>'[1]сентябрь 20'!S9</f>
        <v>297.13799999999998</v>
      </c>
      <c r="S10" s="108">
        <f t="shared" si="6"/>
        <v>2.9171630690116856</v>
      </c>
      <c r="T10" s="109">
        <f t="shared" si="7"/>
        <v>288.47000000000008</v>
      </c>
      <c r="U10" s="106">
        <v>3.97</v>
      </c>
      <c r="V10" s="109">
        <f t="shared" si="8"/>
        <v>288.47000000000003</v>
      </c>
      <c r="W10" s="110">
        <f t="shared" si="9"/>
        <v>1.4811638999994869</v>
      </c>
      <c r="X10" s="110">
        <f t="shared" si="27"/>
        <v>1.4811638999994869</v>
      </c>
      <c r="Y10" s="136">
        <v>194.75900000000001</v>
      </c>
      <c r="Z10" s="130">
        <v>119.5</v>
      </c>
      <c r="AA10" s="131">
        <v>0.9</v>
      </c>
      <c r="AB10" s="112">
        <v>663</v>
      </c>
      <c r="AC10" s="112">
        <v>1220</v>
      </c>
      <c r="AD10" s="144" t="s">
        <v>144</v>
      </c>
      <c r="AE10" s="131">
        <v>76.08</v>
      </c>
      <c r="AF10" s="133">
        <v>156</v>
      </c>
      <c r="AG10" s="134">
        <v>5</v>
      </c>
      <c r="AH10" s="131"/>
      <c r="AI10" s="115">
        <f t="shared" si="10"/>
        <v>0</v>
      </c>
      <c r="AJ10" s="131">
        <v>119.9</v>
      </c>
      <c r="AK10" s="115">
        <f t="shared" si="11"/>
        <v>615.63265368994507</v>
      </c>
      <c r="AL10" s="131">
        <v>32.950000000000003</v>
      </c>
      <c r="AM10" s="116"/>
      <c r="AN10" s="135">
        <v>10.41</v>
      </c>
      <c r="AO10" s="466">
        <f t="shared" si="28"/>
        <v>47.670999999999999</v>
      </c>
      <c r="AP10" s="110">
        <f t="shared" si="12"/>
        <v>0.19</v>
      </c>
      <c r="AQ10" s="137" t="s">
        <v>428</v>
      </c>
      <c r="AR10" s="150">
        <v>8.93</v>
      </c>
      <c r="AS10" s="138">
        <v>7.76</v>
      </c>
      <c r="AT10" s="131"/>
      <c r="AU10" s="131">
        <v>4.66</v>
      </c>
      <c r="AV10" s="315">
        <v>250.9</v>
      </c>
      <c r="AW10" s="131">
        <v>1.94</v>
      </c>
      <c r="AX10" s="116"/>
      <c r="AY10" s="131"/>
      <c r="AZ10" s="109"/>
      <c r="BA10" s="598">
        <f t="shared" si="13"/>
        <v>194.75900000000001</v>
      </c>
      <c r="BB10" s="115">
        <f>IF(AE10=0,0,((D10*0.97)*(E10/100)*0.9)/(AE10/100))</f>
        <v>199.14379585826916</v>
      </c>
      <c r="BC10" s="140">
        <f t="shared" si="14"/>
        <v>4.328221126760563</v>
      </c>
      <c r="BD10" s="141">
        <f t="shared" si="15"/>
        <v>7.7903600000000006</v>
      </c>
      <c r="BE10" s="128">
        <f t="shared" si="16"/>
        <v>0.85377807662663363</v>
      </c>
      <c r="BF10" s="141">
        <f t="shared" si="17"/>
        <v>12.118581126760564</v>
      </c>
      <c r="BG10" s="535">
        <v>0.96</v>
      </c>
      <c r="BH10" s="16">
        <f t="shared" si="30"/>
        <v>866.08950000000004</v>
      </c>
      <c r="BI10" s="16">
        <f t="shared" si="18"/>
        <v>220</v>
      </c>
      <c r="BJ10" s="16">
        <f t="shared" si="31"/>
        <v>880</v>
      </c>
      <c r="BK10" s="17">
        <f t="shared" si="19"/>
        <v>1</v>
      </c>
      <c r="BL10" s="16">
        <f t="shared" si="32"/>
        <v>880</v>
      </c>
      <c r="BM10" s="441">
        <f t="shared" si="33"/>
        <v>335.94800000000004</v>
      </c>
      <c r="BN10" s="266">
        <v>7.798</v>
      </c>
      <c r="BO10" s="266">
        <v>85.816999999999993</v>
      </c>
      <c r="BP10" s="266"/>
      <c r="BQ10" s="266"/>
      <c r="BR10" s="266">
        <v>31.271000000000001</v>
      </c>
      <c r="BS10" s="603"/>
      <c r="BT10" s="199"/>
      <c r="BU10" s="200">
        <v>0.82</v>
      </c>
      <c r="BV10" s="200"/>
      <c r="BW10" s="200"/>
      <c r="BX10" s="200"/>
      <c r="BY10" s="208"/>
      <c r="BZ10" s="208">
        <v>2.37</v>
      </c>
      <c r="CA10" s="201"/>
      <c r="CB10" s="202">
        <v>36.89</v>
      </c>
      <c r="CC10" s="200">
        <v>43.77</v>
      </c>
      <c r="CD10" s="200">
        <v>43.61</v>
      </c>
      <c r="CE10" s="200"/>
      <c r="CF10" s="200"/>
      <c r="CG10" s="200">
        <v>32.32</v>
      </c>
      <c r="CH10" s="200"/>
      <c r="CI10" s="203"/>
      <c r="CJ10" s="204"/>
      <c r="CK10" s="197"/>
      <c r="CL10" s="197">
        <v>288.47000000000003</v>
      </c>
      <c r="CM10" s="198"/>
      <c r="CN10" s="202"/>
      <c r="CO10" s="208"/>
      <c r="CP10" s="208"/>
      <c r="CQ10" s="201"/>
      <c r="CR10" s="201"/>
      <c r="CS10" s="284"/>
      <c r="CT10" s="286">
        <f t="shared" si="20"/>
        <v>333.19322640000001</v>
      </c>
      <c r="CU10" s="29">
        <f t="shared" si="20"/>
        <v>7.798</v>
      </c>
      <c r="CV10" s="594">
        <f t="shared" si="20"/>
        <v>85.816999999999993</v>
      </c>
      <c r="CW10" s="596"/>
      <c r="CX10" s="28">
        <f t="shared" si="20"/>
        <v>0</v>
      </c>
      <c r="CY10" s="24">
        <f t="shared" si="20"/>
        <v>30.529877299999999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288.47000000000003</v>
      </c>
      <c r="DD10" s="280">
        <f t="shared" si="21"/>
        <v>0</v>
      </c>
      <c r="DE10" s="508">
        <f t="shared" si="34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5"/>
        <v>0</v>
      </c>
      <c r="DM10" s="249">
        <v>343.34800000000001</v>
      </c>
      <c r="DN10" s="247">
        <f t="shared" si="36"/>
        <v>335.94800000000004</v>
      </c>
      <c r="DP10" s="197">
        <v>288.47000000000003</v>
      </c>
      <c r="DQ10" s="247">
        <f t="shared" si="37"/>
        <v>319.64000000000004</v>
      </c>
    </row>
    <row r="11" spans="1:121" ht="16.5" customHeight="1" thickBot="1">
      <c r="A11" s="534">
        <v>5</v>
      </c>
      <c r="B11" s="103">
        <f t="shared" si="24"/>
        <v>463.6330000000001</v>
      </c>
      <c r="C11" s="104">
        <f t="shared" si="0"/>
        <v>0.67547081420002453</v>
      </c>
      <c r="D11" s="448">
        <f t="shared" si="1"/>
        <v>460.50129440000006</v>
      </c>
      <c r="E11" s="104">
        <f t="shared" si="2"/>
        <v>37.478062411433172</v>
      </c>
      <c r="F11" s="128">
        <f t="shared" si="3"/>
        <v>2.113971889073023</v>
      </c>
      <c r="G11" s="106"/>
      <c r="H11" s="107">
        <f t="shared" si="4"/>
        <v>1.6817817652648543</v>
      </c>
      <c r="I11" s="103">
        <f>'[1]сентябрь 20'!AE10</f>
        <v>0</v>
      </c>
      <c r="J11" s="328">
        <f>'[1]сентябрь 20'!AA10</f>
        <v>9.4730000000000008</v>
      </c>
      <c r="K11" s="106">
        <v>29.75</v>
      </c>
      <c r="L11" s="328">
        <f>'[1]сентябрь 20'!AI10</f>
        <v>94.147000000000006</v>
      </c>
      <c r="M11" s="103">
        <f t="shared" si="5"/>
        <v>0.43219012380816851</v>
      </c>
      <c r="N11" s="103">
        <f>'[1]август 20'!W10</f>
        <v>0</v>
      </c>
      <c r="O11" s="103">
        <f>'[1]сентябрь 20'!AM10</f>
        <v>0</v>
      </c>
      <c r="P11" s="447">
        <f t="shared" si="25"/>
        <v>0</v>
      </c>
      <c r="Q11" s="103">
        <f t="shared" si="26"/>
        <v>0</v>
      </c>
      <c r="R11" s="103">
        <f>'[1]сентябрь 20'!S10</f>
        <v>297.57</v>
      </c>
      <c r="S11" s="108">
        <f t="shared" si="6"/>
        <v>3.0816278522700635</v>
      </c>
      <c r="T11" s="109">
        <f t="shared" si="7"/>
        <v>288.39999999999998</v>
      </c>
      <c r="U11" s="106">
        <v>29.45</v>
      </c>
      <c r="V11" s="109">
        <f t="shared" si="8"/>
        <v>288.39999999999998</v>
      </c>
      <c r="W11" s="110">
        <f t="shared" si="9"/>
        <v>1.3239256875553742</v>
      </c>
      <c r="X11" s="110">
        <f t="shared" si="27"/>
        <v>1.3239256875553742</v>
      </c>
      <c r="Y11" s="136">
        <v>217.83699999999996</v>
      </c>
      <c r="Z11" s="130">
        <v>128.18</v>
      </c>
      <c r="AA11" s="131">
        <v>0.99</v>
      </c>
      <c r="AB11" s="112">
        <v>681</v>
      </c>
      <c r="AC11" s="112">
        <v>1215</v>
      </c>
      <c r="AD11" s="144" t="s">
        <v>429</v>
      </c>
      <c r="AE11" s="131">
        <v>76.03</v>
      </c>
      <c r="AF11" s="133">
        <v>157</v>
      </c>
      <c r="AG11" s="134">
        <v>5</v>
      </c>
      <c r="AH11" s="131">
        <v>5.65</v>
      </c>
      <c r="AI11" s="115">
        <f t="shared" si="10"/>
        <v>25.936824322773454</v>
      </c>
      <c r="AJ11" s="131">
        <v>122.5</v>
      </c>
      <c r="AK11" s="115">
        <f t="shared" si="11"/>
        <v>562.34707602473418</v>
      </c>
      <c r="AL11" s="131">
        <v>26.63</v>
      </c>
      <c r="AM11" s="116"/>
      <c r="AN11" s="135">
        <v>10.64</v>
      </c>
      <c r="AO11" s="466">
        <f t="shared" si="28"/>
        <v>53.143000000000001</v>
      </c>
      <c r="AP11" s="110">
        <f t="shared" si="12"/>
        <v>0.19</v>
      </c>
      <c r="AQ11" s="137" t="s">
        <v>150</v>
      </c>
      <c r="AR11" s="150">
        <v>8.48</v>
      </c>
      <c r="AS11" s="138">
        <v>7.34</v>
      </c>
      <c r="AT11" s="131"/>
      <c r="AU11" s="131">
        <v>6.52</v>
      </c>
      <c r="AV11" s="315">
        <v>279.7</v>
      </c>
      <c r="AW11" s="131">
        <v>1.92</v>
      </c>
      <c r="AX11" s="145"/>
      <c r="AY11" s="131"/>
      <c r="AZ11" s="109"/>
      <c r="BA11" s="598">
        <f t="shared" si="13"/>
        <v>217.83699999999996</v>
      </c>
      <c r="BB11" s="115">
        <f t="shared" si="29"/>
        <v>198.1696939110378</v>
      </c>
      <c r="BC11" s="140">
        <f t="shared" si="14"/>
        <v>6.1871126760563371</v>
      </c>
      <c r="BD11" s="141">
        <f t="shared" si="15"/>
        <v>8.7134799999999988</v>
      </c>
      <c r="BE11" s="128">
        <f t="shared" si="16"/>
        <v>0.95964068595358332</v>
      </c>
      <c r="BF11" s="141">
        <f t="shared" si="17"/>
        <v>14.900592676056336</v>
      </c>
      <c r="BG11" s="535">
        <v>0.96</v>
      </c>
      <c r="BH11" s="16">
        <f t="shared" si="30"/>
        <v>1083.9265</v>
      </c>
      <c r="BI11" s="16">
        <f t="shared" si="18"/>
        <v>220</v>
      </c>
      <c r="BJ11" s="16">
        <f t="shared" si="31"/>
        <v>1100</v>
      </c>
      <c r="BK11" s="17">
        <f t="shared" si="19"/>
        <v>1</v>
      </c>
      <c r="BL11" s="16">
        <f t="shared" si="32"/>
        <v>1100</v>
      </c>
      <c r="BM11" s="441">
        <f t="shared" si="33"/>
        <v>338.09000000000003</v>
      </c>
      <c r="BN11" s="266">
        <v>7.8140000000000001</v>
      </c>
      <c r="BO11" s="266">
        <v>86.332999999999998</v>
      </c>
      <c r="BP11" s="266"/>
      <c r="BQ11" s="266"/>
      <c r="BR11" s="266">
        <v>31.396000000000001</v>
      </c>
      <c r="BS11" s="603"/>
      <c r="BT11" s="199"/>
      <c r="BU11" s="200">
        <v>0.8</v>
      </c>
      <c r="BV11" s="200"/>
      <c r="BW11" s="200"/>
      <c r="BX11" s="200"/>
      <c r="BY11" s="208"/>
      <c r="BZ11" s="208">
        <v>1.36</v>
      </c>
      <c r="CA11" s="201"/>
      <c r="CB11" s="202">
        <v>36.21</v>
      </c>
      <c r="CC11" s="200">
        <v>43.29</v>
      </c>
      <c r="CD11" s="200">
        <v>42.99</v>
      </c>
      <c r="CE11" s="200"/>
      <c r="CF11" s="200"/>
      <c r="CG11" s="200">
        <v>34.53</v>
      </c>
      <c r="CH11" s="200"/>
      <c r="CI11" s="203"/>
      <c r="CJ11" s="204"/>
      <c r="CK11" s="197"/>
      <c r="CL11" s="230">
        <v>288.39999999999998</v>
      </c>
      <c r="CM11" s="198"/>
      <c r="CN11" s="202"/>
      <c r="CO11" s="208"/>
      <c r="CP11" s="208"/>
      <c r="CQ11" s="201"/>
      <c r="CR11" s="201"/>
      <c r="CS11" s="284"/>
      <c r="CT11" s="286">
        <f t="shared" si="20"/>
        <v>335.38528000000002</v>
      </c>
      <c r="CU11" s="24">
        <f t="shared" si="20"/>
        <v>7.8140000000000001</v>
      </c>
      <c r="CV11" s="592">
        <f t="shared" si="20"/>
        <v>86.332999999999998</v>
      </c>
      <c r="CW11" s="596"/>
      <c r="CX11" s="28">
        <f t="shared" si="20"/>
        <v>0</v>
      </c>
      <c r="CY11" s="24">
        <f t="shared" si="20"/>
        <v>30.969014400000002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288.39999999999998</v>
      </c>
      <c r="DD11" s="280">
        <f t="shared" si="21"/>
        <v>0</v>
      </c>
      <c r="DE11" s="508">
        <f t="shared" si="34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5"/>
        <v>0</v>
      </c>
      <c r="DM11" s="249">
        <v>345.49</v>
      </c>
      <c r="DN11" s="247">
        <f t="shared" si="36"/>
        <v>338.09000000000003</v>
      </c>
      <c r="DP11" s="230">
        <v>288.39999999999998</v>
      </c>
      <c r="DQ11" s="247">
        <f t="shared" si="37"/>
        <v>319.57</v>
      </c>
    </row>
    <row r="12" spans="1:121" ht="16.5" customHeight="1" thickBot="1">
      <c r="A12" s="534">
        <v>6</v>
      </c>
      <c r="B12" s="103">
        <f t="shared" si="24"/>
        <v>472.87700000000001</v>
      </c>
      <c r="C12" s="104">
        <f t="shared" si="0"/>
        <v>1.1785606405048248</v>
      </c>
      <c r="D12" s="448">
        <f t="shared" si="1"/>
        <v>467.3038578</v>
      </c>
      <c r="E12" s="104">
        <f t="shared" si="2"/>
        <v>37.834779044022028</v>
      </c>
      <c r="F12" s="128">
        <f t="shared" si="3"/>
        <v>2.147960570333292</v>
      </c>
      <c r="G12" s="106"/>
      <c r="H12" s="107">
        <f t="shared" si="4"/>
        <v>1.706591182081018</v>
      </c>
      <c r="I12" s="103">
        <f>'[1]сентябрь 20'!AE11</f>
        <v>0</v>
      </c>
      <c r="J12" s="328">
        <f>'[1]сентябрь 20'!AA11</f>
        <v>11.2</v>
      </c>
      <c r="K12" s="106">
        <v>22.98</v>
      </c>
      <c r="L12" s="328">
        <f>'[1]сентябрь 20'!AI11</f>
        <v>96.022999999999996</v>
      </c>
      <c r="M12" s="103">
        <f t="shared" si="5"/>
        <v>0.44136938825227418</v>
      </c>
      <c r="N12" s="103">
        <f>'[1]август 20'!W11</f>
        <v>0</v>
      </c>
      <c r="O12" s="103">
        <f>'[1]сентябрь 20'!AM11</f>
        <v>0</v>
      </c>
      <c r="P12" s="447">
        <f t="shared" si="25"/>
        <v>0</v>
      </c>
      <c r="Q12" s="103">
        <f t="shared" si="26"/>
        <v>0</v>
      </c>
      <c r="R12" s="103">
        <f>'[1]сентябрь 20'!S11</f>
        <v>302.87799999999999</v>
      </c>
      <c r="S12" s="108">
        <f t="shared" si="6"/>
        <v>3.0269613507749038</v>
      </c>
      <c r="T12" s="109">
        <f t="shared" si="7"/>
        <v>293.70999999999998</v>
      </c>
      <c r="U12" s="106"/>
      <c r="V12" s="109">
        <f t="shared" si="8"/>
        <v>293.70999999999998</v>
      </c>
      <c r="W12" s="110">
        <f t="shared" si="9"/>
        <v>1.3500370017972301</v>
      </c>
      <c r="X12" s="110">
        <f t="shared" si="27"/>
        <v>1.3500370017972301</v>
      </c>
      <c r="Y12" s="136">
        <v>217.55699999999999</v>
      </c>
      <c r="Z12" s="130">
        <v>217.56</v>
      </c>
      <c r="AA12" s="131">
        <v>0.47</v>
      </c>
      <c r="AB12" s="112">
        <v>690</v>
      </c>
      <c r="AC12" s="133">
        <v>1220</v>
      </c>
      <c r="AD12" s="144" t="s">
        <v>200</v>
      </c>
      <c r="AE12" s="131">
        <v>75.88</v>
      </c>
      <c r="AF12" s="133">
        <v>160</v>
      </c>
      <c r="AG12" s="134">
        <v>5</v>
      </c>
      <c r="AH12" s="131">
        <v>2.95</v>
      </c>
      <c r="AI12" s="115">
        <f t="shared" si="10"/>
        <v>13.559664823471552</v>
      </c>
      <c r="AJ12" s="131">
        <v>145</v>
      </c>
      <c r="AK12" s="115">
        <f t="shared" si="11"/>
        <v>666.49199979775415</v>
      </c>
      <c r="AL12" s="131">
        <v>32.4</v>
      </c>
      <c r="AM12" s="116"/>
      <c r="AN12" s="135">
        <v>12.91</v>
      </c>
      <c r="AO12" s="466">
        <f t="shared" si="28"/>
        <v>53.522999999999996</v>
      </c>
      <c r="AP12" s="110">
        <f t="shared" si="12"/>
        <v>0.19</v>
      </c>
      <c r="AQ12" s="137" t="s">
        <v>430</v>
      </c>
      <c r="AR12" s="150">
        <v>8.18</v>
      </c>
      <c r="AS12" s="138">
        <v>7.7</v>
      </c>
      <c r="AT12" s="131"/>
      <c r="AU12" s="131">
        <v>6.11</v>
      </c>
      <c r="AV12" s="315">
        <v>281.7</v>
      </c>
      <c r="AW12" s="131">
        <v>2.29</v>
      </c>
      <c r="AX12" s="116"/>
      <c r="AY12" s="131"/>
      <c r="AZ12" s="109"/>
      <c r="BA12" s="598">
        <f t="shared" si="13"/>
        <v>217.55699999999999</v>
      </c>
      <c r="BB12" s="115">
        <f t="shared" si="29"/>
        <v>203.41243086563344</v>
      </c>
      <c r="BC12" s="140">
        <f t="shared" si="14"/>
        <v>6.8629929577464788</v>
      </c>
      <c r="BD12" s="141">
        <f t="shared" si="15"/>
        <v>8.70228</v>
      </c>
      <c r="BE12" s="128">
        <f t="shared" si="16"/>
        <v>0.93370528139186715</v>
      </c>
      <c r="BF12" s="141">
        <f t="shared" si="17"/>
        <v>15.56527295774648</v>
      </c>
      <c r="BG12" s="535">
        <v>0.95599999999999996</v>
      </c>
      <c r="BH12" s="16">
        <f t="shared" si="30"/>
        <v>1301.4835</v>
      </c>
      <c r="BI12" s="16">
        <f t="shared" si="18"/>
        <v>220</v>
      </c>
      <c r="BJ12" s="16">
        <f t="shared" si="31"/>
        <v>1320</v>
      </c>
      <c r="BK12" s="17">
        <f t="shared" si="19"/>
        <v>1</v>
      </c>
      <c r="BL12" s="16">
        <f t="shared" si="32"/>
        <v>1320</v>
      </c>
      <c r="BM12" s="441">
        <f t="shared" si="33"/>
        <v>344.86600000000004</v>
      </c>
      <c r="BN12" s="266">
        <v>7.9980000000000002</v>
      </c>
      <c r="BO12" s="266">
        <v>88.025000000000006</v>
      </c>
      <c r="BP12" s="266"/>
      <c r="BQ12" s="266"/>
      <c r="BR12" s="266">
        <v>31.988</v>
      </c>
      <c r="BS12" s="603"/>
      <c r="BT12" s="199"/>
      <c r="BU12" s="200">
        <v>1.45</v>
      </c>
      <c r="BV12" s="200"/>
      <c r="BW12" s="200"/>
      <c r="BX12" s="200"/>
      <c r="BY12" s="208"/>
      <c r="BZ12" s="208">
        <v>1.79</v>
      </c>
      <c r="CA12" s="201"/>
      <c r="CB12" s="202">
        <v>36.630000000000003</v>
      </c>
      <c r="CC12" s="200">
        <v>43.46</v>
      </c>
      <c r="CD12" s="200">
        <v>43.51</v>
      </c>
      <c r="CE12" s="200"/>
      <c r="CF12" s="200"/>
      <c r="CG12" s="200">
        <v>33.799999999999997</v>
      </c>
      <c r="CH12" s="200"/>
      <c r="CI12" s="203"/>
      <c r="CJ12" s="204"/>
      <c r="CK12" s="197"/>
      <c r="CL12" s="230">
        <v>293.70999999999998</v>
      </c>
      <c r="CM12" s="198"/>
      <c r="CN12" s="202"/>
      <c r="CO12" s="202"/>
      <c r="CP12" s="270"/>
      <c r="CQ12" s="201"/>
      <c r="CR12" s="201"/>
      <c r="CS12" s="284"/>
      <c r="CT12" s="286">
        <f t="shared" si="20"/>
        <v>339.86544300000003</v>
      </c>
      <c r="CU12" s="24">
        <f t="shared" si="20"/>
        <v>7.9980000000000002</v>
      </c>
      <c r="CV12" s="592">
        <f t="shared" si="20"/>
        <v>88.025000000000006</v>
      </c>
      <c r="CW12" s="590"/>
      <c r="CX12" s="28">
        <f t="shared" si="20"/>
        <v>0</v>
      </c>
      <c r="CY12" s="30">
        <f t="shared" si="20"/>
        <v>31.415414799999997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293.70999999999998</v>
      </c>
      <c r="DD12" s="280">
        <f t="shared" si="21"/>
        <v>0</v>
      </c>
      <c r="DE12" s="508">
        <f t="shared" si="34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5"/>
        <v>0</v>
      </c>
      <c r="DM12" s="249">
        <v>352.26600000000002</v>
      </c>
      <c r="DN12" s="247">
        <f t="shared" si="36"/>
        <v>344.86600000000004</v>
      </c>
      <c r="DP12" s="230">
        <v>293.70999999999998</v>
      </c>
      <c r="DQ12" s="247">
        <f t="shared" si="37"/>
        <v>324.88</v>
      </c>
    </row>
    <row r="13" spans="1:121" ht="16.5" customHeight="1" thickBot="1">
      <c r="A13" s="534">
        <v>7</v>
      </c>
      <c r="B13" s="103">
        <f t="shared" si="24"/>
        <v>442.245</v>
      </c>
      <c r="C13" s="104">
        <f t="shared" si="0"/>
        <v>1.0693691279720519</v>
      </c>
      <c r="D13" s="448">
        <f t="shared" si="1"/>
        <v>437.51576849999998</v>
      </c>
      <c r="E13" s="104">
        <f t="shared" si="2"/>
        <v>37.76437384255334</v>
      </c>
      <c r="F13" s="128">
        <f t="shared" si="3"/>
        <v>2.3064048187626516</v>
      </c>
      <c r="G13" s="106"/>
      <c r="H13" s="107">
        <f t="shared" si="4"/>
        <v>1.8321196466978746</v>
      </c>
      <c r="I13" s="103">
        <f>'[1]сентябрь 20'!AE12</f>
        <v>0</v>
      </c>
      <c r="J13" s="328">
        <f>'[1]сентябрь 20'!AA12</f>
        <v>9.1219999999999999</v>
      </c>
      <c r="K13" s="106">
        <v>15.75</v>
      </c>
      <c r="L13" s="328">
        <f>'[1]сентябрь 20'!AI12</f>
        <v>89.97</v>
      </c>
      <c r="M13" s="103">
        <f t="shared" si="5"/>
        <v>0.47428517206477733</v>
      </c>
      <c r="N13" s="103">
        <f>'[1]август 20'!W12</f>
        <v>0</v>
      </c>
      <c r="O13" s="103">
        <f>'[1]сентябрь 20'!AM12</f>
        <v>0</v>
      </c>
      <c r="P13" s="447">
        <f t="shared" si="25"/>
        <v>0</v>
      </c>
      <c r="Q13" s="103">
        <f t="shared" si="26"/>
        <v>0</v>
      </c>
      <c r="R13" s="103">
        <f>'[1]сентябрь 20'!S12</f>
        <v>286.52699999999999</v>
      </c>
      <c r="S13" s="108">
        <f t="shared" si="6"/>
        <v>3.0073954636037681</v>
      </c>
      <c r="T13" s="109">
        <f t="shared" si="7"/>
        <v>277.91000000000003</v>
      </c>
      <c r="U13" s="106">
        <v>9.92</v>
      </c>
      <c r="V13" s="109">
        <f t="shared" si="8"/>
        <v>277.91000000000003</v>
      </c>
      <c r="W13" s="110">
        <f t="shared" si="9"/>
        <v>1.4650282557354928</v>
      </c>
      <c r="X13" s="110">
        <f t="shared" si="27"/>
        <v>1.4650282557354928</v>
      </c>
      <c r="Y13" s="136">
        <v>189.696</v>
      </c>
      <c r="Z13" s="130">
        <v>189.7</v>
      </c>
      <c r="AA13" s="131">
        <v>0.35</v>
      </c>
      <c r="AB13" s="146">
        <v>677</v>
      </c>
      <c r="AC13" s="147">
        <v>1222</v>
      </c>
      <c r="AD13" s="144" t="s">
        <v>192</v>
      </c>
      <c r="AE13" s="131">
        <v>75.97</v>
      </c>
      <c r="AF13" s="133">
        <v>150</v>
      </c>
      <c r="AG13" s="134">
        <v>5</v>
      </c>
      <c r="AH13" s="131"/>
      <c r="AI13" s="115">
        <f t="shared" si="10"/>
        <v>0</v>
      </c>
      <c r="AJ13" s="131">
        <v>133.69999999999999</v>
      </c>
      <c r="AK13" s="115">
        <f t="shared" si="11"/>
        <v>704.81190958164643</v>
      </c>
      <c r="AL13" s="131">
        <v>29.02</v>
      </c>
      <c r="AM13" s="116"/>
      <c r="AN13" s="135">
        <v>11.27</v>
      </c>
      <c r="AO13" s="466">
        <f t="shared" si="28"/>
        <v>46.473999999999997</v>
      </c>
      <c r="AP13" s="110">
        <f t="shared" si="12"/>
        <v>0.19</v>
      </c>
      <c r="AQ13" s="137" t="s">
        <v>238</v>
      </c>
      <c r="AR13" s="150">
        <v>7.69</v>
      </c>
      <c r="AS13" s="138">
        <v>7.43</v>
      </c>
      <c r="AT13" s="131"/>
      <c r="AU13" s="131">
        <v>7.97</v>
      </c>
      <c r="AV13" s="315">
        <v>244.6</v>
      </c>
      <c r="AW13" s="131">
        <v>2.84</v>
      </c>
      <c r="AX13" s="148"/>
      <c r="AY13" s="149"/>
      <c r="AZ13" s="109"/>
      <c r="BA13" s="598">
        <f t="shared" si="13"/>
        <v>189.696</v>
      </c>
      <c r="BB13" s="115">
        <f t="shared" si="29"/>
        <v>189.86639983023534</v>
      </c>
      <c r="BC13" s="140">
        <f t="shared" si="14"/>
        <v>8.254562676056338</v>
      </c>
      <c r="BD13" s="141">
        <f t="shared" si="15"/>
        <v>7.5878399999999999</v>
      </c>
      <c r="BE13" s="128">
        <f t="shared" si="16"/>
        <v>0.87221650670193118</v>
      </c>
      <c r="BF13" s="141">
        <f t="shared" si="17"/>
        <v>15.842402676056338</v>
      </c>
      <c r="BG13" s="535">
        <v>0.94399999999999995</v>
      </c>
      <c r="BH13" s="16">
        <f t="shared" si="30"/>
        <v>1491.1795</v>
      </c>
      <c r="BI13" s="16">
        <f t="shared" si="18"/>
        <v>220</v>
      </c>
      <c r="BJ13" s="16">
        <f t="shared" si="31"/>
        <v>1540</v>
      </c>
      <c r="BK13" s="17">
        <f t="shared" si="19"/>
        <v>1</v>
      </c>
      <c r="BL13" s="16">
        <f t="shared" si="32"/>
        <v>1540</v>
      </c>
      <c r="BM13" s="441">
        <f t="shared" si="33"/>
        <v>322.45500000000004</v>
      </c>
      <c r="BN13" s="266">
        <v>7.4909999999999997</v>
      </c>
      <c r="BO13" s="266">
        <v>82.478999999999999</v>
      </c>
      <c r="BP13" s="266"/>
      <c r="BQ13" s="266"/>
      <c r="BR13" s="266">
        <v>29.82</v>
      </c>
      <c r="BS13" s="603"/>
      <c r="BT13" s="199"/>
      <c r="BU13" s="200">
        <v>1.29</v>
      </c>
      <c r="BV13" s="200"/>
      <c r="BW13" s="200"/>
      <c r="BX13" s="200"/>
      <c r="BY13" s="208"/>
      <c r="BZ13" s="208">
        <v>1.91</v>
      </c>
      <c r="CA13" s="201"/>
      <c r="CB13" s="202">
        <v>36.68</v>
      </c>
      <c r="CC13" s="200">
        <v>42.88</v>
      </c>
      <c r="CD13" s="202">
        <v>42.77</v>
      </c>
      <c r="CE13" s="200"/>
      <c r="CF13" s="200"/>
      <c r="CG13" s="200">
        <v>34.36</v>
      </c>
      <c r="CH13" s="200"/>
      <c r="CI13" s="203"/>
      <c r="CJ13" s="204"/>
      <c r="CK13" s="197"/>
      <c r="CL13" s="264">
        <v>277.91000000000003</v>
      </c>
      <c r="CM13" s="265"/>
      <c r="CN13" s="202"/>
      <c r="CO13" s="202"/>
      <c r="CP13" s="270"/>
      <c r="CQ13" s="201"/>
      <c r="CR13" s="201"/>
      <c r="CS13" s="284"/>
      <c r="CT13" s="286">
        <f t="shared" si="20"/>
        <v>318.29533050000003</v>
      </c>
      <c r="CU13" s="24">
        <f t="shared" si="20"/>
        <v>7.4909999999999997</v>
      </c>
      <c r="CV13" s="592">
        <f t="shared" si="20"/>
        <v>82.478999999999999</v>
      </c>
      <c r="CW13" s="590"/>
      <c r="CX13" s="28">
        <f t="shared" si="20"/>
        <v>0</v>
      </c>
      <c r="CY13" s="24">
        <f t="shared" si="20"/>
        <v>29.250437999999999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277.91000000000003</v>
      </c>
      <c r="DD13" s="280">
        <f t="shared" si="21"/>
        <v>0</v>
      </c>
      <c r="DE13" s="508">
        <f t="shared" si="34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5"/>
        <v>0</v>
      </c>
      <c r="DM13" s="249">
        <v>329.85500000000002</v>
      </c>
      <c r="DN13" s="247">
        <f t="shared" si="36"/>
        <v>322.45500000000004</v>
      </c>
      <c r="DP13" s="264">
        <v>277.91000000000003</v>
      </c>
      <c r="DQ13" s="247">
        <f t="shared" si="37"/>
        <v>309.08000000000004</v>
      </c>
    </row>
    <row r="14" spans="1:121" ht="16.5" customHeight="1" thickBot="1">
      <c r="A14" s="534">
        <v>8</v>
      </c>
      <c r="B14" s="103">
        <f t="shared" si="24"/>
        <v>463.79</v>
      </c>
      <c r="C14" s="104">
        <f>IF(B14=0,0,(BM14*BU14+BN14*BV14+BP14*BX14+BS14*CA14+BO14*BW14+BR14*BZ14+BQ14*BY14)/B14)</f>
        <v>0.88379637335863215</v>
      </c>
      <c r="D14" s="448">
        <f>B14*((100-C14)/100)</f>
        <v>459.6910408</v>
      </c>
      <c r="E14" s="104">
        <f>IF(B14=0,0,(BM14*CB14+BN14*CC14+BP14*CE14+BS14*CH14+BO14*CD14+BR14*CG14+BQ14*CF14)/B14)</f>
        <v>37.741952521615389</v>
      </c>
      <c r="F14" s="128">
        <f>IF(BA14=0,0,D14/BA14)</f>
        <v>2.0122084858459801</v>
      </c>
      <c r="G14" s="106"/>
      <c r="H14" s="107">
        <f t="shared" si="4"/>
        <v>1.5996429904005671</v>
      </c>
      <c r="I14" s="103">
        <f>'[1]сентябрь 20'!AE13</f>
        <v>0</v>
      </c>
      <c r="J14" s="328">
        <f>'[1]сентябрь 20'!AA13</f>
        <v>10.436999999999999</v>
      </c>
      <c r="K14" s="106">
        <v>22.46</v>
      </c>
      <c r="L14" s="328">
        <f>'[1]сентябрь 20'!AI13</f>
        <v>94.251000000000005</v>
      </c>
      <c r="M14" s="103">
        <f>IF(BA14=0,0,(CV14+CU14)/BA14)</f>
        <v>0.41256549544541277</v>
      </c>
      <c r="N14" s="103">
        <f>'[1]август 20'!W13</f>
        <v>0</v>
      </c>
      <c r="O14" s="103">
        <f>'[1]сентябрь 20'!AM13</f>
        <v>0</v>
      </c>
      <c r="P14" s="447">
        <f t="shared" si="25"/>
        <v>0</v>
      </c>
      <c r="Q14" s="103">
        <f t="shared" si="26"/>
        <v>0</v>
      </c>
      <c r="R14" s="103">
        <f>'[1]сентябрь 20'!S13</f>
        <v>301.86599999999999</v>
      </c>
      <c r="S14" s="108">
        <f>IF(R14=0,0,(1-(V14/R14))*100)</f>
        <v>3.1093266548733456</v>
      </c>
      <c r="T14" s="109">
        <f>R14*((100-S14)/100)</f>
        <v>292.48</v>
      </c>
      <c r="U14" s="106">
        <v>4.9400000000000004</v>
      </c>
      <c r="V14" s="109">
        <f>CJ14+CK14+CM14+CL14</f>
        <v>292.48</v>
      </c>
      <c r="W14" s="110">
        <f>IF(BA14=0,0,T14/BA14)</f>
        <v>1.2802745446507129</v>
      </c>
      <c r="X14" s="110">
        <f t="shared" si="27"/>
        <v>1.2802745446507129</v>
      </c>
      <c r="Y14" s="136">
        <v>228.45100000000002</v>
      </c>
      <c r="Z14" s="130">
        <v>228.45</v>
      </c>
      <c r="AA14" s="131">
        <v>0.63</v>
      </c>
      <c r="AB14" s="146">
        <v>667</v>
      </c>
      <c r="AC14" s="147">
        <v>1219</v>
      </c>
      <c r="AD14" s="144" t="s">
        <v>217</v>
      </c>
      <c r="AE14" s="131">
        <v>76.040000000000006</v>
      </c>
      <c r="AF14" s="133">
        <v>157</v>
      </c>
      <c r="AG14" s="134">
        <v>5</v>
      </c>
      <c r="AH14" s="131">
        <v>3.3</v>
      </c>
      <c r="AI14" s="115">
        <f t="shared" si="10"/>
        <v>14.445110767735748</v>
      </c>
      <c r="AJ14" s="131">
        <v>130.25</v>
      </c>
      <c r="AK14" s="115">
        <f>IF(BA14=0,0,AJ14/BA14*1000)</f>
        <v>570.14414469623671</v>
      </c>
      <c r="AL14" s="131">
        <v>32.9</v>
      </c>
      <c r="AM14" s="116"/>
      <c r="AN14" s="135">
        <v>10.33</v>
      </c>
      <c r="AO14" s="466">
        <f t="shared" si="28"/>
        <v>55.499000000000002</v>
      </c>
      <c r="AP14" s="110">
        <f>IF(AO14=0,0,AO14/AV14)</f>
        <v>0.19</v>
      </c>
      <c r="AQ14" s="137" t="s">
        <v>218</v>
      </c>
      <c r="AR14" s="150">
        <v>8.26</v>
      </c>
      <c r="AS14" s="138">
        <v>7.3</v>
      </c>
      <c r="AT14" s="131"/>
      <c r="AU14" s="131">
        <v>5.73</v>
      </c>
      <c r="AV14" s="315">
        <v>292.10000000000002</v>
      </c>
      <c r="AW14" s="131">
        <v>2.1800000000000002</v>
      </c>
      <c r="AX14" s="148"/>
      <c r="AY14" s="149"/>
      <c r="AZ14" s="109"/>
      <c r="BA14" s="598">
        <f t="shared" si="13"/>
        <v>228.45100000000002</v>
      </c>
      <c r="BB14" s="115">
        <f>IF(AE14=0,0,((D14*0.97)*(E14/100)*0.9)/(AE14/100))</f>
        <v>199.18771017953571</v>
      </c>
      <c r="BC14" s="140">
        <f>(AJ14*AU14)/100*(55/71)</f>
        <v>5.7814489436619727</v>
      </c>
      <c r="BD14" s="141">
        <f>BA14*$BD$6</f>
        <v>9.1380400000000019</v>
      </c>
      <c r="BE14" s="128">
        <f>IF((D14*E14)=0,0,(BA14*AE14)/(D14*E14))</f>
        <v>1.001255161878406</v>
      </c>
      <c r="BF14" s="141">
        <f>BC14+BD14</f>
        <v>14.919488943661975</v>
      </c>
      <c r="BG14" s="535">
        <v>0.95099999999999996</v>
      </c>
      <c r="BH14" s="16">
        <f>BH13+BA14</f>
        <v>1719.6305</v>
      </c>
      <c r="BI14" s="16">
        <f>IF(A14&lt;=$BG$43,$AV$43,0)</f>
        <v>220</v>
      </c>
      <c r="BJ14" s="16">
        <f>BI14+BJ13</f>
        <v>1760</v>
      </c>
      <c r="BK14" s="17">
        <f>IF(BA14&lt;&gt;0,1,0)</f>
        <v>1</v>
      </c>
      <c r="BL14" s="16">
        <f>BL13+BI14*BK14</f>
        <v>1760</v>
      </c>
      <c r="BM14" s="441">
        <f t="shared" si="33"/>
        <v>342.89800000000002</v>
      </c>
      <c r="BN14" s="266">
        <v>7.8639999999999999</v>
      </c>
      <c r="BO14" s="266">
        <v>86.387</v>
      </c>
      <c r="BP14" s="266"/>
      <c r="BQ14" s="266"/>
      <c r="BR14" s="266">
        <v>26.640999999999998</v>
      </c>
      <c r="BS14" s="603"/>
      <c r="BT14" s="199"/>
      <c r="BU14" s="200">
        <v>1.04</v>
      </c>
      <c r="BV14" s="200"/>
      <c r="BW14" s="200"/>
      <c r="BX14" s="200"/>
      <c r="BY14" s="208"/>
      <c r="BZ14" s="208">
        <v>2</v>
      </c>
      <c r="CA14" s="201"/>
      <c r="CB14" s="202">
        <v>36.76</v>
      </c>
      <c r="CC14" s="200">
        <v>43.24</v>
      </c>
      <c r="CD14" s="202">
        <v>42.95</v>
      </c>
      <c r="CE14" s="200"/>
      <c r="CF14" s="200"/>
      <c r="CG14" s="200">
        <v>31.87</v>
      </c>
      <c r="CH14" s="200"/>
      <c r="CI14" s="203"/>
      <c r="CJ14" s="204"/>
      <c r="CK14" s="197"/>
      <c r="CL14" s="264">
        <v>292.48</v>
      </c>
      <c r="CM14" s="265"/>
      <c r="CN14" s="202"/>
      <c r="CO14" s="202"/>
      <c r="CP14" s="270"/>
      <c r="CQ14" s="201"/>
      <c r="CR14" s="201"/>
      <c r="CS14" s="284"/>
      <c r="CT14" s="286">
        <f t="shared" si="20"/>
        <v>339.33186080000002</v>
      </c>
      <c r="CU14" s="27">
        <f t="shared" si="20"/>
        <v>7.8639999999999999</v>
      </c>
      <c r="CV14" s="593">
        <f t="shared" si="20"/>
        <v>86.387</v>
      </c>
      <c r="CW14" s="597"/>
      <c r="CX14" s="28">
        <f t="shared" si="20"/>
        <v>0</v>
      </c>
      <c r="CY14" s="24">
        <f t="shared" si="20"/>
        <v>26.108179999999997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292.48</v>
      </c>
      <c r="DD14" s="280">
        <f t="shared" si="21"/>
        <v>0</v>
      </c>
      <c r="DE14" s="508">
        <f t="shared" si="34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5"/>
        <v>0</v>
      </c>
      <c r="DM14" s="249">
        <v>350.298</v>
      </c>
      <c r="DN14" s="247">
        <f t="shared" si="36"/>
        <v>342.89800000000002</v>
      </c>
      <c r="DP14" s="264">
        <v>292.48</v>
      </c>
      <c r="DQ14" s="247">
        <f t="shared" si="37"/>
        <v>323.65000000000003</v>
      </c>
    </row>
    <row r="15" spans="1:121" ht="16.5" customHeight="1" thickBot="1">
      <c r="A15" s="536">
        <v>9</v>
      </c>
      <c r="B15" s="103">
        <f t="shared" si="24"/>
        <v>457.04400000000004</v>
      </c>
      <c r="C15" s="104">
        <f t="shared" si="0"/>
        <v>1.2030362722188674</v>
      </c>
      <c r="D15" s="448">
        <f t="shared" si="1"/>
        <v>451.54559490000003</v>
      </c>
      <c r="E15" s="104">
        <f t="shared" si="2"/>
        <v>37.589318927718118</v>
      </c>
      <c r="F15" s="128">
        <f t="shared" si="3"/>
        <v>2.8283469771374889</v>
      </c>
      <c r="G15" s="106"/>
      <c r="H15" s="107">
        <f t="shared" si="4"/>
        <v>2.2466432502348894</v>
      </c>
      <c r="I15" s="103">
        <f>'[1]сентябрь 20'!AE14</f>
        <v>0</v>
      </c>
      <c r="J15" s="328">
        <f>'[1]сентябрь 20'!AA14</f>
        <v>13.039</v>
      </c>
      <c r="K15" s="106"/>
      <c r="L15" s="328">
        <f>'[1]сентябрь 20'!AI14</f>
        <v>92.869</v>
      </c>
      <c r="M15" s="103">
        <f t="shared" si="5"/>
        <v>0.58170372690259953</v>
      </c>
      <c r="N15" s="103">
        <f>'[1]август 20'!W14</f>
        <v>0</v>
      </c>
      <c r="O15" s="103">
        <f>'[1]сентябрь 20'!AM14</f>
        <v>0</v>
      </c>
      <c r="P15" s="447">
        <f t="shared" si="25"/>
        <v>0</v>
      </c>
      <c r="Q15" s="103">
        <f t="shared" si="26"/>
        <v>0</v>
      </c>
      <c r="R15" s="103">
        <f>'[1]сентябрь 20'!S14</f>
        <v>299.26499999999999</v>
      </c>
      <c r="S15" s="108">
        <f t="shared" si="6"/>
        <v>2.9121347300887113</v>
      </c>
      <c r="T15" s="109">
        <f t="shared" si="7"/>
        <v>290.55</v>
      </c>
      <c r="U15" s="106">
        <v>30.58</v>
      </c>
      <c r="V15" s="109">
        <f t="shared" si="8"/>
        <v>290.55</v>
      </c>
      <c r="W15" s="110">
        <f t="shared" si="9"/>
        <v>1.8199185718759789</v>
      </c>
      <c r="X15" s="110">
        <f t="shared" si="27"/>
        <v>1.8199185718759789</v>
      </c>
      <c r="Y15" s="136">
        <v>159.65</v>
      </c>
      <c r="Z15" s="130">
        <v>159.65</v>
      </c>
      <c r="AA15" s="131">
        <v>0.55000000000000004</v>
      </c>
      <c r="AB15" s="112">
        <v>690</v>
      </c>
      <c r="AC15" s="133">
        <v>1227</v>
      </c>
      <c r="AD15" s="144" t="s">
        <v>217</v>
      </c>
      <c r="AE15" s="131">
        <v>76.11</v>
      </c>
      <c r="AF15" s="133">
        <v>155</v>
      </c>
      <c r="AG15" s="134">
        <v>5</v>
      </c>
      <c r="AH15" s="131">
        <v>3.1</v>
      </c>
      <c r="AI15" s="115">
        <f t="shared" si="10"/>
        <v>19.417475728155342</v>
      </c>
      <c r="AJ15" s="131">
        <v>117.75</v>
      </c>
      <c r="AK15" s="115">
        <f t="shared" si="11"/>
        <v>737.55089257751342</v>
      </c>
      <c r="AL15" s="131">
        <v>31.77</v>
      </c>
      <c r="AM15" s="116"/>
      <c r="AN15" s="135">
        <v>9.83</v>
      </c>
      <c r="AO15" s="466">
        <v>117.32</v>
      </c>
      <c r="AP15" s="110">
        <f t="shared" si="12"/>
        <v>0.41288052085166288</v>
      </c>
      <c r="AQ15" s="137" t="s">
        <v>204</v>
      </c>
      <c r="AR15" s="150">
        <v>8.08</v>
      </c>
      <c r="AS15" s="138">
        <v>7.44</v>
      </c>
      <c r="AT15" s="131"/>
      <c r="AU15" s="131">
        <v>5.81</v>
      </c>
      <c r="AV15" s="315">
        <v>284.14999999999998</v>
      </c>
      <c r="AW15" s="131">
        <v>2.65</v>
      </c>
      <c r="AX15" s="116"/>
      <c r="AY15" s="131"/>
      <c r="AZ15" s="109"/>
      <c r="BA15" s="598">
        <f t="shared" si="13"/>
        <v>159.64999999999998</v>
      </c>
      <c r="BB15" s="115">
        <f t="shared" si="29"/>
        <v>194.68773317843014</v>
      </c>
      <c r="BC15" s="140">
        <f t="shared" si="14"/>
        <v>5.2995792253521117</v>
      </c>
      <c r="BD15" s="141">
        <f t="shared" si="15"/>
        <v>6.3859999999999992</v>
      </c>
      <c r="BE15" s="128">
        <f t="shared" si="16"/>
        <v>0.71588716825966714</v>
      </c>
      <c r="BF15" s="141">
        <f t="shared" si="17"/>
        <v>11.685579225352111</v>
      </c>
      <c r="BG15" s="535">
        <v>0.92500000000000004</v>
      </c>
      <c r="BH15" s="16">
        <f t="shared" si="30"/>
        <v>1879.2804999999998</v>
      </c>
      <c r="BI15" s="16">
        <f t="shared" si="18"/>
        <v>220</v>
      </c>
      <c r="BJ15" s="16">
        <f t="shared" si="31"/>
        <v>1980</v>
      </c>
      <c r="BK15" s="17">
        <f t="shared" si="19"/>
        <v>1</v>
      </c>
      <c r="BL15" s="16">
        <f t="shared" si="32"/>
        <v>1980</v>
      </c>
      <c r="BM15" s="441">
        <f t="shared" si="33"/>
        <v>348.74600000000004</v>
      </c>
      <c r="BN15" s="266">
        <v>7.6890000000000001</v>
      </c>
      <c r="BO15" s="266">
        <v>85.18</v>
      </c>
      <c r="BP15" s="266"/>
      <c r="BQ15" s="266"/>
      <c r="BR15" s="266">
        <v>15.429</v>
      </c>
      <c r="BS15" s="603"/>
      <c r="BT15" s="199"/>
      <c r="BU15" s="200">
        <v>1.47</v>
      </c>
      <c r="BV15" s="200"/>
      <c r="BW15" s="200"/>
      <c r="BX15" s="200"/>
      <c r="BY15" s="208"/>
      <c r="BZ15" s="208">
        <v>2.41</v>
      </c>
      <c r="CA15" s="330"/>
      <c r="CB15" s="202">
        <v>36.26</v>
      </c>
      <c r="CC15" s="200">
        <v>43.12</v>
      </c>
      <c r="CD15" s="200">
        <v>43.19</v>
      </c>
      <c r="CE15" s="200"/>
      <c r="CF15" s="200"/>
      <c r="CG15" s="200">
        <v>33.96</v>
      </c>
      <c r="CH15" s="200"/>
      <c r="CI15" s="203"/>
      <c r="CJ15" s="204"/>
      <c r="CK15" s="230"/>
      <c r="CL15" s="266">
        <v>290.55</v>
      </c>
      <c r="CM15" s="265"/>
      <c r="CN15" s="202"/>
      <c r="CO15" s="208"/>
      <c r="CP15" s="208"/>
      <c r="CQ15" s="201"/>
      <c r="CR15" s="201"/>
      <c r="CS15" s="284"/>
      <c r="CT15" s="286">
        <f t="shared" si="20"/>
        <v>343.61943380000008</v>
      </c>
      <c r="CU15" s="29">
        <f t="shared" si="20"/>
        <v>7.6890000000000001</v>
      </c>
      <c r="CV15" s="594">
        <f t="shared" si="20"/>
        <v>85.18</v>
      </c>
      <c r="CW15" s="596"/>
      <c r="CX15" s="28">
        <f t="shared" si="20"/>
        <v>0</v>
      </c>
      <c r="CY15" s="24">
        <f t="shared" si="20"/>
        <v>15.0571611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290.55</v>
      </c>
      <c r="DD15" s="280">
        <f t="shared" si="21"/>
        <v>0</v>
      </c>
      <c r="DE15" s="508">
        <f t="shared" si="34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5"/>
        <v>0</v>
      </c>
      <c r="DM15" s="249">
        <v>356.14600000000002</v>
      </c>
      <c r="DN15" s="247">
        <f t="shared" si="36"/>
        <v>348.74600000000004</v>
      </c>
      <c r="DP15" s="266">
        <v>290.55</v>
      </c>
      <c r="DQ15" s="247">
        <f t="shared" si="37"/>
        <v>321.72000000000003</v>
      </c>
    </row>
    <row r="16" spans="1:121" ht="16.5" customHeight="1" thickBot="1">
      <c r="A16" s="534">
        <v>10</v>
      </c>
      <c r="B16" s="103">
        <f t="shared" si="24"/>
        <v>433.697</v>
      </c>
      <c r="C16" s="104">
        <f t="shared" si="0"/>
        <v>1.1134722628932183</v>
      </c>
      <c r="D16" s="448">
        <f t="shared" si="1"/>
        <v>428.8679042</v>
      </c>
      <c r="E16" s="104">
        <f t="shared" si="2"/>
        <v>37.78562999052334</v>
      </c>
      <c r="F16" s="128">
        <f t="shared" si="3"/>
        <v>2.1286355125064831</v>
      </c>
      <c r="G16" s="106"/>
      <c r="H16" s="107">
        <f t="shared" si="4"/>
        <v>1.6907013716307937</v>
      </c>
      <c r="I16" s="103">
        <f>'[1]сентябрь 20'!AE15</f>
        <v>0</v>
      </c>
      <c r="J16" s="328">
        <f>'[1]сентябрь 20'!AA15</f>
        <v>13.326000000000001</v>
      </c>
      <c r="K16" s="106">
        <v>24.55</v>
      </c>
      <c r="L16" s="328">
        <f>'[1]сентябрь 20'!AI15</f>
        <v>88.233000000000004</v>
      </c>
      <c r="M16" s="103">
        <f t="shared" si="5"/>
        <v>0.43793414087568955</v>
      </c>
      <c r="N16" s="103">
        <f>'[1]август 20'!W15</f>
        <v>0</v>
      </c>
      <c r="O16" s="103">
        <f>'[1]сентябрь 20'!AM15</f>
        <v>0</v>
      </c>
      <c r="P16" s="447">
        <f t="shared" si="25"/>
        <v>0</v>
      </c>
      <c r="Q16" s="103">
        <f t="shared" si="26"/>
        <v>0</v>
      </c>
      <c r="R16" s="103">
        <f>'[1]сентябрь 20'!S15</f>
        <v>286.01299999999998</v>
      </c>
      <c r="S16" s="108">
        <f t="shared" si="6"/>
        <v>2.8156062836304674</v>
      </c>
      <c r="T16" s="109">
        <f t="shared" si="7"/>
        <v>277.95999999999998</v>
      </c>
      <c r="U16" s="566">
        <v>18.329999999999998</v>
      </c>
      <c r="V16" s="109">
        <f t="shared" si="8"/>
        <v>277.95999999999998</v>
      </c>
      <c r="W16" s="110">
        <f t="shared" si="9"/>
        <v>1.3796218398763123</v>
      </c>
      <c r="X16" s="110">
        <f t="shared" si="27"/>
        <v>1.3796218398763123</v>
      </c>
      <c r="Y16" s="136">
        <v>201.48</v>
      </c>
      <c r="Z16" s="130">
        <v>201.48</v>
      </c>
      <c r="AA16" s="131">
        <v>0.56999999999999995</v>
      </c>
      <c r="AB16" s="112">
        <v>690</v>
      </c>
      <c r="AC16" s="133">
        <v>1217</v>
      </c>
      <c r="AD16" s="144" t="s">
        <v>149</v>
      </c>
      <c r="AE16" s="131">
        <v>75.86</v>
      </c>
      <c r="AF16" s="133">
        <v>147</v>
      </c>
      <c r="AG16" s="134">
        <v>5</v>
      </c>
      <c r="AH16" s="131"/>
      <c r="AI16" s="115">
        <f t="shared" si="10"/>
        <v>0</v>
      </c>
      <c r="AJ16" s="131">
        <v>129.4</v>
      </c>
      <c r="AK16" s="115">
        <f t="shared" si="11"/>
        <v>642.26171420346395</v>
      </c>
      <c r="AL16" s="139">
        <v>25.45</v>
      </c>
      <c r="AM16" s="131"/>
      <c r="AN16" s="136">
        <v>13.84</v>
      </c>
      <c r="AO16" s="466">
        <f t="shared" si="28"/>
        <v>50.0745</v>
      </c>
      <c r="AP16" s="110">
        <f t="shared" si="12"/>
        <v>0.19</v>
      </c>
      <c r="AQ16" s="137" t="s">
        <v>431</v>
      </c>
      <c r="AR16" s="150">
        <v>7.92</v>
      </c>
      <c r="AS16" s="138">
        <v>7.64</v>
      </c>
      <c r="AT16" s="131"/>
      <c r="AU16" s="131">
        <v>6.1</v>
      </c>
      <c r="AV16" s="315">
        <v>263.55</v>
      </c>
      <c r="AW16" s="131">
        <v>1.84</v>
      </c>
      <c r="AX16" s="116"/>
      <c r="AY16" s="131"/>
      <c r="AZ16" s="109"/>
      <c r="BA16" s="598">
        <f t="shared" si="13"/>
        <v>201.47550000000001</v>
      </c>
      <c r="BB16" s="115">
        <f t="shared" si="29"/>
        <v>186.48831218247474</v>
      </c>
      <c r="BC16" s="140">
        <f t="shared" si="14"/>
        <v>6.1146056338028174</v>
      </c>
      <c r="BD16" s="141">
        <f t="shared" si="15"/>
        <v>8.0590200000000003</v>
      </c>
      <c r="BE16" s="128">
        <f t="shared" si="16"/>
        <v>0.94315890063875596</v>
      </c>
      <c r="BF16" s="141">
        <f t="shared" si="17"/>
        <v>14.173625633802818</v>
      </c>
      <c r="BG16" s="535">
        <v>0.92700000000000005</v>
      </c>
      <c r="BH16" s="16">
        <f t="shared" si="30"/>
        <v>2080.7559999999999</v>
      </c>
      <c r="BI16" s="16">
        <f t="shared" si="18"/>
        <v>220</v>
      </c>
      <c r="BJ16" s="16">
        <f t="shared" si="31"/>
        <v>2200</v>
      </c>
      <c r="BK16" s="17">
        <f t="shared" si="19"/>
        <v>1</v>
      </c>
      <c r="BL16" s="16">
        <f t="shared" si="32"/>
        <v>2200</v>
      </c>
      <c r="BM16" s="441">
        <f t="shared" si="33"/>
        <v>330.65800000000002</v>
      </c>
      <c r="BN16" s="266">
        <v>7.3890000000000002</v>
      </c>
      <c r="BO16" s="266">
        <v>80.843999999999994</v>
      </c>
      <c r="BP16" s="266"/>
      <c r="BQ16" s="266"/>
      <c r="BR16" s="266">
        <v>14.805999999999999</v>
      </c>
      <c r="BS16" s="603"/>
      <c r="BT16" s="199"/>
      <c r="BU16" s="200">
        <v>1.37</v>
      </c>
      <c r="BV16" s="200"/>
      <c r="BW16" s="200"/>
      <c r="BX16" s="200"/>
      <c r="BY16" s="208"/>
      <c r="BZ16" s="208">
        <v>2.02</v>
      </c>
      <c r="CA16" s="201"/>
      <c r="CB16" s="202">
        <v>36.64</v>
      </c>
      <c r="CC16" s="200">
        <v>43.27</v>
      </c>
      <c r="CD16" s="200">
        <v>43.2</v>
      </c>
      <c r="CE16" s="200"/>
      <c r="CF16" s="200"/>
      <c r="CG16" s="200">
        <v>31.07</v>
      </c>
      <c r="CH16" s="200"/>
      <c r="CI16" s="203"/>
      <c r="CJ16" s="204"/>
      <c r="CK16" s="230"/>
      <c r="CL16" s="266">
        <v>277.95999999999998</v>
      </c>
      <c r="CM16" s="265"/>
      <c r="CN16" s="202"/>
      <c r="CO16" s="208"/>
      <c r="CP16" s="208"/>
      <c r="CQ16" s="201"/>
      <c r="CR16" s="201"/>
      <c r="CS16" s="284"/>
      <c r="CT16" s="286">
        <f t="shared" si="20"/>
        <v>326.1279854</v>
      </c>
      <c r="CU16" s="24">
        <f t="shared" si="20"/>
        <v>7.3890000000000002</v>
      </c>
      <c r="CV16" s="592">
        <f t="shared" si="20"/>
        <v>80.843999999999994</v>
      </c>
      <c r="CW16" s="596"/>
      <c r="CX16" s="28">
        <f t="shared" si="20"/>
        <v>0</v>
      </c>
      <c r="CY16" s="24">
        <f t="shared" si="20"/>
        <v>14.506918799999999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277.95999999999998</v>
      </c>
      <c r="DD16" s="280">
        <f t="shared" si="21"/>
        <v>0</v>
      </c>
      <c r="DE16" s="508">
        <f t="shared" si="34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5"/>
        <v>0</v>
      </c>
      <c r="DM16" s="249">
        <v>338.05799999999999</v>
      </c>
      <c r="DN16" s="247">
        <f t="shared" si="36"/>
        <v>330.65800000000002</v>
      </c>
      <c r="DP16" s="266">
        <v>277.95999999999998</v>
      </c>
      <c r="DQ16" s="247">
        <f t="shared" si="37"/>
        <v>309.13</v>
      </c>
    </row>
    <row r="17" spans="1:121" ht="16.5" customHeight="1" thickBot="1">
      <c r="A17" s="534">
        <v>11</v>
      </c>
      <c r="B17" s="103">
        <f t="shared" si="24"/>
        <v>449.20300000000003</v>
      </c>
      <c r="C17" s="104">
        <f t="shared" si="0"/>
        <v>1.212742946952714</v>
      </c>
      <c r="D17" s="448">
        <f t="shared" si="1"/>
        <v>443.75532230000005</v>
      </c>
      <c r="E17" s="104">
        <f t="shared" si="2"/>
        <v>37.807567380449363</v>
      </c>
      <c r="F17" s="128">
        <f t="shared" si="3"/>
        <v>2.115785464549397</v>
      </c>
      <c r="G17" s="106"/>
      <c r="H17" s="107">
        <f t="shared" si="4"/>
        <v>1.6783392525347405</v>
      </c>
      <c r="I17" s="103">
        <f>'[1]сентябрь 20'!AE16</f>
        <v>0</v>
      </c>
      <c r="J17" s="328">
        <f>'[1]сентябрь 20'!AA16</f>
        <v>14.742000000000001</v>
      </c>
      <c r="K17" s="106">
        <v>34.83</v>
      </c>
      <c r="L17" s="328">
        <f>'[1]сентябрь 20'!AI16</f>
        <v>91.748000000000005</v>
      </c>
      <c r="M17" s="103">
        <f t="shared" si="5"/>
        <v>0.4374462120146565</v>
      </c>
      <c r="N17" s="103">
        <f>'[1]август 20'!W16</f>
        <v>0</v>
      </c>
      <c r="O17" s="103">
        <f>'[1]сентябрь 20'!AM16</f>
        <v>0</v>
      </c>
      <c r="P17" s="447">
        <f t="shared" si="25"/>
        <v>0</v>
      </c>
      <c r="Q17" s="103">
        <f t="shared" si="26"/>
        <v>0</v>
      </c>
      <c r="R17" s="103">
        <f>'[1]сентябрь 20'!S16</f>
        <v>294.96499999999997</v>
      </c>
      <c r="S17" s="108">
        <f t="shared" si="6"/>
        <v>2.9545878324546915</v>
      </c>
      <c r="T17" s="109">
        <f t="shared" si="7"/>
        <v>286.25</v>
      </c>
      <c r="U17" s="106">
        <v>16.25</v>
      </c>
      <c r="V17" s="109">
        <f t="shared" si="8"/>
        <v>286.25</v>
      </c>
      <c r="W17" s="110">
        <f t="shared" si="9"/>
        <v>1.3648142541439099</v>
      </c>
      <c r="X17" s="110">
        <f t="shared" si="27"/>
        <v>1.3648142541439099</v>
      </c>
      <c r="Y17" s="136">
        <v>209.74</v>
      </c>
      <c r="Z17" s="130">
        <v>167.2</v>
      </c>
      <c r="AA17" s="131">
        <v>0.75</v>
      </c>
      <c r="AB17" s="112">
        <v>683</v>
      </c>
      <c r="AC17" s="133">
        <v>1227</v>
      </c>
      <c r="AD17" s="144" t="s">
        <v>232</v>
      </c>
      <c r="AE17" s="131">
        <v>75.95</v>
      </c>
      <c r="AF17" s="133">
        <v>152</v>
      </c>
      <c r="AG17" s="134">
        <v>5</v>
      </c>
      <c r="AH17" s="131">
        <v>3.25</v>
      </c>
      <c r="AI17" s="115">
        <f t="shared" si="10"/>
        <v>15.495707688970155</v>
      </c>
      <c r="AJ17" s="131">
        <v>111.95</v>
      </c>
      <c r="AK17" s="115">
        <f t="shared" si="11"/>
        <v>533.76753100929511</v>
      </c>
      <c r="AL17" s="139">
        <v>29.4</v>
      </c>
      <c r="AM17" s="131"/>
      <c r="AN17" s="136">
        <v>12.32</v>
      </c>
      <c r="AO17" s="466">
        <f t="shared" si="28"/>
        <v>51.404500000000006</v>
      </c>
      <c r="AP17" s="110">
        <f t="shared" si="12"/>
        <v>0.19</v>
      </c>
      <c r="AQ17" s="137" t="s">
        <v>240</v>
      </c>
      <c r="AR17" s="150">
        <v>8.36</v>
      </c>
      <c r="AS17" s="138">
        <v>7.36</v>
      </c>
      <c r="AT17" s="131"/>
      <c r="AU17" s="131">
        <v>5.31</v>
      </c>
      <c r="AV17" s="315">
        <v>270.55</v>
      </c>
      <c r="AW17" s="131">
        <v>2.91</v>
      </c>
      <c r="AX17" s="116"/>
      <c r="AY17" s="131"/>
      <c r="AZ17" s="109"/>
      <c r="BA17" s="598">
        <f t="shared" si="13"/>
        <v>209.7355</v>
      </c>
      <c r="BB17" s="115">
        <f t="shared" si="29"/>
        <v>192.84517411135494</v>
      </c>
      <c r="BC17" s="140">
        <f t="shared" si="14"/>
        <v>4.6049292253521124</v>
      </c>
      <c r="BD17" s="141">
        <f t="shared" si="15"/>
        <v>8.3894199999999994</v>
      </c>
      <c r="BE17" s="128">
        <f t="shared" si="16"/>
        <v>0.94946162040991866</v>
      </c>
      <c r="BF17" s="141">
        <f t="shared" si="17"/>
        <v>12.994349225352112</v>
      </c>
      <c r="BG17" s="535">
        <v>0.92900000000000005</v>
      </c>
      <c r="BH17" s="16">
        <f t="shared" si="30"/>
        <v>2290.4915000000001</v>
      </c>
      <c r="BI17" s="16">
        <f t="shared" si="18"/>
        <v>220</v>
      </c>
      <c r="BJ17" s="16">
        <f t="shared" si="31"/>
        <v>2420</v>
      </c>
      <c r="BK17" s="17">
        <f t="shared" si="19"/>
        <v>1</v>
      </c>
      <c r="BL17" s="16">
        <f t="shared" si="32"/>
        <v>2420</v>
      </c>
      <c r="BM17" s="441">
        <f t="shared" si="33"/>
        <v>342.27100000000002</v>
      </c>
      <c r="BN17" s="266">
        <v>7.6059999999999999</v>
      </c>
      <c r="BO17" s="266">
        <v>84.141999999999996</v>
      </c>
      <c r="BP17" s="266"/>
      <c r="BQ17" s="266"/>
      <c r="BR17" s="266">
        <v>15.183999999999999</v>
      </c>
      <c r="BS17" s="603"/>
      <c r="BT17" s="199"/>
      <c r="BU17" s="200">
        <v>1.51</v>
      </c>
      <c r="BV17" s="200"/>
      <c r="BW17" s="200"/>
      <c r="BX17" s="200"/>
      <c r="BY17" s="208"/>
      <c r="BZ17" s="208">
        <v>1.84</v>
      </c>
      <c r="CA17" s="201"/>
      <c r="CB17" s="202">
        <v>36.65</v>
      </c>
      <c r="CC17" s="200">
        <v>43.31</v>
      </c>
      <c r="CD17" s="200">
        <v>43.02</v>
      </c>
      <c r="CE17" s="200"/>
      <c r="CF17" s="208"/>
      <c r="CG17" s="208">
        <v>32.26</v>
      </c>
      <c r="CH17" s="201"/>
      <c r="CI17" s="608"/>
      <c r="CJ17" s="197"/>
      <c r="CK17" s="244"/>
      <c r="CL17" s="266">
        <v>286.25</v>
      </c>
      <c r="CM17" s="265"/>
      <c r="CN17" s="202"/>
      <c r="CO17" s="208"/>
      <c r="CP17" s="208"/>
      <c r="CQ17" s="201"/>
      <c r="CR17" s="201"/>
      <c r="CS17" s="284"/>
      <c r="CT17" s="286">
        <f t="shared" si="20"/>
        <v>337.10270790000004</v>
      </c>
      <c r="CU17" s="24">
        <f t="shared" si="20"/>
        <v>7.6059999999999999</v>
      </c>
      <c r="CV17" s="592">
        <f t="shared" si="20"/>
        <v>84.141999999999996</v>
      </c>
      <c r="CW17" s="590"/>
      <c r="CX17" s="28">
        <f t="shared" si="20"/>
        <v>0</v>
      </c>
      <c r="CY17" s="27">
        <f t="shared" si="20"/>
        <v>14.904614399999998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286.25</v>
      </c>
      <c r="DD17" s="280">
        <f t="shared" si="21"/>
        <v>0</v>
      </c>
      <c r="DE17" s="508">
        <f t="shared" si="34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5"/>
        <v>0</v>
      </c>
      <c r="DM17" s="249">
        <v>349.67099999999999</v>
      </c>
      <c r="DN17" s="247">
        <f t="shared" si="36"/>
        <v>342.27100000000002</v>
      </c>
      <c r="DP17" s="266">
        <v>286.25</v>
      </c>
      <c r="DQ17" s="247">
        <f t="shared" si="37"/>
        <v>317.42</v>
      </c>
    </row>
    <row r="18" spans="1:121" ht="16.5" customHeight="1" thickBot="1">
      <c r="A18" s="534">
        <v>12</v>
      </c>
      <c r="B18" s="103">
        <f t="shared" si="24"/>
        <v>376.75599999999997</v>
      </c>
      <c r="C18" s="104">
        <f t="shared" si="0"/>
        <v>1.5723727027572223</v>
      </c>
      <c r="D18" s="143">
        <f t="shared" si="1"/>
        <v>370.83199149999996</v>
      </c>
      <c r="E18" s="104">
        <f t="shared" si="2"/>
        <v>37.96003604454873</v>
      </c>
      <c r="F18" s="128">
        <f t="shared" si="3"/>
        <v>2.0909436429914598</v>
      </c>
      <c r="G18" s="106"/>
      <c r="H18" s="107">
        <f t="shared" si="4"/>
        <v>1.6578150819136008</v>
      </c>
      <c r="I18" s="103">
        <f>'[1]сентябрь 20'!AE17</f>
        <v>0</v>
      </c>
      <c r="J18" s="328">
        <f>'[1]сентябрь 20'!AA17</f>
        <v>12.795999999999999</v>
      </c>
      <c r="K18" s="106">
        <v>23.64</v>
      </c>
      <c r="L18" s="328">
        <f>'[1]сентябрь 20'!AI17</f>
        <v>76.816000000000003</v>
      </c>
      <c r="M18" s="103">
        <f t="shared" si="5"/>
        <v>0.43312856107785946</v>
      </c>
      <c r="N18" s="103">
        <f>'[1]август 20'!W17</f>
        <v>0</v>
      </c>
      <c r="O18" s="103">
        <f>'[1]сентябрь 20'!AM17</f>
        <v>0</v>
      </c>
      <c r="P18" s="447">
        <f t="shared" si="25"/>
        <v>0</v>
      </c>
      <c r="Q18" s="103">
        <f t="shared" si="26"/>
        <v>0</v>
      </c>
      <c r="R18" s="103">
        <f>'[1]сентябрь 20'!S17</f>
        <v>246.7</v>
      </c>
      <c r="S18" s="108">
        <f t="shared" si="6"/>
        <v>2.8739359546007148</v>
      </c>
      <c r="T18" s="109">
        <f t="shared" si="7"/>
        <v>239.61</v>
      </c>
      <c r="U18" s="566"/>
      <c r="V18" s="109">
        <f t="shared" si="8"/>
        <v>239.61</v>
      </c>
      <c r="W18" s="110">
        <f t="shared" si="9"/>
        <v>1.3510458045181462</v>
      </c>
      <c r="X18" s="110">
        <f t="shared" si="27"/>
        <v>1.3510458045181462</v>
      </c>
      <c r="Y18" s="136">
        <v>140.21</v>
      </c>
      <c r="Z18" s="130">
        <v>46.54</v>
      </c>
      <c r="AA18" s="131">
        <v>1.36</v>
      </c>
      <c r="AB18" s="112">
        <v>690</v>
      </c>
      <c r="AC18" s="133">
        <v>1208</v>
      </c>
      <c r="AD18" s="144" t="s">
        <v>432</v>
      </c>
      <c r="AE18" s="131">
        <v>75.569999999999993</v>
      </c>
      <c r="AF18" s="133">
        <v>128</v>
      </c>
      <c r="AG18" s="134">
        <v>5</v>
      </c>
      <c r="AH18" s="131">
        <v>4.4000000000000004</v>
      </c>
      <c r="AI18" s="115">
        <f t="shared" si="10"/>
        <v>24.809488501647856</v>
      </c>
      <c r="AJ18" s="131">
        <v>104.85</v>
      </c>
      <c r="AK18" s="115">
        <f t="shared" si="11"/>
        <v>591.19883395404042</v>
      </c>
      <c r="AL18" s="139">
        <v>25.54</v>
      </c>
      <c r="AM18" s="131"/>
      <c r="AN18" s="136">
        <v>11.63</v>
      </c>
      <c r="AO18" s="466">
        <f t="shared" si="28"/>
        <v>43.728500000000004</v>
      </c>
      <c r="AP18" s="110">
        <f t="shared" si="12"/>
        <v>0.19</v>
      </c>
      <c r="AQ18" s="137" t="s">
        <v>433</v>
      </c>
      <c r="AR18" s="150">
        <v>8.1999999999999993</v>
      </c>
      <c r="AS18" s="138">
        <v>8.34</v>
      </c>
      <c r="AT18" s="131"/>
      <c r="AU18" s="131">
        <v>5.66</v>
      </c>
      <c r="AV18" s="315">
        <v>230.15</v>
      </c>
      <c r="AW18" s="131">
        <v>2.56</v>
      </c>
      <c r="AX18" s="116"/>
      <c r="AY18" s="131"/>
      <c r="AZ18" s="109">
        <f t="shared" ref="AZ18:AZ37" si="38">IF(BA18=0,0,AY18/BA18*100)</f>
        <v>0</v>
      </c>
      <c r="BA18" s="598">
        <f t="shared" si="13"/>
        <v>177.35150000000002</v>
      </c>
      <c r="BB18" s="115">
        <f>IF(AE18=0,0,((D18*0.97)*(E18/100)*0.9)/(AE18/100))</f>
        <v>162.61800584633704</v>
      </c>
      <c r="BC18" s="140">
        <f t="shared" si="14"/>
        <v>4.5971556338028172</v>
      </c>
      <c r="BD18" s="141">
        <f t="shared" si="15"/>
        <v>7.0940600000000007</v>
      </c>
      <c r="BE18" s="128">
        <f t="shared" si="16"/>
        <v>0.9520954256830686</v>
      </c>
      <c r="BF18" s="141">
        <f t="shared" si="17"/>
        <v>11.691215633802818</v>
      </c>
      <c r="BG18" s="535">
        <v>0.93100000000000005</v>
      </c>
      <c r="BH18" s="16">
        <f t="shared" si="30"/>
        <v>2467.8430000000003</v>
      </c>
      <c r="BI18" s="16">
        <f t="shared" si="18"/>
        <v>220</v>
      </c>
      <c r="BJ18" s="16">
        <f t="shared" si="31"/>
        <v>2640</v>
      </c>
      <c r="BK18" s="17">
        <f t="shared" si="19"/>
        <v>1</v>
      </c>
      <c r="BL18" s="16">
        <f t="shared" si="32"/>
        <v>2640</v>
      </c>
      <c r="BM18" s="441">
        <f t="shared" si="33"/>
        <v>287.06700000000001</v>
      </c>
      <c r="BN18" s="266">
        <v>6.3970000000000002</v>
      </c>
      <c r="BO18" s="266">
        <v>70.418999999999997</v>
      </c>
      <c r="BP18" s="266"/>
      <c r="BQ18" s="266"/>
      <c r="BR18" s="266">
        <v>12.872999999999999</v>
      </c>
      <c r="BS18" s="603"/>
      <c r="BT18" s="199"/>
      <c r="BU18" s="200">
        <v>1.93</v>
      </c>
      <c r="BV18" s="200"/>
      <c r="BW18" s="200"/>
      <c r="BX18" s="200"/>
      <c r="BY18" s="208"/>
      <c r="BZ18" s="208">
        <v>2.98</v>
      </c>
      <c r="CA18" s="201"/>
      <c r="CB18" s="202">
        <v>36.83</v>
      </c>
      <c r="CC18" s="200">
        <v>43.29</v>
      </c>
      <c r="CD18" s="200">
        <v>43.3</v>
      </c>
      <c r="CE18" s="200"/>
      <c r="CF18" s="208"/>
      <c r="CG18" s="208">
        <v>31.3</v>
      </c>
      <c r="CH18" s="209"/>
      <c r="CI18" s="608"/>
      <c r="CJ18" s="197"/>
      <c r="CK18" s="268"/>
      <c r="CL18" s="289">
        <v>239.61</v>
      </c>
      <c r="CM18" s="267"/>
      <c r="CN18" s="202"/>
      <c r="CO18" s="208"/>
      <c r="CP18" s="208"/>
      <c r="CQ18" s="201"/>
      <c r="CR18" s="201"/>
      <c r="CS18" s="284"/>
      <c r="CT18" s="286">
        <f t="shared" si="20"/>
        <v>281.52660689999999</v>
      </c>
      <c r="CU18" s="24">
        <f t="shared" si="20"/>
        <v>6.3970000000000002</v>
      </c>
      <c r="CV18" s="589">
        <f t="shared" si="20"/>
        <v>70.418999999999997</v>
      </c>
      <c r="CW18" s="590"/>
      <c r="CX18" s="28">
        <f t="shared" si="20"/>
        <v>0</v>
      </c>
      <c r="CY18" s="30">
        <f t="shared" si="20"/>
        <v>12.489384599999999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239.61</v>
      </c>
      <c r="DD18" s="280">
        <f t="shared" si="21"/>
        <v>0</v>
      </c>
      <c r="DE18" s="508">
        <f t="shared" si="34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5"/>
        <v>0</v>
      </c>
      <c r="DM18" s="249">
        <v>294.46699999999998</v>
      </c>
      <c r="DN18" s="247">
        <f t="shared" si="36"/>
        <v>287.06700000000001</v>
      </c>
      <c r="DP18" s="289">
        <v>239.61</v>
      </c>
      <c r="DQ18" s="247">
        <f t="shared" si="37"/>
        <v>270.78000000000003</v>
      </c>
    </row>
    <row r="19" spans="1:121" ht="16.5" customHeight="1" thickBot="1">
      <c r="A19" s="534">
        <v>13</v>
      </c>
      <c r="B19" s="103">
        <f t="shared" si="24"/>
        <v>451.39400000000001</v>
      </c>
      <c r="C19" s="104">
        <f t="shared" si="0"/>
        <v>1.9338734896786403</v>
      </c>
      <c r="D19" s="143">
        <f t="shared" si="1"/>
        <v>442.66461109999995</v>
      </c>
      <c r="E19" s="104">
        <f>IF(B19=0,0,(BM19*CB19+BN19*CC19+BP19*CE19+BS19*CH19+BO19*CD19+BR19*CG19+BQ19*CF19)/B19)</f>
        <v>37.261943025383587</v>
      </c>
      <c r="F19" s="128">
        <f t="shared" si="3"/>
        <v>1.9609576152104864</v>
      </c>
      <c r="G19" s="106"/>
      <c r="H19" s="107">
        <f t="shared" si="4"/>
        <v>1.5545413557249748</v>
      </c>
      <c r="I19" s="103">
        <f>'[1]сентябрь 20'!AE18</f>
        <v>0</v>
      </c>
      <c r="J19" s="328">
        <f>'[1]сентябрь 20'!AA18</f>
        <v>15.198</v>
      </c>
      <c r="K19" s="106">
        <v>15.59</v>
      </c>
      <c r="L19" s="328">
        <f>'[1]сентябрь 20'!AI18</f>
        <v>91.744</v>
      </c>
      <c r="M19" s="103">
        <f t="shared" si="5"/>
        <v>0.40641625948551208</v>
      </c>
      <c r="N19" s="103">
        <f>'[1]август 20'!W18</f>
        <v>0</v>
      </c>
      <c r="O19" s="103">
        <f>'[1]сентябрь 20'!AM18</f>
        <v>0</v>
      </c>
      <c r="P19" s="447">
        <f t="shared" si="25"/>
        <v>0</v>
      </c>
      <c r="Q19" s="103">
        <f t="shared" si="26"/>
        <v>0</v>
      </c>
      <c r="R19" s="103">
        <f>'[1]сентябрь 20'!S18</f>
        <v>291.33499999999998</v>
      </c>
      <c r="S19" s="108">
        <f t="shared" si="6"/>
        <v>2.7476959513961341</v>
      </c>
      <c r="T19" s="109">
        <f t="shared" si="7"/>
        <v>283.33000000000004</v>
      </c>
      <c r="U19" s="566">
        <v>32.159999999999997</v>
      </c>
      <c r="V19" s="109">
        <f t="shared" si="8"/>
        <v>283.33000000000004</v>
      </c>
      <c r="W19" s="110">
        <f t="shared" si="9"/>
        <v>1.2551220657484974</v>
      </c>
      <c r="X19" s="110">
        <f t="shared" si="27"/>
        <v>1.2551220657484974</v>
      </c>
      <c r="Y19" s="136">
        <v>180.72</v>
      </c>
      <c r="Z19" s="130">
        <v>95.87</v>
      </c>
      <c r="AA19" s="131">
        <v>1.1100000000000001</v>
      </c>
      <c r="AB19" s="112">
        <v>682</v>
      </c>
      <c r="AC19" s="133">
        <v>1218</v>
      </c>
      <c r="AD19" s="144" t="s">
        <v>149</v>
      </c>
      <c r="AE19" s="131">
        <v>75.849999999999994</v>
      </c>
      <c r="AF19" s="133">
        <v>153</v>
      </c>
      <c r="AG19" s="134">
        <v>5</v>
      </c>
      <c r="AH19" s="131">
        <v>2.95</v>
      </c>
      <c r="AI19" s="115">
        <f t="shared" si="10"/>
        <v>13.068189369138699</v>
      </c>
      <c r="AJ19" s="131">
        <v>119.55</v>
      </c>
      <c r="AK19" s="115">
        <f t="shared" si="11"/>
        <v>529.59391155272237</v>
      </c>
      <c r="AL19" s="139">
        <v>34.74</v>
      </c>
      <c r="AM19" s="131"/>
      <c r="AN19" s="136">
        <v>14.64</v>
      </c>
      <c r="AO19" s="466">
        <f t="shared" si="28"/>
        <v>55.650999999999996</v>
      </c>
      <c r="AP19" s="110">
        <f t="shared" si="12"/>
        <v>0.19</v>
      </c>
      <c r="AQ19" s="137" t="s">
        <v>233</v>
      </c>
      <c r="AR19" s="150">
        <v>8.09</v>
      </c>
      <c r="AS19" s="138">
        <v>7.17</v>
      </c>
      <c r="AT19" s="134"/>
      <c r="AU19" s="131">
        <v>5.38</v>
      </c>
      <c r="AV19" s="315">
        <v>292.89999999999998</v>
      </c>
      <c r="AW19" s="131">
        <v>3.13</v>
      </c>
      <c r="AX19" s="116"/>
      <c r="AY19" s="131"/>
      <c r="AZ19" s="109">
        <f t="shared" si="38"/>
        <v>0</v>
      </c>
      <c r="BA19" s="598">
        <f t="shared" si="13"/>
        <v>225.73899999999998</v>
      </c>
      <c r="BB19" s="115">
        <f t="shared" si="29"/>
        <v>189.84491089459769</v>
      </c>
      <c r="BC19" s="140">
        <f t="shared" si="14"/>
        <v>4.9823725352112671</v>
      </c>
      <c r="BD19" s="141">
        <f t="shared" si="15"/>
        <v>9.02956</v>
      </c>
      <c r="BE19" s="128">
        <f t="shared" si="16"/>
        <v>1.0380586241230019</v>
      </c>
      <c r="BF19" s="141">
        <f t="shared" si="17"/>
        <v>14.011932535211267</v>
      </c>
      <c r="BG19" s="535">
        <v>0.93899999999999995</v>
      </c>
      <c r="BH19" s="16">
        <f t="shared" si="30"/>
        <v>2693.5820000000003</v>
      </c>
      <c r="BI19" s="16">
        <f t="shared" si="18"/>
        <v>220</v>
      </c>
      <c r="BJ19" s="16">
        <f t="shared" si="31"/>
        <v>2860</v>
      </c>
      <c r="BK19" s="17">
        <f t="shared" si="19"/>
        <v>1</v>
      </c>
      <c r="BL19" s="16">
        <f t="shared" si="32"/>
        <v>2860</v>
      </c>
      <c r="BM19" s="441">
        <f t="shared" si="33"/>
        <v>344.57100000000003</v>
      </c>
      <c r="BN19" s="266">
        <v>7.6020000000000003</v>
      </c>
      <c r="BO19" s="266">
        <v>84.141999999999996</v>
      </c>
      <c r="BP19" s="266"/>
      <c r="BQ19" s="266"/>
      <c r="BR19" s="266">
        <v>15.079000000000001</v>
      </c>
      <c r="BS19" s="604"/>
      <c r="BT19" s="199"/>
      <c r="BU19" s="200">
        <v>2.41</v>
      </c>
      <c r="BV19" s="200"/>
      <c r="BW19" s="200"/>
      <c r="BX19" s="200"/>
      <c r="BY19" s="208"/>
      <c r="BZ19" s="208">
        <v>2.82</v>
      </c>
      <c r="CA19" s="201"/>
      <c r="CB19" s="202">
        <v>35.96</v>
      </c>
      <c r="CC19" s="200">
        <v>43.07</v>
      </c>
      <c r="CD19" s="200">
        <v>43.01</v>
      </c>
      <c r="CE19" s="200"/>
      <c r="CF19" s="208"/>
      <c r="CG19" s="208">
        <v>32.01</v>
      </c>
      <c r="CH19" s="209"/>
      <c r="CI19" s="608"/>
      <c r="CJ19" s="197"/>
      <c r="CK19" s="197">
        <v>37.5</v>
      </c>
      <c r="CL19" s="197">
        <v>245.83</v>
      </c>
      <c r="CM19" s="198"/>
      <c r="CN19" s="202"/>
      <c r="CO19" s="208"/>
      <c r="CP19" s="208"/>
      <c r="CQ19" s="201"/>
      <c r="CR19" s="201"/>
      <c r="CS19" s="284"/>
      <c r="CT19" s="286">
        <f t="shared" si="20"/>
        <v>336.26683890000004</v>
      </c>
      <c r="CU19" s="24">
        <f t="shared" si="20"/>
        <v>7.6020000000000003</v>
      </c>
      <c r="CV19" s="25">
        <f t="shared" si="20"/>
        <v>84.141999999999996</v>
      </c>
      <c r="CW19" s="27">
        <f t="shared" si="20"/>
        <v>0</v>
      </c>
      <c r="CX19" s="27">
        <f t="shared" si="20"/>
        <v>0</v>
      </c>
      <c r="CY19" s="24">
        <f t="shared" si="20"/>
        <v>14.653772200000002</v>
      </c>
      <c r="CZ19" s="280">
        <f t="shared" si="20"/>
        <v>0</v>
      </c>
      <c r="DA19" s="237">
        <f t="shared" si="21"/>
        <v>0</v>
      </c>
      <c r="DB19" s="24">
        <f t="shared" si="21"/>
        <v>37.5</v>
      </c>
      <c r="DC19" s="277">
        <f t="shared" si="21"/>
        <v>245.83</v>
      </c>
      <c r="DD19" s="280">
        <f t="shared" si="21"/>
        <v>0</v>
      </c>
      <c r="DE19" s="508">
        <f t="shared" si="34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5"/>
        <v>0</v>
      </c>
      <c r="DM19" s="254">
        <v>351.971</v>
      </c>
      <c r="DN19" s="247">
        <f t="shared" si="36"/>
        <v>344.57100000000003</v>
      </c>
      <c r="DP19" s="197">
        <v>245.83</v>
      </c>
      <c r="DQ19" s="247">
        <f t="shared" si="37"/>
        <v>277</v>
      </c>
    </row>
    <row r="20" spans="1:121" ht="16.5" customHeight="1" thickBot="1">
      <c r="A20" s="534">
        <v>14</v>
      </c>
      <c r="B20" s="103">
        <f t="shared" si="24"/>
        <v>451.75600000000009</v>
      </c>
      <c r="C20" s="104">
        <f t="shared" si="0"/>
        <v>1.377207563374919</v>
      </c>
      <c r="D20" s="143">
        <f t="shared" si="1"/>
        <v>445.53438220000004</v>
      </c>
      <c r="E20" s="104">
        <f t="shared" si="2"/>
        <v>37.630386801724818</v>
      </c>
      <c r="F20" s="128">
        <f t="shared" si="3"/>
        <v>2.0474078838650978</v>
      </c>
      <c r="G20" s="106"/>
      <c r="H20" s="107">
        <f t="shared" si="4"/>
        <v>1.6253343483036089</v>
      </c>
      <c r="I20" s="103">
        <f>'[1]сентябрь 20'!AE19</f>
        <v>0</v>
      </c>
      <c r="J20" s="328">
        <f>'[1]сентябрь 20'!AA19</f>
        <v>15.417999999999999</v>
      </c>
      <c r="K20" s="106">
        <v>14.82</v>
      </c>
      <c r="L20" s="328">
        <f>'[1]сентябрь 20'!AI19</f>
        <v>91.846999999999994</v>
      </c>
      <c r="M20" s="103">
        <f t="shared" si="5"/>
        <v>0.42207353556148874</v>
      </c>
      <c r="N20" s="103">
        <f>'[1]август 20'!W19</f>
        <v>0</v>
      </c>
      <c r="O20" s="103">
        <f>'[1]сентябрь 20'!AM19</f>
        <v>0</v>
      </c>
      <c r="P20" s="447">
        <f t="shared" si="25"/>
        <v>0</v>
      </c>
      <c r="Q20" s="103">
        <f t="shared" si="26"/>
        <v>0</v>
      </c>
      <c r="R20" s="103">
        <f>'[1]сентябрь 20'!S19</f>
        <v>286.75400000000002</v>
      </c>
      <c r="S20" s="108">
        <f t="shared" si="6"/>
        <v>2.6622122097686551</v>
      </c>
      <c r="T20" s="109">
        <f t="shared" si="7"/>
        <v>279.12</v>
      </c>
      <c r="U20" s="566">
        <v>21.73</v>
      </c>
      <c r="V20" s="109">
        <f t="shared" si="8"/>
        <v>279.12</v>
      </c>
      <c r="W20" s="110">
        <f t="shared" si="9"/>
        <v>1.2826675367287199</v>
      </c>
      <c r="X20" s="110">
        <f t="shared" si="27"/>
        <v>1.2826675367287199</v>
      </c>
      <c r="Y20" s="136">
        <v>217.61</v>
      </c>
      <c r="Z20" s="130">
        <v>96.6</v>
      </c>
      <c r="AA20" s="131">
        <v>0.92</v>
      </c>
      <c r="AB20" s="112">
        <v>690</v>
      </c>
      <c r="AC20" s="133">
        <v>1223</v>
      </c>
      <c r="AD20" s="151" t="s">
        <v>434</v>
      </c>
      <c r="AE20" s="131">
        <v>75.58</v>
      </c>
      <c r="AF20" s="133">
        <v>153</v>
      </c>
      <c r="AG20" s="134">
        <v>5</v>
      </c>
      <c r="AH20" s="131"/>
      <c r="AI20" s="115">
        <f t="shared" si="10"/>
        <v>0</v>
      </c>
      <c r="AJ20" s="131">
        <v>124.95</v>
      </c>
      <c r="AK20" s="115">
        <f t="shared" si="11"/>
        <v>574.19500112587264</v>
      </c>
      <c r="AL20" s="139">
        <v>30.56</v>
      </c>
      <c r="AM20" s="131"/>
      <c r="AN20" s="136">
        <v>12.56</v>
      </c>
      <c r="AO20" s="466">
        <f t="shared" si="28"/>
        <v>53.370999999999995</v>
      </c>
      <c r="AP20" s="110">
        <f t="shared" si="12"/>
        <v>0.19</v>
      </c>
      <c r="AQ20" s="137" t="s">
        <v>168</v>
      </c>
      <c r="AR20" s="150">
        <v>7.88</v>
      </c>
      <c r="AS20" s="138">
        <v>7.99</v>
      </c>
      <c r="AT20" s="131"/>
      <c r="AU20" s="131">
        <v>5.77</v>
      </c>
      <c r="AV20" s="315">
        <v>280.89999999999998</v>
      </c>
      <c r="AW20" s="131">
        <v>2.64</v>
      </c>
      <c r="AX20" s="148"/>
      <c r="AY20" s="131"/>
      <c r="AZ20" s="109">
        <f t="shared" si="38"/>
        <v>0</v>
      </c>
      <c r="BA20" s="598">
        <f t="shared" si="13"/>
        <v>217.60899999999998</v>
      </c>
      <c r="BB20" s="115">
        <f t="shared" si="29"/>
        <v>193.6543527576807</v>
      </c>
      <c r="BC20" s="140">
        <f t="shared" si="14"/>
        <v>5.584913028169014</v>
      </c>
      <c r="BD20" s="141">
        <f t="shared" si="15"/>
        <v>8.7043599999999994</v>
      </c>
      <c r="BE20" s="128">
        <f t="shared" si="16"/>
        <v>0.98098831394568442</v>
      </c>
      <c r="BF20" s="141">
        <f t="shared" si="17"/>
        <v>14.289273028169013</v>
      </c>
      <c r="BG20" s="535">
        <v>0.94199999999999995</v>
      </c>
      <c r="BH20" s="16">
        <f t="shared" si="30"/>
        <v>2911.1910000000003</v>
      </c>
      <c r="BI20" s="16">
        <f t="shared" si="18"/>
        <v>220</v>
      </c>
      <c r="BJ20" s="16">
        <f t="shared" si="31"/>
        <v>3080</v>
      </c>
      <c r="BK20" s="17">
        <f t="shared" si="19"/>
        <v>1</v>
      </c>
      <c r="BL20" s="16">
        <f t="shared" si="32"/>
        <v>3080</v>
      </c>
      <c r="BM20" s="441">
        <f t="shared" si="33"/>
        <v>344.43800000000005</v>
      </c>
      <c r="BN20" s="266">
        <v>7.6870000000000003</v>
      </c>
      <c r="BO20" s="266">
        <v>84.16</v>
      </c>
      <c r="BP20" s="266"/>
      <c r="BQ20" s="266"/>
      <c r="BR20" s="266">
        <v>15.471</v>
      </c>
      <c r="BS20" s="603"/>
      <c r="BT20" s="199"/>
      <c r="BU20" s="200">
        <v>1.65</v>
      </c>
      <c r="BV20" s="200"/>
      <c r="BW20" s="200"/>
      <c r="BX20" s="200"/>
      <c r="BY20" s="208"/>
      <c r="BZ20" s="208">
        <v>3.48</v>
      </c>
      <c r="CA20" s="201"/>
      <c r="CB20" s="202">
        <v>36.44</v>
      </c>
      <c r="CC20" s="200">
        <v>43.3</v>
      </c>
      <c r="CD20" s="200">
        <v>43.24</v>
      </c>
      <c r="CE20" s="200"/>
      <c r="CF20" s="208"/>
      <c r="CG20" s="208">
        <v>30.8</v>
      </c>
      <c r="CH20" s="209"/>
      <c r="CI20" s="608"/>
      <c r="CJ20" s="197"/>
      <c r="CK20" s="197">
        <v>76.5</v>
      </c>
      <c r="CL20" s="197">
        <v>202.62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338.754773</v>
      </c>
      <c r="CU20" s="24">
        <f t="shared" si="20"/>
        <v>7.6870000000000003</v>
      </c>
      <c r="CV20" s="25">
        <f t="shared" si="20"/>
        <v>84.16</v>
      </c>
      <c r="CW20" s="24">
        <f t="shared" si="20"/>
        <v>0</v>
      </c>
      <c r="CX20" s="27">
        <f t="shared" si="20"/>
        <v>0</v>
      </c>
      <c r="CY20" s="30">
        <f t="shared" si="20"/>
        <v>14.9326092</v>
      </c>
      <c r="CZ20" s="280">
        <f t="shared" si="20"/>
        <v>0</v>
      </c>
      <c r="DA20" s="237">
        <f t="shared" si="21"/>
        <v>0</v>
      </c>
      <c r="DB20" s="29">
        <f t="shared" si="21"/>
        <v>76.5</v>
      </c>
      <c r="DC20" s="277">
        <f t="shared" si="21"/>
        <v>202.62</v>
      </c>
      <c r="DD20" s="280">
        <f t="shared" si="21"/>
        <v>0</v>
      </c>
      <c r="DE20" s="508">
        <f t="shared" si="34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5"/>
        <v>0</v>
      </c>
      <c r="DM20" s="254">
        <v>351.83800000000002</v>
      </c>
      <c r="DN20" s="247">
        <f t="shared" si="36"/>
        <v>344.43800000000005</v>
      </c>
      <c r="DP20" s="197">
        <v>202.62</v>
      </c>
      <c r="DQ20" s="247">
        <f t="shared" si="37"/>
        <v>233.79000000000002</v>
      </c>
    </row>
    <row r="21" spans="1:121" ht="16.5" customHeight="1" thickBot="1">
      <c r="A21" s="534">
        <v>15</v>
      </c>
      <c r="B21" s="103">
        <f t="shared" si="24"/>
        <v>445.40100000000001</v>
      </c>
      <c r="C21" s="104">
        <f t="shared" si="0"/>
        <v>1.2582945705106188</v>
      </c>
      <c r="D21" s="143">
        <f t="shared" si="1"/>
        <v>439.79654340000008</v>
      </c>
      <c r="E21" s="104">
        <f t="shared" si="2"/>
        <v>37.360007229440441</v>
      </c>
      <c r="F21" s="128">
        <f t="shared" si="3"/>
        <v>2.0504463341106876</v>
      </c>
      <c r="G21" s="106"/>
      <c r="H21" s="107">
        <f t="shared" si="4"/>
        <v>1.6283858198259857</v>
      </c>
      <c r="I21" s="103">
        <f>'[1]сентябрь 20'!AE20</f>
        <v>0</v>
      </c>
      <c r="J21" s="328">
        <f>'[1]сентябрь 20'!AA20</f>
        <v>16.372</v>
      </c>
      <c r="K21" s="106">
        <v>20.350000000000001</v>
      </c>
      <c r="L21" s="328">
        <f>'[1]сентябрь 20'!AI20</f>
        <v>90.527000000000001</v>
      </c>
      <c r="M21" s="103">
        <f t="shared" si="5"/>
        <v>0.42206051428470187</v>
      </c>
      <c r="N21" s="103">
        <f>'[1]август 20'!W20</f>
        <v>0</v>
      </c>
      <c r="O21" s="103">
        <f>'[1]сентябрь 20'!AM20</f>
        <v>0</v>
      </c>
      <c r="P21" s="447">
        <f t="shared" si="25"/>
        <v>0</v>
      </c>
      <c r="Q21" s="103">
        <f t="shared" si="26"/>
        <v>0</v>
      </c>
      <c r="R21" s="103">
        <f>'[1]сентябрь 20'!S20</f>
        <v>278.89400000000001</v>
      </c>
      <c r="S21" s="108">
        <f t="shared" si="6"/>
        <v>2.6260873306704346</v>
      </c>
      <c r="T21" s="109">
        <f t="shared" si="7"/>
        <v>271.57</v>
      </c>
      <c r="U21" s="566">
        <v>2.59</v>
      </c>
      <c r="V21" s="109">
        <f t="shared" si="8"/>
        <v>271.57</v>
      </c>
      <c r="W21" s="110">
        <f t="shared" si="9"/>
        <v>1.2661302579815576</v>
      </c>
      <c r="X21" s="110">
        <f t="shared" si="27"/>
        <v>1.2661302579815576</v>
      </c>
      <c r="Y21" s="136">
        <v>214.49</v>
      </c>
      <c r="Z21" s="130">
        <v>124.53</v>
      </c>
      <c r="AA21" s="131">
        <v>1</v>
      </c>
      <c r="AB21" s="112">
        <v>689</v>
      </c>
      <c r="AC21" s="133">
        <v>1231</v>
      </c>
      <c r="AD21" s="151" t="s">
        <v>192</v>
      </c>
      <c r="AE21" s="131">
        <v>75.790000000000006</v>
      </c>
      <c r="AF21" s="133">
        <v>151</v>
      </c>
      <c r="AG21" s="134">
        <v>5</v>
      </c>
      <c r="AH21" s="131">
        <v>3.1</v>
      </c>
      <c r="AI21" s="115">
        <f t="shared" si="10"/>
        <v>14.453009536188935</v>
      </c>
      <c r="AJ21" s="131">
        <v>122.35</v>
      </c>
      <c r="AK21" s="115">
        <f t="shared" si="11"/>
        <v>570.42765056539224</v>
      </c>
      <c r="AL21" s="139">
        <v>33.020000000000003</v>
      </c>
      <c r="AM21" s="131"/>
      <c r="AN21" s="136">
        <v>15.91</v>
      </c>
      <c r="AO21" s="466">
        <f t="shared" si="28"/>
        <v>53.431800000000003</v>
      </c>
      <c r="AP21" s="110">
        <f t="shared" si="12"/>
        <v>0.19</v>
      </c>
      <c r="AQ21" s="137" t="s">
        <v>159</v>
      </c>
      <c r="AR21" s="150">
        <v>7.83</v>
      </c>
      <c r="AS21" s="138">
        <v>7.8</v>
      </c>
      <c r="AT21" s="131"/>
      <c r="AU21" s="131">
        <v>5.84</v>
      </c>
      <c r="AV21" s="315">
        <v>281.22000000000003</v>
      </c>
      <c r="AW21" s="131">
        <v>2.61</v>
      </c>
      <c r="AX21" s="116"/>
      <c r="AY21" s="131"/>
      <c r="AZ21" s="109">
        <f t="shared" si="38"/>
        <v>0</v>
      </c>
      <c r="BA21" s="598">
        <f t="shared" si="13"/>
        <v>214.48820000000003</v>
      </c>
      <c r="BB21" s="115">
        <f t="shared" si="29"/>
        <v>189.26098669628891</v>
      </c>
      <c r="BC21" s="140">
        <f t="shared" si="14"/>
        <v>5.5350450704225356</v>
      </c>
      <c r="BD21" s="141">
        <f t="shared" si="15"/>
        <v>8.5795280000000016</v>
      </c>
      <c r="BE21" s="128">
        <f t="shared" si="16"/>
        <v>0.98936501319461623</v>
      </c>
      <c r="BF21" s="141">
        <f t="shared" si="17"/>
        <v>14.114573070422537</v>
      </c>
      <c r="BG21" s="535">
        <v>0.94499999999999995</v>
      </c>
      <c r="BH21" s="16">
        <f t="shared" si="30"/>
        <v>3125.6792000000005</v>
      </c>
      <c r="BI21" s="16">
        <f t="shared" si="18"/>
        <v>220</v>
      </c>
      <c r="BJ21" s="16">
        <f t="shared" si="31"/>
        <v>3300</v>
      </c>
      <c r="BK21" s="17">
        <f t="shared" si="19"/>
        <v>1</v>
      </c>
      <c r="BL21" s="16">
        <f t="shared" si="32"/>
        <v>3300</v>
      </c>
      <c r="BM21" s="441">
        <f t="shared" si="33"/>
        <v>339.92900000000003</v>
      </c>
      <c r="BN21" s="266">
        <v>7.484</v>
      </c>
      <c r="BO21" s="266">
        <v>83.043000000000006</v>
      </c>
      <c r="BP21" s="266"/>
      <c r="BQ21" s="266"/>
      <c r="BR21" s="266">
        <v>14.945</v>
      </c>
      <c r="BS21" s="603"/>
      <c r="BT21" s="199"/>
      <c r="BU21" s="200">
        <v>1.49</v>
      </c>
      <c r="BV21" s="200"/>
      <c r="BW21" s="200"/>
      <c r="BX21" s="200"/>
      <c r="BY21" s="208"/>
      <c r="BZ21" s="208">
        <v>3.61</v>
      </c>
      <c r="CA21" s="201"/>
      <c r="CB21" s="202">
        <v>36.11</v>
      </c>
      <c r="CC21" s="200">
        <v>43.09</v>
      </c>
      <c r="CD21" s="200">
        <v>43.06</v>
      </c>
      <c r="CE21" s="200"/>
      <c r="CF21" s="208"/>
      <c r="CG21" s="208">
        <v>31.25</v>
      </c>
      <c r="CH21" s="209"/>
      <c r="CI21" s="608"/>
      <c r="CJ21" s="197"/>
      <c r="CK21" s="197">
        <v>75.5</v>
      </c>
      <c r="CL21" s="197">
        <v>196.07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334.86405790000003</v>
      </c>
      <c r="CU21" s="27">
        <f t="shared" si="20"/>
        <v>7.484</v>
      </c>
      <c r="CV21" s="28">
        <f t="shared" si="20"/>
        <v>83.043000000000006</v>
      </c>
      <c r="CW21" s="27">
        <f t="shared" si="20"/>
        <v>0</v>
      </c>
      <c r="CX21" s="27">
        <f t="shared" si="20"/>
        <v>0</v>
      </c>
      <c r="CY21" s="24">
        <f t="shared" si="20"/>
        <v>14.405485499999999</v>
      </c>
      <c r="CZ21" s="281">
        <f t="shared" si="20"/>
        <v>0</v>
      </c>
      <c r="DA21" s="237">
        <f t="shared" si="21"/>
        <v>0</v>
      </c>
      <c r="DB21" s="24">
        <f t="shared" si="21"/>
        <v>75.5</v>
      </c>
      <c r="DC21" s="277">
        <f t="shared" si="21"/>
        <v>196.07</v>
      </c>
      <c r="DD21" s="280">
        <f t="shared" si="21"/>
        <v>0</v>
      </c>
      <c r="DE21" s="508">
        <f t="shared" si="34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5"/>
        <v>0</v>
      </c>
      <c r="DM21" s="254">
        <v>347.32900000000001</v>
      </c>
      <c r="DN21" s="247">
        <f t="shared" si="36"/>
        <v>339.92900000000003</v>
      </c>
      <c r="DP21" s="197">
        <v>196.07</v>
      </c>
      <c r="DQ21" s="247">
        <f t="shared" si="37"/>
        <v>227.24</v>
      </c>
    </row>
    <row r="22" spans="1:121" ht="16.5" customHeight="1" thickBot="1">
      <c r="A22" s="534">
        <v>16</v>
      </c>
      <c r="B22" s="103">
        <f t="shared" si="24"/>
        <v>388.97200000000004</v>
      </c>
      <c r="C22" s="104">
        <f t="shared" si="0"/>
        <v>1.8283403175549913</v>
      </c>
      <c r="D22" s="143">
        <f t="shared" si="1"/>
        <v>381.86026810000004</v>
      </c>
      <c r="E22" s="104">
        <f t="shared" si="2"/>
        <v>38.00540383369497</v>
      </c>
      <c r="F22" s="128">
        <f t="shared" si="3"/>
        <v>1.7298391752624023</v>
      </c>
      <c r="G22" s="106"/>
      <c r="H22" s="107">
        <f t="shared" si="4"/>
        <v>1.3705125191960101</v>
      </c>
      <c r="I22" s="103">
        <f>'[1]сентябрь 20'!AE21</f>
        <v>0</v>
      </c>
      <c r="J22" s="328">
        <f>'[1]сентябрь 20'!AA21</f>
        <v>13.278</v>
      </c>
      <c r="K22" s="106">
        <v>15.56</v>
      </c>
      <c r="L22" s="328">
        <f>'[1]сентябрь 20'!AI21</f>
        <v>79.320999999999998</v>
      </c>
      <c r="M22" s="103">
        <f t="shared" si="5"/>
        <v>0.35932665606639214</v>
      </c>
      <c r="N22" s="103">
        <f>'[1]август 20'!W21</f>
        <v>0</v>
      </c>
      <c r="O22" s="103">
        <f>'[1]сентябрь 20'!AM21</f>
        <v>0</v>
      </c>
      <c r="P22" s="447">
        <f t="shared" si="25"/>
        <v>0</v>
      </c>
      <c r="Q22" s="103">
        <f t="shared" si="26"/>
        <v>0</v>
      </c>
      <c r="R22" s="103">
        <f>'[1]сентябрь 20'!S21</f>
        <v>241.303</v>
      </c>
      <c r="S22" s="108">
        <f t="shared" si="6"/>
        <v>3.0264853731615471</v>
      </c>
      <c r="T22" s="109">
        <f t="shared" si="7"/>
        <v>234</v>
      </c>
      <c r="U22" s="566">
        <v>38.74</v>
      </c>
      <c r="V22" s="109">
        <f t="shared" si="8"/>
        <v>234</v>
      </c>
      <c r="W22" s="110">
        <f t="shared" si="9"/>
        <v>1.0600274519929875</v>
      </c>
      <c r="X22" s="110">
        <f t="shared" si="27"/>
        <v>1.0600274519929875</v>
      </c>
      <c r="Y22" s="136">
        <v>220.75</v>
      </c>
      <c r="Z22" s="129">
        <v>180.9</v>
      </c>
      <c r="AA22" s="131">
        <v>0.89</v>
      </c>
      <c r="AB22" s="112">
        <v>664</v>
      </c>
      <c r="AC22" s="152">
        <v>1230</v>
      </c>
      <c r="AD22" s="144" t="s">
        <v>142</v>
      </c>
      <c r="AE22" s="131">
        <v>76.25</v>
      </c>
      <c r="AF22" s="133">
        <v>132</v>
      </c>
      <c r="AG22" s="134">
        <v>5</v>
      </c>
      <c r="AH22" s="131">
        <v>4.05</v>
      </c>
      <c r="AI22" s="115">
        <f t="shared" si="10"/>
        <v>18.346628976801707</v>
      </c>
      <c r="AJ22" s="131">
        <v>145.80000000000001</v>
      </c>
      <c r="AK22" s="115">
        <f t="shared" si="11"/>
        <v>660.47864316486152</v>
      </c>
      <c r="AL22" s="139">
        <v>31.16</v>
      </c>
      <c r="AM22" s="131"/>
      <c r="AN22" s="136">
        <v>14.86</v>
      </c>
      <c r="AO22" s="466">
        <f t="shared" si="28"/>
        <v>54.320999999999998</v>
      </c>
      <c r="AP22" s="110">
        <f t="shared" si="12"/>
        <v>0.19</v>
      </c>
      <c r="AQ22" s="137" t="s">
        <v>177</v>
      </c>
      <c r="AR22" s="150">
        <v>7.51</v>
      </c>
      <c r="AS22" s="138">
        <v>7.75</v>
      </c>
      <c r="AT22" s="134"/>
      <c r="AU22" s="131">
        <v>7.08</v>
      </c>
      <c r="AV22" s="315">
        <v>285.89999999999998</v>
      </c>
      <c r="AW22" s="131">
        <v>4.03</v>
      </c>
      <c r="AX22" s="116"/>
      <c r="AY22" s="131"/>
      <c r="AZ22" s="109">
        <f t="shared" si="38"/>
        <v>0</v>
      </c>
      <c r="BA22" s="598">
        <f t="shared" si="13"/>
        <v>220.749</v>
      </c>
      <c r="BB22" s="115">
        <f t="shared" si="29"/>
        <v>166.15913413299967</v>
      </c>
      <c r="BC22" s="140">
        <f t="shared" si="14"/>
        <v>7.9964112676056347</v>
      </c>
      <c r="BD22" s="141">
        <f t="shared" si="15"/>
        <v>8.8299599999999998</v>
      </c>
      <c r="BE22" s="128">
        <f t="shared" si="16"/>
        <v>1.1598151254552458</v>
      </c>
      <c r="BF22" s="141">
        <f t="shared" si="17"/>
        <v>16.826371267605634</v>
      </c>
      <c r="BG22" s="535">
        <v>0.95699999999999996</v>
      </c>
      <c r="BH22" s="16">
        <f t="shared" si="30"/>
        <v>3346.4282000000003</v>
      </c>
      <c r="BI22" s="16">
        <f t="shared" si="18"/>
        <v>220</v>
      </c>
      <c r="BJ22" s="16">
        <f t="shared" si="31"/>
        <v>3520</v>
      </c>
      <c r="BK22" s="17">
        <f t="shared" si="19"/>
        <v>1</v>
      </c>
      <c r="BL22" s="16">
        <f t="shared" si="32"/>
        <v>3520</v>
      </c>
      <c r="BM22" s="441">
        <f t="shared" si="33"/>
        <v>296.43600000000004</v>
      </c>
      <c r="BN22" s="266">
        <v>6.6840000000000002</v>
      </c>
      <c r="BO22" s="266">
        <v>72.637</v>
      </c>
      <c r="BP22" s="266"/>
      <c r="BQ22" s="266"/>
      <c r="BR22" s="266">
        <v>13.215</v>
      </c>
      <c r="BS22" s="604"/>
      <c r="BT22" s="199"/>
      <c r="BU22" s="200">
        <v>2.19</v>
      </c>
      <c r="BV22" s="200"/>
      <c r="BW22" s="200"/>
      <c r="BX22" s="200"/>
      <c r="BY22" s="208"/>
      <c r="BZ22" s="208">
        <v>4.6900000000000004</v>
      </c>
      <c r="CA22" s="201"/>
      <c r="CB22" s="202">
        <v>36.950000000000003</v>
      </c>
      <c r="CC22" s="200">
        <v>43.21</v>
      </c>
      <c r="CD22" s="200">
        <v>43.15</v>
      </c>
      <c r="CE22" s="200"/>
      <c r="CF22" s="208"/>
      <c r="CG22" s="208">
        <v>30.77</v>
      </c>
      <c r="CH22" s="201"/>
      <c r="CI22" s="608"/>
      <c r="CJ22" s="197"/>
      <c r="CK22" s="197">
        <v>66</v>
      </c>
      <c r="CL22" s="197">
        <v>168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289.94405160000002</v>
      </c>
      <c r="CU22" s="29">
        <f t="shared" si="20"/>
        <v>6.6840000000000002</v>
      </c>
      <c r="CV22" s="30">
        <f t="shared" si="20"/>
        <v>72.637</v>
      </c>
      <c r="CW22" s="29">
        <f t="shared" si="20"/>
        <v>0</v>
      </c>
      <c r="CX22" s="27">
        <f t="shared" si="20"/>
        <v>0</v>
      </c>
      <c r="CY22" s="24">
        <f t="shared" si="20"/>
        <v>12.595216500000001</v>
      </c>
      <c r="CZ22" s="282">
        <f t="shared" si="20"/>
        <v>0</v>
      </c>
      <c r="DA22" s="237">
        <f t="shared" si="21"/>
        <v>0</v>
      </c>
      <c r="DB22" s="24">
        <f t="shared" si="21"/>
        <v>66</v>
      </c>
      <c r="DC22" s="277">
        <f t="shared" si="21"/>
        <v>168</v>
      </c>
      <c r="DD22" s="280">
        <f t="shared" si="21"/>
        <v>0</v>
      </c>
      <c r="DE22" s="508">
        <f t="shared" si="34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5"/>
        <v>0</v>
      </c>
      <c r="DM22" s="254">
        <v>303.83600000000001</v>
      </c>
      <c r="DN22" s="247">
        <f t="shared" si="36"/>
        <v>296.43600000000004</v>
      </c>
      <c r="DP22" s="197">
        <v>168</v>
      </c>
      <c r="DQ22" s="247">
        <f t="shared" si="37"/>
        <v>199.17000000000002</v>
      </c>
    </row>
    <row r="23" spans="1:121" ht="16.5" customHeight="1" thickBot="1">
      <c r="A23" s="534">
        <v>17</v>
      </c>
      <c r="B23" s="103">
        <f t="shared" si="24"/>
        <v>343.66100000000006</v>
      </c>
      <c r="C23" s="104">
        <f t="shared" si="0"/>
        <v>1.7012465190987629</v>
      </c>
      <c r="D23" s="143">
        <f t="shared" si="1"/>
        <v>337.81447920000005</v>
      </c>
      <c r="E23" s="104">
        <f t="shared" si="2"/>
        <v>37.662154477813893</v>
      </c>
      <c r="F23" s="128">
        <f t="shared" si="3"/>
        <v>2.8682429088747856</v>
      </c>
      <c r="G23" s="106"/>
      <c r="H23" s="107">
        <f t="shared" si="4"/>
        <v>2.2719999932075314</v>
      </c>
      <c r="I23" s="103">
        <f>'[1]сентябрь 20'!AE22</f>
        <v>0</v>
      </c>
      <c r="J23" s="328">
        <f>'[1]сентябрь 20'!AA22</f>
        <v>11.617000000000001</v>
      </c>
      <c r="K23" s="106">
        <v>15.38</v>
      </c>
      <c r="L23" s="328">
        <f>'[1]сентябрь 20'!AI22</f>
        <v>70.224000000000004</v>
      </c>
      <c r="M23" s="103">
        <f t="shared" si="5"/>
        <v>0.59624291566725407</v>
      </c>
      <c r="N23" s="103">
        <f>'[1]август 20'!W22</f>
        <v>0</v>
      </c>
      <c r="O23" s="103">
        <f>'[1]сентябрь 20'!AM22</f>
        <v>0</v>
      </c>
      <c r="P23" s="447">
        <f t="shared" si="25"/>
        <v>0</v>
      </c>
      <c r="Q23" s="103">
        <f t="shared" si="26"/>
        <v>0</v>
      </c>
      <c r="R23" s="103">
        <f>'[1]сентябрь 20'!S22</f>
        <v>219.578</v>
      </c>
      <c r="S23" s="108">
        <f t="shared" si="6"/>
        <v>3.2052391405332115</v>
      </c>
      <c r="T23" s="109">
        <f t="shared" si="7"/>
        <v>212.54</v>
      </c>
      <c r="U23" s="566">
        <v>20.149999999999999</v>
      </c>
      <c r="V23" s="109">
        <f t="shared" si="8"/>
        <v>212.54</v>
      </c>
      <c r="W23" s="110">
        <f t="shared" si="9"/>
        <v>1.804589161766891</v>
      </c>
      <c r="X23" s="110">
        <f t="shared" si="27"/>
        <v>1.804589161766891</v>
      </c>
      <c r="Y23" s="136">
        <v>117.78</v>
      </c>
      <c r="Z23" s="129">
        <v>117.78</v>
      </c>
      <c r="AA23" s="131">
        <v>0.43</v>
      </c>
      <c r="AB23" s="112">
        <v>596</v>
      </c>
      <c r="AC23" s="133">
        <v>1141</v>
      </c>
      <c r="AD23" s="144" t="s">
        <v>435</v>
      </c>
      <c r="AE23" s="131">
        <v>75.92</v>
      </c>
      <c r="AF23" s="133">
        <v>118</v>
      </c>
      <c r="AG23" s="134">
        <v>3</v>
      </c>
      <c r="AH23" s="131">
        <v>4.4000000000000004</v>
      </c>
      <c r="AI23" s="115">
        <f t="shared" si="10"/>
        <v>37.358578675893106</v>
      </c>
      <c r="AJ23" s="131">
        <v>78.8</v>
      </c>
      <c r="AK23" s="115">
        <f t="shared" si="11"/>
        <v>669.05818174099477</v>
      </c>
      <c r="AL23" s="139">
        <v>18.850000000000001</v>
      </c>
      <c r="AM23" s="131"/>
      <c r="AN23" s="136">
        <v>11.23</v>
      </c>
      <c r="AO23" s="466">
        <f t="shared" si="28"/>
        <v>29.592500000000001</v>
      </c>
      <c r="AP23" s="110">
        <f t="shared" si="12"/>
        <v>0.19</v>
      </c>
      <c r="AQ23" s="137" t="s">
        <v>276</v>
      </c>
      <c r="AR23" s="150">
        <v>7.34</v>
      </c>
      <c r="AS23" s="138">
        <v>7.23</v>
      </c>
      <c r="AT23" s="134"/>
      <c r="AU23" s="131">
        <v>8.69</v>
      </c>
      <c r="AV23" s="315">
        <v>155.75</v>
      </c>
      <c r="AW23" s="131">
        <v>2.85</v>
      </c>
      <c r="AX23" s="116"/>
      <c r="AY23" s="131"/>
      <c r="AZ23" s="109">
        <f t="shared" si="38"/>
        <v>0</v>
      </c>
      <c r="BA23" s="598">
        <f t="shared" si="13"/>
        <v>117.77749999999999</v>
      </c>
      <c r="BB23" s="115">
        <f t="shared" si="29"/>
        <v>146.29903610000821</v>
      </c>
      <c r="BC23" s="140">
        <f t="shared" si="14"/>
        <v>5.304571830985914</v>
      </c>
      <c r="BD23" s="141">
        <f t="shared" si="15"/>
        <v>4.7111000000000001</v>
      </c>
      <c r="BE23" s="128">
        <f t="shared" si="16"/>
        <v>0.70280543358955327</v>
      </c>
      <c r="BF23" s="141">
        <f t="shared" si="17"/>
        <v>10.015671830985914</v>
      </c>
      <c r="BG23" s="535">
        <v>0.94499999999999995</v>
      </c>
      <c r="BH23" s="16">
        <f t="shared" si="30"/>
        <v>3464.2057000000004</v>
      </c>
      <c r="BI23" s="16">
        <f t="shared" si="18"/>
        <v>220</v>
      </c>
      <c r="BJ23" s="16">
        <f t="shared" si="31"/>
        <v>3740</v>
      </c>
      <c r="BK23" s="17">
        <f t="shared" si="19"/>
        <v>1</v>
      </c>
      <c r="BL23" s="16">
        <f t="shared" si="32"/>
        <v>3740</v>
      </c>
      <c r="BM23" s="441">
        <f t="shared" si="33"/>
        <v>261.74100000000004</v>
      </c>
      <c r="BN23" s="266">
        <v>5.8929999999999998</v>
      </c>
      <c r="BO23" s="266">
        <v>64.331000000000003</v>
      </c>
      <c r="BP23" s="266"/>
      <c r="BQ23" s="266"/>
      <c r="BR23" s="266">
        <v>11.696</v>
      </c>
      <c r="BS23" s="604"/>
      <c r="BT23" s="199"/>
      <c r="BU23" s="200">
        <v>2</v>
      </c>
      <c r="BV23" s="200"/>
      <c r="BW23" s="200"/>
      <c r="BX23" s="200"/>
      <c r="BY23" s="208"/>
      <c r="BZ23" s="208">
        <v>5.23</v>
      </c>
      <c r="CA23" s="201"/>
      <c r="CB23" s="202">
        <v>36.380000000000003</v>
      </c>
      <c r="CC23" s="200">
        <v>43.29</v>
      </c>
      <c r="CD23" s="200">
        <v>42.92</v>
      </c>
      <c r="CE23" s="200"/>
      <c r="CF23" s="208"/>
      <c r="CG23" s="208">
        <v>34.6</v>
      </c>
      <c r="CH23" s="209"/>
      <c r="CI23" s="608"/>
      <c r="CJ23" s="197"/>
      <c r="CK23" s="197">
        <v>58.5</v>
      </c>
      <c r="CL23" s="197">
        <v>154.04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256.50618000000003</v>
      </c>
      <c r="CU23" s="24">
        <f t="shared" si="20"/>
        <v>5.8929999999999998</v>
      </c>
      <c r="CV23" s="25">
        <f t="shared" si="20"/>
        <v>64.331000000000003</v>
      </c>
      <c r="CW23" s="24">
        <f t="shared" si="20"/>
        <v>0</v>
      </c>
      <c r="CX23" s="27">
        <f t="shared" si="20"/>
        <v>0</v>
      </c>
      <c r="CY23" s="24">
        <f t="shared" si="20"/>
        <v>11.0842992</v>
      </c>
      <c r="CZ23" s="280">
        <f t="shared" si="20"/>
        <v>0</v>
      </c>
      <c r="DA23" s="237">
        <f t="shared" si="21"/>
        <v>0</v>
      </c>
      <c r="DB23" s="29">
        <f t="shared" si="21"/>
        <v>58.5</v>
      </c>
      <c r="DC23" s="277">
        <f t="shared" si="21"/>
        <v>154.04</v>
      </c>
      <c r="DD23" s="280">
        <f t="shared" si="21"/>
        <v>0</v>
      </c>
      <c r="DE23" s="508">
        <f t="shared" si="34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5"/>
        <v>0</v>
      </c>
      <c r="DM23" s="254">
        <v>269.14100000000002</v>
      </c>
      <c r="DN23" s="247">
        <f t="shared" si="36"/>
        <v>261.74100000000004</v>
      </c>
      <c r="DP23" s="197">
        <v>154.04</v>
      </c>
      <c r="DQ23" s="247">
        <f t="shared" si="37"/>
        <v>185.20999999999998</v>
      </c>
    </row>
    <row r="24" spans="1:121" ht="16.5" customHeight="1" thickBot="1">
      <c r="A24" s="534">
        <v>18</v>
      </c>
      <c r="B24" s="103">
        <f t="shared" si="24"/>
        <v>481.72400000000005</v>
      </c>
      <c r="C24" s="104">
        <f t="shared" si="0"/>
        <v>2.3786414212287532</v>
      </c>
      <c r="D24" s="143">
        <f t="shared" si="1"/>
        <v>470.26551340000009</v>
      </c>
      <c r="E24" s="104">
        <f t="shared" si="2"/>
        <v>38.044978141010205</v>
      </c>
      <c r="F24" s="128">
        <f t="shared" si="3"/>
        <v>2.2145878407715607</v>
      </c>
      <c r="G24" s="106"/>
      <c r="H24" s="107">
        <f t="shared" si="4"/>
        <v>1.7542230639183611</v>
      </c>
      <c r="I24" s="103">
        <f>'[1]сентябрь 20'!AE23</f>
        <v>0</v>
      </c>
      <c r="J24" s="328">
        <f>'[1]сентябрь 20'!AA23</f>
        <v>15.606999999999999</v>
      </c>
      <c r="K24" s="106">
        <v>27.11</v>
      </c>
      <c r="L24" s="328">
        <f>'[1]сентябрь 20'!AI23</f>
        <v>97.757999999999996</v>
      </c>
      <c r="M24" s="103">
        <f t="shared" si="5"/>
        <v>0.46036477685319921</v>
      </c>
      <c r="N24" s="103">
        <f>'[1]август 20'!W23</f>
        <v>0</v>
      </c>
      <c r="O24" s="103">
        <f>'[1]сентябрь 20'!AM23</f>
        <v>0</v>
      </c>
      <c r="P24" s="447">
        <f t="shared" si="25"/>
        <v>0</v>
      </c>
      <c r="Q24" s="103">
        <f t="shared" si="26"/>
        <v>0</v>
      </c>
      <c r="R24" s="103">
        <f>'[1]сентябрь 20'!S23</f>
        <v>301.88099999999997</v>
      </c>
      <c r="S24" s="108">
        <f t="shared" si="6"/>
        <v>2.9054494983122403</v>
      </c>
      <c r="T24" s="109">
        <f t="shared" si="7"/>
        <v>293.11</v>
      </c>
      <c r="U24" s="106">
        <v>5.42</v>
      </c>
      <c r="V24" s="109">
        <f t="shared" si="8"/>
        <v>293.11</v>
      </c>
      <c r="W24" s="110">
        <f t="shared" si="9"/>
        <v>1.3803220170568264</v>
      </c>
      <c r="X24" s="110">
        <f t="shared" si="27"/>
        <v>1.3803220170568264</v>
      </c>
      <c r="Y24" s="136">
        <v>212.35</v>
      </c>
      <c r="Z24" s="129">
        <v>212.35</v>
      </c>
      <c r="AA24" s="131">
        <v>0.51</v>
      </c>
      <c r="AB24" s="133">
        <v>630</v>
      </c>
      <c r="AC24" s="133">
        <v>1221</v>
      </c>
      <c r="AD24" s="144" t="s">
        <v>192</v>
      </c>
      <c r="AE24" s="131">
        <v>76.400000000000006</v>
      </c>
      <c r="AF24" s="133">
        <v>163</v>
      </c>
      <c r="AG24" s="134">
        <v>5</v>
      </c>
      <c r="AH24" s="131">
        <v>3.95</v>
      </c>
      <c r="AI24" s="115">
        <f t="shared" si="10"/>
        <v>18.601453267969241</v>
      </c>
      <c r="AJ24" s="131">
        <v>139.44999999999999</v>
      </c>
      <c r="AK24" s="115">
        <f t="shared" si="11"/>
        <v>656.70193878944565</v>
      </c>
      <c r="AL24" s="139">
        <v>31.3</v>
      </c>
      <c r="AM24" s="131"/>
      <c r="AN24" s="136">
        <v>12.89</v>
      </c>
      <c r="AO24" s="466">
        <f t="shared" si="28"/>
        <v>51.850999999999999</v>
      </c>
      <c r="AP24" s="110">
        <f t="shared" si="12"/>
        <v>0.19</v>
      </c>
      <c r="AQ24" s="137" t="s">
        <v>431</v>
      </c>
      <c r="AR24" s="150">
        <v>7.29</v>
      </c>
      <c r="AS24" s="138">
        <v>7.44</v>
      </c>
      <c r="AT24" s="134"/>
      <c r="AU24" s="131">
        <v>7.35</v>
      </c>
      <c r="AV24" s="315">
        <v>272.89999999999998</v>
      </c>
      <c r="AW24" s="131">
        <v>4.1900000000000004</v>
      </c>
      <c r="AX24" s="116"/>
      <c r="AY24" s="131"/>
      <c r="AZ24" s="109">
        <f t="shared" si="38"/>
        <v>0</v>
      </c>
      <c r="BA24" s="598">
        <f t="shared" si="13"/>
        <v>212.34899999999999</v>
      </c>
      <c r="BB24" s="115">
        <f t="shared" si="29"/>
        <v>204.43787366749547</v>
      </c>
      <c r="BC24" s="140">
        <f t="shared" si="14"/>
        <v>7.9398116197183084</v>
      </c>
      <c r="BD24" s="141"/>
      <c r="BE24" s="128">
        <f t="shared" si="16"/>
        <v>0.90678245510178457</v>
      </c>
      <c r="BF24" s="141">
        <f t="shared" si="17"/>
        <v>7.9398116197183084</v>
      </c>
      <c r="BG24" s="535">
        <v>0.94299999999999995</v>
      </c>
      <c r="BH24" s="16">
        <f t="shared" si="30"/>
        <v>3676.5547000000006</v>
      </c>
      <c r="BI24" s="16">
        <f t="shared" si="18"/>
        <v>220</v>
      </c>
      <c r="BJ24" s="16">
        <f t="shared" si="31"/>
        <v>3960</v>
      </c>
      <c r="BK24" s="17">
        <f t="shared" si="19"/>
        <v>1</v>
      </c>
      <c r="BL24" s="16">
        <f t="shared" si="32"/>
        <v>3960</v>
      </c>
      <c r="BM24" s="441">
        <f t="shared" si="33"/>
        <v>367.72400000000005</v>
      </c>
      <c r="BN24" s="266">
        <v>8.1790000000000003</v>
      </c>
      <c r="BO24" s="266">
        <v>89.578999999999994</v>
      </c>
      <c r="BP24" s="266"/>
      <c r="BQ24" s="266"/>
      <c r="BR24" s="266">
        <v>16.242000000000001</v>
      </c>
      <c r="BS24" s="604"/>
      <c r="BT24" s="199"/>
      <c r="BU24" s="200">
        <v>2.84</v>
      </c>
      <c r="BV24" s="200"/>
      <c r="BW24" s="200"/>
      <c r="BX24" s="200"/>
      <c r="BY24" s="208"/>
      <c r="BZ24" s="208">
        <v>6.25</v>
      </c>
      <c r="CA24" s="201"/>
      <c r="CB24" s="202">
        <v>37.020000000000003</v>
      </c>
      <c r="CC24" s="200">
        <v>43.18</v>
      </c>
      <c r="CD24" s="200">
        <v>43.11</v>
      </c>
      <c r="CE24" s="200"/>
      <c r="CF24" s="208"/>
      <c r="CG24" s="208">
        <v>30.73</v>
      </c>
      <c r="CH24" s="209"/>
      <c r="CI24" s="608"/>
      <c r="CJ24" s="197"/>
      <c r="CK24" s="197">
        <v>81.5</v>
      </c>
      <c r="CL24" s="197">
        <v>211.61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357.28063840000004</v>
      </c>
      <c r="CU24" s="29">
        <f t="shared" si="20"/>
        <v>8.1790000000000003</v>
      </c>
      <c r="CV24" s="30">
        <f t="shared" si="20"/>
        <v>89.578999999999994</v>
      </c>
      <c r="CW24" s="29">
        <f t="shared" si="20"/>
        <v>0</v>
      </c>
      <c r="CX24" s="27">
        <f t="shared" si="20"/>
        <v>0</v>
      </c>
      <c r="CY24" s="27">
        <f t="shared" si="20"/>
        <v>15.226875000000001</v>
      </c>
      <c r="CZ24" s="282">
        <f t="shared" si="20"/>
        <v>0</v>
      </c>
      <c r="DA24" s="25">
        <f t="shared" si="21"/>
        <v>0</v>
      </c>
      <c r="DB24" s="26">
        <f t="shared" si="21"/>
        <v>81.5</v>
      </c>
      <c r="DC24" s="277">
        <f t="shared" si="21"/>
        <v>211.61</v>
      </c>
      <c r="DD24" s="280">
        <f t="shared" si="21"/>
        <v>0</v>
      </c>
      <c r="DE24" s="508">
        <f t="shared" si="34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5"/>
        <v>0</v>
      </c>
      <c r="DM24" s="254">
        <v>375.12400000000002</v>
      </c>
      <c r="DN24" s="247">
        <f t="shared" si="36"/>
        <v>367.72400000000005</v>
      </c>
      <c r="DP24" s="197">
        <v>211.61</v>
      </c>
      <c r="DQ24" s="247">
        <f t="shared" si="37"/>
        <v>242.78000000000003</v>
      </c>
    </row>
    <row r="25" spans="1:121" ht="16.5" customHeight="1" thickBot="1">
      <c r="A25" s="534">
        <v>19</v>
      </c>
      <c r="B25" s="103">
        <f t="shared" si="24"/>
        <v>454.28200000000004</v>
      </c>
      <c r="C25" s="104">
        <f t="shared" si="0"/>
        <v>1.759544820177775</v>
      </c>
      <c r="D25" s="143">
        <f t="shared" si="1"/>
        <v>446.28870460000002</v>
      </c>
      <c r="E25" s="104">
        <f t="shared" si="2"/>
        <v>37.419295019393246</v>
      </c>
      <c r="F25" s="128">
        <f t="shared" si="3"/>
        <v>3.5341202454862213</v>
      </c>
      <c r="G25" s="106"/>
      <c r="H25" s="107">
        <f t="shared" si="4"/>
        <v>2.8028405495723789</v>
      </c>
      <c r="I25" s="103">
        <f>'[1]сентябрь 20'!AE24</f>
        <v>0</v>
      </c>
      <c r="J25" s="328">
        <f>'[1]сентябрь 20'!AA24</f>
        <v>14.968999999999999</v>
      </c>
      <c r="K25" s="106">
        <v>28.82</v>
      </c>
      <c r="L25" s="328">
        <f>'[1]сентябрь 20'!AI24</f>
        <v>92.346000000000004</v>
      </c>
      <c r="M25" s="103">
        <f t="shared" si="5"/>
        <v>0.73127969591384223</v>
      </c>
      <c r="N25" s="103">
        <f>'[1]август 20'!W24</f>
        <v>0</v>
      </c>
      <c r="O25" s="103">
        <f>'[1]сентябрь 20'!AM24</f>
        <v>0</v>
      </c>
      <c r="P25" s="447">
        <f t="shared" si="25"/>
        <v>0</v>
      </c>
      <c r="Q25" s="103">
        <f t="shared" si="26"/>
        <v>0</v>
      </c>
      <c r="R25" s="103">
        <f>'[1]сентябрь 20'!S24</f>
        <v>284.29199999999997</v>
      </c>
      <c r="S25" s="108">
        <f t="shared" si="6"/>
        <v>2.6529061668988163</v>
      </c>
      <c r="T25" s="109">
        <f t="shared" si="7"/>
        <v>276.75</v>
      </c>
      <c r="U25" s="566">
        <v>13.82</v>
      </c>
      <c r="V25" s="109">
        <f t="shared" si="8"/>
        <v>276.75</v>
      </c>
      <c r="W25" s="110">
        <f t="shared" si="9"/>
        <v>2.1915584415584415</v>
      </c>
      <c r="X25" s="110">
        <f t="shared" si="27"/>
        <v>2.1915584415584415</v>
      </c>
      <c r="Y25" s="136">
        <v>126.28</v>
      </c>
      <c r="Z25" s="129">
        <v>76.69</v>
      </c>
      <c r="AA25" s="131">
        <v>0.85</v>
      </c>
      <c r="AB25" s="133">
        <v>646</v>
      </c>
      <c r="AC25" s="133">
        <v>1224</v>
      </c>
      <c r="AD25" s="144" t="s">
        <v>192</v>
      </c>
      <c r="AE25" s="131">
        <v>76.14</v>
      </c>
      <c r="AF25" s="133">
        <v>154</v>
      </c>
      <c r="AG25" s="134">
        <v>5</v>
      </c>
      <c r="AH25" s="131"/>
      <c r="AI25" s="115">
        <f t="shared" si="10"/>
        <v>0</v>
      </c>
      <c r="AJ25" s="131">
        <v>121.85</v>
      </c>
      <c r="AK25" s="115">
        <f t="shared" si="11"/>
        <v>964.91922711434893</v>
      </c>
      <c r="AL25" s="139">
        <v>30.88</v>
      </c>
      <c r="AM25" s="131"/>
      <c r="AN25" s="136">
        <v>12.74</v>
      </c>
      <c r="AO25" s="466">
        <v>138.61000000000001</v>
      </c>
      <c r="AP25" s="110">
        <f t="shared" si="12"/>
        <v>0.5053226394458622</v>
      </c>
      <c r="AQ25" s="137" t="s">
        <v>233</v>
      </c>
      <c r="AR25" s="150">
        <v>7.79</v>
      </c>
      <c r="AS25" s="138">
        <v>7.23</v>
      </c>
      <c r="AT25" s="153"/>
      <c r="AU25" s="131">
        <v>5.49</v>
      </c>
      <c r="AV25" s="315">
        <v>274.3</v>
      </c>
      <c r="AW25" s="131">
        <v>3.33</v>
      </c>
      <c r="AX25" s="148"/>
      <c r="AY25" s="131"/>
      <c r="AZ25" s="109">
        <f t="shared" si="38"/>
        <v>0</v>
      </c>
      <c r="BA25" s="598">
        <f t="shared" si="13"/>
        <v>126.28</v>
      </c>
      <c r="BB25" s="115">
        <f t="shared" si="29"/>
        <v>191.47534799305834</v>
      </c>
      <c r="BC25" s="140">
        <f t="shared" si="14"/>
        <v>5.1820573943661969</v>
      </c>
      <c r="BD25" s="141">
        <f t="shared" ref="BD25:BD37" si="39">BA25*$BD$6</f>
        <v>5.0512000000000006</v>
      </c>
      <c r="BE25" s="128">
        <f t="shared" si="16"/>
        <v>0.57575265513551466</v>
      </c>
      <c r="BF25" s="141">
        <f t="shared" si="17"/>
        <v>10.233257394366198</v>
      </c>
      <c r="BG25" s="535">
        <v>0.92300000000000004</v>
      </c>
      <c r="BH25" s="16">
        <f t="shared" si="30"/>
        <v>3802.8347000000008</v>
      </c>
      <c r="BI25" s="16">
        <f t="shared" si="18"/>
        <v>220</v>
      </c>
      <c r="BJ25" s="16">
        <f t="shared" si="31"/>
        <v>4180</v>
      </c>
      <c r="BK25" s="17">
        <f t="shared" si="19"/>
        <v>1</v>
      </c>
      <c r="BL25" s="16">
        <f t="shared" si="32"/>
        <v>4180</v>
      </c>
      <c r="BM25" s="441">
        <f t="shared" si="33"/>
        <v>346.49800000000005</v>
      </c>
      <c r="BN25" s="266">
        <v>7.6820000000000004</v>
      </c>
      <c r="BO25" s="266">
        <v>84.664000000000001</v>
      </c>
      <c r="BP25" s="266"/>
      <c r="BQ25" s="266"/>
      <c r="BR25" s="266">
        <v>15.438000000000001</v>
      </c>
      <c r="BS25" s="604"/>
      <c r="BT25" s="199"/>
      <c r="BU25" s="200">
        <v>2.04</v>
      </c>
      <c r="BV25" s="200"/>
      <c r="BW25" s="200"/>
      <c r="BX25" s="200"/>
      <c r="BY25" s="208"/>
      <c r="BZ25" s="208">
        <v>5.99</v>
      </c>
      <c r="CA25" s="201"/>
      <c r="CB25" s="202">
        <v>36.1</v>
      </c>
      <c r="CC25" s="200">
        <v>43.41</v>
      </c>
      <c r="CD25" s="200">
        <v>43.07</v>
      </c>
      <c r="CE25" s="200"/>
      <c r="CF25" s="208"/>
      <c r="CG25" s="208">
        <v>33.06</v>
      </c>
      <c r="CH25" s="201"/>
      <c r="CI25" s="608"/>
      <c r="CJ25" s="197"/>
      <c r="CK25" s="197">
        <v>77</v>
      </c>
      <c r="CL25" s="197">
        <v>199.75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339.42944080000001</v>
      </c>
      <c r="CU25" s="24">
        <f t="shared" si="20"/>
        <v>7.6820000000000004</v>
      </c>
      <c r="CV25" s="25">
        <f t="shared" si="20"/>
        <v>84.664000000000001</v>
      </c>
      <c r="CW25" s="24">
        <f t="shared" si="20"/>
        <v>0</v>
      </c>
      <c r="CX25" s="27">
        <f t="shared" si="20"/>
        <v>0</v>
      </c>
      <c r="CY25" s="30">
        <f t="shared" si="20"/>
        <v>14.513263800000001</v>
      </c>
      <c r="CZ25" s="280">
        <f t="shared" si="20"/>
        <v>0</v>
      </c>
      <c r="DA25" s="25">
        <f t="shared" si="21"/>
        <v>0</v>
      </c>
      <c r="DB25" s="26">
        <f t="shared" si="21"/>
        <v>77</v>
      </c>
      <c r="DC25" s="277">
        <f t="shared" si="21"/>
        <v>199.75</v>
      </c>
      <c r="DD25" s="280">
        <f t="shared" si="21"/>
        <v>0</v>
      </c>
      <c r="DE25" s="508">
        <f t="shared" si="34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5"/>
        <v>0</v>
      </c>
      <c r="DM25" s="254">
        <v>353.89800000000002</v>
      </c>
      <c r="DN25" s="247">
        <f t="shared" si="36"/>
        <v>346.49800000000005</v>
      </c>
      <c r="DP25" s="197">
        <v>199.75</v>
      </c>
      <c r="DQ25" s="247">
        <f t="shared" si="37"/>
        <v>230.92000000000002</v>
      </c>
    </row>
    <row r="26" spans="1:121" ht="16.5" customHeight="1" thickBot="1">
      <c r="A26" s="534">
        <v>20</v>
      </c>
      <c r="B26" s="103">
        <f t="shared" si="24"/>
        <v>454.52300000000008</v>
      </c>
      <c r="C26" s="104">
        <f t="shared" si="0"/>
        <v>1.2370570466181028</v>
      </c>
      <c r="D26" s="143">
        <f t="shared" si="1"/>
        <v>448.90029120000008</v>
      </c>
      <c r="E26" s="104">
        <f t="shared" si="2"/>
        <v>37.514764489365767</v>
      </c>
      <c r="F26" s="128">
        <f t="shared" si="3"/>
        <v>1.9859813046238521</v>
      </c>
      <c r="G26" s="106"/>
      <c r="H26" s="107">
        <f t="shared" si="4"/>
        <v>1.5773445699660895</v>
      </c>
      <c r="I26" s="103">
        <f>'[1]сентябрь 20'!AE25</f>
        <v>0</v>
      </c>
      <c r="J26" s="328">
        <f>'[1]сентябрь 20'!AA25</f>
        <v>16.434000000000001</v>
      </c>
      <c r="K26" s="106">
        <v>31.78</v>
      </c>
      <c r="L26" s="328">
        <f>'[1]сентябрь 20'!AI25</f>
        <v>92.366</v>
      </c>
      <c r="M26" s="103">
        <f t="shared" si="5"/>
        <v>0.40863673465776246</v>
      </c>
      <c r="N26" s="103">
        <f>'[1]август 20'!W25</f>
        <v>0</v>
      </c>
      <c r="O26" s="103">
        <f>'[1]сентябрь 20'!AM25</f>
        <v>0</v>
      </c>
      <c r="P26" s="447">
        <f t="shared" si="25"/>
        <v>0</v>
      </c>
      <c r="Q26" s="103">
        <f t="shared" si="26"/>
        <v>0</v>
      </c>
      <c r="R26" s="103">
        <f>'[1]сентябрь 20'!S25</f>
        <v>283.74700000000001</v>
      </c>
      <c r="S26" s="108">
        <f t="shared" si="6"/>
        <v>2.6527152709984514</v>
      </c>
      <c r="T26" s="109">
        <f t="shared" si="7"/>
        <v>276.22000000000003</v>
      </c>
      <c r="U26" s="566">
        <v>25.08</v>
      </c>
      <c r="V26" s="109">
        <f t="shared" si="8"/>
        <v>276.22000000000003</v>
      </c>
      <c r="W26" s="110">
        <f t="shared" si="9"/>
        <v>1.2220258411879605</v>
      </c>
      <c r="X26" s="110">
        <f t="shared" si="27"/>
        <v>1.2220258411879605</v>
      </c>
      <c r="Y26" s="136">
        <v>226.03</v>
      </c>
      <c r="Z26" s="154">
        <v>182.46</v>
      </c>
      <c r="AA26" s="149">
        <v>0.81</v>
      </c>
      <c r="AB26" s="147">
        <v>650</v>
      </c>
      <c r="AC26" s="147">
        <v>1220</v>
      </c>
      <c r="AD26" s="144" t="s">
        <v>205</v>
      </c>
      <c r="AE26" s="149">
        <v>75.959999999999994</v>
      </c>
      <c r="AF26" s="147">
        <v>154</v>
      </c>
      <c r="AG26" s="155">
        <v>5</v>
      </c>
      <c r="AH26" s="149">
        <v>7.15</v>
      </c>
      <c r="AI26" s="115">
        <f t="shared" si="10"/>
        <v>31.632339311034382</v>
      </c>
      <c r="AJ26" s="149">
        <v>124.5</v>
      </c>
      <c r="AK26" s="115">
        <f t="shared" si="11"/>
        <v>550.80087331801121</v>
      </c>
      <c r="AL26" s="156">
        <v>42.45</v>
      </c>
      <c r="AM26" s="149"/>
      <c r="AN26" s="157">
        <v>11.06</v>
      </c>
      <c r="AO26" s="466">
        <f t="shared" si="28"/>
        <v>54.9955</v>
      </c>
      <c r="AP26" s="110">
        <f t="shared" si="12"/>
        <v>0.19</v>
      </c>
      <c r="AQ26" s="158" t="s">
        <v>159</v>
      </c>
      <c r="AR26" s="404">
        <v>7.9</v>
      </c>
      <c r="AS26" s="159">
        <v>7.92</v>
      </c>
      <c r="AT26" s="155"/>
      <c r="AU26" s="149">
        <v>5.0999999999999996</v>
      </c>
      <c r="AV26" s="315">
        <v>289.45</v>
      </c>
      <c r="AW26" s="131">
        <v>2.64</v>
      </c>
      <c r="AX26" s="148"/>
      <c r="AY26" s="149"/>
      <c r="AZ26" s="160">
        <f t="shared" si="38"/>
        <v>0</v>
      </c>
      <c r="BA26" s="598">
        <f t="shared" si="13"/>
        <v>226.03449999999998</v>
      </c>
      <c r="BB26" s="115">
        <f t="shared" si="29"/>
        <v>193.54475168801471</v>
      </c>
      <c r="BC26" s="140">
        <f t="shared" si="14"/>
        <v>4.9186267605633791</v>
      </c>
      <c r="BD26" s="140">
        <f t="shared" si="39"/>
        <v>9.0413800000000002</v>
      </c>
      <c r="BE26" s="161">
        <f t="shared" si="16"/>
        <v>1.0195477623598075</v>
      </c>
      <c r="BF26" s="140">
        <f t="shared" si="17"/>
        <v>13.960006760563379</v>
      </c>
      <c r="BG26" s="537">
        <v>0.92800000000000005</v>
      </c>
      <c r="BH26" s="16">
        <f t="shared" si="30"/>
        <v>4028.869200000001</v>
      </c>
      <c r="BI26" s="16">
        <f t="shared" si="18"/>
        <v>220</v>
      </c>
      <c r="BJ26" s="16">
        <f t="shared" si="31"/>
        <v>4400</v>
      </c>
      <c r="BK26" s="17">
        <f t="shared" si="19"/>
        <v>1</v>
      </c>
      <c r="BL26" s="16">
        <f t="shared" si="32"/>
        <v>4400</v>
      </c>
      <c r="BM26" s="441">
        <f t="shared" si="33"/>
        <v>346.81900000000002</v>
      </c>
      <c r="BN26" s="266">
        <v>7.6989999999999998</v>
      </c>
      <c r="BO26" s="266">
        <v>84.667000000000002</v>
      </c>
      <c r="BP26" s="266"/>
      <c r="BQ26" s="266"/>
      <c r="BR26" s="266">
        <v>15.337999999999999</v>
      </c>
      <c r="BS26" s="604"/>
      <c r="BT26" s="199"/>
      <c r="BU26" s="200">
        <v>1.42</v>
      </c>
      <c r="BV26" s="200"/>
      <c r="BW26" s="200"/>
      <c r="BX26" s="200"/>
      <c r="BY26" s="208"/>
      <c r="BZ26" s="208">
        <v>4.55</v>
      </c>
      <c r="CA26" s="201"/>
      <c r="CB26" s="202">
        <v>36.07</v>
      </c>
      <c r="CC26" s="200">
        <v>43.36</v>
      </c>
      <c r="CD26" s="200">
        <v>43.27</v>
      </c>
      <c r="CE26" s="200"/>
      <c r="CF26" s="208"/>
      <c r="CG26" s="208">
        <v>35.479999999999997</v>
      </c>
      <c r="CH26" s="209"/>
      <c r="CI26" s="608"/>
      <c r="CJ26" s="197"/>
      <c r="CK26" s="197">
        <v>77</v>
      </c>
      <c r="CL26" s="197">
        <v>199.22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341.89417020000002</v>
      </c>
      <c r="CU26" s="24">
        <f t="shared" si="20"/>
        <v>7.6989999999999998</v>
      </c>
      <c r="CV26" s="25">
        <f t="shared" si="20"/>
        <v>84.667000000000002</v>
      </c>
      <c r="CW26" s="24">
        <f t="shared" si="20"/>
        <v>0</v>
      </c>
      <c r="CX26" s="27">
        <f t="shared" si="20"/>
        <v>0</v>
      </c>
      <c r="CY26" s="24">
        <f t="shared" si="20"/>
        <v>14.640120999999999</v>
      </c>
      <c r="CZ26" s="280">
        <f t="shared" si="20"/>
        <v>0</v>
      </c>
      <c r="DA26" s="30">
        <f t="shared" si="21"/>
        <v>0</v>
      </c>
      <c r="DB26" s="26">
        <f t="shared" si="21"/>
        <v>77</v>
      </c>
      <c r="DC26" s="277">
        <f t="shared" si="21"/>
        <v>199.22</v>
      </c>
      <c r="DD26" s="280">
        <f t="shared" si="21"/>
        <v>0</v>
      </c>
      <c r="DE26" s="508">
        <f t="shared" si="34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5"/>
        <v>0</v>
      </c>
      <c r="DM26" s="254">
        <v>354.21899999999999</v>
      </c>
      <c r="DN26" s="247">
        <f t="shared" si="36"/>
        <v>346.81900000000002</v>
      </c>
      <c r="DP26" s="197">
        <v>199.22</v>
      </c>
      <c r="DQ26" s="247">
        <f t="shared" si="37"/>
        <v>230.39</v>
      </c>
    </row>
    <row r="27" spans="1:121" ht="16.5" customHeight="1" thickBot="1">
      <c r="A27" s="534">
        <v>21</v>
      </c>
      <c r="B27" s="103">
        <f t="shared" si="24"/>
        <v>454.80200000000002</v>
      </c>
      <c r="C27" s="104">
        <f t="shared" si="0"/>
        <v>1.9082909485886168</v>
      </c>
      <c r="D27" s="143">
        <f t="shared" si="1"/>
        <v>446.12305459999999</v>
      </c>
      <c r="E27" s="104">
        <f t="shared" si="2"/>
        <v>37.555568972871718</v>
      </c>
      <c r="F27" s="128">
        <f t="shared" si="3"/>
        <v>2.0126411994920157</v>
      </c>
      <c r="G27" s="106"/>
      <c r="H27" s="107">
        <f t="shared" si="4"/>
        <v>1.5956882466655087</v>
      </c>
      <c r="I27" s="103">
        <f>'[1]сентябрь 20'!AE26</f>
        <v>0</v>
      </c>
      <c r="J27" s="328">
        <f>'[1]сентябрь 20'!AA26</f>
        <v>16.928999999999998</v>
      </c>
      <c r="K27" s="106">
        <v>28.46</v>
      </c>
      <c r="L27" s="328">
        <f>'[1]сентябрь 20'!AI26</f>
        <v>92.421999999999997</v>
      </c>
      <c r="M27" s="103">
        <f t="shared" si="5"/>
        <v>0.41695295282650718</v>
      </c>
      <c r="N27" s="103">
        <f>'[1]август 20'!W26</f>
        <v>0</v>
      </c>
      <c r="O27" s="103">
        <f>'[1]сентябрь 20'!AM26</f>
        <v>0</v>
      </c>
      <c r="P27" s="447">
        <f t="shared" si="25"/>
        <v>0</v>
      </c>
      <c r="Q27" s="103">
        <f t="shared" si="26"/>
        <v>0</v>
      </c>
      <c r="R27" s="103">
        <f>'[1]сентябрь 20'!S26</f>
        <v>279.89299999999997</v>
      </c>
      <c r="S27" s="108">
        <f t="shared" si="6"/>
        <v>2.2805143394082683</v>
      </c>
      <c r="T27" s="109">
        <f t="shared" si="7"/>
        <v>273.51</v>
      </c>
      <c r="U27" s="566">
        <v>32.85</v>
      </c>
      <c r="V27" s="109">
        <f t="shared" si="8"/>
        <v>273.51</v>
      </c>
      <c r="W27" s="110">
        <f t="shared" si="9"/>
        <v>1.2339140261796755</v>
      </c>
      <c r="X27" s="110">
        <f t="shared" si="27"/>
        <v>1.2339140261796755</v>
      </c>
      <c r="Y27" s="129">
        <v>221.66</v>
      </c>
      <c r="Z27" s="129">
        <v>54.31</v>
      </c>
      <c r="AA27" s="131">
        <v>1.26</v>
      </c>
      <c r="AB27" s="133">
        <v>650</v>
      </c>
      <c r="AC27" s="133">
        <v>1211</v>
      </c>
      <c r="AD27" s="144" t="s">
        <v>211</v>
      </c>
      <c r="AE27" s="131">
        <v>75.66</v>
      </c>
      <c r="AF27" s="133">
        <v>154</v>
      </c>
      <c r="AG27" s="134">
        <v>5</v>
      </c>
      <c r="AH27" s="131">
        <v>3.25</v>
      </c>
      <c r="AI27" s="115">
        <f t="shared" si="10"/>
        <v>14.66206202728948</v>
      </c>
      <c r="AJ27" s="131">
        <v>120.4</v>
      </c>
      <c r="AK27" s="115">
        <f t="shared" si="11"/>
        <v>543.17300556481655</v>
      </c>
      <c r="AL27" s="139">
        <v>44.64</v>
      </c>
      <c r="AM27" s="131"/>
      <c r="AN27" s="136">
        <v>14.84</v>
      </c>
      <c r="AO27" s="466">
        <f t="shared" si="28"/>
        <v>54.919499999999999</v>
      </c>
      <c r="AP27" s="110">
        <f t="shared" si="12"/>
        <v>0.19</v>
      </c>
      <c r="AQ27" s="137" t="s">
        <v>201</v>
      </c>
      <c r="AR27" s="150">
        <v>7.59</v>
      </c>
      <c r="AS27" s="138">
        <v>7.46</v>
      </c>
      <c r="AT27" s="134"/>
      <c r="AU27" s="131">
        <v>5.34</v>
      </c>
      <c r="AV27" s="139">
        <v>289.05</v>
      </c>
      <c r="AW27" s="131">
        <v>2.37</v>
      </c>
      <c r="AX27" s="148"/>
      <c r="AY27" s="131"/>
      <c r="AZ27" s="109">
        <f t="shared" si="38"/>
        <v>0</v>
      </c>
      <c r="BA27" s="598">
        <f t="shared" si="13"/>
        <v>221.66050000000001</v>
      </c>
      <c r="BB27" s="115">
        <f t="shared" si="29"/>
        <v>193.32005939329056</v>
      </c>
      <c r="BC27" s="140">
        <f t="shared" si="14"/>
        <v>4.9804901408450704</v>
      </c>
      <c r="BD27" s="141">
        <f t="shared" si="39"/>
        <v>8.8664200000000015</v>
      </c>
      <c r="BE27" s="128">
        <f t="shared" si="16"/>
        <v>1.0009805351152092</v>
      </c>
      <c r="BF27" s="141">
        <f t="shared" si="17"/>
        <v>13.846910140845072</v>
      </c>
      <c r="BG27" s="535">
        <v>0.93200000000000005</v>
      </c>
      <c r="BH27" s="16">
        <f t="shared" si="30"/>
        <v>4250.529700000001</v>
      </c>
      <c r="BI27" s="16">
        <f t="shared" si="18"/>
        <v>220</v>
      </c>
      <c r="BJ27" s="16">
        <f t="shared" si="31"/>
        <v>4620</v>
      </c>
      <c r="BK27" s="17">
        <f t="shared" si="19"/>
        <v>1</v>
      </c>
      <c r="BL27" s="16">
        <f t="shared" si="32"/>
        <v>4620</v>
      </c>
      <c r="BM27" s="441">
        <f t="shared" si="33"/>
        <v>346.92200000000003</v>
      </c>
      <c r="BN27" s="266">
        <v>7.6929999999999996</v>
      </c>
      <c r="BO27" s="266">
        <v>84.728999999999999</v>
      </c>
      <c r="BP27" s="266"/>
      <c r="BQ27" s="266"/>
      <c r="BR27" s="266">
        <v>15.458</v>
      </c>
      <c r="BS27" s="604"/>
      <c r="BT27" s="199"/>
      <c r="BU27" s="200">
        <v>2.27</v>
      </c>
      <c r="BV27" s="200"/>
      <c r="BW27" s="200"/>
      <c r="BX27" s="200"/>
      <c r="BY27" s="208"/>
      <c r="BZ27" s="208">
        <v>5.2</v>
      </c>
      <c r="CA27" s="201"/>
      <c r="CB27" s="202">
        <v>36.270000000000003</v>
      </c>
      <c r="CC27" s="200">
        <v>43.49</v>
      </c>
      <c r="CD27" s="200">
        <v>43.17</v>
      </c>
      <c r="CE27" s="200"/>
      <c r="CF27" s="208"/>
      <c r="CG27" s="208">
        <v>32.68</v>
      </c>
      <c r="CH27" s="209"/>
      <c r="CI27" s="608"/>
      <c r="CJ27" s="197"/>
      <c r="CK27" s="197">
        <v>77</v>
      </c>
      <c r="CL27" s="197">
        <v>196.51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339.04687060000003</v>
      </c>
      <c r="CU27" s="24">
        <f t="shared" si="20"/>
        <v>7.6929999999999996</v>
      </c>
      <c r="CV27" s="25">
        <f t="shared" si="20"/>
        <v>84.728999999999999</v>
      </c>
      <c r="CW27" s="24">
        <f t="shared" si="20"/>
        <v>0</v>
      </c>
      <c r="CX27" s="27">
        <f t="shared" si="20"/>
        <v>0</v>
      </c>
      <c r="CY27" s="29">
        <f t="shared" si="20"/>
        <v>14.654183999999999</v>
      </c>
      <c r="CZ27" s="280">
        <f t="shared" si="20"/>
        <v>0</v>
      </c>
      <c r="DA27" s="237">
        <f t="shared" si="21"/>
        <v>0</v>
      </c>
      <c r="DB27" s="26">
        <f t="shared" si="21"/>
        <v>77</v>
      </c>
      <c r="DC27" s="277">
        <f t="shared" si="21"/>
        <v>196.51</v>
      </c>
      <c r="DD27" s="280">
        <f t="shared" si="21"/>
        <v>0</v>
      </c>
      <c r="DE27" s="508">
        <f t="shared" si="34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5"/>
        <v>0</v>
      </c>
      <c r="DM27" s="254">
        <v>354.322</v>
      </c>
      <c r="DN27" s="247">
        <f t="shared" si="36"/>
        <v>346.92200000000003</v>
      </c>
      <c r="DP27" s="197">
        <v>196.51</v>
      </c>
      <c r="DQ27" s="247">
        <f t="shared" si="37"/>
        <v>227.68</v>
      </c>
    </row>
    <row r="28" spans="1:121" ht="16.5" customHeight="1" thickBot="1">
      <c r="A28" s="534">
        <v>22</v>
      </c>
      <c r="B28" s="103">
        <f t="shared" si="24"/>
        <v>481.63</v>
      </c>
      <c r="C28" s="104">
        <f t="shared" si="0"/>
        <v>1.559466478417042</v>
      </c>
      <c r="D28" s="143">
        <f t="shared" si="1"/>
        <v>474.11914160000003</v>
      </c>
      <c r="E28" s="104">
        <f t="shared" si="2"/>
        <v>37.811071756327472</v>
      </c>
      <c r="F28" s="128">
        <f t="shared" si="3"/>
        <v>1.888458172997453</v>
      </c>
      <c r="G28" s="106"/>
      <c r="H28" s="107">
        <f t="shared" si="4"/>
        <v>1.4987807433636782</v>
      </c>
      <c r="I28" s="103">
        <f>'[1]сентябрь 20'!AE27</f>
        <v>0</v>
      </c>
      <c r="J28" s="328">
        <f>'[1]сентябрь 20'!AA27</f>
        <v>18.039000000000001</v>
      </c>
      <c r="K28" s="106">
        <v>35.89</v>
      </c>
      <c r="L28" s="328">
        <f>'[1]сентябрь 20'!AI27</f>
        <v>97.832999999999998</v>
      </c>
      <c r="M28" s="103">
        <f t="shared" si="5"/>
        <v>0.389677429633775</v>
      </c>
      <c r="N28" s="103">
        <f>'[1]август 20'!W27</f>
        <v>0</v>
      </c>
      <c r="O28" s="103">
        <f>'[1]сентябрь 20'!AM27</f>
        <v>0</v>
      </c>
      <c r="P28" s="447">
        <f t="shared" si="25"/>
        <v>0</v>
      </c>
      <c r="Q28" s="103">
        <f t="shared" si="26"/>
        <v>0</v>
      </c>
      <c r="R28" s="103">
        <f>'[1]сентябрь 20'!S27</f>
        <v>296.48099999999999</v>
      </c>
      <c r="S28" s="108">
        <f t="shared" si="6"/>
        <v>2.8470627122817449</v>
      </c>
      <c r="T28" s="109">
        <f t="shared" si="7"/>
        <v>288.03999999999996</v>
      </c>
      <c r="U28" s="566">
        <v>5.05</v>
      </c>
      <c r="V28" s="109">
        <f t="shared" si="8"/>
        <v>288.03999999999996</v>
      </c>
      <c r="W28" s="110">
        <f t="shared" si="9"/>
        <v>1.1472886125511079</v>
      </c>
      <c r="X28" s="110">
        <f t="shared" si="27"/>
        <v>1.1472886125511079</v>
      </c>
      <c r="Y28" s="129">
        <v>251.06</v>
      </c>
      <c r="Z28" s="136">
        <v>89.36</v>
      </c>
      <c r="AA28" s="131">
        <v>1.06</v>
      </c>
      <c r="AB28" s="133">
        <v>615</v>
      </c>
      <c r="AC28" s="133">
        <v>1221</v>
      </c>
      <c r="AD28" s="144" t="s">
        <v>181</v>
      </c>
      <c r="AE28" s="131">
        <v>75.959999999999994</v>
      </c>
      <c r="AF28" s="133">
        <v>163</v>
      </c>
      <c r="AG28" s="134">
        <v>6</v>
      </c>
      <c r="AH28" s="131">
        <v>4.3</v>
      </c>
      <c r="AI28" s="115">
        <f t="shared" si="10"/>
        <v>17.127277579397877</v>
      </c>
      <c r="AJ28" s="131">
        <v>163.30000000000001</v>
      </c>
      <c r="AK28" s="115">
        <f t="shared" si="11"/>
        <v>650.43823923620312</v>
      </c>
      <c r="AL28" s="139">
        <v>42.81</v>
      </c>
      <c r="AM28" s="131"/>
      <c r="AN28" s="136">
        <v>16.48</v>
      </c>
      <c r="AO28" s="466">
        <f t="shared" si="28"/>
        <v>61.968499999999999</v>
      </c>
      <c r="AP28" s="110">
        <f t="shared" si="12"/>
        <v>0.19</v>
      </c>
      <c r="AQ28" s="137" t="s">
        <v>121</v>
      </c>
      <c r="AR28" s="150">
        <v>7.53</v>
      </c>
      <c r="AS28" s="138">
        <v>7.69</v>
      </c>
      <c r="AT28" s="134"/>
      <c r="AU28" s="131">
        <v>5.68</v>
      </c>
      <c r="AV28" s="139">
        <v>326.14999999999998</v>
      </c>
      <c r="AW28" s="131">
        <v>3.36</v>
      </c>
      <c r="AX28" s="148"/>
      <c r="AY28" s="131"/>
      <c r="AZ28" s="109">
        <f t="shared" si="38"/>
        <v>0</v>
      </c>
      <c r="BA28" s="598">
        <f t="shared" si="13"/>
        <v>251.0615</v>
      </c>
      <c r="BB28" s="115">
        <f t="shared" si="29"/>
        <v>206.03251537397404</v>
      </c>
      <c r="BC28" s="140">
        <f t="shared" si="14"/>
        <v>7.1851999999999991</v>
      </c>
      <c r="BD28" s="141">
        <f t="shared" si="39"/>
        <v>10.04246</v>
      </c>
      <c r="BE28" s="128">
        <f t="shared" si="16"/>
        <v>1.0637966007557969</v>
      </c>
      <c r="BF28" s="141">
        <f t="shared" si="17"/>
        <v>17.22766</v>
      </c>
      <c r="BG28" s="535">
        <v>0.93799999999999994</v>
      </c>
      <c r="BH28" s="16">
        <f t="shared" si="30"/>
        <v>4501.5912000000008</v>
      </c>
      <c r="BI28" s="16">
        <f t="shared" si="18"/>
        <v>220</v>
      </c>
      <c r="BJ28" s="16">
        <f t="shared" si="31"/>
        <v>4840</v>
      </c>
      <c r="BK28" s="17">
        <f t="shared" si="19"/>
        <v>1</v>
      </c>
      <c r="BL28" s="16">
        <f t="shared" si="32"/>
        <v>4840</v>
      </c>
      <c r="BM28" s="441">
        <f t="shared" si="33"/>
        <v>367.67</v>
      </c>
      <c r="BN28" s="266">
        <v>8.1760000000000002</v>
      </c>
      <c r="BO28" s="266">
        <v>89.656999999999996</v>
      </c>
      <c r="BP28" s="266"/>
      <c r="BQ28" s="266"/>
      <c r="BR28" s="266">
        <v>16.126999999999999</v>
      </c>
      <c r="BS28" s="604"/>
      <c r="BT28" s="199"/>
      <c r="BU28" s="200">
        <v>1.77</v>
      </c>
      <c r="BV28" s="200"/>
      <c r="BW28" s="200"/>
      <c r="BX28" s="200"/>
      <c r="BY28" s="208"/>
      <c r="BZ28" s="208">
        <v>6.22</v>
      </c>
      <c r="CA28" s="201"/>
      <c r="CB28" s="202">
        <v>36.51</v>
      </c>
      <c r="CC28" s="200">
        <v>43.23</v>
      </c>
      <c r="CD28" s="200">
        <v>43.23</v>
      </c>
      <c r="CE28" s="200"/>
      <c r="CF28" s="208"/>
      <c r="CG28" s="208">
        <v>34.6</v>
      </c>
      <c r="CH28" s="209"/>
      <c r="CI28" s="608"/>
      <c r="CJ28" s="197"/>
      <c r="CK28" s="197">
        <v>81.5</v>
      </c>
      <c r="CL28" s="197">
        <v>206.54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361.16224100000005</v>
      </c>
      <c r="CU28" s="29">
        <f t="shared" si="20"/>
        <v>8.1760000000000002</v>
      </c>
      <c r="CV28" s="30">
        <f t="shared" si="20"/>
        <v>89.656999999999996</v>
      </c>
      <c r="CW28" s="29">
        <f t="shared" si="20"/>
        <v>0</v>
      </c>
      <c r="CX28" s="27">
        <f t="shared" si="20"/>
        <v>0</v>
      </c>
      <c r="CY28" s="24">
        <f t="shared" si="20"/>
        <v>15.123900599999999</v>
      </c>
      <c r="CZ28" s="282">
        <f t="shared" si="20"/>
        <v>0</v>
      </c>
      <c r="DA28" s="25">
        <f t="shared" si="21"/>
        <v>0</v>
      </c>
      <c r="DB28" s="24">
        <f t="shared" si="21"/>
        <v>81.5</v>
      </c>
      <c r="DC28" s="277">
        <f t="shared" si="21"/>
        <v>206.54</v>
      </c>
      <c r="DD28" s="280">
        <f t="shared" si="21"/>
        <v>0</v>
      </c>
      <c r="DE28" s="508">
        <f t="shared" si="34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5"/>
        <v>0</v>
      </c>
      <c r="DM28" s="254">
        <v>375.07</v>
      </c>
      <c r="DN28" s="247">
        <f t="shared" si="36"/>
        <v>367.67</v>
      </c>
      <c r="DP28" s="197">
        <v>206.54</v>
      </c>
      <c r="DQ28" s="247">
        <f t="shared" si="37"/>
        <v>237.70999999999998</v>
      </c>
    </row>
    <row r="29" spans="1:121" ht="16.5" customHeight="1" thickBot="1">
      <c r="A29" s="534">
        <v>23</v>
      </c>
      <c r="B29" s="103">
        <f t="shared" si="24"/>
        <v>451.92599999999999</v>
      </c>
      <c r="C29" s="104">
        <f t="shared" si="0"/>
        <v>1.8712348924381428</v>
      </c>
      <c r="D29" s="143">
        <f t="shared" si="1"/>
        <v>443.469403</v>
      </c>
      <c r="E29" s="104">
        <f t="shared" si="2"/>
        <v>37.536967357487725</v>
      </c>
      <c r="F29" s="128">
        <f t="shared" si="3"/>
        <v>2.4427923180310893</v>
      </c>
      <c r="G29" s="106"/>
      <c r="H29" s="107">
        <f t="shared" si="4"/>
        <v>1.9507188584459794</v>
      </c>
      <c r="I29" s="103">
        <f>'[1]сентябрь 20'!AE28</f>
        <v>0</v>
      </c>
      <c r="J29" s="328">
        <f>'[1]сентябрь 20'!AA28</f>
        <v>13.723000000000001</v>
      </c>
      <c r="K29" s="106">
        <v>23.39</v>
      </c>
      <c r="L29" s="328">
        <f>'[1]сентябрь 20'!AI28</f>
        <v>89.331999999999994</v>
      </c>
      <c r="M29" s="103">
        <f t="shared" si="5"/>
        <v>0.49207345958510973</v>
      </c>
      <c r="N29" s="103">
        <f>'[1]август 20'!W28</f>
        <v>0</v>
      </c>
      <c r="O29" s="103">
        <f>'[1]сентябрь 20'!AM28</f>
        <v>0</v>
      </c>
      <c r="P29" s="447">
        <f t="shared" si="25"/>
        <v>0</v>
      </c>
      <c r="Q29" s="103">
        <f t="shared" si="26"/>
        <v>0</v>
      </c>
      <c r="R29" s="103">
        <f>'[1]сентябрь 20'!S28</f>
        <v>276.24299999999999</v>
      </c>
      <c r="S29" s="108">
        <f t="shared" si="6"/>
        <v>2.9188069923943738</v>
      </c>
      <c r="T29" s="109">
        <f t="shared" si="7"/>
        <v>268.17999999999995</v>
      </c>
      <c r="U29" s="566">
        <v>18.399999999999999</v>
      </c>
      <c r="V29" s="109">
        <f t="shared" si="8"/>
        <v>268.18</v>
      </c>
      <c r="W29" s="110">
        <f t="shared" si="9"/>
        <v>1.4772339183219307</v>
      </c>
      <c r="X29" s="110">
        <f t="shared" si="27"/>
        <v>1.4772339183219307</v>
      </c>
      <c r="Y29" s="129">
        <v>181.54</v>
      </c>
      <c r="Z29" s="136">
        <v>133.36000000000001</v>
      </c>
      <c r="AA29" s="131">
        <v>0.81</v>
      </c>
      <c r="AB29" s="133">
        <v>636</v>
      </c>
      <c r="AC29" s="133">
        <v>1222</v>
      </c>
      <c r="AD29" s="144" t="s">
        <v>178</v>
      </c>
      <c r="AE29" s="131">
        <v>75.819999999999993</v>
      </c>
      <c r="AF29" s="133">
        <v>153</v>
      </c>
      <c r="AG29" s="134">
        <v>4</v>
      </c>
      <c r="AH29" s="131"/>
      <c r="AI29" s="115">
        <f t="shared" si="10"/>
        <v>0</v>
      </c>
      <c r="AJ29" s="131">
        <v>110.8</v>
      </c>
      <c r="AK29" s="115">
        <f t="shared" si="11"/>
        <v>610.3270868449174</v>
      </c>
      <c r="AL29" s="139">
        <v>30.36</v>
      </c>
      <c r="AM29" s="131"/>
      <c r="AN29" s="136">
        <v>14.55</v>
      </c>
      <c r="AO29" s="466">
        <f t="shared" si="28"/>
        <v>44.687999999999995</v>
      </c>
      <c r="AP29" s="110">
        <f t="shared" si="12"/>
        <v>0.19</v>
      </c>
      <c r="AQ29" s="137" t="s">
        <v>208</v>
      </c>
      <c r="AR29" s="150">
        <v>7.16</v>
      </c>
      <c r="AS29" s="138">
        <v>7.23</v>
      </c>
      <c r="AT29" s="134"/>
      <c r="AU29" s="131">
        <v>7.08</v>
      </c>
      <c r="AV29" s="139">
        <v>235.2</v>
      </c>
      <c r="AW29" s="131">
        <v>5.58</v>
      </c>
      <c r="AX29" s="148"/>
      <c r="AY29" s="131"/>
      <c r="AZ29" s="109">
        <f t="shared" si="38"/>
        <v>0</v>
      </c>
      <c r="BA29" s="598">
        <f t="shared" si="13"/>
        <v>181.542</v>
      </c>
      <c r="BB29" s="115">
        <f t="shared" si="29"/>
        <v>191.66963134251796</v>
      </c>
      <c r="BC29" s="140">
        <f t="shared" si="14"/>
        <v>6.0768338028169007</v>
      </c>
      <c r="BD29" s="141">
        <f t="shared" si="39"/>
        <v>7.2616800000000001</v>
      </c>
      <c r="BE29" s="128">
        <f t="shared" si="16"/>
        <v>0.8268715544028028</v>
      </c>
      <c r="BF29" s="141">
        <f t="shared" si="17"/>
        <v>13.338513802816902</v>
      </c>
      <c r="BG29" s="535">
        <v>0.93300000000000005</v>
      </c>
      <c r="BH29" s="16">
        <f t="shared" si="30"/>
        <v>4683.1332000000011</v>
      </c>
      <c r="BI29" s="16">
        <f t="shared" si="18"/>
        <v>220</v>
      </c>
      <c r="BJ29" s="16">
        <f t="shared" si="31"/>
        <v>5060</v>
      </c>
      <c r="BK29" s="17">
        <f t="shared" si="19"/>
        <v>1</v>
      </c>
      <c r="BL29" s="16">
        <f t="shared" si="32"/>
        <v>5060</v>
      </c>
      <c r="BM29" s="441">
        <f t="shared" si="33"/>
        <v>266.01400000000001</v>
      </c>
      <c r="BN29" s="266">
        <v>32.131</v>
      </c>
      <c r="BO29" s="266">
        <v>57.201000000000001</v>
      </c>
      <c r="BP29" s="266">
        <v>78.409000000000006</v>
      </c>
      <c r="BQ29" s="266"/>
      <c r="BR29" s="266">
        <v>18.170999999999999</v>
      </c>
      <c r="BS29" s="604"/>
      <c r="BT29" s="199"/>
      <c r="BU29" s="200">
        <v>2.12</v>
      </c>
      <c r="BV29" s="200"/>
      <c r="BW29" s="200"/>
      <c r="BX29" s="200">
        <v>2.0099999999999998</v>
      </c>
      <c r="BY29" s="208"/>
      <c r="BZ29" s="208">
        <v>6.83</v>
      </c>
      <c r="CA29" s="201"/>
      <c r="CB29" s="202">
        <v>35.94</v>
      </c>
      <c r="CC29" s="200">
        <v>43.37</v>
      </c>
      <c r="CD29" s="200">
        <v>43.19</v>
      </c>
      <c r="CE29" s="200">
        <v>37.74</v>
      </c>
      <c r="CF29" s="208"/>
      <c r="CG29" s="208">
        <v>31.93</v>
      </c>
      <c r="CH29" s="201"/>
      <c r="CI29" s="608"/>
      <c r="CJ29" s="197"/>
      <c r="CK29" s="197">
        <v>76.5</v>
      </c>
      <c r="CL29" s="230">
        <v>191.68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260.37450319999999</v>
      </c>
      <c r="CU29" s="24">
        <f t="shared" si="20"/>
        <v>32.131</v>
      </c>
      <c r="CV29" s="25">
        <f t="shared" si="20"/>
        <v>57.201000000000001</v>
      </c>
      <c r="CW29" s="24">
        <f t="shared" si="20"/>
        <v>76.832979100000003</v>
      </c>
      <c r="CX29" s="27">
        <f t="shared" si="20"/>
        <v>0</v>
      </c>
      <c r="CY29" s="29">
        <f t="shared" si="20"/>
        <v>16.9299207</v>
      </c>
      <c r="CZ29" s="280">
        <f t="shared" si="20"/>
        <v>0</v>
      </c>
      <c r="DA29" s="30">
        <f t="shared" si="21"/>
        <v>0</v>
      </c>
      <c r="DB29" s="29">
        <f t="shared" si="21"/>
        <v>76.5</v>
      </c>
      <c r="DC29" s="277">
        <f t="shared" si="21"/>
        <v>191.68</v>
      </c>
      <c r="DD29" s="280">
        <f t="shared" si="21"/>
        <v>0</v>
      </c>
      <c r="DE29" s="508">
        <f t="shared" si="34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5"/>
        <v>0</v>
      </c>
      <c r="DM29" s="254">
        <v>273.41399999999999</v>
      </c>
      <c r="DN29" s="247">
        <f t="shared" si="36"/>
        <v>266.01400000000001</v>
      </c>
      <c r="DP29" s="230">
        <v>191.68</v>
      </c>
      <c r="DQ29" s="247">
        <f t="shared" si="37"/>
        <v>222.85000000000002</v>
      </c>
    </row>
    <row r="30" spans="1:121" ht="16.5" customHeight="1" thickBot="1">
      <c r="A30" s="534">
        <v>24</v>
      </c>
      <c r="B30" s="103">
        <f t="shared" si="24"/>
        <v>472.56</v>
      </c>
      <c r="C30" s="104">
        <f t="shared" si="0"/>
        <v>1.4525599500592519</v>
      </c>
      <c r="D30" s="143">
        <f t="shared" si="1"/>
        <v>465.6957827</v>
      </c>
      <c r="E30" s="104">
        <f t="shared" si="2"/>
        <v>37.609626396648039</v>
      </c>
      <c r="F30" s="128">
        <f t="shared" si="3"/>
        <v>2.1886051578610974</v>
      </c>
      <c r="G30" s="106"/>
      <c r="H30" s="107">
        <f t="shared" si="4"/>
        <v>1.7752384257127012</v>
      </c>
      <c r="I30" s="103">
        <f>'[1]сентябрь 20'!AE29</f>
        <v>0</v>
      </c>
      <c r="J30" s="328">
        <f>'[1]сентябрь 20'!AA29</f>
        <v>7.2039999999999997</v>
      </c>
      <c r="K30" s="106">
        <v>11.22</v>
      </c>
      <c r="L30" s="328">
        <f>'[1]сентябрь 20'!AI29</f>
        <v>87.956999999999994</v>
      </c>
      <c r="M30" s="103">
        <f t="shared" si="5"/>
        <v>0.41336673214839603</v>
      </c>
      <c r="N30" s="103">
        <f>'[1]август 20'!W29</f>
        <v>0</v>
      </c>
      <c r="O30" s="103">
        <f>'[1]сентябрь 20'!AM29</f>
        <v>0</v>
      </c>
      <c r="P30" s="447">
        <f t="shared" si="25"/>
        <v>0</v>
      </c>
      <c r="Q30" s="103">
        <f t="shared" si="26"/>
        <v>0</v>
      </c>
      <c r="R30" s="103">
        <f>'[1]сентябрь 20'!S29</f>
        <v>287.62299999999999</v>
      </c>
      <c r="S30" s="108">
        <f t="shared" si="6"/>
        <v>2.6503443744067767</v>
      </c>
      <c r="T30" s="109">
        <f t="shared" si="7"/>
        <v>280</v>
      </c>
      <c r="U30" s="566">
        <v>42.24</v>
      </c>
      <c r="V30" s="109">
        <f t="shared" si="8"/>
        <v>280</v>
      </c>
      <c r="W30" s="110">
        <f t="shared" si="9"/>
        <v>1.3159007810811065</v>
      </c>
      <c r="X30" s="110">
        <f t="shared" si="27"/>
        <v>1.3159007810811065</v>
      </c>
      <c r="Y30" s="154">
        <v>212.78</v>
      </c>
      <c r="Z30" s="157">
        <v>212.78</v>
      </c>
      <c r="AA30" s="149">
        <v>0.74</v>
      </c>
      <c r="AB30" s="147">
        <v>638</v>
      </c>
      <c r="AC30" s="147">
        <v>1209</v>
      </c>
      <c r="AD30" s="144" t="s">
        <v>234</v>
      </c>
      <c r="AE30" s="149">
        <v>75.900000000000006</v>
      </c>
      <c r="AF30" s="147">
        <v>160</v>
      </c>
      <c r="AG30" s="155">
        <v>5</v>
      </c>
      <c r="AH30" s="149">
        <v>5.2</v>
      </c>
      <c r="AI30" s="115">
        <f t="shared" si="10"/>
        <v>24.438157362934838</v>
      </c>
      <c r="AJ30" s="131">
        <v>121.85</v>
      </c>
      <c r="AK30" s="115">
        <f t="shared" si="11"/>
        <v>572.65182205261726</v>
      </c>
      <c r="AL30" s="139">
        <v>32.799999999999997</v>
      </c>
      <c r="AM30" s="131"/>
      <c r="AN30" s="157">
        <v>13.9</v>
      </c>
      <c r="AO30" s="466">
        <f t="shared" si="28"/>
        <v>52.097999999999999</v>
      </c>
      <c r="AP30" s="110">
        <f t="shared" si="12"/>
        <v>0.19</v>
      </c>
      <c r="AQ30" s="158" t="s">
        <v>351</v>
      </c>
      <c r="AR30" s="404">
        <v>7.37</v>
      </c>
      <c r="AS30" s="159">
        <v>8.2100000000000009</v>
      </c>
      <c r="AT30" s="155"/>
      <c r="AU30" s="149">
        <v>6.82</v>
      </c>
      <c r="AV30" s="156">
        <v>274.2</v>
      </c>
      <c r="AW30" s="131">
        <v>4.58</v>
      </c>
      <c r="AX30" s="164"/>
      <c r="AY30" s="149"/>
      <c r="AZ30" s="109">
        <f t="shared" si="38"/>
        <v>0</v>
      </c>
      <c r="BA30" s="598">
        <f t="shared" si="13"/>
        <v>212.78199999999998</v>
      </c>
      <c r="BB30" s="115">
        <f t="shared" si="29"/>
        <v>201.45302454292104</v>
      </c>
      <c r="BC30" s="140">
        <f t="shared" si="14"/>
        <v>6.4374556338028164</v>
      </c>
      <c r="BD30" s="141">
        <f t="shared" si="39"/>
        <v>8.5112799999999993</v>
      </c>
      <c r="BE30" s="128">
        <f t="shared" si="16"/>
        <v>0.92209430174339602</v>
      </c>
      <c r="BF30" s="141">
        <f t="shared" si="17"/>
        <v>14.948735633802816</v>
      </c>
      <c r="BG30" s="537">
        <v>0.93300000000000005</v>
      </c>
      <c r="BH30" s="16">
        <f t="shared" si="30"/>
        <v>4895.9152000000013</v>
      </c>
      <c r="BI30" s="16">
        <f t="shared" si="18"/>
        <v>220</v>
      </c>
      <c r="BJ30" s="16">
        <f t="shared" si="31"/>
        <v>5280</v>
      </c>
      <c r="BK30" s="17">
        <f t="shared" si="19"/>
        <v>1</v>
      </c>
      <c r="BL30" s="16">
        <f t="shared" si="32"/>
        <v>5280</v>
      </c>
      <c r="BM30" s="441">
        <f t="shared" si="33"/>
        <v>104.553</v>
      </c>
      <c r="BN30" s="600">
        <v>87.956999999999994</v>
      </c>
      <c r="BO30" s="600"/>
      <c r="BP30" s="600">
        <v>256.07499999999999</v>
      </c>
      <c r="BQ30" s="600"/>
      <c r="BR30" s="600">
        <v>23.975000000000001</v>
      </c>
      <c r="BS30" s="605"/>
      <c r="BT30" s="212"/>
      <c r="BU30" s="213">
        <v>1.91</v>
      </c>
      <c r="BV30" s="213"/>
      <c r="BW30" s="213"/>
      <c r="BX30" s="213">
        <v>1.5</v>
      </c>
      <c r="BY30" s="235"/>
      <c r="BZ30" s="235">
        <v>4.28</v>
      </c>
      <c r="CA30" s="214"/>
      <c r="CB30" s="215">
        <v>36.81</v>
      </c>
      <c r="CC30" s="213">
        <v>43.41</v>
      </c>
      <c r="CD30" s="216"/>
      <c r="CE30" s="213">
        <v>36.880000000000003</v>
      </c>
      <c r="CF30" s="235"/>
      <c r="CG30" s="235">
        <v>27.61</v>
      </c>
      <c r="CH30" s="214"/>
      <c r="CI30" s="609"/>
      <c r="CJ30" s="210"/>
      <c r="CK30" s="210">
        <v>80</v>
      </c>
      <c r="CL30" s="233">
        <v>200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102.55603769999999</v>
      </c>
      <c r="CU30" s="24">
        <f t="shared" si="20"/>
        <v>87.956999999999994</v>
      </c>
      <c r="CV30" s="25">
        <f t="shared" si="20"/>
        <v>0</v>
      </c>
      <c r="CW30" s="24">
        <f t="shared" si="20"/>
        <v>252.23387499999998</v>
      </c>
      <c r="CX30" s="27">
        <f t="shared" si="20"/>
        <v>0</v>
      </c>
      <c r="CY30" s="24">
        <f t="shared" si="20"/>
        <v>22.948869999999999</v>
      </c>
      <c r="CZ30" s="280">
        <f t="shared" si="20"/>
        <v>0</v>
      </c>
      <c r="DA30" s="25">
        <f t="shared" si="21"/>
        <v>0</v>
      </c>
      <c r="DB30" s="26">
        <f t="shared" si="21"/>
        <v>80</v>
      </c>
      <c r="DC30" s="277">
        <f t="shared" si="21"/>
        <v>200</v>
      </c>
      <c r="DD30" s="280">
        <f t="shared" si="21"/>
        <v>0</v>
      </c>
      <c r="DE30" s="508">
        <f t="shared" si="34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5"/>
        <v>0</v>
      </c>
      <c r="DM30" s="255">
        <v>111.953</v>
      </c>
      <c r="DN30" s="247">
        <f t="shared" si="36"/>
        <v>104.553</v>
      </c>
      <c r="DP30" s="233">
        <v>200</v>
      </c>
      <c r="DQ30" s="247">
        <f t="shared" si="37"/>
        <v>231.17000000000002</v>
      </c>
    </row>
    <row r="31" spans="1:121" ht="16.5" customHeight="1" thickBot="1">
      <c r="A31" s="534">
        <v>25</v>
      </c>
      <c r="B31" s="103">
        <f t="shared" si="24"/>
        <v>511.75400000000002</v>
      </c>
      <c r="C31" s="104">
        <f t="shared" si="0"/>
        <v>1.0221391527960699</v>
      </c>
      <c r="D31" s="143">
        <f t="shared" si="1"/>
        <v>506.52316200000001</v>
      </c>
      <c r="E31" s="104">
        <f t="shared" si="2"/>
        <v>37.886091989510575</v>
      </c>
      <c r="F31" s="128">
        <f t="shared" si="3"/>
        <v>2.1159971342395707</v>
      </c>
      <c r="G31" s="106"/>
      <c r="H31" s="107">
        <f t="shared" si="4"/>
        <v>1.7190099424341416</v>
      </c>
      <c r="I31" s="103">
        <f>'[1]сентябрь 20'!AE30</f>
        <v>0</v>
      </c>
      <c r="J31" s="328">
        <f>'[1]сентябрь 20'!AA30</f>
        <v>7.7380000000000004</v>
      </c>
      <c r="K31" s="106"/>
      <c r="L31" s="328">
        <f>'[1]сентябрь 20'!AI30</f>
        <v>95.03</v>
      </c>
      <c r="M31" s="103">
        <f t="shared" si="5"/>
        <v>0.39698719180542907</v>
      </c>
      <c r="N31" s="103">
        <f>'[1]август 20'!W30</f>
        <v>0</v>
      </c>
      <c r="O31" s="103">
        <f>'[1]сентябрь 20'!AM30</f>
        <v>0</v>
      </c>
      <c r="P31" s="447">
        <f t="shared" si="25"/>
        <v>0</v>
      </c>
      <c r="Q31" s="103">
        <f t="shared" si="26"/>
        <v>0</v>
      </c>
      <c r="R31" s="103">
        <f>'[1]сентябрь 20'!S30</f>
        <v>308.577</v>
      </c>
      <c r="S31" s="108">
        <f t="shared" si="6"/>
        <v>2.6434244937244333</v>
      </c>
      <c r="T31" s="109">
        <f t="shared" si="7"/>
        <v>300.41999999999996</v>
      </c>
      <c r="U31" s="566">
        <v>3.53</v>
      </c>
      <c r="V31" s="109">
        <f t="shared" si="8"/>
        <v>300.41999999999996</v>
      </c>
      <c r="W31" s="110">
        <f t="shared" si="9"/>
        <v>1.2550025482709353</v>
      </c>
      <c r="X31" s="110">
        <f t="shared" si="27"/>
        <v>1.2550025482709353</v>
      </c>
      <c r="Y31" s="136">
        <v>239.38</v>
      </c>
      <c r="Z31" s="136">
        <v>144.52000000000001</v>
      </c>
      <c r="AA31" s="131">
        <v>0.91</v>
      </c>
      <c r="AB31" s="133">
        <v>602</v>
      </c>
      <c r="AC31" s="133">
        <v>1200</v>
      </c>
      <c r="AD31" s="144" t="s">
        <v>174</v>
      </c>
      <c r="AE31" s="131">
        <v>75.83</v>
      </c>
      <c r="AF31" s="133">
        <v>173</v>
      </c>
      <c r="AG31" s="134">
        <v>5</v>
      </c>
      <c r="AH31" s="131">
        <v>6.75</v>
      </c>
      <c r="AI31" s="115">
        <f t="shared" si="10"/>
        <v>28.19808002406236</v>
      </c>
      <c r="AJ31" s="131">
        <v>130.1</v>
      </c>
      <c r="AK31" s="115">
        <f t="shared" si="11"/>
        <v>543.49188313044635</v>
      </c>
      <c r="AL31" s="139">
        <v>40.97</v>
      </c>
      <c r="AM31" s="131"/>
      <c r="AN31" s="136">
        <v>17.95</v>
      </c>
      <c r="AO31" s="466">
        <f t="shared" si="28"/>
        <v>59.432000000000002</v>
      </c>
      <c r="AP31" s="110">
        <f t="shared" si="12"/>
        <v>0.19</v>
      </c>
      <c r="AQ31" s="137" t="s">
        <v>437</v>
      </c>
      <c r="AR31" s="150">
        <v>7.78</v>
      </c>
      <c r="AS31" s="138">
        <v>8.57</v>
      </c>
      <c r="AT31" s="134"/>
      <c r="AU31" s="131">
        <v>5.81</v>
      </c>
      <c r="AV31" s="139">
        <v>312.8</v>
      </c>
      <c r="AW31" s="131">
        <v>3.96</v>
      </c>
      <c r="AX31" s="148"/>
      <c r="AY31" s="131"/>
      <c r="AZ31" s="109">
        <f t="shared" si="38"/>
        <v>0</v>
      </c>
      <c r="BA31" s="598">
        <f t="shared" si="13"/>
        <v>239.37800000000001</v>
      </c>
      <c r="BB31" s="115">
        <f t="shared" si="29"/>
        <v>220.92878617084727</v>
      </c>
      <c r="BC31" s="140">
        <f t="shared" si="14"/>
        <v>5.8554161971830982</v>
      </c>
      <c r="BD31" s="141">
        <f t="shared" si="39"/>
        <v>9.5751200000000001</v>
      </c>
      <c r="BE31" s="128">
        <f t="shared" si="16"/>
        <v>0.94590206021588885</v>
      </c>
      <c r="BF31" s="141">
        <f t="shared" si="17"/>
        <v>15.430536197183098</v>
      </c>
      <c r="BG31" s="535">
        <v>0.93300000000000005</v>
      </c>
      <c r="BH31" s="16">
        <f t="shared" si="30"/>
        <v>5135.293200000001</v>
      </c>
      <c r="BI31" s="16">
        <f t="shared" si="18"/>
        <v>220</v>
      </c>
      <c r="BJ31" s="16">
        <f t="shared" si="31"/>
        <v>5500</v>
      </c>
      <c r="BK31" s="17">
        <f>IF(BA31&lt;&gt;0,1,0)</f>
        <v>1</v>
      </c>
      <c r="BL31" s="16">
        <f t="shared" si="32"/>
        <v>5500</v>
      </c>
      <c r="BM31" s="441">
        <f t="shared" si="33"/>
        <v>113.753</v>
      </c>
      <c r="BN31" s="266">
        <v>95.03</v>
      </c>
      <c r="BO31" s="266"/>
      <c r="BP31" s="266">
        <v>277.19</v>
      </c>
      <c r="BQ31" s="266"/>
      <c r="BR31" s="266">
        <v>25.780999999999999</v>
      </c>
      <c r="BS31" s="603"/>
      <c r="BT31" s="199"/>
      <c r="BU31" s="200">
        <v>1.1399999999999999</v>
      </c>
      <c r="BV31" s="200"/>
      <c r="BW31" s="200"/>
      <c r="BX31" s="200">
        <v>1.17</v>
      </c>
      <c r="BY31" s="208"/>
      <c r="BZ31" s="208">
        <v>2.68</v>
      </c>
      <c r="CA31" s="201"/>
      <c r="CB31" s="202">
        <v>36.06</v>
      </c>
      <c r="CC31" s="200">
        <v>43.32</v>
      </c>
      <c r="CD31" s="200"/>
      <c r="CE31" s="200">
        <v>37.4</v>
      </c>
      <c r="CF31" s="208"/>
      <c r="CG31" s="208">
        <v>31.14</v>
      </c>
      <c r="CH31" s="209"/>
      <c r="CI31" s="608"/>
      <c r="CJ31" s="197"/>
      <c r="CK31" s="197">
        <v>86.5</v>
      </c>
      <c r="CL31" s="230">
        <v>213.92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112.45621580000001</v>
      </c>
      <c r="CU31" s="24">
        <f t="shared" si="20"/>
        <v>95.03</v>
      </c>
      <c r="CV31" s="25">
        <f t="shared" si="20"/>
        <v>0</v>
      </c>
      <c r="CW31" s="24">
        <f t="shared" si="20"/>
        <v>273.94687699999997</v>
      </c>
      <c r="CX31" s="27">
        <f t="shared" si="20"/>
        <v>0</v>
      </c>
      <c r="CY31" s="24">
        <f t="shared" si="20"/>
        <v>25.090069199999999</v>
      </c>
      <c r="CZ31" s="280">
        <f t="shared" si="20"/>
        <v>0</v>
      </c>
      <c r="DA31" s="28">
        <f t="shared" si="21"/>
        <v>0</v>
      </c>
      <c r="DB31" s="24">
        <f t="shared" si="21"/>
        <v>86.5</v>
      </c>
      <c r="DC31" s="277">
        <f t="shared" si="21"/>
        <v>213.92</v>
      </c>
      <c r="DD31" s="280">
        <f t="shared" si="21"/>
        <v>0</v>
      </c>
      <c r="DE31" s="508">
        <f t="shared" si="34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5"/>
        <v>0</v>
      </c>
      <c r="DM31" s="254">
        <v>121.15300000000001</v>
      </c>
      <c r="DN31" s="247">
        <f t="shared" si="36"/>
        <v>113.753</v>
      </c>
      <c r="DP31" s="230">
        <v>213.92</v>
      </c>
      <c r="DQ31" s="247">
        <f t="shared" si="37"/>
        <v>245.08999999999997</v>
      </c>
    </row>
    <row r="32" spans="1:121" ht="16.5" customHeight="1" thickBot="1">
      <c r="A32" s="534">
        <v>26</v>
      </c>
      <c r="B32" s="103">
        <f t="shared" si="24"/>
        <v>502.572</v>
      </c>
      <c r="C32" s="104">
        <f t="shared" si="0"/>
        <v>0.91906174637663862</v>
      </c>
      <c r="D32" s="143">
        <f t="shared" si="1"/>
        <v>497.95305300000001</v>
      </c>
      <c r="E32" s="104">
        <f t="shared" si="2"/>
        <v>38.086729145276699</v>
      </c>
      <c r="F32" s="128">
        <f t="shared" si="3"/>
        <v>2.170529249331453</v>
      </c>
      <c r="G32" s="106"/>
      <c r="H32" s="107">
        <f t="shared" si="4"/>
        <v>1.7629412703152141</v>
      </c>
      <c r="I32" s="103">
        <f>'[1]сентябрь 20'!AE31</f>
        <v>0</v>
      </c>
      <c r="J32" s="328">
        <f>'[1]сентябрь 20'!AA31</f>
        <v>7.2480000000000002</v>
      </c>
      <c r="K32" s="106"/>
      <c r="L32" s="328">
        <f>'[1]сентябрь 20'!AI31</f>
        <v>93.507000000000005</v>
      </c>
      <c r="M32" s="103">
        <f t="shared" si="5"/>
        <v>0.40758797901623911</v>
      </c>
      <c r="N32" s="103">
        <f>'[1]август 20'!W31</f>
        <v>0</v>
      </c>
      <c r="O32" s="103">
        <f>'[1]сентябрь 20'!AM31</f>
        <v>0</v>
      </c>
      <c r="P32" s="447">
        <f t="shared" si="25"/>
        <v>0</v>
      </c>
      <c r="Q32" s="103">
        <f t="shared" si="26"/>
        <v>0</v>
      </c>
      <c r="R32" s="103">
        <f>'[1]сентябрь 20'!S31</f>
        <v>302.75299999999999</v>
      </c>
      <c r="S32" s="108">
        <f t="shared" si="6"/>
        <v>2.6368029383688985</v>
      </c>
      <c r="T32" s="109">
        <f t="shared" si="7"/>
        <v>294.77</v>
      </c>
      <c r="U32" s="566"/>
      <c r="V32" s="109">
        <f t="shared" si="8"/>
        <v>294.77</v>
      </c>
      <c r="W32" s="110">
        <f t="shared" si="9"/>
        <v>1.2848739514113039</v>
      </c>
      <c r="X32" s="110">
        <f t="shared" si="27"/>
        <v>1.2848739514113039</v>
      </c>
      <c r="Y32" s="136">
        <v>184.66</v>
      </c>
      <c r="Z32" s="136">
        <v>173.45</v>
      </c>
      <c r="AA32" s="131">
        <v>0.81</v>
      </c>
      <c r="AB32" s="133">
        <v>588</v>
      </c>
      <c r="AC32" s="133">
        <v>1208</v>
      </c>
      <c r="AD32" s="144" t="s">
        <v>438</v>
      </c>
      <c r="AE32" s="131">
        <v>75.489999999999995</v>
      </c>
      <c r="AF32" s="133">
        <v>170</v>
      </c>
      <c r="AG32" s="134">
        <v>5</v>
      </c>
      <c r="AH32" s="131">
        <v>4.5999999999999996</v>
      </c>
      <c r="AI32" s="115">
        <f t="shared" si="10"/>
        <v>20.050955580595033</v>
      </c>
      <c r="AJ32" s="131">
        <v>130.9</v>
      </c>
      <c r="AK32" s="115">
        <f t="shared" si="11"/>
        <v>570.58045336954137</v>
      </c>
      <c r="AL32" s="139">
        <v>35.49</v>
      </c>
      <c r="AM32" s="131"/>
      <c r="AN32" s="136">
        <v>15.71</v>
      </c>
      <c r="AO32" s="466">
        <f t="shared" si="28"/>
        <v>56.724500000000006</v>
      </c>
      <c r="AP32" s="110">
        <f t="shared" si="12"/>
        <v>0.19</v>
      </c>
      <c r="AQ32" s="137" t="s">
        <v>439</v>
      </c>
      <c r="AR32" s="150">
        <v>7.56</v>
      </c>
      <c r="AS32" s="138">
        <v>8.85</v>
      </c>
      <c r="AT32" s="134"/>
      <c r="AU32" s="131">
        <v>7.08</v>
      </c>
      <c r="AV32" s="139">
        <v>298.55</v>
      </c>
      <c r="AW32" s="131">
        <v>3.3</v>
      </c>
      <c r="AX32" s="148"/>
      <c r="AY32" s="131"/>
      <c r="AZ32" s="109">
        <f t="shared" si="38"/>
        <v>0</v>
      </c>
      <c r="BA32" s="598">
        <f t="shared" si="13"/>
        <v>229.41550000000001</v>
      </c>
      <c r="BB32" s="115">
        <f t="shared" si="29"/>
        <v>219.32437234702527</v>
      </c>
      <c r="BC32" s="140">
        <f t="shared" si="14"/>
        <v>7.1792197183098594</v>
      </c>
      <c r="BD32" s="141">
        <f t="shared" si="39"/>
        <v>9.1766199999999998</v>
      </c>
      <c r="BE32" s="128">
        <f t="shared" si="16"/>
        <v>0.91316678286491593</v>
      </c>
      <c r="BF32" s="141">
        <f t="shared" si="17"/>
        <v>16.355839718309859</v>
      </c>
      <c r="BG32" s="535">
        <v>0.93300000000000005</v>
      </c>
      <c r="BH32" s="16">
        <f t="shared" si="30"/>
        <v>5364.708700000001</v>
      </c>
      <c r="BI32" s="16">
        <f t="shared" si="18"/>
        <v>220</v>
      </c>
      <c r="BJ32" s="16">
        <f t="shared" si="31"/>
        <v>5720</v>
      </c>
      <c r="BK32" s="17">
        <f>IF(BA32&lt;&gt;0,1,0)</f>
        <v>1</v>
      </c>
      <c r="BL32" s="16">
        <f t="shared" si="32"/>
        <v>5720</v>
      </c>
      <c r="BM32" s="441">
        <f t="shared" si="33"/>
        <v>111.58</v>
      </c>
      <c r="BN32" s="266">
        <v>93.507000000000005</v>
      </c>
      <c r="BO32" s="266"/>
      <c r="BP32" s="266">
        <v>272.18</v>
      </c>
      <c r="BQ32" s="266"/>
      <c r="BR32" s="266">
        <v>25.305</v>
      </c>
      <c r="BS32" s="604"/>
      <c r="BT32" s="199"/>
      <c r="BU32" s="200">
        <v>0.97</v>
      </c>
      <c r="BV32" s="200"/>
      <c r="BW32" s="200"/>
      <c r="BX32" s="200">
        <v>1</v>
      </c>
      <c r="BY32" s="208"/>
      <c r="BZ32" s="208">
        <v>3.22</v>
      </c>
      <c r="CA32" s="201"/>
      <c r="CB32" s="202">
        <v>36.68</v>
      </c>
      <c r="CC32" s="200">
        <v>43.42</v>
      </c>
      <c r="CD32" s="200"/>
      <c r="CE32" s="200">
        <v>37.57</v>
      </c>
      <c r="CF32" s="208"/>
      <c r="CG32" s="208">
        <v>30.14</v>
      </c>
      <c r="CH32" s="209"/>
      <c r="CI32" s="608"/>
      <c r="CJ32" s="197"/>
      <c r="CK32" s="197">
        <v>85</v>
      </c>
      <c r="CL32" s="230">
        <v>209.77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110.49767399999999</v>
      </c>
      <c r="CU32" s="24">
        <f t="shared" si="20"/>
        <v>93.507000000000005</v>
      </c>
      <c r="CV32" s="25">
        <f t="shared" si="20"/>
        <v>0</v>
      </c>
      <c r="CW32" s="24">
        <f t="shared" si="20"/>
        <v>269.45819999999998</v>
      </c>
      <c r="CX32" s="27">
        <f t="shared" si="20"/>
        <v>0</v>
      </c>
      <c r="CY32" s="24">
        <f t="shared" si="20"/>
        <v>24.490179000000001</v>
      </c>
      <c r="CZ32" s="280">
        <f t="shared" si="20"/>
        <v>0</v>
      </c>
      <c r="DA32" s="25">
        <f t="shared" si="21"/>
        <v>0</v>
      </c>
      <c r="DB32" s="24">
        <f t="shared" si="21"/>
        <v>85</v>
      </c>
      <c r="DC32" s="277">
        <f t="shared" si="21"/>
        <v>209.77</v>
      </c>
      <c r="DD32" s="280">
        <f t="shared" si="21"/>
        <v>0</v>
      </c>
      <c r="DE32" s="508">
        <f t="shared" si="34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5"/>
        <v>0</v>
      </c>
      <c r="DM32" s="254">
        <v>118.98</v>
      </c>
      <c r="DN32" s="247">
        <f t="shared" si="36"/>
        <v>111.58</v>
      </c>
      <c r="DP32" s="230">
        <v>209.77</v>
      </c>
      <c r="DQ32" s="247">
        <f t="shared" si="37"/>
        <v>240.94</v>
      </c>
    </row>
    <row r="33" spans="1:121" ht="16.5" customHeight="1" thickBot="1">
      <c r="A33" s="534">
        <v>27</v>
      </c>
      <c r="B33" s="103">
        <f t="shared" si="24"/>
        <v>502.26599999999996</v>
      </c>
      <c r="C33" s="104">
        <f t="shared" si="0"/>
        <v>0.69826072240605586</v>
      </c>
      <c r="D33" s="143">
        <f t="shared" si="1"/>
        <v>498.75887379999995</v>
      </c>
      <c r="E33" s="104">
        <f t="shared" si="2"/>
        <v>38.40903007569694</v>
      </c>
      <c r="F33" s="128">
        <f t="shared" si="3"/>
        <v>2.0921751892362384</v>
      </c>
      <c r="G33" s="106"/>
      <c r="H33" s="107">
        <f t="shared" si="4"/>
        <v>1.7001158752897008</v>
      </c>
      <c r="I33" s="103">
        <f>'[1]сентябрь 20'!AE32</f>
        <v>0</v>
      </c>
      <c r="J33" s="328">
        <f>'[1]сентябрь 20'!AA32</f>
        <v>6.55</v>
      </c>
      <c r="K33" s="106">
        <v>17.850000000000001</v>
      </c>
      <c r="L33" s="328">
        <f>'[1]сентябрь 20'!AI32</f>
        <v>93.463999999999999</v>
      </c>
      <c r="M33" s="103">
        <f t="shared" si="5"/>
        <v>0.3920593139465377</v>
      </c>
      <c r="N33" s="103">
        <f>'[1]август 20'!W32</f>
        <v>0</v>
      </c>
      <c r="O33" s="103">
        <f>'[1]сентябрь 20'!AM32</f>
        <v>0</v>
      </c>
      <c r="P33" s="447">
        <f t="shared" si="25"/>
        <v>0</v>
      </c>
      <c r="Q33" s="103">
        <f t="shared" si="26"/>
        <v>0</v>
      </c>
      <c r="R33" s="103">
        <f>'[1]сентябрь 20'!S32</f>
        <v>301.18700000000001</v>
      </c>
      <c r="S33" s="108">
        <f t="shared" si="6"/>
        <v>2.6086783294099636</v>
      </c>
      <c r="T33" s="109">
        <f t="shared" si="7"/>
        <v>293.33000000000004</v>
      </c>
      <c r="U33" s="566">
        <v>30.04</v>
      </c>
      <c r="V33" s="109">
        <f t="shared" si="8"/>
        <v>293.33000000000004</v>
      </c>
      <c r="W33" s="110">
        <f t="shared" si="9"/>
        <v>1.2304497834453685</v>
      </c>
      <c r="X33" s="110">
        <f t="shared" si="27"/>
        <v>1.2304497834453685</v>
      </c>
      <c r="Y33" s="136">
        <v>238.39</v>
      </c>
      <c r="Z33" s="136">
        <v>192.32</v>
      </c>
      <c r="AA33" s="131">
        <v>0.94</v>
      </c>
      <c r="AB33" s="133">
        <v>619</v>
      </c>
      <c r="AC33" s="133">
        <v>1213</v>
      </c>
      <c r="AD33" s="144" t="s">
        <v>176</v>
      </c>
      <c r="AE33" s="131">
        <v>75.52</v>
      </c>
      <c r="AF33" s="133">
        <v>170</v>
      </c>
      <c r="AG33" s="134">
        <v>5</v>
      </c>
      <c r="AH33" s="131">
        <v>3.15</v>
      </c>
      <c r="AI33" s="115">
        <f t="shared" si="10"/>
        <v>13.21350294157744</v>
      </c>
      <c r="AJ33" s="131">
        <v>132.55000000000001</v>
      </c>
      <c r="AK33" s="115">
        <f t="shared" si="11"/>
        <v>556.01581425590155</v>
      </c>
      <c r="AL33" s="139">
        <v>41.44</v>
      </c>
      <c r="AM33" s="131"/>
      <c r="AN33" s="136">
        <v>17.28</v>
      </c>
      <c r="AO33" s="466">
        <f t="shared" si="28"/>
        <v>58.7575</v>
      </c>
      <c r="AP33" s="110">
        <f t="shared" si="12"/>
        <v>0.19</v>
      </c>
      <c r="AQ33" s="137" t="s">
        <v>329</v>
      </c>
      <c r="AR33" s="150">
        <v>7.48</v>
      </c>
      <c r="AS33" s="138">
        <v>8.57</v>
      </c>
      <c r="AT33" s="134"/>
      <c r="AU33" s="131">
        <v>7.27</v>
      </c>
      <c r="AV33" s="139">
        <v>309.25</v>
      </c>
      <c r="AW33" s="131">
        <v>5.18</v>
      </c>
      <c r="AX33" s="116"/>
      <c r="AY33" s="131"/>
      <c r="AZ33" s="109">
        <f t="shared" si="38"/>
        <v>0</v>
      </c>
      <c r="BA33" s="598">
        <f t="shared" si="13"/>
        <v>238.39250000000001</v>
      </c>
      <c r="BB33" s="115">
        <f t="shared" si="29"/>
        <v>221.45028233710548</v>
      </c>
      <c r="BC33" s="140">
        <f t="shared" si="14"/>
        <v>7.4648052816901407</v>
      </c>
      <c r="BD33" s="141">
        <f t="shared" si="39"/>
        <v>9.5357000000000003</v>
      </c>
      <c r="BE33" s="128">
        <f t="shared" si="16"/>
        <v>0.93978951078143946</v>
      </c>
      <c r="BF33" s="141">
        <f t="shared" si="17"/>
        <v>17.000505281690142</v>
      </c>
      <c r="BG33" s="535">
        <v>0.93300000000000005</v>
      </c>
      <c r="BH33" s="16">
        <f t="shared" si="30"/>
        <v>5603.101200000001</v>
      </c>
      <c r="BI33" s="16">
        <f t="shared" si="18"/>
        <v>220</v>
      </c>
      <c r="BJ33" s="16">
        <f t="shared" si="31"/>
        <v>5940</v>
      </c>
      <c r="BK33" s="17">
        <f t="shared" si="19"/>
        <v>1</v>
      </c>
      <c r="BL33" s="16">
        <f t="shared" si="32"/>
        <v>5940</v>
      </c>
      <c r="BM33" s="441">
        <f t="shared" si="33"/>
        <v>111.68599999999999</v>
      </c>
      <c r="BN33" s="266">
        <v>93.463999999999999</v>
      </c>
      <c r="BO33" s="266"/>
      <c r="BP33" s="266">
        <v>271.69499999999999</v>
      </c>
      <c r="BQ33" s="266"/>
      <c r="BR33" s="266">
        <v>25.420999999999999</v>
      </c>
      <c r="BS33" s="604"/>
      <c r="BT33" s="199"/>
      <c r="BU33" s="200">
        <v>0.66</v>
      </c>
      <c r="BV33" s="200"/>
      <c r="BW33" s="200"/>
      <c r="BX33" s="200">
        <v>0.78</v>
      </c>
      <c r="BY33" s="208"/>
      <c r="BZ33" s="208">
        <v>2.56</v>
      </c>
      <c r="CA33" s="201"/>
      <c r="CB33" s="202">
        <v>36.33</v>
      </c>
      <c r="CC33" s="200">
        <v>43.48</v>
      </c>
      <c r="CD33" s="200"/>
      <c r="CE33" s="200">
        <v>38.03</v>
      </c>
      <c r="CF33" s="208"/>
      <c r="CG33" s="208">
        <v>32.950000000000003</v>
      </c>
      <c r="CH33" s="209"/>
      <c r="CI33" s="608"/>
      <c r="CJ33" s="197"/>
      <c r="CK33" s="197">
        <v>85</v>
      </c>
      <c r="CL33" s="230">
        <v>208.33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110.9488724</v>
      </c>
      <c r="CU33" s="24">
        <f t="shared" si="20"/>
        <v>93.463999999999999</v>
      </c>
      <c r="CV33" s="25">
        <f t="shared" si="20"/>
        <v>0</v>
      </c>
      <c r="CW33" s="24">
        <f t="shared" si="20"/>
        <v>269.57577900000001</v>
      </c>
      <c r="CX33" s="27">
        <f t="shared" si="20"/>
        <v>0</v>
      </c>
      <c r="CY33" s="24">
        <f t="shared" si="20"/>
        <v>24.770222399999998</v>
      </c>
      <c r="CZ33" s="280">
        <f t="shared" si="20"/>
        <v>0</v>
      </c>
      <c r="DA33" s="25">
        <f t="shared" si="21"/>
        <v>0</v>
      </c>
      <c r="DB33" s="24">
        <f t="shared" si="21"/>
        <v>85</v>
      </c>
      <c r="DC33" s="277">
        <f t="shared" si="21"/>
        <v>208.33</v>
      </c>
      <c r="DD33" s="280">
        <f t="shared" si="21"/>
        <v>0</v>
      </c>
      <c r="DE33" s="508">
        <f t="shared" si="34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5"/>
        <v>0</v>
      </c>
      <c r="DM33" s="254">
        <v>119.086</v>
      </c>
      <c r="DN33" s="247">
        <f t="shared" si="36"/>
        <v>111.68599999999999</v>
      </c>
      <c r="DP33" s="230">
        <v>208.33</v>
      </c>
      <c r="DQ33" s="247">
        <f t="shared" si="37"/>
        <v>239.5</v>
      </c>
    </row>
    <row r="34" spans="1:121" ht="16.5" customHeight="1" thickBot="1">
      <c r="A34" s="534">
        <v>28</v>
      </c>
      <c r="B34" s="103">
        <f t="shared" si="24"/>
        <v>499.65499999999997</v>
      </c>
      <c r="C34" s="104">
        <f t="shared" si="0"/>
        <v>0.84510996587645482</v>
      </c>
      <c r="D34" s="143">
        <f t="shared" si="1"/>
        <v>495.43236579999996</v>
      </c>
      <c r="E34" s="104">
        <f t="shared" si="2"/>
        <v>37.543595761075146</v>
      </c>
      <c r="F34" s="128">
        <f t="shared" si="3"/>
        <v>2.1887018665040929</v>
      </c>
      <c r="G34" s="106"/>
      <c r="H34" s="107">
        <f t="shared" si="4"/>
        <v>1.7782432587173473</v>
      </c>
      <c r="I34" s="103">
        <f>'[1]сентябрь 20'!AE33</f>
        <v>0</v>
      </c>
      <c r="J34" s="328">
        <f>'[1]сентябрь 20'!AA33</f>
        <v>7.0110000000000001</v>
      </c>
      <c r="K34" s="106">
        <v>3.02</v>
      </c>
      <c r="L34" s="328">
        <f>'[1]сентябрь 20'!AI33</f>
        <v>92.911000000000001</v>
      </c>
      <c r="M34" s="103">
        <f t="shared" si="5"/>
        <v>0.41045860778674587</v>
      </c>
      <c r="N34" s="103">
        <f>'[1]август 20'!W33</f>
        <v>0</v>
      </c>
      <c r="O34" s="103">
        <f>'[1]сентябрь 20'!AM33</f>
        <v>0</v>
      </c>
      <c r="P34" s="447">
        <f t="shared" si="25"/>
        <v>0</v>
      </c>
      <c r="Q34" s="103">
        <f t="shared" si="26"/>
        <v>0</v>
      </c>
      <c r="R34" s="103">
        <f>'[1]сентябрь 20'!S33</f>
        <v>300.47000000000003</v>
      </c>
      <c r="S34" s="108">
        <f t="shared" si="6"/>
        <v>2.8854794155822594</v>
      </c>
      <c r="T34" s="109">
        <f t="shared" si="7"/>
        <v>291.80000000000007</v>
      </c>
      <c r="U34" s="566">
        <v>54.46</v>
      </c>
      <c r="V34" s="109">
        <f t="shared" si="8"/>
        <v>291.8</v>
      </c>
      <c r="W34" s="110">
        <f t="shared" si="9"/>
        <v>1.2891027085293718</v>
      </c>
      <c r="X34" s="110">
        <f t="shared" si="27"/>
        <v>1.2891027085293718</v>
      </c>
      <c r="Y34" s="157">
        <v>226.36</v>
      </c>
      <c r="Z34" s="157">
        <v>186.51</v>
      </c>
      <c r="AA34" s="149">
        <v>0.91</v>
      </c>
      <c r="AB34" s="147">
        <v>648</v>
      </c>
      <c r="AC34" s="147">
        <v>1218</v>
      </c>
      <c r="AD34" s="144" t="s">
        <v>222</v>
      </c>
      <c r="AE34" s="149">
        <v>76.09</v>
      </c>
      <c r="AF34" s="147">
        <v>169</v>
      </c>
      <c r="AG34" s="155">
        <v>5</v>
      </c>
      <c r="AH34" s="149">
        <v>6.3</v>
      </c>
      <c r="AI34" s="115">
        <f t="shared" si="10"/>
        <v>27.831895352073477</v>
      </c>
      <c r="AJ34" s="149">
        <v>136.94999999999999</v>
      </c>
      <c r="AK34" s="115">
        <f t="shared" si="11"/>
        <v>605.01239182007339</v>
      </c>
      <c r="AL34" s="156">
        <v>35.46</v>
      </c>
      <c r="AM34" s="149"/>
      <c r="AN34" s="157">
        <v>14.97</v>
      </c>
      <c r="AO34" s="466">
        <f t="shared" si="28"/>
        <v>55.650999999999996</v>
      </c>
      <c r="AP34" s="110">
        <f t="shared" si="12"/>
        <v>0.19</v>
      </c>
      <c r="AQ34" s="158" t="s">
        <v>442</v>
      </c>
      <c r="AR34" s="404">
        <v>8.1999999999999993</v>
      </c>
      <c r="AS34" s="159">
        <v>7.91</v>
      </c>
      <c r="AT34" s="155"/>
      <c r="AU34" s="149">
        <v>8.27</v>
      </c>
      <c r="AV34" s="156">
        <v>292.89999999999998</v>
      </c>
      <c r="AW34" s="131">
        <v>4.08</v>
      </c>
      <c r="AX34" s="148"/>
      <c r="AY34" s="149"/>
      <c r="AZ34" s="109">
        <f t="shared" si="38"/>
        <v>0</v>
      </c>
      <c r="BA34" s="598">
        <f t="shared" si="13"/>
        <v>226.35899999999998</v>
      </c>
      <c r="BB34" s="115">
        <f t="shared" si="29"/>
        <v>213.40613464374655</v>
      </c>
      <c r="BC34" s="140">
        <f t="shared" si="14"/>
        <v>8.7734799295774639</v>
      </c>
      <c r="BD34" s="141">
        <f t="shared" si="39"/>
        <v>9.0543599999999991</v>
      </c>
      <c r="BE34" s="128">
        <f t="shared" si="16"/>
        <v>0.9259874713999493</v>
      </c>
      <c r="BF34" s="141">
        <f t="shared" si="17"/>
        <v>17.827839929577465</v>
      </c>
      <c r="BG34" s="538">
        <v>0.93300000000000005</v>
      </c>
      <c r="BH34" s="16">
        <f t="shared" si="30"/>
        <v>5829.4602000000014</v>
      </c>
      <c r="BI34" s="16">
        <f t="shared" si="18"/>
        <v>220</v>
      </c>
      <c r="BJ34" s="16">
        <f t="shared" si="31"/>
        <v>6160</v>
      </c>
      <c r="BK34" s="17">
        <f t="shared" si="19"/>
        <v>1</v>
      </c>
      <c r="BL34" s="16">
        <f t="shared" si="32"/>
        <v>6160</v>
      </c>
      <c r="BM34" s="441">
        <f t="shared" si="33"/>
        <v>110.898</v>
      </c>
      <c r="BN34" s="600">
        <v>92.911000000000001</v>
      </c>
      <c r="BO34" s="600"/>
      <c r="BP34" s="600">
        <v>270.39999999999998</v>
      </c>
      <c r="BQ34" s="600"/>
      <c r="BR34" s="600">
        <v>25.446000000000002</v>
      </c>
      <c r="BS34" s="605"/>
      <c r="BT34" s="212"/>
      <c r="BU34" s="213">
        <v>0.85</v>
      </c>
      <c r="BV34" s="213"/>
      <c r="BW34" s="213"/>
      <c r="BX34" s="213">
        <v>0.91</v>
      </c>
      <c r="BY34" s="235"/>
      <c r="BZ34" s="235">
        <v>3.22</v>
      </c>
      <c r="CA34" s="214"/>
      <c r="CB34" s="215">
        <v>35.83</v>
      </c>
      <c r="CC34" s="213">
        <v>43.1</v>
      </c>
      <c r="CD34" s="213"/>
      <c r="CE34" s="213">
        <v>37.08</v>
      </c>
      <c r="CF34" s="235"/>
      <c r="CG34" s="235">
        <v>29.65</v>
      </c>
      <c r="CH34" s="211"/>
      <c r="CI34" s="609"/>
      <c r="CJ34" s="210"/>
      <c r="CK34" s="210"/>
      <c r="CL34" s="233">
        <v>207.3</v>
      </c>
      <c r="CM34" s="198">
        <v>84.5</v>
      </c>
      <c r="CN34" s="202"/>
      <c r="CO34" s="208"/>
      <c r="CP34" s="208"/>
      <c r="CQ34" s="209"/>
      <c r="CR34" s="201"/>
      <c r="CS34" s="284"/>
      <c r="CT34" s="286">
        <f t="shared" si="20"/>
        <v>109.955367</v>
      </c>
      <c r="CU34" s="24">
        <f t="shared" si="20"/>
        <v>92.911000000000001</v>
      </c>
      <c r="CV34" s="25">
        <f t="shared" si="20"/>
        <v>0</v>
      </c>
      <c r="CW34" s="24">
        <f t="shared" si="20"/>
        <v>267.93935999999997</v>
      </c>
      <c r="CX34" s="27">
        <f t="shared" si="20"/>
        <v>0</v>
      </c>
      <c r="CY34" s="24">
        <f t="shared" si="20"/>
        <v>24.626638800000002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207.3</v>
      </c>
      <c r="DD34" s="280">
        <f t="shared" si="21"/>
        <v>84.5</v>
      </c>
      <c r="DE34" s="508">
        <f t="shared" si="34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5"/>
        <v>0</v>
      </c>
      <c r="DM34" s="255">
        <v>118.298</v>
      </c>
      <c r="DN34" s="247">
        <f t="shared" si="36"/>
        <v>110.898</v>
      </c>
      <c r="DP34" s="233">
        <v>207.3</v>
      </c>
      <c r="DQ34" s="247">
        <f t="shared" si="37"/>
        <v>238.47000000000003</v>
      </c>
    </row>
    <row r="35" spans="1:121" ht="16.5" customHeight="1" thickBot="1">
      <c r="A35" s="534">
        <v>29</v>
      </c>
      <c r="B35" s="103">
        <f t="shared" si="24"/>
        <v>499.33699999999999</v>
      </c>
      <c r="C35" s="104">
        <f t="shared" si="0"/>
        <v>0.91142933529860581</v>
      </c>
      <c r="D35" s="143">
        <f t="shared" si="1"/>
        <v>494.7858961</v>
      </c>
      <c r="E35" s="104">
        <f t="shared" si="2"/>
        <v>38.23477901697651</v>
      </c>
      <c r="F35" s="128">
        <f t="shared" si="3"/>
        <v>2.1826638967925223</v>
      </c>
      <c r="G35" s="106"/>
      <c r="H35" s="107">
        <f t="shared" si="4"/>
        <v>1.7729263268177986</v>
      </c>
      <c r="I35" s="103">
        <f>'[1]сентябрь 20'!AE34</f>
        <v>0</v>
      </c>
      <c r="J35" s="328">
        <f>'[1]сентябрь 20'!AA34</f>
        <v>5.8780000000000001</v>
      </c>
      <c r="K35" s="106"/>
      <c r="L35" s="328">
        <f>'[1]сентябрь 20'!AI34</f>
        <v>92.882999999999996</v>
      </c>
      <c r="M35" s="103">
        <f t="shared" si="5"/>
        <v>0.4097375699747231</v>
      </c>
      <c r="N35" s="103">
        <f>'[1]август 20'!W34</f>
        <v>0</v>
      </c>
      <c r="O35" s="103">
        <f>'[1]сентябрь 20'!AM34</f>
        <v>0</v>
      </c>
      <c r="P35" s="447">
        <f t="shared" si="25"/>
        <v>0</v>
      </c>
      <c r="Q35" s="103">
        <f t="shared" si="26"/>
        <v>0</v>
      </c>
      <c r="R35" s="103">
        <f>'[1]сентябрь 20'!S34</f>
        <v>302.91899999999998</v>
      </c>
      <c r="S35" s="108">
        <f t="shared" si="6"/>
        <v>2.809001746341433</v>
      </c>
      <c r="T35" s="109">
        <f t="shared" si="7"/>
        <v>294.40999999999997</v>
      </c>
      <c r="U35" s="566">
        <v>4.59</v>
      </c>
      <c r="V35" s="109">
        <f t="shared" si="8"/>
        <v>294.40999999999997</v>
      </c>
      <c r="W35" s="110">
        <f t="shared" si="9"/>
        <v>1.2987396830018219</v>
      </c>
      <c r="X35" s="110">
        <f t="shared" si="27"/>
        <v>1.2987396830018219</v>
      </c>
      <c r="Y35" s="136">
        <v>226.69</v>
      </c>
      <c r="Z35" s="136">
        <v>226.69</v>
      </c>
      <c r="AA35" s="131">
        <v>0.56000000000000005</v>
      </c>
      <c r="AB35" s="133">
        <v>574</v>
      </c>
      <c r="AC35" s="133">
        <v>1209</v>
      </c>
      <c r="AD35" s="144" t="s">
        <v>252</v>
      </c>
      <c r="AE35" s="131">
        <v>75.77</v>
      </c>
      <c r="AF35" s="133">
        <v>169</v>
      </c>
      <c r="AG35" s="134">
        <v>5</v>
      </c>
      <c r="AH35" s="166">
        <v>10.25</v>
      </c>
      <c r="AI35" s="115">
        <f t="shared" si="10"/>
        <v>45.2161331162959</v>
      </c>
      <c r="AJ35" s="166">
        <v>138.85</v>
      </c>
      <c r="AK35" s="115">
        <f t="shared" si="11"/>
        <v>612.51317884855473</v>
      </c>
      <c r="AL35" s="139">
        <v>38.96</v>
      </c>
      <c r="AM35" s="131"/>
      <c r="AN35" s="167">
        <v>17.71</v>
      </c>
      <c r="AO35" s="466">
        <f t="shared" si="28"/>
        <v>56.600999999999999</v>
      </c>
      <c r="AP35" s="110">
        <f t="shared" si="12"/>
        <v>0.19</v>
      </c>
      <c r="AQ35" s="168" t="s">
        <v>348</v>
      </c>
      <c r="AR35" s="405">
        <v>7.2</v>
      </c>
      <c r="AS35" s="169">
        <v>8.2899999999999991</v>
      </c>
      <c r="AT35" s="170"/>
      <c r="AU35" s="166">
        <v>8.49</v>
      </c>
      <c r="AV35" s="171">
        <v>297.89999999999998</v>
      </c>
      <c r="AW35" s="131">
        <v>3.1</v>
      </c>
      <c r="AX35" s="116"/>
      <c r="AY35" s="131"/>
      <c r="AZ35" s="109">
        <f t="shared" si="38"/>
        <v>0</v>
      </c>
      <c r="BA35" s="598">
        <f t="shared" si="13"/>
        <v>226.68899999999996</v>
      </c>
      <c r="BB35" s="115">
        <f t="shared" si="29"/>
        <v>217.96805681063054</v>
      </c>
      <c r="BC35" s="140">
        <f t="shared" si="14"/>
        <v>9.1318320422535191</v>
      </c>
      <c r="BD35" s="141">
        <f t="shared" si="39"/>
        <v>9.0675599999999985</v>
      </c>
      <c r="BE35" s="128">
        <f t="shared" si="16"/>
        <v>0.90792889515886255</v>
      </c>
      <c r="BF35" s="141">
        <f t="shared" si="17"/>
        <v>18.199392042253518</v>
      </c>
      <c r="BG35" s="538">
        <v>0.93200000000000005</v>
      </c>
      <c r="BH35" s="16">
        <f t="shared" si="30"/>
        <v>6056.1492000000017</v>
      </c>
      <c r="BI35" s="16">
        <f t="shared" si="18"/>
        <v>220</v>
      </c>
      <c r="BJ35" s="16">
        <f t="shared" si="31"/>
        <v>6380</v>
      </c>
      <c r="BK35" s="17">
        <f t="shared" si="19"/>
        <v>1</v>
      </c>
      <c r="BL35" s="16">
        <f t="shared" si="32"/>
        <v>6380</v>
      </c>
      <c r="BM35" s="441">
        <f t="shared" si="33"/>
        <v>136.047</v>
      </c>
      <c r="BN35" s="266">
        <v>92.882999999999996</v>
      </c>
      <c r="BO35" s="266"/>
      <c r="BP35" s="266">
        <v>270.40699999999998</v>
      </c>
      <c r="BQ35" s="266"/>
      <c r="BR35" s="266"/>
      <c r="BS35" s="603"/>
      <c r="BT35" s="199"/>
      <c r="BU35" s="200">
        <v>0.98</v>
      </c>
      <c r="BV35" s="200"/>
      <c r="BW35" s="200"/>
      <c r="BX35" s="200">
        <v>1.19</v>
      </c>
      <c r="BY35" s="208"/>
      <c r="BZ35" s="208">
        <v>2.06</v>
      </c>
      <c r="CA35" s="201"/>
      <c r="CB35" s="202">
        <v>36.17</v>
      </c>
      <c r="CC35" s="200">
        <v>43.34</v>
      </c>
      <c r="CD35" s="200"/>
      <c r="CE35" s="200">
        <v>37.520000000000003</v>
      </c>
      <c r="CF35" s="208"/>
      <c r="CG35" s="208">
        <v>28.81</v>
      </c>
      <c r="CH35" s="209"/>
      <c r="CI35" s="608"/>
      <c r="CJ35" s="197"/>
      <c r="CK35" s="197"/>
      <c r="CL35" s="230">
        <v>209.91</v>
      </c>
      <c r="CM35" s="198">
        <v>84.5</v>
      </c>
      <c r="CN35" s="202"/>
      <c r="CO35" s="208"/>
      <c r="CP35" s="208"/>
      <c r="CQ35" s="209"/>
      <c r="CR35" s="201"/>
      <c r="CT35" s="286">
        <f t="shared" si="20"/>
        <v>134.71373939999998</v>
      </c>
      <c r="CU35" s="24">
        <f t="shared" si="20"/>
        <v>92.882999999999996</v>
      </c>
      <c r="CV35" s="24">
        <f t="shared" si="20"/>
        <v>0</v>
      </c>
      <c r="CW35" s="24">
        <f t="shared" si="20"/>
        <v>267.18915669999996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209.91</v>
      </c>
      <c r="DD35" s="280">
        <f t="shared" si="21"/>
        <v>84.5</v>
      </c>
      <c r="DE35" s="508">
        <f t="shared" si="34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5"/>
        <v>0</v>
      </c>
      <c r="DM35" s="254">
        <v>143.447</v>
      </c>
      <c r="DN35" s="247">
        <f t="shared" si="36"/>
        <v>136.047</v>
      </c>
      <c r="DP35" s="230">
        <v>209.91</v>
      </c>
      <c r="DQ35" s="247">
        <f t="shared" si="37"/>
        <v>241.07999999999998</v>
      </c>
    </row>
    <row r="36" spans="1:121" ht="16.5" customHeight="1" thickBot="1">
      <c r="A36" s="534">
        <v>30</v>
      </c>
      <c r="B36" s="103">
        <f t="shared" si="24"/>
        <v>515.62</v>
      </c>
      <c r="C36" s="104">
        <f t="shared" si="0"/>
        <v>0.98014603777976017</v>
      </c>
      <c r="D36" s="143">
        <f t="shared" si="1"/>
        <v>510.566171</v>
      </c>
      <c r="E36" s="104">
        <f t="shared" si="2"/>
        <v>38.226175012606177</v>
      </c>
      <c r="F36" s="128">
        <f t="shared" si="3"/>
        <v>2.7150554161127358</v>
      </c>
      <c r="G36" s="106"/>
      <c r="H36" s="107">
        <f t="shared" si="4"/>
        <v>2.2064832278649296</v>
      </c>
      <c r="I36" s="103">
        <f>'[1]сентябрь 20'!AE35</f>
        <v>0</v>
      </c>
      <c r="J36" s="328">
        <f>'[1]сентябрь 20'!AA35</f>
        <v>6.1909999999999998</v>
      </c>
      <c r="K36" s="106"/>
      <c r="L36" s="328">
        <f>'[1]сентябрь 20'!AI35</f>
        <v>95.637</v>
      </c>
      <c r="M36" s="103">
        <f t="shared" si="5"/>
        <v>0.50857218824780637</v>
      </c>
      <c r="N36" s="103">
        <f>'[1]август 20'!W35</f>
        <v>0</v>
      </c>
      <c r="O36" s="103">
        <f>'[1]сентябрь 20'!AM35</f>
        <v>0</v>
      </c>
      <c r="P36" s="447">
        <f t="shared" si="25"/>
        <v>0</v>
      </c>
      <c r="Q36" s="103">
        <f t="shared" si="26"/>
        <v>0</v>
      </c>
      <c r="R36" s="103">
        <f>'[1]сентябрь 20'!S35</f>
        <v>321</v>
      </c>
      <c r="S36" s="108">
        <f t="shared" si="6"/>
        <v>2.8504672897196159</v>
      </c>
      <c r="T36" s="109">
        <f t="shared" si="7"/>
        <v>311.85000000000002</v>
      </c>
      <c r="U36" s="566">
        <v>37.659999999999997</v>
      </c>
      <c r="V36" s="109">
        <f t="shared" si="8"/>
        <v>311.85000000000002</v>
      </c>
      <c r="W36" s="110">
        <f t="shared" si="9"/>
        <v>1.658335549056102</v>
      </c>
      <c r="X36" s="110">
        <f t="shared" si="27"/>
        <v>1.658335549056102</v>
      </c>
      <c r="Y36" s="136">
        <v>152.44999999999999</v>
      </c>
      <c r="Z36" s="136">
        <v>188.05</v>
      </c>
      <c r="AA36" s="131">
        <v>0.59</v>
      </c>
      <c r="AB36" s="133">
        <v>574</v>
      </c>
      <c r="AC36" s="133">
        <v>1216</v>
      </c>
      <c r="AD36" s="144" t="s">
        <v>198</v>
      </c>
      <c r="AE36" s="131">
        <v>75.73</v>
      </c>
      <c r="AF36" s="133">
        <v>176</v>
      </c>
      <c r="AG36" s="134">
        <v>5</v>
      </c>
      <c r="AH36" s="131">
        <v>6.55</v>
      </c>
      <c r="AI36" s="115">
        <f t="shared" si="10"/>
        <v>34.831161925019934</v>
      </c>
      <c r="AJ36" s="131">
        <v>143</v>
      </c>
      <c r="AK36" s="115">
        <f t="shared" si="11"/>
        <v>760.43605424089333</v>
      </c>
      <c r="AL36" s="139">
        <v>44.22</v>
      </c>
      <c r="AM36" s="131"/>
      <c r="AN36" s="136">
        <v>14.43</v>
      </c>
      <c r="AO36" s="466">
        <v>117.37</v>
      </c>
      <c r="AP36" s="110">
        <f t="shared" si="12"/>
        <v>0.36695325934031575</v>
      </c>
      <c r="AQ36" s="137" t="s">
        <v>331</v>
      </c>
      <c r="AR36" s="150">
        <v>7.61</v>
      </c>
      <c r="AS36" s="138">
        <v>8.49</v>
      </c>
      <c r="AT36" s="134"/>
      <c r="AU36" s="131">
        <v>8.6199999999999992</v>
      </c>
      <c r="AV36" s="139">
        <v>319.85000000000002</v>
      </c>
      <c r="AW36" s="131"/>
      <c r="AX36" s="116"/>
      <c r="AY36" s="131"/>
      <c r="AZ36" s="109">
        <f t="shared" si="38"/>
        <v>0</v>
      </c>
      <c r="BA36" s="598">
        <f t="shared" si="13"/>
        <v>188.05</v>
      </c>
      <c r="BB36" s="115">
        <f t="shared" si="29"/>
        <v>224.98790239701057</v>
      </c>
      <c r="BC36" s="140">
        <f t="shared" si="14"/>
        <v>9.5487746478873223</v>
      </c>
      <c r="BD36" s="141">
        <f t="shared" si="39"/>
        <v>7.5220000000000002</v>
      </c>
      <c r="BE36" s="128">
        <f t="shared" si="16"/>
        <v>0.72967323243145765</v>
      </c>
      <c r="BF36" s="141">
        <f t="shared" si="17"/>
        <v>17.070774647887323</v>
      </c>
      <c r="BG36" s="538">
        <v>0.92400000000000004</v>
      </c>
      <c r="BH36" s="16">
        <f t="shared" si="30"/>
        <v>6244.1992000000018</v>
      </c>
      <c r="BI36" s="16">
        <f t="shared" si="18"/>
        <v>220</v>
      </c>
      <c r="BJ36" s="16">
        <f t="shared" si="31"/>
        <v>6600</v>
      </c>
      <c r="BK36" s="17">
        <f t="shared" si="19"/>
        <v>1</v>
      </c>
      <c r="BL36" s="16">
        <f t="shared" si="32"/>
        <v>6600</v>
      </c>
      <c r="BM36" s="441">
        <v>140.012</v>
      </c>
      <c r="BN36" s="266">
        <v>95.637</v>
      </c>
      <c r="BO36" s="266"/>
      <c r="BP36" s="266">
        <v>279.971</v>
      </c>
      <c r="BQ36" s="266"/>
      <c r="BR36" s="266"/>
      <c r="BS36" s="604"/>
      <c r="BT36" s="199"/>
      <c r="BU36" s="200">
        <v>1.33</v>
      </c>
      <c r="BV36" s="200"/>
      <c r="BW36" s="200"/>
      <c r="BX36" s="200">
        <v>1.1399999999999999</v>
      </c>
      <c r="BY36" s="208"/>
      <c r="BZ36" s="208">
        <v>1.33</v>
      </c>
      <c r="CA36" s="201"/>
      <c r="CB36" s="202">
        <v>36.369999999999997</v>
      </c>
      <c r="CC36" s="200">
        <v>43.45</v>
      </c>
      <c r="CD36" s="200"/>
      <c r="CE36" s="200">
        <v>37.369999999999997</v>
      </c>
      <c r="CF36" s="208"/>
      <c r="CG36" s="208">
        <v>36.369999999999997</v>
      </c>
      <c r="CH36" s="209"/>
      <c r="CI36" s="608"/>
      <c r="CJ36" s="197"/>
      <c r="CK36" s="197"/>
      <c r="CL36" s="230">
        <v>223.85</v>
      </c>
      <c r="CM36" s="198">
        <v>88</v>
      </c>
      <c r="CN36" s="202"/>
      <c r="CO36" s="208"/>
      <c r="CP36" s="208"/>
      <c r="CQ36" s="209"/>
      <c r="CR36" s="201"/>
      <c r="CT36" s="286">
        <f t="shared" si="20"/>
        <v>138.14984040000002</v>
      </c>
      <c r="CU36" s="27">
        <f t="shared" si="20"/>
        <v>95.637</v>
      </c>
      <c r="CV36" s="28">
        <f t="shared" si="20"/>
        <v>0</v>
      </c>
      <c r="CW36" s="27">
        <f t="shared" si="20"/>
        <v>276.77933060000004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223.85</v>
      </c>
      <c r="DD36" s="280">
        <f t="shared" si="21"/>
        <v>88</v>
      </c>
      <c r="DE36" s="508">
        <f t="shared" si="34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5"/>
        <v>0</v>
      </c>
      <c r="DM36" s="254">
        <v>148.697</v>
      </c>
      <c r="DN36" s="247">
        <f t="shared" si="36"/>
        <v>141.297</v>
      </c>
      <c r="DP36" s="230">
        <v>223.85</v>
      </c>
      <c r="DQ36" s="247">
        <f>DP36+31.326</f>
        <v>255.17599999999999</v>
      </c>
    </row>
    <row r="37" spans="1:121" ht="16.5" customHeight="1" thickBot="1">
      <c r="A37" s="539">
        <v>31</v>
      </c>
      <c r="B37" s="568">
        <f>'[1]сентябрь 20'!K36</f>
        <v>0</v>
      </c>
      <c r="C37" s="541">
        <f t="shared" si="0"/>
        <v>0</v>
      </c>
      <c r="D37" s="542">
        <f t="shared" si="1"/>
        <v>0</v>
      </c>
      <c r="E37" s="541">
        <f t="shared" si="2"/>
        <v>0</v>
      </c>
      <c r="F37" s="505">
        <f t="shared" si="3"/>
        <v>0</v>
      </c>
      <c r="G37" s="543"/>
      <c r="H37" s="544">
        <f t="shared" si="4"/>
        <v>0</v>
      </c>
      <c r="I37" s="540">
        <f>'[1]сентябрь 20'!AE36</f>
        <v>0</v>
      </c>
      <c r="J37" s="573">
        <f>'[1]сентябрь 20'!AA36</f>
        <v>0</v>
      </c>
      <c r="K37" s="543"/>
      <c r="L37" s="567">
        <f>'[1]сентябрь 20'!AI36</f>
        <v>0</v>
      </c>
      <c r="M37" s="540">
        <f t="shared" si="5"/>
        <v>0</v>
      </c>
      <c r="N37" s="540">
        <f>'[1]август 20'!W36</f>
        <v>0</v>
      </c>
      <c r="O37" s="103">
        <f>'[1]сентябрь 20'!AM36</f>
        <v>0</v>
      </c>
      <c r="P37" s="447">
        <f t="shared" si="25"/>
        <v>0</v>
      </c>
      <c r="Q37" s="568">
        <f t="shared" si="26"/>
        <v>0</v>
      </c>
      <c r="R37" s="103">
        <f>'[1]сентябрь 20'!S36</f>
        <v>0</v>
      </c>
      <c r="S37" s="546">
        <f t="shared" si="6"/>
        <v>0</v>
      </c>
      <c r="T37" s="547">
        <f t="shared" si="7"/>
        <v>0</v>
      </c>
      <c r="U37" s="576"/>
      <c r="V37" s="547">
        <f t="shared" si="8"/>
        <v>0</v>
      </c>
      <c r="W37" s="549">
        <f t="shared" si="9"/>
        <v>0</v>
      </c>
      <c r="X37" s="227">
        <f t="shared" si="27"/>
        <v>0</v>
      </c>
      <c r="Y37" s="550"/>
      <c r="Z37" s="550"/>
      <c r="AA37" s="548"/>
      <c r="AB37" s="551"/>
      <c r="AC37" s="551"/>
      <c r="AD37" s="552"/>
      <c r="AE37" s="548"/>
      <c r="AF37" s="551"/>
      <c r="AG37" s="553"/>
      <c r="AH37" s="548"/>
      <c r="AI37" s="554">
        <f t="shared" si="10"/>
        <v>0</v>
      </c>
      <c r="AJ37" s="548"/>
      <c r="AK37" s="555">
        <f t="shared" si="11"/>
        <v>0</v>
      </c>
      <c r="AL37" s="556"/>
      <c r="AM37" s="548"/>
      <c r="AN37" s="550"/>
      <c r="AO37" s="557">
        <f t="shared" si="28"/>
        <v>0</v>
      </c>
      <c r="AP37" s="549">
        <f t="shared" si="12"/>
        <v>0</v>
      </c>
      <c r="AQ37" s="558"/>
      <c r="AR37" s="559"/>
      <c r="AS37" s="560"/>
      <c r="AT37" s="553"/>
      <c r="AU37" s="548"/>
      <c r="AV37" s="548"/>
      <c r="AW37" s="548"/>
      <c r="AX37" s="548"/>
      <c r="AY37" s="548"/>
      <c r="AZ37" s="547">
        <f t="shared" si="38"/>
        <v>0</v>
      </c>
      <c r="BA37" s="598">
        <f t="shared" si="13"/>
        <v>0</v>
      </c>
      <c r="BB37" s="554">
        <f t="shared" si="29"/>
        <v>0</v>
      </c>
      <c r="BC37" s="561">
        <f t="shared" si="14"/>
        <v>0</v>
      </c>
      <c r="BD37" s="555">
        <f t="shared" si="39"/>
        <v>0</v>
      </c>
      <c r="BE37" s="505">
        <f t="shared" si="16"/>
        <v>0</v>
      </c>
      <c r="BF37" s="555">
        <f t="shared" si="17"/>
        <v>0</v>
      </c>
      <c r="BG37" s="562"/>
      <c r="BH37" s="16">
        <f t="shared" si="30"/>
        <v>6244.1992000000018</v>
      </c>
      <c r="BI37" s="16">
        <f t="shared" si="18"/>
        <v>0</v>
      </c>
      <c r="BJ37" s="16">
        <f t="shared" si="31"/>
        <v>6600</v>
      </c>
      <c r="BK37" s="17">
        <f t="shared" si="19"/>
        <v>0</v>
      </c>
      <c r="BL37" s="16">
        <f t="shared" si="32"/>
        <v>6600</v>
      </c>
      <c r="BM37" s="442"/>
      <c r="BN37" s="606"/>
      <c r="BO37" s="606"/>
      <c r="BP37" s="606"/>
      <c r="BQ37" s="606"/>
      <c r="BR37" s="606"/>
      <c r="BS37" s="607"/>
      <c r="BT37" s="219"/>
      <c r="BU37" s="220"/>
      <c r="BV37" s="220"/>
      <c r="BW37" s="220"/>
      <c r="BX37" s="220"/>
      <c r="BY37" s="224"/>
      <c r="BZ37" s="224"/>
      <c r="CA37" s="221"/>
      <c r="CB37" s="222"/>
      <c r="CC37" s="220"/>
      <c r="CD37" s="220"/>
      <c r="CE37" s="220"/>
      <c r="CF37" s="224"/>
      <c r="CG37" s="224"/>
      <c r="CH37" s="221"/>
      <c r="CI37" s="610"/>
      <c r="CJ37" s="217"/>
      <c r="CK37" s="217"/>
      <c r="CL37" s="234"/>
      <c r="CM37" s="223"/>
      <c r="CN37" s="222"/>
      <c r="CO37" s="224"/>
      <c r="CP37" s="224"/>
      <c r="CQ37" s="218"/>
      <c r="CR37" s="221"/>
      <c r="CT37" s="287">
        <f t="shared" si="20"/>
        <v>0</v>
      </c>
      <c r="CU37" s="32">
        <f t="shared" si="20"/>
        <v>0</v>
      </c>
      <c r="CV37" s="30">
        <f t="shared" si="20"/>
        <v>0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0</v>
      </c>
      <c r="DD37" s="280">
        <f t="shared" si="21"/>
        <v>0</v>
      </c>
      <c r="DE37" s="563">
        <f t="shared" si="34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5"/>
        <v>0</v>
      </c>
      <c r="DM37" s="256"/>
      <c r="DN37" s="247"/>
    </row>
    <row r="38" spans="1:121" ht="16.5" customHeight="1" thickBot="1">
      <c r="A38" s="55" t="s">
        <v>58</v>
      </c>
      <c r="B38" s="574">
        <f>SUM(B7:B37)</f>
        <v>13759.7070102</v>
      </c>
      <c r="C38" s="527"/>
      <c r="D38" s="327">
        <f>SUM(D7:D37)</f>
        <v>13589.682854010058</v>
      </c>
      <c r="E38" s="528"/>
      <c r="F38" s="340"/>
      <c r="G38" s="343">
        <f>SUM(G7:G37)</f>
        <v>0</v>
      </c>
      <c r="H38" s="340"/>
      <c r="I38" s="327">
        <f>SUM(I7:I37)</f>
        <v>0</v>
      </c>
      <c r="J38" s="574">
        <f>SUM(J7:J37)</f>
        <v>338.86399999999998</v>
      </c>
      <c r="K38" s="327">
        <f>SUM(K7:K37)</f>
        <v>572.08000000000004</v>
      </c>
      <c r="L38" s="529">
        <f>SUM(L7:L37)</f>
        <v>2734.3890000000001</v>
      </c>
      <c r="M38" s="575"/>
      <c r="N38" s="340">
        <f>SUM(N7:N37)</f>
        <v>0</v>
      </c>
      <c r="O38" s="529">
        <f>SUM(O7:O37)</f>
        <v>0</v>
      </c>
      <c r="P38" s="529">
        <f>SUM(P7:P37)</f>
        <v>0</v>
      </c>
      <c r="Q38" s="569"/>
      <c r="R38" s="327">
        <f>SUM(R7:R37)</f>
        <v>8671.5110000000004</v>
      </c>
      <c r="S38" s="340"/>
      <c r="T38" s="343">
        <f>SUM(T7:T37)</f>
        <v>8424.8000002999997</v>
      </c>
      <c r="U38" s="327">
        <f>SUM(U7:U37)</f>
        <v>582.7299999999999</v>
      </c>
      <c r="V38" s="343">
        <f>SUM(V7:V37)</f>
        <v>8424.8000002999997</v>
      </c>
      <c r="W38" s="346"/>
      <c r="X38" s="344"/>
      <c r="Y38" s="194">
        <f>SUM(Y7:Y37)</f>
        <v>6081.6904999999997</v>
      </c>
      <c r="Z38" s="194">
        <f>SUM(Z7:Z37)</f>
        <v>4684.5800000000008</v>
      </c>
      <c r="AA38" s="345"/>
      <c r="AB38" s="346"/>
      <c r="AC38" s="347"/>
      <c r="AD38" s="348"/>
      <c r="AE38" s="345"/>
      <c r="AF38" s="345"/>
      <c r="AG38" s="347">
        <f>SUM(AG7:AG37)</f>
        <v>148</v>
      </c>
      <c r="AH38" s="194">
        <f>SUM(AH7:AH37)</f>
        <v>106</v>
      </c>
      <c r="AI38" s="351"/>
      <c r="AJ38" s="194">
        <f>SUM(AJ7:AJ37)</f>
        <v>3800.6</v>
      </c>
      <c r="AK38" s="343"/>
      <c r="AL38" s="338">
        <f>SUM(AL7:AL37)</f>
        <v>987.09000000000015</v>
      </c>
      <c r="AM38" s="343">
        <f>SUM(AM7:AM37)</f>
        <v>0</v>
      </c>
      <c r="AN38" s="337">
        <f>SUM(AN7:AN37)</f>
        <v>398.30999999999995</v>
      </c>
      <c r="AO38" s="395">
        <f>SUM(AO7:AO37)</f>
        <v>1791.1407999999997</v>
      </c>
      <c r="AP38" s="530"/>
      <c r="AQ38" s="351"/>
      <c r="AR38" s="343"/>
      <c r="AS38" s="351"/>
      <c r="AT38" s="351"/>
      <c r="AU38" s="352"/>
      <c r="AV38" s="337">
        <f>SUM(AV7:AV37)</f>
        <v>8340.619999999999</v>
      </c>
      <c r="AW38" s="343">
        <f>SUM(AW7:AW37)</f>
        <v>93.029999999999987</v>
      </c>
      <c r="AX38" s="343">
        <f>SUM(AX7:AX36)</f>
        <v>0</v>
      </c>
      <c r="AY38" s="343">
        <f>SUM(AY7:AY37)</f>
        <v>0</v>
      </c>
      <c r="AZ38" s="340"/>
      <c r="BA38" s="598">
        <f t="shared" si="13"/>
        <v>6244.1992</v>
      </c>
      <c r="BB38" s="194">
        <f>SUM(BB7:BB37)</f>
        <v>5900.0475322710563</v>
      </c>
      <c r="BC38" s="351">
        <f>SUM(BC7:BC36)</f>
        <v>191.40890845070422</v>
      </c>
      <c r="BD38" s="351">
        <f>SUM(BD7:BD36)</f>
        <v>241.27400799999995</v>
      </c>
      <c r="BE38" s="340"/>
      <c r="BF38" s="351">
        <f>SUM(BF7:BF37)</f>
        <v>432.68291645070428</v>
      </c>
      <c r="BG38" s="353"/>
      <c r="BH38" s="16"/>
      <c r="BI38" s="16">
        <f t="shared" si="18"/>
        <v>0</v>
      </c>
      <c r="BJ38" s="16"/>
      <c r="BK38" s="17">
        <f>SUM(BK7:BK37)</f>
        <v>30</v>
      </c>
      <c r="BL38" s="33"/>
      <c r="BM38" s="228">
        <f t="shared" ref="BM38:BS38" si="40">SUM(BM7:BM37)</f>
        <v>8453.246000000001</v>
      </c>
      <c r="BN38" s="38">
        <f t="shared" si="40"/>
        <v>849.62899999999991</v>
      </c>
      <c r="BO38" s="38">
        <f t="shared" si="40"/>
        <v>1884.7599999999998</v>
      </c>
      <c r="BP38" s="38">
        <f t="shared" si="40"/>
        <v>1976.3270000999999</v>
      </c>
      <c r="BQ38" s="38">
        <f t="shared" si="40"/>
        <v>9.9999999999999995E-8</v>
      </c>
      <c r="BR38" s="38">
        <f t="shared" si="40"/>
        <v>595.74500000000012</v>
      </c>
      <c r="BS38" s="38">
        <f t="shared" si="40"/>
        <v>1.0000000000000001E-5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1121.0000000999999</v>
      </c>
      <c r="CL38" s="39">
        <f>SUM(CL7:CL37)</f>
        <v>7046.800000000002</v>
      </c>
      <c r="CM38" s="40">
        <f>SUM(CM7:CM37)</f>
        <v>257.00000009999997</v>
      </c>
      <c r="CN38" s="34"/>
      <c r="CO38" s="35"/>
      <c r="CP38" s="236"/>
      <c r="CQ38" s="36"/>
      <c r="CR38" s="36"/>
      <c r="CT38" s="189">
        <f t="shared" ref="CT38:DE38" si="41">SUM(CT7:CT37)</f>
        <v>8324.1553165999994</v>
      </c>
      <c r="CU38" s="190">
        <f t="shared" si="41"/>
        <v>849.6289999925109</v>
      </c>
      <c r="CV38" s="191">
        <f t="shared" si="41"/>
        <v>1884.7599999175468</v>
      </c>
      <c r="CW38" s="192">
        <f t="shared" si="41"/>
        <v>1953.9555574000001</v>
      </c>
      <c r="CX38" s="192">
        <f t="shared" si="41"/>
        <v>9.99999999E-8</v>
      </c>
      <c r="CY38" s="192">
        <f t="shared" si="41"/>
        <v>577.18296989999999</v>
      </c>
      <c r="CZ38" s="278">
        <f t="shared" si="41"/>
        <v>9.999999990000001E-6</v>
      </c>
      <c r="DA38" s="278">
        <f t="shared" si="41"/>
        <v>9.99999999E-8</v>
      </c>
      <c r="DB38" s="192">
        <f t="shared" si="41"/>
        <v>1121.0000000999999</v>
      </c>
      <c r="DC38" s="192">
        <f t="shared" si="41"/>
        <v>7046.7999997209317</v>
      </c>
      <c r="DD38" s="498">
        <f t="shared" si="41"/>
        <v>257.00000009999997</v>
      </c>
      <c r="DE38" s="564">
        <f t="shared" si="41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21" ht="16.5" customHeight="1" thickBot="1">
      <c r="A39" s="56" t="s">
        <v>59</v>
      </c>
      <c r="B39" s="84">
        <f>B38/AV2</f>
        <v>458.65690033999999</v>
      </c>
      <c r="C39" s="84">
        <f>(BM38*BU39+BN38*BV39+BP38*BX39+BS38*CA39+BO38*BW39+BR38*BZ39+BQ38*BY39)/B38</f>
        <v>1.235666980873241</v>
      </c>
      <c r="D39" s="82"/>
      <c r="E39" s="354">
        <f>(BM38*CB39+BN38*CC39+BP38*CE39+BS38*CH39+BO38*CD39+BR38*CG39+BQ38*CF39)/B38</f>
        <v>37.758288322917451</v>
      </c>
      <c r="F39" s="355">
        <f>IF(BA38=0,0,D38/BA38)</f>
        <v>2.1763692058398871</v>
      </c>
      <c r="G39" s="354">
        <f>G38/AV2</f>
        <v>0</v>
      </c>
      <c r="H39" s="355">
        <f>IF(BA38=0,0,(CZ38+CW38+CY38+CT38+CX38)/BA38)</f>
        <v>1.7384605305352845</v>
      </c>
      <c r="I39" s="354">
        <f>I38/AV2</f>
        <v>0</v>
      </c>
      <c r="J39" s="572">
        <f>J38/AV2</f>
        <v>11.295466666666666</v>
      </c>
      <c r="K39" s="354">
        <f>K38/AV2</f>
        <v>19.069333333333336</v>
      </c>
      <c r="L39" s="354">
        <f>L38/AV2</f>
        <v>91.146300000000011</v>
      </c>
      <c r="M39" s="355">
        <f>IF($BA$38=0,0,(CV38+CU38)/$BA$38)</f>
        <v>0.43790867528858746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289.05036666666666</v>
      </c>
      <c r="S39" s="354">
        <f>(SUMPRODUCT(R7:R37,S7:S37))/R38</f>
        <v>2.8450750936024853</v>
      </c>
      <c r="T39" s="357"/>
      <c r="U39" s="354">
        <f>U38/AV2</f>
        <v>19.42433333333333</v>
      </c>
      <c r="V39" s="354">
        <f>V38/AV2:AV2</f>
        <v>280.82666667666666</v>
      </c>
      <c r="W39" s="358">
        <f>IF($BA$38=0,0,T38/$BA$38)</f>
        <v>1.3492202491393932</v>
      </c>
      <c r="X39" s="358">
        <f>Q39+W39</f>
        <v>1.3492202491393932</v>
      </c>
      <c r="Y39" s="354">
        <f>Y38/AV2</f>
        <v>202.72301666666667</v>
      </c>
      <c r="Z39" s="354">
        <f>Z38/AV2</f>
        <v>156.1526666666667</v>
      </c>
      <c r="AA39" s="354">
        <f>(SUMPRODUCT(AA7:AA37,BA7:BA37))/BA38</f>
        <v>0.8139478726111109</v>
      </c>
      <c r="AB39" s="359">
        <f>AVERAGE(AB7:AB37)</f>
        <v>646.86666666666667</v>
      </c>
      <c r="AC39" s="359">
        <f>AVERAGE(AC7:AC37)</f>
        <v>1216.0333333333333</v>
      </c>
      <c r="AD39" s="359"/>
      <c r="AE39" s="354">
        <f>(SUMPRODUCT(AE7:AE37,BA7:BA37))/BA38</f>
        <v>75.924889835032801</v>
      </c>
      <c r="AF39" s="360">
        <f>AVERAGE(AF7:AF37)</f>
        <v>155.43333333333334</v>
      </c>
      <c r="AG39" s="360">
        <f>AVERAGE(AG7:AG37)</f>
        <v>4.9333333333333336</v>
      </c>
      <c r="AH39" s="354">
        <f>AH38/AV2</f>
        <v>3.5333333333333332</v>
      </c>
      <c r="AI39" s="361">
        <f>IF(BA38=0,0,AH38/BA38*1000)</f>
        <v>16.97575567416235</v>
      </c>
      <c r="AJ39" s="361">
        <f>AJ38/AV2</f>
        <v>126.68666666666667</v>
      </c>
      <c r="AK39" s="361">
        <f>IF(BA38=0,0,AJ38/BA38*1000)</f>
        <v>608.66091523793796</v>
      </c>
      <c r="AL39" s="354">
        <f>AL38/AV2</f>
        <v>32.903000000000006</v>
      </c>
      <c r="AM39" s="359"/>
      <c r="AN39" s="354">
        <f>AN38/AV2</f>
        <v>13.276999999999997</v>
      </c>
      <c r="AO39" s="354">
        <f>AO38/AV2</f>
        <v>59.704693333333324</v>
      </c>
      <c r="AP39" s="346">
        <f>IF(AO39=0,0,AO39/AV39)</f>
        <v>0.21474911937002286</v>
      </c>
      <c r="AQ39" s="361">
        <f>SUM(AQ8:AQ38)</f>
        <v>0</v>
      </c>
      <c r="AR39" s="354">
        <f>AVERAGE(AR7:AR37)</f>
        <v>7.915</v>
      </c>
      <c r="AS39" s="354">
        <f>AVERAGE(AS7:AS37)</f>
        <v>7.7796666666666656</v>
      </c>
      <c r="AT39" s="362"/>
      <c r="AU39" s="354">
        <f>AVERAGE(AU7:AU37)</f>
        <v>6.4856666666666678</v>
      </c>
      <c r="AV39" s="363">
        <f>AV38/AV2</f>
        <v>278.02066666666661</v>
      </c>
      <c r="AW39" s="363">
        <f>AW38/AV2</f>
        <v>3.1009999999999995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208.13997333333333</v>
      </c>
      <c r="BB39" s="354">
        <f>BB38/AV2</f>
        <v>196.66825107570187</v>
      </c>
      <c r="BC39" s="362" t="e">
        <f>BC38/$AY$2</f>
        <v>#DIV/0!</v>
      </c>
      <c r="BD39" s="362" t="e">
        <f>BD38/$AY$2</f>
        <v>#DIV/0!</v>
      </c>
      <c r="BE39" s="355">
        <f>(BA38*AE39)/(D38*E39)</f>
        <v>0.92393049109173087</v>
      </c>
      <c r="BF39" s="354">
        <f>BF38/AV2</f>
        <v>14.422763881690143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1.5271137667116277</v>
      </c>
      <c r="BV39" s="42">
        <f t="shared" ref="BV39:CA39" si="42">(SUMPRODUCT(BN7:BN37,BV7:BV37))/BN38</f>
        <v>8.8144354771317834E-10</v>
      </c>
      <c r="BW39" s="42">
        <f t="shared" si="42"/>
        <v>4.3747214499458825E-9</v>
      </c>
      <c r="BX39" s="42">
        <f>(SUMPRODUCT(BP7:BP37,BX7:BX37))/BP38</f>
        <v>1.1319707011475344</v>
      </c>
      <c r="BY39" s="42">
        <f t="shared" si="42"/>
        <v>9.9999999999999982E-8</v>
      </c>
      <c r="BZ39" s="46">
        <f t="shared" si="42"/>
        <v>3.1157676690530338</v>
      </c>
      <c r="CA39" s="240">
        <f t="shared" si="42"/>
        <v>9.9999999999999995E-8</v>
      </c>
      <c r="CB39" s="41">
        <f t="shared" ref="CB39:CH39" si="43">(SUMPRODUCT(BM7:BM37,CB7:CB37))/BM38</f>
        <v>36.441305418060715</v>
      </c>
      <c r="CC39" s="42">
        <f t="shared" si="43"/>
        <v>43.344815901999581</v>
      </c>
      <c r="CD39" s="42">
        <f t="shared" si="43"/>
        <v>43.161520469449684</v>
      </c>
      <c r="CE39" s="42">
        <f t="shared" si="43"/>
        <v>37.42452034317072</v>
      </c>
      <c r="CF39" s="42">
        <f t="shared" si="43"/>
        <v>9.9999999999999982E-8</v>
      </c>
      <c r="CG39" s="46">
        <f t="shared" si="43"/>
        <v>32.491175486155974</v>
      </c>
      <c r="CH39" s="240">
        <f t="shared" si="43"/>
        <v>9.9999999999999995E-8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8.9206066004531124E-18</v>
      </c>
      <c r="CP39" s="46">
        <f>(SUMPRODUCT(CL7:CL37,CP7:CP37))/CL38</f>
        <v>3.9602372708179588E-9</v>
      </c>
      <c r="CQ39" s="44">
        <f>(SUMPRODUCT(CM7:CM37,CQ7:CQ37))/CM38</f>
        <v>3.8910505821435599E-17</v>
      </c>
      <c r="CR39" s="44" t="e">
        <f>(SUMPRODUCT(O7:O37,CR7:CR37))/O38</f>
        <v>#DIV/0!</v>
      </c>
      <c r="CT39" s="667">
        <f>CT38+CU38</f>
        <v>9173.7843165925096</v>
      </c>
      <c r="CU39" s="667"/>
      <c r="CV39" s="668">
        <f>CV38+CW38+CZ38+CY38+CX38</f>
        <v>4415.8985373175465</v>
      </c>
      <c r="CW39" s="668"/>
      <c r="CX39" s="668"/>
      <c r="CY39" s="668"/>
      <c r="CZ39" s="668"/>
      <c r="DA39" s="669">
        <f>DA38+DB38+DD38+DC38</f>
        <v>8424.8000000209322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21" ht="16.5" customHeight="1" thickBot="1">
      <c r="A40" s="57" t="s">
        <v>60</v>
      </c>
      <c r="B40" s="85"/>
      <c r="C40" s="86"/>
      <c r="D40" s="87"/>
      <c r="E40" s="365">
        <v>38</v>
      </c>
      <c r="F40" s="366">
        <v>2.12</v>
      </c>
      <c r="G40" s="366"/>
      <c r="H40" s="366">
        <v>1.484</v>
      </c>
      <c r="I40" s="366"/>
      <c r="J40" s="570"/>
      <c r="K40" s="366"/>
      <c r="L40" s="366"/>
      <c r="M40" s="366">
        <v>0.63600000000000001</v>
      </c>
      <c r="N40" s="365"/>
      <c r="O40" s="366"/>
      <c r="P40" s="366"/>
      <c r="Q40" s="366"/>
      <c r="R40" s="367"/>
      <c r="S40" s="368"/>
      <c r="T40" s="367"/>
      <c r="U40" s="450">
        <v>14.057960400000001</v>
      </c>
      <c r="V40" s="367"/>
      <c r="W40" s="369">
        <v>1.32</v>
      </c>
      <c r="X40" s="484"/>
      <c r="Y40" s="370">
        <v>6600</v>
      </c>
      <c r="Z40" s="370">
        <v>6600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720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6600</v>
      </c>
      <c r="AW40" s="379">
        <v>79.2</v>
      </c>
      <c r="AX40" s="380"/>
      <c r="AY40" s="381"/>
      <c r="AZ40" s="382"/>
      <c r="BA40" s="365">
        <v>220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13589.682853910057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21" ht="16.5" customHeight="1" thickBot="1">
      <c r="A41" s="58" t="s">
        <v>61</v>
      </c>
      <c r="B41" s="88"/>
      <c r="C41" s="88"/>
      <c r="D41" s="88"/>
      <c r="E41" s="384"/>
      <c r="F41" s="385">
        <f>F39-F40</f>
        <v>5.6369205839887027E-2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2.8450750936024853</v>
      </c>
      <c r="T41" s="386"/>
      <c r="U41" s="388"/>
      <c r="V41" s="388"/>
      <c r="W41" s="385">
        <f>W39-W40</f>
        <v>2.922024913939314E-2</v>
      </c>
      <c r="X41" s="385"/>
      <c r="Y41" s="385"/>
      <c r="Z41" s="385"/>
      <c r="AA41" s="385"/>
      <c r="AB41" s="385"/>
      <c r="AC41" s="389">
        <f>AC39-AC40</f>
        <v>-33.966666666666697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1740.619999999999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21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21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220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30</v>
      </c>
    </row>
    <row r="44" spans="1:121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0.21474911937002283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21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56.355540540540531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29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21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227.58620689655172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21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21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-355.80079999999816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-5.3909212121211842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'[4]сентябрь 20'!$G$38</f>
        <v>1791.1407999999997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'[4]сентябрь 20'!$C$38</f>
        <v>1791.14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-7.9999999957180989E-4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338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BM3:BS5"/>
    <mergeCell ref="BU3:CA5"/>
    <mergeCell ref="CB3:CH5"/>
    <mergeCell ref="CJ3:CM5"/>
    <mergeCell ref="CN3:CQ5"/>
    <mergeCell ref="DG5:DK5"/>
    <mergeCell ref="CT39:CU39"/>
    <mergeCell ref="CV39:CZ39"/>
    <mergeCell ref="DA39:DD39"/>
    <mergeCell ref="CR3:CR6"/>
    <mergeCell ref="Y3:Y6"/>
    <mergeCell ref="V4:V6"/>
    <mergeCell ref="W4:W6"/>
    <mergeCell ref="X4:X6"/>
    <mergeCell ref="AH5:AH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AC25" activePane="bottomRight" state="frozen"/>
      <selection pane="topRight" activeCell="B1" sqref="B1"/>
      <selection pane="bottomLeft" activeCell="A7" sqref="A7"/>
      <selection pane="bottomRight" activeCell="BJ44" sqref="BJ44"/>
    </sheetView>
  </sheetViews>
  <sheetFormatPr defaultRowHeight="12.75"/>
  <cols>
    <col min="1" max="1" width="4.7109375" customWidth="1"/>
    <col min="2" max="2" width="9.710937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7.42578125" customWidth="1"/>
    <col min="11" max="11" width="8.140625" customWidth="1"/>
    <col min="12" max="12" width="8.425781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7.710937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6.85546875" customWidth="1"/>
    <col min="35" max="35" width="6.5703125" customWidth="1"/>
    <col min="36" max="36" width="8.5703125" customWidth="1"/>
    <col min="37" max="37" width="7" customWidth="1"/>
    <col min="38" max="38" width="6.85546875" customWidth="1"/>
    <col min="39" max="39" width="2.7109375" hidden="1" customWidth="1"/>
    <col min="40" max="40" width="7.28515625" customWidth="1"/>
    <col min="41" max="41" width="7.4257812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7109375" customWidth="1"/>
    <col min="49" max="49" width="7.42578125" customWidth="1"/>
    <col min="50" max="50" width="9.140625" hidden="1" customWidth="1"/>
    <col min="51" max="52" width="5.85546875" hidden="1" customWidth="1"/>
    <col min="53" max="53" width="9" customWidth="1"/>
    <col min="54" max="54" width="8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436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88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458</v>
      </c>
      <c r="BP6" s="396" t="s">
        <v>99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455</v>
      </c>
      <c r="CD6" s="232" t="s">
        <v>458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457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'[1]октябрь 20'!K6</f>
        <v>204.023</v>
      </c>
      <c r="C7" s="104">
        <f t="shared" ref="C7:C13" si="0">IF(B7=0,0,(BM7*BU7+BN7*BV7+BP7*BX7+BS7*CA7+BO7*BW7+BR7*BZ7+BQ7*BY7)/B7)</f>
        <v>0.69723008551780929</v>
      </c>
      <c r="D7" s="447">
        <f t="shared" ref="D7:D13" si="1">B7*((100-C7)/100)</f>
        <v>202.60049026262396</v>
      </c>
      <c r="E7" s="104">
        <f t="shared" ref="E7:E13" si="2">IF(B7=0,0,(BM7*CB7+BN7*CC7+BP7*CE7+BS7*CH7+BO7*CD7+BR7*CG7+BQ7*CF7)/B7)</f>
        <v>38.271436553721884</v>
      </c>
      <c r="F7" s="103">
        <f t="shared" ref="F7:F13" si="3">IF(BA7=0,0,D7/BA7)</f>
        <v>2.3629634973480753</v>
      </c>
      <c r="G7" s="106"/>
      <c r="H7" s="107">
        <f t="shared" ref="H7:H10" si="4">IF(BA7=0,0,(CZ7+CW7+CY7+CT7+CX7)/BA7)</f>
        <v>1.927040944716585</v>
      </c>
      <c r="I7" s="103">
        <f>'[1]сентябрь 20'!AE6</f>
        <v>0</v>
      </c>
      <c r="J7" s="328">
        <f>'[1]октябрь 20'!AA6</f>
        <v>2.3809999999999998</v>
      </c>
      <c r="K7" s="106"/>
      <c r="L7" s="328">
        <f>'[1]октябрь 20'!AI6</f>
        <v>37.375999999999998</v>
      </c>
      <c r="M7" s="103">
        <f t="shared" ref="M7:M13" si="5">IF(BA7=0,0,(CV7+CU7)/BA7)</f>
        <v>0.43592255729675766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'[1]октябрь 20'!S6</f>
        <v>130.91800000000001</v>
      </c>
      <c r="S7" s="108">
        <f t="shared" ref="S7:S13" si="6">IF(R7=0,0,(1-(V7/R7))*100)</f>
        <v>2.4427502711621085</v>
      </c>
      <c r="T7" s="109">
        <f t="shared" ref="T7:T13" si="7">R7*((100-S7)/100)</f>
        <v>127.7200002</v>
      </c>
      <c r="U7" s="106">
        <v>27.09</v>
      </c>
      <c r="V7" s="109">
        <f t="shared" ref="V7:V13" si="8">CJ7+CK7+CM7+CL7</f>
        <v>127.7200002</v>
      </c>
      <c r="W7" s="110">
        <f t="shared" ref="W7:W13" si="9">IF(BA7=0,0,T7/BA7)</f>
        <v>1.4896197830650806</v>
      </c>
      <c r="X7" s="110">
        <f>Q7+W7</f>
        <v>1.4896197830650806</v>
      </c>
      <c r="Y7" s="136">
        <v>43.67</v>
      </c>
      <c r="Z7" s="111">
        <v>85.74</v>
      </c>
      <c r="AA7" s="106">
        <v>0.54</v>
      </c>
      <c r="AB7" s="112">
        <v>671</v>
      </c>
      <c r="AC7" s="238">
        <v>1129</v>
      </c>
      <c r="AD7" s="113" t="s">
        <v>443</v>
      </c>
      <c r="AE7" s="106">
        <v>75.099999999999994</v>
      </c>
      <c r="AF7" s="112">
        <v>70</v>
      </c>
      <c r="AG7" s="114">
        <v>2</v>
      </c>
      <c r="AH7" s="106"/>
      <c r="AI7" s="115">
        <f t="shared" ref="AI7:AI37" si="10">IF(BA7=0,0,AH7/BA7*1000)</f>
        <v>0</v>
      </c>
      <c r="AJ7" s="106">
        <v>55.65</v>
      </c>
      <c r="AK7" s="115">
        <f t="shared" ref="AK7:AK13" si="11">IF(BA7=0,0,AJ7/BA7*1000)</f>
        <v>649.05528341497552</v>
      </c>
      <c r="AL7" s="106">
        <v>13.57</v>
      </c>
      <c r="AM7" s="116"/>
      <c r="AN7" s="117">
        <v>12.26</v>
      </c>
      <c r="AO7" s="466">
        <v>29.37</v>
      </c>
      <c r="AP7" s="110">
        <f t="shared" ref="AP7:AP13" si="12">IF(AO7=0,0,AO7/AV7)</f>
        <v>0.24444444444444444</v>
      </c>
      <c r="AQ7" s="119" t="s">
        <v>331</v>
      </c>
      <c r="AR7" s="403">
        <v>7.71</v>
      </c>
      <c r="AS7" s="120">
        <v>8.26</v>
      </c>
      <c r="AT7" s="106"/>
      <c r="AU7" s="106">
        <v>8.66</v>
      </c>
      <c r="AV7" s="314">
        <v>120.15</v>
      </c>
      <c r="AW7" s="121">
        <v>7.22</v>
      </c>
      <c r="AX7" s="122"/>
      <c r="AY7" s="123"/>
      <c r="AZ7" s="124"/>
      <c r="BA7" s="109">
        <f t="shared" ref="BA7:BA13" si="13">AV7-AO7-AN7+AY7+AW7</f>
        <v>85.74</v>
      </c>
      <c r="BB7" s="115">
        <f>IF(AE7=0,0,((D7*0.97)*(E7/100)*0.9)/(AE7/100))</f>
        <v>90.134190534173285</v>
      </c>
      <c r="BC7" s="125">
        <f t="shared" ref="BC7:BC13" si="14">(AJ7*AU7)/100*(55/71)</f>
        <v>3.7332528169014081</v>
      </c>
      <c r="BD7" s="115">
        <f t="shared" ref="BD7:BD13" si="15">BA7*$BD$6</f>
        <v>3.4295999999999998</v>
      </c>
      <c r="BE7" s="103">
        <f t="shared" ref="BE7:BE13" si="16">IF((D7*E7)=0,0,(BA7*AE7)/(D7*E7))</f>
        <v>0.83043980931543548</v>
      </c>
      <c r="BF7" s="115">
        <f t="shared" ref="BF7:BF13" si="17">BC7+BD7</f>
        <v>7.1628528169014078</v>
      </c>
      <c r="BG7" s="533">
        <v>0.83</v>
      </c>
      <c r="BH7" s="16">
        <f>BA7</f>
        <v>85.74</v>
      </c>
      <c r="BI7" s="16">
        <f t="shared" ref="BI7:BI13" si="18">IF(A7&lt;=$BG$43,$AV$43,0)</f>
        <v>222.58064516129033</v>
      </c>
      <c r="BJ7" s="16">
        <f>BI7</f>
        <v>222.58064516129033</v>
      </c>
      <c r="BK7" s="17">
        <f t="shared" ref="BK7:BK13" si="19">IF(BA7&lt;&gt;0,1,0)</f>
        <v>1</v>
      </c>
      <c r="BL7" s="16">
        <f>BI7*BK7</f>
        <v>222.58064516129033</v>
      </c>
      <c r="BM7" s="336">
        <v>57.774999999999999</v>
      </c>
      <c r="BN7" s="336">
        <v>37.375999999999998</v>
      </c>
      <c r="BO7" s="336">
        <v>9.9999999999999995E-8</v>
      </c>
      <c r="BP7" s="336">
        <v>108.872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1.03</v>
      </c>
      <c r="BV7" s="336">
        <v>9.9999999999999995E-8</v>
      </c>
      <c r="BW7" s="336">
        <v>9.9999999999999995E-8</v>
      </c>
      <c r="BX7" s="336">
        <v>0.76</v>
      </c>
      <c r="BY7" s="336">
        <v>9.9999999999999995E-8</v>
      </c>
      <c r="BZ7" s="336">
        <v>9.9999999999999995E-8</v>
      </c>
      <c r="CA7" s="336">
        <v>9.9999999999999995E-8</v>
      </c>
      <c r="CB7" s="336">
        <v>36.06</v>
      </c>
      <c r="CC7" s="336">
        <v>43.5</v>
      </c>
      <c r="CD7" s="336">
        <v>9.9999999999999995E-8</v>
      </c>
      <c r="CE7" s="336">
        <v>37.65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93.72</v>
      </c>
      <c r="CM7" s="336">
        <v>34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22" si="20">BM7*((100-BU7)/100)</f>
        <v>57.179917500000002</v>
      </c>
      <c r="CU7" s="22">
        <f t="shared" si="20"/>
        <v>37.375999962624</v>
      </c>
      <c r="CV7" s="22">
        <f t="shared" si="20"/>
        <v>9.99999999E-8</v>
      </c>
      <c r="CW7" s="27">
        <f t="shared" si="20"/>
        <v>108.0445728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20" si="21">CJ7*((100-CN7)/100)</f>
        <v>9.99999999E-8</v>
      </c>
      <c r="DB7" s="21">
        <f t="shared" si="21"/>
        <v>9.99999999E-8</v>
      </c>
      <c r="DC7" s="21">
        <f t="shared" si="21"/>
        <v>93.719999906279995</v>
      </c>
      <c r="DD7" s="279">
        <f t="shared" si="21"/>
        <v>33.999999966000004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'[1]октябрь 20'!K7</f>
        <v>483.20600000000002</v>
      </c>
      <c r="C8" s="104">
        <f t="shared" si="0"/>
        <v>0.78277571056650774</v>
      </c>
      <c r="D8" s="447">
        <f t="shared" si="1"/>
        <v>479.42358080000002</v>
      </c>
      <c r="E8" s="104">
        <f t="shared" si="2"/>
        <v>38.05908130279839</v>
      </c>
      <c r="F8" s="128">
        <f t="shared" si="3"/>
        <v>2.2414492533545278</v>
      </c>
      <c r="G8" s="106"/>
      <c r="H8" s="107">
        <f t="shared" si="4"/>
        <v>1.8275776371031835</v>
      </c>
      <c r="I8" s="103">
        <f>'[1]сентябрь 20'!AE7</f>
        <v>0</v>
      </c>
      <c r="J8" s="328">
        <f>'[1]октябрь 20'!AA7</f>
        <v>5.1929999999999996</v>
      </c>
      <c r="K8" s="106">
        <v>36.340000000000003</v>
      </c>
      <c r="L8" s="328">
        <f>'[1]октябрь 20'!AI7</f>
        <v>88.522999999999996</v>
      </c>
      <c r="M8" s="103">
        <f t="shared" si="5"/>
        <v>0.41387161625134411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'[1]октябрь 20'!S7</f>
        <v>296.541</v>
      </c>
      <c r="S8" s="108">
        <f t="shared" si="6"/>
        <v>2.8161367230838175</v>
      </c>
      <c r="T8" s="109">
        <f t="shared" si="7"/>
        <v>288.19</v>
      </c>
      <c r="U8" s="106">
        <v>4.58</v>
      </c>
      <c r="V8" s="109">
        <f t="shared" si="8"/>
        <v>288.19</v>
      </c>
      <c r="W8" s="110">
        <f t="shared" si="9"/>
        <v>1.34737481883211</v>
      </c>
      <c r="X8" s="110">
        <f t="shared" ref="X8:X37" si="26">Q8+W8</f>
        <v>1.34737481883211</v>
      </c>
      <c r="Y8" s="136">
        <v>213.89</v>
      </c>
      <c r="Z8" s="130">
        <v>213.89</v>
      </c>
      <c r="AA8" s="131">
        <v>0.66</v>
      </c>
      <c r="AB8" s="112">
        <v>636</v>
      </c>
      <c r="AC8" s="112">
        <v>1194</v>
      </c>
      <c r="AD8" s="132" t="s">
        <v>444</v>
      </c>
      <c r="AE8" s="131">
        <v>75.69</v>
      </c>
      <c r="AF8" s="133">
        <v>161</v>
      </c>
      <c r="AG8" s="134">
        <v>5</v>
      </c>
      <c r="AH8" s="131">
        <v>6.95</v>
      </c>
      <c r="AI8" s="115">
        <f t="shared" si="10"/>
        <v>32.493337696947023</v>
      </c>
      <c r="AJ8" s="131">
        <v>126.8</v>
      </c>
      <c r="AK8" s="115">
        <f t="shared" si="11"/>
        <v>592.82808920473144</v>
      </c>
      <c r="AL8" s="131">
        <v>39.99</v>
      </c>
      <c r="AM8" s="116"/>
      <c r="AN8" s="135">
        <v>17.690000000000001</v>
      </c>
      <c r="AO8" s="466">
        <v>67.069999999999993</v>
      </c>
      <c r="AP8" s="110">
        <f t="shared" si="12"/>
        <v>0.22789670404349299</v>
      </c>
      <c r="AQ8" s="137" t="s">
        <v>445</v>
      </c>
      <c r="AR8" s="150">
        <v>7.66</v>
      </c>
      <c r="AS8" s="138">
        <v>8.24</v>
      </c>
      <c r="AT8" s="131"/>
      <c r="AU8" s="131">
        <v>8.9</v>
      </c>
      <c r="AV8" s="315">
        <v>294.3</v>
      </c>
      <c r="AW8" s="131">
        <v>4.3499999999999996</v>
      </c>
      <c r="AX8" s="116"/>
      <c r="AY8" s="131"/>
      <c r="AZ8" s="109"/>
      <c r="BA8" s="109">
        <f t="shared" si="13"/>
        <v>213.89000000000001</v>
      </c>
      <c r="BB8" s="115">
        <f t="shared" ref="BB8:BB13" si="27">IF(AE8=0,0,((D8*0.97)*(E8/100)*0.9)/(AE8/100))</f>
        <v>210.45218084353814</v>
      </c>
      <c r="BC8" s="140">
        <f t="shared" si="14"/>
        <v>8.7420563380281688</v>
      </c>
      <c r="BD8" s="141">
        <f t="shared" si="15"/>
        <v>8.5556000000000001</v>
      </c>
      <c r="BE8" s="128">
        <f t="shared" si="16"/>
        <v>0.88726079839877015</v>
      </c>
      <c r="BF8" s="141">
        <f t="shared" si="17"/>
        <v>17.297656338028169</v>
      </c>
      <c r="BG8" s="535">
        <v>0.87</v>
      </c>
      <c r="BH8" s="16">
        <f t="shared" ref="BH8:BH13" si="28">BH7+BA8</f>
        <v>299.63</v>
      </c>
      <c r="BI8" s="16">
        <f t="shared" si="18"/>
        <v>222.58064516129033</v>
      </c>
      <c r="BJ8" s="16">
        <f t="shared" ref="BJ8:BJ13" si="29">BI8+BJ7</f>
        <v>445.16129032258067</v>
      </c>
      <c r="BK8" s="17">
        <f t="shared" si="19"/>
        <v>1</v>
      </c>
      <c r="BL8" s="16">
        <f t="shared" ref="BL8:BL13" si="30">BL7+BI8*BK8</f>
        <v>445.16129032258067</v>
      </c>
      <c r="BM8" s="249">
        <v>137.00899999999999</v>
      </c>
      <c r="BN8" s="195">
        <v>88.522999999999996</v>
      </c>
      <c r="BO8" s="197"/>
      <c r="BP8" s="197">
        <v>257.67399999999998</v>
      </c>
      <c r="BQ8" s="230"/>
      <c r="BR8" s="230"/>
      <c r="BS8" s="250"/>
      <c r="BT8" s="199"/>
      <c r="BU8" s="200">
        <v>0.88</v>
      </c>
      <c r="BV8" s="200"/>
      <c r="BW8" s="200"/>
      <c r="BX8" s="200">
        <v>1</v>
      </c>
      <c r="BY8" s="208"/>
      <c r="BZ8" s="208"/>
      <c r="CA8" s="198"/>
      <c r="CB8" s="202">
        <v>36.729999999999997</v>
      </c>
      <c r="CC8" s="200">
        <v>43.49</v>
      </c>
      <c r="CD8" s="200"/>
      <c r="CE8" s="200">
        <v>36.9</v>
      </c>
      <c r="CF8" s="197"/>
      <c r="CG8" s="197"/>
      <c r="CH8" s="197"/>
      <c r="CI8" s="203"/>
      <c r="CJ8" s="204"/>
      <c r="CK8" s="197"/>
      <c r="CL8" s="197">
        <v>204.53</v>
      </c>
      <c r="CM8" s="198">
        <v>83.66</v>
      </c>
      <c r="CN8" s="205"/>
      <c r="CO8" s="206"/>
      <c r="CP8" s="269"/>
      <c r="CQ8" s="207"/>
      <c r="CR8" s="207"/>
      <c r="CS8" s="284"/>
      <c r="CT8" s="286">
        <f t="shared" si="20"/>
        <v>135.80332079999999</v>
      </c>
      <c r="CU8" s="24">
        <f t="shared" si="20"/>
        <v>88.522999999999996</v>
      </c>
      <c r="CV8" s="25">
        <f t="shared" si="20"/>
        <v>0</v>
      </c>
      <c r="CW8" s="24">
        <f t="shared" si="20"/>
        <v>255.09725999999998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204.53</v>
      </c>
      <c r="DD8" s="280">
        <f t="shared" si="21"/>
        <v>83.66</v>
      </c>
      <c r="DE8" s="508">
        <f t="shared" ref="DE8:DE20" si="31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2">IF(I8=0,0,(DJ8*DI8%)/(AE8/100))</f>
        <v>0</v>
      </c>
      <c r="DM8" s="402"/>
    </row>
    <row r="9" spans="1:117" ht="16.5" customHeight="1" thickBot="1">
      <c r="A9" s="534">
        <v>3</v>
      </c>
      <c r="B9" s="103">
        <f>'[1]октябрь 20'!K8</f>
        <v>509.92200000000003</v>
      </c>
      <c r="C9" s="104">
        <f t="shared" si="0"/>
        <v>0.93393050309655201</v>
      </c>
      <c r="D9" s="448">
        <f t="shared" si="1"/>
        <v>505.15968290000006</v>
      </c>
      <c r="E9" s="104">
        <f t="shared" si="2"/>
        <v>38.307815763979583</v>
      </c>
      <c r="F9" s="128">
        <f t="shared" si="3"/>
        <v>2.1982579760661447</v>
      </c>
      <c r="G9" s="106"/>
      <c r="H9" s="107">
        <f t="shared" si="4"/>
        <v>1.8563041031331595</v>
      </c>
      <c r="I9" s="103">
        <f>'[1]сентябрь 20'!AE8</f>
        <v>0</v>
      </c>
      <c r="J9" s="328">
        <f>'[1]октябрь 20'!AA8</f>
        <v>13.256</v>
      </c>
      <c r="K9" s="106">
        <v>40.47</v>
      </c>
      <c r="L9" s="328">
        <f>'[1]октябрь 20'!AI8</f>
        <v>78.581000000000003</v>
      </c>
      <c r="M9" s="103">
        <f t="shared" si="5"/>
        <v>0.34195387293298518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'[1]октябрь 20'!S8</f>
        <v>311.82600000000002</v>
      </c>
      <c r="S9" s="108">
        <f t="shared" si="6"/>
        <v>2.580285159031015</v>
      </c>
      <c r="T9" s="109">
        <f t="shared" si="7"/>
        <v>303.77999999999992</v>
      </c>
      <c r="U9" s="106">
        <v>23.88</v>
      </c>
      <c r="V9" s="109">
        <f t="shared" si="8"/>
        <v>303.77999999999997</v>
      </c>
      <c r="W9" s="110">
        <f t="shared" si="9"/>
        <v>1.3219321148825061</v>
      </c>
      <c r="X9" s="110">
        <f t="shared" si="26"/>
        <v>1.3219321148825061</v>
      </c>
      <c r="Y9" s="136">
        <v>229.8</v>
      </c>
      <c r="Z9" s="130">
        <v>190.99</v>
      </c>
      <c r="AA9" s="131">
        <v>0.64</v>
      </c>
      <c r="AB9" s="112">
        <v>587</v>
      </c>
      <c r="AC9" s="112">
        <v>1194</v>
      </c>
      <c r="AD9" s="144" t="s">
        <v>426</v>
      </c>
      <c r="AE9" s="131">
        <v>75.989999999999995</v>
      </c>
      <c r="AF9" s="133">
        <v>170</v>
      </c>
      <c r="AG9" s="134">
        <v>5</v>
      </c>
      <c r="AH9" s="131">
        <v>8.75</v>
      </c>
      <c r="AI9" s="115">
        <f t="shared" si="10"/>
        <v>38.076588337684946</v>
      </c>
      <c r="AJ9" s="131">
        <v>131.80000000000001</v>
      </c>
      <c r="AK9" s="115">
        <f t="shared" si="11"/>
        <v>573.54221061792862</v>
      </c>
      <c r="AL9" s="131">
        <v>36.729999999999997</v>
      </c>
      <c r="AM9" s="116"/>
      <c r="AN9" s="135">
        <v>16.23</v>
      </c>
      <c r="AO9" s="466">
        <v>62.63</v>
      </c>
      <c r="AP9" s="110">
        <f t="shared" si="12"/>
        <v>0.20601973684210528</v>
      </c>
      <c r="AQ9" s="137" t="s">
        <v>442</v>
      </c>
      <c r="AR9" s="150">
        <v>7.61</v>
      </c>
      <c r="AS9" s="131">
        <v>8.4600000000000009</v>
      </c>
      <c r="AT9" s="131"/>
      <c r="AU9" s="131">
        <v>7.3</v>
      </c>
      <c r="AV9" s="315">
        <v>304</v>
      </c>
      <c r="AW9" s="131">
        <v>4.66</v>
      </c>
      <c r="AX9" s="116"/>
      <c r="AY9" s="131"/>
      <c r="AZ9" s="109"/>
      <c r="BA9" s="109">
        <f t="shared" si="13"/>
        <v>229.8</v>
      </c>
      <c r="BB9" s="115">
        <f t="shared" si="27"/>
        <v>222.3176132097021</v>
      </c>
      <c r="BC9" s="140">
        <f t="shared" si="14"/>
        <v>7.4531971830985926</v>
      </c>
      <c r="BD9" s="141">
        <f t="shared" si="15"/>
        <v>9.1920000000000002</v>
      </c>
      <c r="BE9" s="128">
        <f t="shared" si="16"/>
        <v>0.90238194402873806</v>
      </c>
      <c r="BF9" s="141">
        <f t="shared" si="17"/>
        <v>16.645197183098592</v>
      </c>
      <c r="BG9" s="535">
        <v>0.88400000000000001</v>
      </c>
      <c r="BH9" s="16">
        <f t="shared" si="28"/>
        <v>529.43000000000006</v>
      </c>
      <c r="BI9" s="16">
        <f t="shared" si="18"/>
        <v>222.58064516129033</v>
      </c>
      <c r="BJ9" s="16">
        <f t="shared" si="29"/>
        <v>667.74193548387098</v>
      </c>
      <c r="BK9" s="17">
        <f t="shared" si="19"/>
        <v>1</v>
      </c>
      <c r="BL9" s="16">
        <f t="shared" si="30"/>
        <v>667.74193548387098</v>
      </c>
      <c r="BM9" s="249">
        <v>144.33000000000001</v>
      </c>
      <c r="BN9" s="195">
        <v>78.581000000000003</v>
      </c>
      <c r="BO9" s="197"/>
      <c r="BP9" s="197">
        <v>287.01100000000002</v>
      </c>
      <c r="BQ9" s="230"/>
      <c r="BR9" s="230"/>
      <c r="BS9" s="250"/>
      <c r="BT9" s="199"/>
      <c r="BU9" s="200">
        <v>1.49</v>
      </c>
      <c r="BV9" s="200"/>
      <c r="BW9" s="200"/>
      <c r="BX9" s="200">
        <v>0.91</v>
      </c>
      <c r="BY9" s="208"/>
      <c r="BZ9" s="208">
        <v>3.1</v>
      </c>
      <c r="CA9" s="201"/>
      <c r="CB9" s="202">
        <v>36.369999999999997</v>
      </c>
      <c r="CC9" s="200">
        <v>43.32</v>
      </c>
      <c r="CD9" s="200"/>
      <c r="CE9" s="200">
        <v>37.909999999999997</v>
      </c>
      <c r="CF9" s="200"/>
      <c r="CG9" s="200">
        <v>29.97</v>
      </c>
      <c r="CH9" s="200"/>
      <c r="CI9" s="203"/>
      <c r="CJ9" s="204"/>
      <c r="CK9" s="197"/>
      <c r="CL9" s="197">
        <v>218.78</v>
      </c>
      <c r="CM9" s="198">
        <v>85</v>
      </c>
      <c r="CN9" s="202"/>
      <c r="CO9" s="208"/>
      <c r="CP9" s="208"/>
      <c r="CQ9" s="201"/>
      <c r="CR9" s="201"/>
      <c r="CS9" s="284"/>
      <c r="CT9" s="286">
        <f t="shared" si="20"/>
        <v>142.17948300000003</v>
      </c>
      <c r="CU9" s="27">
        <f t="shared" si="20"/>
        <v>78.581000000000003</v>
      </c>
      <c r="CV9" s="28">
        <f t="shared" si="20"/>
        <v>0</v>
      </c>
      <c r="CW9" s="27">
        <f t="shared" si="20"/>
        <v>284.39919990000004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218.78</v>
      </c>
      <c r="DD9" s="280">
        <f t="shared" si="21"/>
        <v>85</v>
      </c>
      <c r="DE9" s="508">
        <f t="shared" si="31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2"/>
        <v>0</v>
      </c>
      <c r="DM9" s="402"/>
    </row>
    <row r="10" spans="1:117" ht="16.5" customHeight="1" thickBot="1">
      <c r="A10" s="534">
        <v>4</v>
      </c>
      <c r="B10" s="103">
        <f>'[1]октябрь 20'!K9</f>
        <v>491.98099999999999</v>
      </c>
      <c r="C10" s="104">
        <f t="shared" si="0"/>
        <v>1.411179456117208</v>
      </c>
      <c r="D10" s="448">
        <f t="shared" si="1"/>
        <v>485.03826520000001</v>
      </c>
      <c r="E10" s="104">
        <f t="shared" si="2"/>
        <v>37.719732550647279</v>
      </c>
      <c r="F10" s="128">
        <f t="shared" si="3"/>
        <v>2.1538111243339255</v>
      </c>
      <c r="G10" s="106"/>
      <c r="H10" s="107">
        <f t="shared" si="4"/>
        <v>1.8262311953818828</v>
      </c>
      <c r="I10" s="103">
        <f>'[1]сентябрь 20'!AE9</f>
        <v>0</v>
      </c>
      <c r="J10" s="328">
        <f>'[1]октябрь 20'!AA9</f>
        <v>13.942</v>
      </c>
      <c r="K10" s="106">
        <v>37.22</v>
      </c>
      <c r="L10" s="328">
        <f>'[1]октябрь 20'!AI9</f>
        <v>73.771000000000001</v>
      </c>
      <c r="M10" s="103">
        <f t="shared" si="5"/>
        <v>0.32757992895204263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'[1]октябрь 20'!S9</f>
        <v>299.95</v>
      </c>
      <c r="S10" s="108">
        <f t="shared" si="6"/>
        <v>2.5504250708451304</v>
      </c>
      <c r="T10" s="109">
        <f t="shared" si="7"/>
        <v>292.3</v>
      </c>
      <c r="U10" s="106">
        <v>32.119999999999997</v>
      </c>
      <c r="V10" s="109">
        <f t="shared" si="8"/>
        <v>292.3</v>
      </c>
      <c r="W10" s="110">
        <f t="shared" si="9"/>
        <v>1.2979573712255774</v>
      </c>
      <c r="X10" s="110">
        <f t="shared" si="26"/>
        <v>1.2979573712255774</v>
      </c>
      <c r="Y10" s="136">
        <v>225.2</v>
      </c>
      <c r="Z10" s="130">
        <v>225.2</v>
      </c>
      <c r="AA10" s="131">
        <v>0.54</v>
      </c>
      <c r="AB10" s="112">
        <v>655</v>
      </c>
      <c r="AC10" s="112">
        <v>1193</v>
      </c>
      <c r="AD10" s="144" t="s">
        <v>446</v>
      </c>
      <c r="AE10" s="131">
        <v>76.28</v>
      </c>
      <c r="AF10" s="133">
        <v>164</v>
      </c>
      <c r="AG10" s="134">
        <v>5</v>
      </c>
      <c r="AH10" s="131">
        <v>6.25</v>
      </c>
      <c r="AI10" s="115">
        <f t="shared" si="10"/>
        <v>27.75310834813499</v>
      </c>
      <c r="AJ10" s="131">
        <v>142</v>
      </c>
      <c r="AK10" s="115">
        <f t="shared" si="11"/>
        <v>630.55062166962705</v>
      </c>
      <c r="AL10" s="131">
        <v>40.26</v>
      </c>
      <c r="AM10" s="116"/>
      <c r="AN10" s="135">
        <v>18.82</v>
      </c>
      <c r="AO10" s="466">
        <v>59.5</v>
      </c>
      <c r="AP10" s="110">
        <f t="shared" si="12"/>
        <v>0.19919651824573151</v>
      </c>
      <c r="AQ10" s="137" t="s">
        <v>442</v>
      </c>
      <c r="AR10" s="150">
        <v>7.29</v>
      </c>
      <c r="AS10" s="138">
        <v>8.56</v>
      </c>
      <c r="AT10" s="131"/>
      <c r="AU10" s="131">
        <v>7.38</v>
      </c>
      <c r="AV10" s="315">
        <v>298.7</v>
      </c>
      <c r="AW10" s="131">
        <v>4.82</v>
      </c>
      <c r="AX10" s="116"/>
      <c r="AY10" s="131"/>
      <c r="AZ10" s="109"/>
      <c r="BA10" s="109">
        <f t="shared" si="13"/>
        <v>225.2</v>
      </c>
      <c r="BB10" s="115">
        <f>IF(AE10=0,0,((D10*0.97)*(E10/100)*0.9)/(AE10/100))</f>
        <v>209.38625338059566</v>
      </c>
      <c r="BC10" s="140">
        <f t="shared" si="14"/>
        <v>8.1179999999999986</v>
      </c>
      <c r="BD10" s="141">
        <f t="shared" si="15"/>
        <v>9.0079999999999991</v>
      </c>
      <c r="BE10" s="128">
        <f t="shared" si="16"/>
        <v>0.93893269890381115</v>
      </c>
      <c r="BF10" s="141">
        <f t="shared" si="17"/>
        <v>17.125999999999998</v>
      </c>
      <c r="BG10" s="535">
        <v>0.9</v>
      </c>
      <c r="BH10" s="16">
        <f t="shared" si="28"/>
        <v>754.63000000000011</v>
      </c>
      <c r="BI10" s="16">
        <f t="shared" si="18"/>
        <v>222.58064516129033</v>
      </c>
      <c r="BJ10" s="16">
        <f t="shared" si="29"/>
        <v>890.32258064516134</v>
      </c>
      <c r="BK10" s="17">
        <f t="shared" si="19"/>
        <v>1</v>
      </c>
      <c r="BL10" s="16">
        <f t="shared" si="30"/>
        <v>890.32258064516134</v>
      </c>
      <c r="BM10" s="249">
        <v>139.358</v>
      </c>
      <c r="BN10" s="195">
        <v>73.771000000000001</v>
      </c>
      <c r="BO10" s="197"/>
      <c r="BP10" s="195">
        <v>278.85199999999998</v>
      </c>
      <c r="BQ10" s="195"/>
      <c r="BR10" s="230"/>
      <c r="BS10" s="250"/>
      <c r="BT10" s="199"/>
      <c r="BU10" s="200">
        <v>1</v>
      </c>
      <c r="BV10" s="200"/>
      <c r="BW10" s="200"/>
      <c r="BX10" s="200">
        <v>1.99</v>
      </c>
      <c r="BY10" s="208"/>
      <c r="BZ10" s="208"/>
      <c r="CA10" s="201"/>
      <c r="CB10" s="202">
        <v>36.020000000000003</v>
      </c>
      <c r="CC10" s="200">
        <v>43.5</v>
      </c>
      <c r="CD10" s="200"/>
      <c r="CE10" s="200">
        <v>37.04</v>
      </c>
      <c r="CF10" s="200"/>
      <c r="CG10" s="200"/>
      <c r="CH10" s="200"/>
      <c r="CI10" s="203"/>
      <c r="CJ10" s="204"/>
      <c r="CK10" s="197"/>
      <c r="CL10" s="197">
        <v>210.3</v>
      </c>
      <c r="CM10" s="198">
        <v>82</v>
      </c>
      <c r="CN10" s="202"/>
      <c r="CO10" s="208"/>
      <c r="CP10" s="208"/>
      <c r="CQ10" s="201"/>
      <c r="CR10" s="201"/>
      <c r="CS10" s="284"/>
      <c r="CT10" s="286">
        <f t="shared" si="20"/>
        <v>137.96441999999999</v>
      </c>
      <c r="CU10" s="29">
        <f t="shared" si="20"/>
        <v>73.771000000000001</v>
      </c>
      <c r="CV10" s="30">
        <f t="shared" si="20"/>
        <v>0</v>
      </c>
      <c r="CW10" s="29">
        <f t="shared" si="20"/>
        <v>273.30284519999998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210.3</v>
      </c>
      <c r="DD10" s="280">
        <f t="shared" si="21"/>
        <v>82</v>
      </c>
      <c r="DE10" s="508">
        <f t="shared" si="31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2"/>
        <v>0</v>
      </c>
      <c r="DM10" s="402"/>
    </row>
    <row r="11" spans="1:117" ht="16.5" customHeight="1" thickBot="1">
      <c r="A11" s="534">
        <v>5</v>
      </c>
      <c r="B11" s="103">
        <f>'[1]октябрь 20'!K10</f>
        <v>530.98699999999997</v>
      </c>
      <c r="C11" s="104">
        <f t="shared" si="0"/>
        <v>1.0851660586794027</v>
      </c>
      <c r="D11" s="448">
        <f t="shared" si="1"/>
        <v>525.22490929999992</v>
      </c>
      <c r="E11" s="104">
        <f t="shared" si="2"/>
        <v>37.684702469175335</v>
      </c>
      <c r="F11" s="128">
        <f t="shared" si="3"/>
        <v>2.3101025215517241</v>
      </c>
      <c r="G11" s="106"/>
      <c r="H11" s="107">
        <f>IF(BA11=0,0,(CZ11+CW11+CY11+CT11+CX11)/BA11)</f>
        <v>1.9597858431562283</v>
      </c>
      <c r="I11" s="103">
        <f>'[1]сентябрь 20'!AE10</f>
        <v>0</v>
      </c>
      <c r="J11" s="328">
        <f>'[1]октябрь 20'!AA10</f>
        <v>14.529</v>
      </c>
      <c r="K11" s="106">
        <v>42.76</v>
      </c>
      <c r="L11" s="328">
        <f>'[1]октябрь 20'!AI10</f>
        <v>79.647999999999996</v>
      </c>
      <c r="M11" s="103">
        <f t="shared" si="5"/>
        <v>0.35031667839549613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'[1]октябрь 20'!S10</f>
        <v>325.005</v>
      </c>
      <c r="S11" s="108">
        <f t="shared" si="6"/>
        <v>2.4815002846110046</v>
      </c>
      <c r="T11" s="109">
        <f t="shared" si="7"/>
        <v>316.94</v>
      </c>
      <c r="U11" s="106">
        <v>15.11</v>
      </c>
      <c r="V11" s="109">
        <f t="shared" si="8"/>
        <v>316.94</v>
      </c>
      <c r="W11" s="110">
        <f t="shared" si="9"/>
        <v>1.3940007037297679</v>
      </c>
      <c r="X11" s="110">
        <f t="shared" si="26"/>
        <v>1.3940007037297679</v>
      </c>
      <c r="Y11" s="136">
        <v>227.36</v>
      </c>
      <c r="Z11" s="130">
        <v>227.36</v>
      </c>
      <c r="AA11" s="131">
        <v>0.43</v>
      </c>
      <c r="AB11" s="112">
        <v>643</v>
      </c>
      <c r="AC11" s="112">
        <v>1171</v>
      </c>
      <c r="AD11" s="144" t="s">
        <v>447</v>
      </c>
      <c r="AE11" s="131">
        <v>75.989999999999995</v>
      </c>
      <c r="AF11" s="133">
        <v>177</v>
      </c>
      <c r="AG11" s="134">
        <v>5</v>
      </c>
      <c r="AH11" s="131">
        <v>2.5499999999999998</v>
      </c>
      <c r="AI11" s="115">
        <f t="shared" si="10"/>
        <v>11.215693173821252</v>
      </c>
      <c r="AJ11" s="131">
        <v>148.80000000000001</v>
      </c>
      <c r="AK11" s="115">
        <f t="shared" si="11"/>
        <v>654.46868402533437</v>
      </c>
      <c r="AL11" s="131">
        <v>29.28</v>
      </c>
      <c r="AM11" s="116"/>
      <c r="AN11" s="135">
        <v>19.02</v>
      </c>
      <c r="AO11" s="466">
        <v>64.760000000000005</v>
      </c>
      <c r="AP11" s="110">
        <f t="shared" si="12"/>
        <v>0.21077298616761597</v>
      </c>
      <c r="AQ11" s="137" t="s">
        <v>442</v>
      </c>
      <c r="AR11" s="150">
        <v>7.04</v>
      </c>
      <c r="AS11" s="138">
        <v>8.7799999999999994</v>
      </c>
      <c r="AT11" s="131"/>
      <c r="AU11" s="131">
        <v>6.89</v>
      </c>
      <c r="AV11" s="315">
        <v>307.25</v>
      </c>
      <c r="AW11" s="131">
        <v>3.89</v>
      </c>
      <c r="AX11" s="145"/>
      <c r="AY11" s="131"/>
      <c r="AZ11" s="109"/>
      <c r="BA11" s="109">
        <f t="shared" si="13"/>
        <v>227.35999999999999</v>
      </c>
      <c r="BB11" s="115">
        <f t="shared" si="27"/>
        <v>227.38834705817999</v>
      </c>
      <c r="BC11" s="140">
        <f t="shared" si="14"/>
        <v>7.9419380281690133</v>
      </c>
      <c r="BD11" s="141">
        <f t="shared" si="15"/>
        <v>9.0944000000000003</v>
      </c>
      <c r="BE11" s="128">
        <f t="shared" si="16"/>
        <v>0.87289116864557348</v>
      </c>
      <c r="BF11" s="141">
        <f t="shared" si="17"/>
        <v>17.036338028169013</v>
      </c>
      <c r="BG11" s="535">
        <v>0.89300000000000002</v>
      </c>
      <c r="BH11" s="16">
        <f t="shared" si="28"/>
        <v>981.99000000000012</v>
      </c>
      <c r="BI11" s="16">
        <f t="shared" si="18"/>
        <v>222.58064516129033</v>
      </c>
      <c r="BJ11" s="16">
        <f t="shared" si="29"/>
        <v>1112.9032258064517</v>
      </c>
      <c r="BK11" s="17">
        <f t="shared" si="19"/>
        <v>1</v>
      </c>
      <c r="BL11" s="16">
        <f t="shared" si="30"/>
        <v>1112.9032258064517</v>
      </c>
      <c r="BM11" s="249">
        <v>150.42699999999999</v>
      </c>
      <c r="BN11" s="195">
        <v>79.647999999999996</v>
      </c>
      <c r="BO11" s="197"/>
      <c r="BP11" s="197">
        <v>300.91199999999998</v>
      </c>
      <c r="BQ11" s="230"/>
      <c r="BR11" s="230"/>
      <c r="BS11" s="250"/>
      <c r="BT11" s="199"/>
      <c r="BU11" s="200">
        <v>1.29</v>
      </c>
      <c r="BV11" s="200"/>
      <c r="BW11" s="200"/>
      <c r="BX11" s="200">
        <v>1.27</v>
      </c>
      <c r="BY11" s="208"/>
      <c r="BZ11" s="208"/>
      <c r="CA11" s="201"/>
      <c r="CB11" s="202">
        <v>36.049999999999997</v>
      </c>
      <c r="CC11" s="200">
        <v>43.17</v>
      </c>
      <c r="CD11" s="200"/>
      <c r="CE11" s="200">
        <v>37.049999999999997</v>
      </c>
      <c r="CF11" s="200"/>
      <c r="CG11" s="200"/>
      <c r="CH11" s="200"/>
      <c r="CI11" s="203"/>
      <c r="CJ11" s="204"/>
      <c r="CK11" s="197"/>
      <c r="CL11" s="230">
        <v>228.44</v>
      </c>
      <c r="CM11" s="198">
        <v>88.5</v>
      </c>
      <c r="CN11" s="202"/>
      <c r="CO11" s="208"/>
      <c r="CP11" s="208"/>
      <c r="CQ11" s="201"/>
      <c r="CR11" s="201"/>
      <c r="CS11" s="284"/>
      <c r="CT11" s="286">
        <f t="shared" si="20"/>
        <v>148.48649169999999</v>
      </c>
      <c r="CU11" s="24">
        <f t="shared" si="20"/>
        <v>79.647999999999996</v>
      </c>
      <c r="CV11" s="25">
        <f t="shared" si="20"/>
        <v>0</v>
      </c>
      <c r="CW11" s="24">
        <f t="shared" si="20"/>
        <v>297.09041760000002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228.44</v>
      </c>
      <c r="DD11" s="280">
        <f t="shared" si="21"/>
        <v>88.5</v>
      </c>
      <c r="DE11" s="508">
        <f t="shared" si="31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2"/>
        <v>0</v>
      </c>
      <c r="DM11" s="402"/>
    </row>
    <row r="12" spans="1:117" ht="16.5" customHeight="1" thickBot="1">
      <c r="A12" s="534">
        <v>6</v>
      </c>
      <c r="B12" s="103">
        <f>'[1]октябрь 20'!K11</f>
        <v>504.19499999999999</v>
      </c>
      <c r="C12" s="104">
        <f t="shared" si="0"/>
        <v>1.0112351173653049</v>
      </c>
      <c r="D12" s="448">
        <f t="shared" si="1"/>
        <v>499.09640309999997</v>
      </c>
      <c r="E12" s="104">
        <f t="shared" si="2"/>
        <v>38.151772687154775</v>
      </c>
      <c r="F12" s="128">
        <f t="shared" si="3"/>
        <v>2.1771785164020243</v>
      </c>
      <c r="G12" s="106"/>
      <c r="H12" s="107">
        <f t="shared" ref="H12:H13" si="33">IF(BA12=0,0,(CZ12+CW12+CY12+CT12+CX12)/BA12)</f>
        <v>1.8467126291223175</v>
      </c>
      <c r="I12" s="103">
        <f>'[1]сентябрь 20'!AE11</f>
        <v>0</v>
      </c>
      <c r="J12" s="328">
        <f>'[1]октябрь 20'!AA11</f>
        <v>13.444000000000001</v>
      </c>
      <c r="K12" s="106">
        <v>37.520000000000003</v>
      </c>
      <c r="L12" s="328">
        <f>'[1]октябрь 20'!AI11</f>
        <v>75.756</v>
      </c>
      <c r="M12" s="103">
        <f t="shared" si="5"/>
        <v>0.33046588727970688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'[1]октябрь 20'!S11</f>
        <v>309.63</v>
      </c>
      <c r="S12" s="108">
        <f t="shared" si="6"/>
        <v>2.7161450763814821</v>
      </c>
      <c r="T12" s="109">
        <f t="shared" si="7"/>
        <v>301.22000000000003</v>
      </c>
      <c r="U12" s="106">
        <v>20.73</v>
      </c>
      <c r="V12" s="109">
        <f t="shared" si="8"/>
        <v>301.22000000000003</v>
      </c>
      <c r="W12" s="110">
        <f t="shared" si="9"/>
        <v>1.3139940673529926</v>
      </c>
      <c r="X12" s="110">
        <f t="shared" si="26"/>
        <v>1.3139940673529926</v>
      </c>
      <c r="Y12" s="136">
        <v>229.24</v>
      </c>
      <c r="Z12" s="130">
        <v>138.63999999999999</v>
      </c>
      <c r="AA12" s="131">
        <v>0.9</v>
      </c>
      <c r="AB12" s="112">
        <v>631</v>
      </c>
      <c r="AC12" s="133">
        <v>1181</v>
      </c>
      <c r="AD12" s="144" t="s">
        <v>448</v>
      </c>
      <c r="AE12" s="131">
        <v>76.540000000000006</v>
      </c>
      <c r="AF12" s="133">
        <v>168</v>
      </c>
      <c r="AG12" s="134">
        <v>5</v>
      </c>
      <c r="AH12" s="131">
        <v>6.3</v>
      </c>
      <c r="AI12" s="115">
        <f t="shared" si="10"/>
        <v>27.482114814168558</v>
      </c>
      <c r="AJ12" s="131">
        <v>128.25</v>
      </c>
      <c r="AK12" s="115">
        <f t="shared" si="11"/>
        <v>559.4573372884314</v>
      </c>
      <c r="AL12" s="131">
        <v>34.14</v>
      </c>
      <c r="AM12" s="116"/>
      <c r="AN12" s="135">
        <v>21.33</v>
      </c>
      <c r="AO12" s="466">
        <v>56.41</v>
      </c>
      <c r="AP12" s="110">
        <f t="shared" si="12"/>
        <v>0.18623308022449653</v>
      </c>
      <c r="AQ12" s="137" t="s">
        <v>449</v>
      </c>
      <c r="AR12" s="150">
        <v>7.4</v>
      </c>
      <c r="AS12" s="138">
        <v>9.16</v>
      </c>
      <c r="AT12" s="131"/>
      <c r="AU12" s="131">
        <v>6.12</v>
      </c>
      <c r="AV12" s="315">
        <v>302.89999999999998</v>
      </c>
      <c r="AW12" s="131">
        <v>4.08</v>
      </c>
      <c r="AX12" s="116"/>
      <c r="AY12" s="131"/>
      <c r="AZ12" s="109"/>
      <c r="BA12" s="109">
        <f t="shared" si="13"/>
        <v>229.23999999999998</v>
      </c>
      <c r="BB12" s="115">
        <f t="shared" si="27"/>
        <v>217.18255983801538</v>
      </c>
      <c r="BC12" s="140">
        <f t="shared" si="14"/>
        <v>6.080133802816901</v>
      </c>
      <c r="BD12" s="141">
        <f t="shared" si="15"/>
        <v>9.1695999999999991</v>
      </c>
      <c r="BE12" s="128">
        <f t="shared" si="16"/>
        <v>0.92146680723011742</v>
      </c>
      <c r="BF12" s="141">
        <f t="shared" si="17"/>
        <v>15.2497338028169</v>
      </c>
      <c r="BG12" s="535">
        <v>0.89900000000000002</v>
      </c>
      <c r="BH12" s="16">
        <f t="shared" si="28"/>
        <v>1211.23</v>
      </c>
      <c r="BI12" s="16">
        <f t="shared" si="18"/>
        <v>222.58064516129033</v>
      </c>
      <c r="BJ12" s="16">
        <f t="shared" si="29"/>
        <v>1335.483870967742</v>
      </c>
      <c r="BK12" s="17">
        <f t="shared" si="19"/>
        <v>1</v>
      </c>
      <c r="BL12" s="16">
        <f t="shared" si="30"/>
        <v>1335.483870967742</v>
      </c>
      <c r="BM12" s="249">
        <v>142.77699999999999</v>
      </c>
      <c r="BN12" s="195">
        <v>75.756</v>
      </c>
      <c r="BO12" s="271"/>
      <c r="BP12" s="197">
        <v>285.66199999999998</v>
      </c>
      <c r="BQ12" s="230"/>
      <c r="BR12" s="230"/>
      <c r="BS12" s="250"/>
      <c r="BT12" s="199"/>
      <c r="BU12" s="200">
        <v>0.87</v>
      </c>
      <c r="BV12" s="200"/>
      <c r="BW12" s="200"/>
      <c r="BX12" s="200">
        <v>1.35</v>
      </c>
      <c r="BY12" s="208"/>
      <c r="BZ12" s="208"/>
      <c r="CA12" s="201"/>
      <c r="CB12" s="202">
        <v>35.950000000000003</v>
      </c>
      <c r="CC12" s="200">
        <v>43.1</v>
      </c>
      <c r="CD12" s="200"/>
      <c r="CE12" s="200">
        <v>37.94</v>
      </c>
      <c r="CF12" s="200"/>
      <c r="CG12" s="200"/>
      <c r="CH12" s="200"/>
      <c r="CI12" s="203"/>
      <c r="CJ12" s="204"/>
      <c r="CK12" s="197"/>
      <c r="CL12" s="230">
        <v>202.02</v>
      </c>
      <c r="CM12" s="198">
        <v>99.2</v>
      </c>
      <c r="CN12" s="202"/>
      <c r="CO12" s="202"/>
      <c r="CP12" s="270"/>
      <c r="CQ12" s="201"/>
      <c r="CR12" s="201"/>
      <c r="CS12" s="284"/>
      <c r="CT12" s="286">
        <f t="shared" si="20"/>
        <v>141.53484009999997</v>
      </c>
      <c r="CU12" s="24">
        <f t="shared" si="20"/>
        <v>75.756</v>
      </c>
      <c r="CV12" s="25">
        <f t="shared" si="20"/>
        <v>0</v>
      </c>
      <c r="CW12" s="24">
        <f t="shared" si="20"/>
        <v>281.80556300000001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202.02</v>
      </c>
      <c r="DD12" s="280">
        <f t="shared" si="21"/>
        <v>99.2</v>
      </c>
      <c r="DE12" s="508">
        <f t="shared" si="31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2"/>
        <v>0</v>
      </c>
    </row>
    <row r="13" spans="1:117" ht="16.5" customHeight="1" thickBot="1">
      <c r="A13" s="534">
        <v>7</v>
      </c>
      <c r="B13" s="103">
        <f>'[1]октябрь 20'!K12</f>
        <v>438.05099999999999</v>
      </c>
      <c r="C13" s="104">
        <f t="shared" si="0"/>
        <v>1.889894281716056</v>
      </c>
      <c r="D13" s="448">
        <f t="shared" si="1"/>
        <v>429.77229920000002</v>
      </c>
      <c r="E13" s="104">
        <f t="shared" si="2"/>
        <v>39.092783420195367</v>
      </c>
      <c r="F13" s="128">
        <f t="shared" si="3"/>
        <v>2.2984934174778049</v>
      </c>
      <c r="G13" s="106"/>
      <c r="H13" s="107">
        <f t="shared" si="33"/>
        <v>1.9471242870895278</v>
      </c>
      <c r="I13" s="103">
        <f>'[1]сентябрь 20'!AE12</f>
        <v>0</v>
      </c>
      <c r="J13" s="328">
        <f>'[1]октябрь 20'!AA12</f>
        <v>11.682</v>
      </c>
      <c r="K13" s="106">
        <v>28.7</v>
      </c>
      <c r="L13" s="328">
        <f>'[1]октябрь 20'!AI12</f>
        <v>65.698999999999998</v>
      </c>
      <c r="M13" s="103">
        <f t="shared" si="5"/>
        <v>0.35136913038827677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'[1]октябрь 20'!S12</f>
        <v>268.49900000000002</v>
      </c>
      <c r="S13" s="108">
        <f t="shared" si="6"/>
        <v>2.6663041575573976</v>
      </c>
      <c r="T13" s="109">
        <f t="shared" si="7"/>
        <v>261.34000000000003</v>
      </c>
      <c r="U13" s="106">
        <v>5.78</v>
      </c>
      <c r="V13" s="109">
        <f t="shared" si="8"/>
        <v>261.33999999999997</v>
      </c>
      <c r="W13" s="110">
        <f t="shared" si="9"/>
        <v>1.397689592469783</v>
      </c>
      <c r="X13" s="110">
        <f t="shared" si="26"/>
        <v>1.397689592469783</v>
      </c>
      <c r="Y13" s="136">
        <v>186.98</v>
      </c>
      <c r="Z13" s="130">
        <v>186.98</v>
      </c>
      <c r="AA13" s="131">
        <v>0.61</v>
      </c>
      <c r="AB13" s="146">
        <v>606</v>
      </c>
      <c r="AC13" s="147">
        <v>1151</v>
      </c>
      <c r="AD13" s="144" t="s">
        <v>234</v>
      </c>
      <c r="AE13" s="131">
        <v>76.17</v>
      </c>
      <c r="AF13" s="133">
        <v>146</v>
      </c>
      <c r="AG13" s="134">
        <v>4</v>
      </c>
      <c r="AH13" s="131">
        <v>7.55</v>
      </c>
      <c r="AI13" s="115">
        <f t="shared" si="10"/>
        <v>40.378650123007802</v>
      </c>
      <c r="AJ13" s="131">
        <v>120.1</v>
      </c>
      <c r="AK13" s="115">
        <f t="shared" si="11"/>
        <v>642.31468606268038</v>
      </c>
      <c r="AL13" s="131">
        <v>29.47</v>
      </c>
      <c r="AM13" s="116"/>
      <c r="AN13" s="135">
        <v>12.17</v>
      </c>
      <c r="AO13" s="466">
        <v>60.23</v>
      </c>
      <c r="AP13" s="110">
        <f t="shared" si="12"/>
        <v>0.23853465346534652</v>
      </c>
      <c r="AQ13" s="137" t="s">
        <v>347</v>
      </c>
      <c r="AR13" s="150">
        <v>6.92</v>
      </c>
      <c r="AS13" s="138">
        <v>8.52</v>
      </c>
      <c r="AT13" s="131"/>
      <c r="AU13" s="131">
        <v>9.02</v>
      </c>
      <c r="AV13" s="315">
        <v>252.5</v>
      </c>
      <c r="AW13" s="131">
        <v>6.88</v>
      </c>
      <c r="AX13" s="148"/>
      <c r="AY13" s="149"/>
      <c r="AZ13" s="109"/>
      <c r="BA13" s="109">
        <f t="shared" si="13"/>
        <v>186.98000000000002</v>
      </c>
      <c r="BB13" s="115">
        <f t="shared" si="27"/>
        <v>192.55965596982571</v>
      </c>
      <c r="BC13" s="140">
        <f t="shared" si="14"/>
        <v>8.3917760563380277</v>
      </c>
      <c r="BD13" s="141">
        <f t="shared" si="15"/>
        <v>7.4792000000000005</v>
      </c>
      <c r="BE13" s="128">
        <f t="shared" si="16"/>
        <v>0.84770373720224557</v>
      </c>
      <c r="BF13" s="141">
        <f t="shared" si="17"/>
        <v>15.870976056338028</v>
      </c>
      <c r="BG13" s="535">
        <v>0.89100000000000001</v>
      </c>
      <c r="BH13" s="16">
        <f t="shared" si="28"/>
        <v>1398.21</v>
      </c>
      <c r="BI13" s="16">
        <f t="shared" si="18"/>
        <v>222.58064516129033</v>
      </c>
      <c r="BJ13" s="16">
        <f t="shared" si="29"/>
        <v>1558.0645161290322</v>
      </c>
      <c r="BK13" s="17">
        <f t="shared" si="19"/>
        <v>1</v>
      </c>
      <c r="BL13" s="16">
        <f t="shared" si="30"/>
        <v>1558.0645161290322</v>
      </c>
      <c r="BM13" s="249">
        <v>124.096</v>
      </c>
      <c r="BN13" s="195">
        <v>65.698999999999998</v>
      </c>
      <c r="BO13" s="266"/>
      <c r="BP13" s="196">
        <v>248.256</v>
      </c>
      <c r="BQ13" s="313"/>
      <c r="BR13" s="230"/>
      <c r="BS13" s="250"/>
      <c r="BT13" s="199"/>
      <c r="BU13" s="200">
        <v>1.99</v>
      </c>
      <c r="BV13" s="200"/>
      <c r="BW13" s="200"/>
      <c r="BX13" s="200">
        <v>2.34</v>
      </c>
      <c r="BY13" s="208"/>
      <c r="BZ13" s="208"/>
      <c r="CA13" s="201"/>
      <c r="CB13" s="202">
        <v>37.76</v>
      </c>
      <c r="CC13" s="200">
        <v>43.17</v>
      </c>
      <c r="CD13" s="202"/>
      <c r="CE13" s="200">
        <v>38.68</v>
      </c>
      <c r="CF13" s="200"/>
      <c r="CG13" s="200"/>
      <c r="CH13" s="200"/>
      <c r="CI13" s="203"/>
      <c r="CJ13" s="204"/>
      <c r="CK13" s="197"/>
      <c r="CL13" s="264">
        <v>159.13999999999999</v>
      </c>
      <c r="CM13" s="265">
        <v>102.2</v>
      </c>
      <c r="CN13" s="202"/>
      <c r="CO13" s="202"/>
      <c r="CP13" s="270"/>
      <c r="CQ13" s="201"/>
      <c r="CR13" s="201"/>
      <c r="CS13" s="284"/>
      <c r="CT13" s="286">
        <f t="shared" si="20"/>
        <v>121.62648960000001</v>
      </c>
      <c r="CU13" s="24">
        <f t="shared" si="20"/>
        <v>65.698999999999998</v>
      </c>
      <c r="CV13" s="25">
        <f t="shared" si="20"/>
        <v>0</v>
      </c>
      <c r="CW13" s="24">
        <f t="shared" si="20"/>
        <v>242.44680959999997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159.13999999999999</v>
      </c>
      <c r="DD13" s="280">
        <f t="shared" si="21"/>
        <v>102.2</v>
      </c>
      <c r="DE13" s="508">
        <f t="shared" si="31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2"/>
        <v>0</v>
      </c>
    </row>
    <row r="14" spans="1:117" ht="16.5" customHeight="1" thickBot="1">
      <c r="A14" s="534">
        <v>8</v>
      </c>
      <c r="B14" s="103">
        <f>'[1]октябрь 20'!K13</f>
        <v>501.31400000000002</v>
      </c>
      <c r="C14" s="104">
        <f>IF(B14=0,0,(BM14*BU14+BN14*BV14+BP14*BX14+BS14*CA14+BO14*BW14+BR14*BZ14+BQ14*BY14)/B14)</f>
        <v>0.94344632306299048</v>
      </c>
      <c r="D14" s="448">
        <f>B14*((100-C14)/100)</f>
        <v>496.58437150000003</v>
      </c>
      <c r="E14" s="104">
        <f>IF(B14=0,0,(BM14*CB14+BN14*CC14+BP14*CE14+BS14*CH14+BO14*CD14+BR14*CG14+BQ14*CF14)/B14)</f>
        <v>38.921344187475313</v>
      </c>
      <c r="F14" s="128">
        <f>IF(BA14=0,0,D14/BA14)</f>
        <v>2.2520833174603179</v>
      </c>
      <c r="G14" s="106"/>
      <c r="H14" s="107">
        <f>IF(BA14=0,0,(CZ14+CW14+CY14+CT14+CX14)/BA14)</f>
        <v>1.911130936507937</v>
      </c>
      <c r="I14" s="103">
        <f>'[1]сентябрь 20'!AE13</f>
        <v>0</v>
      </c>
      <c r="J14" s="328">
        <f>'[1]октябрь 20'!AA13</f>
        <v>13.449</v>
      </c>
      <c r="K14" s="106">
        <v>39.130000000000003</v>
      </c>
      <c r="L14" s="328">
        <f>'[1]октябрь 20'!AI13</f>
        <v>75.180000000000007</v>
      </c>
      <c r="M14" s="103">
        <f>IF(BA14=0,0,(CV14+CU14)/BA14)</f>
        <v>0.34095238095238101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'[1]октябрь 20'!S13</f>
        <v>311.69900000000001</v>
      </c>
      <c r="S14" s="108">
        <f>IF(R14=0,0,(1-(V14/R14))*100)</f>
        <v>2.8261239208338895</v>
      </c>
      <c r="T14" s="109">
        <f>R14*((100-S14)/100)</f>
        <v>302.89</v>
      </c>
      <c r="U14" s="106"/>
      <c r="V14" s="109">
        <f>CJ14+CK14+CM14+CL14</f>
        <v>302.89</v>
      </c>
      <c r="W14" s="110">
        <f>IF(BA14=0,0,T14/BA14)</f>
        <v>1.3736507936507938</v>
      </c>
      <c r="X14" s="110">
        <f t="shared" si="26"/>
        <v>1.3736507936507938</v>
      </c>
      <c r="Y14" s="136">
        <v>220.5</v>
      </c>
      <c r="Z14" s="130">
        <v>220.5</v>
      </c>
      <c r="AA14" s="131">
        <v>0.32</v>
      </c>
      <c r="AB14" s="146">
        <v>621</v>
      </c>
      <c r="AC14" s="147">
        <v>1151</v>
      </c>
      <c r="AD14" s="144" t="s">
        <v>450</v>
      </c>
      <c r="AE14" s="131">
        <v>76.36</v>
      </c>
      <c r="AF14" s="133">
        <v>167</v>
      </c>
      <c r="AG14" s="134">
        <v>5</v>
      </c>
      <c r="AH14" s="131"/>
      <c r="AI14" s="115">
        <f t="shared" si="10"/>
        <v>0</v>
      </c>
      <c r="AJ14" s="131">
        <v>145.15</v>
      </c>
      <c r="AK14" s="115">
        <f>IF(BA14=0,0,AJ14/BA14*1000)</f>
        <v>658.27664399092976</v>
      </c>
      <c r="AL14" s="131">
        <v>31.65</v>
      </c>
      <c r="AM14" s="116"/>
      <c r="AN14" s="135">
        <v>20.72</v>
      </c>
      <c r="AO14" s="466">
        <v>59.35</v>
      </c>
      <c r="AP14" s="110">
        <f>IF(AO14=0,0,AO14/AV14)</f>
        <v>0.20057451841838461</v>
      </c>
      <c r="AQ14" s="137" t="s">
        <v>442</v>
      </c>
      <c r="AR14" s="150">
        <v>6.72</v>
      </c>
      <c r="AS14" s="138">
        <v>8.39</v>
      </c>
      <c r="AT14" s="131"/>
      <c r="AU14" s="131">
        <v>7.78</v>
      </c>
      <c r="AV14" s="315">
        <v>295.89999999999998</v>
      </c>
      <c r="AW14" s="131">
        <v>4.67</v>
      </c>
      <c r="AX14" s="148"/>
      <c r="AY14" s="149"/>
      <c r="AZ14" s="109"/>
      <c r="BA14" s="109">
        <f>AV14-AO14-AN14+AY14+AW14</f>
        <v>220.49999999999997</v>
      </c>
      <c r="BB14" s="115">
        <f>IF(AE14=0,0,((D14*0.97)*(E14/100)*0.9)/(AE14/100))</f>
        <v>220.96790693597418</v>
      </c>
      <c r="BC14" s="140">
        <f>(AJ14*AU14)/100*(55/71)</f>
        <v>8.7478429577464798</v>
      </c>
      <c r="BD14" s="141">
        <f>BA14*$BD$6</f>
        <v>8.8199999999999985</v>
      </c>
      <c r="BE14" s="128">
        <f>IF((D14*E14)=0,0,(BA14*AE14)/(D14*E14))</f>
        <v>0.87115139329158864</v>
      </c>
      <c r="BF14" s="141">
        <f>BC14+BD14</f>
        <v>17.567842957746478</v>
      </c>
      <c r="BG14" s="535">
        <v>0.88900000000000001</v>
      </c>
      <c r="BH14" s="16">
        <f>BH13+BA14</f>
        <v>1618.71</v>
      </c>
      <c r="BI14" s="16">
        <f>IF(A14&lt;=$BG$43,$AV$43,0)</f>
        <v>222.58064516129033</v>
      </c>
      <c r="BJ14" s="16">
        <f>BI14+BJ13</f>
        <v>1780.6451612903224</v>
      </c>
      <c r="BK14" s="17">
        <f>IF(BA14&lt;&gt;0,1,0)</f>
        <v>1</v>
      </c>
      <c r="BL14" s="16">
        <f>BL13+BI14*BK14</f>
        <v>1780.6451612903224</v>
      </c>
      <c r="BM14" s="249">
        <v>141.92699999999999</v>
      </c>
      <c r="BN14" s="195">
        <v>75.180000000000007</v>
      </c>
      <c r="BO14" s="266"/>
      <c r="BP14" s="196">
        <v>284.20699999999999</v>
      </c>
      <c r="BQ14" s="313"/>
      <c r="BR14" s="230"/>
      <c r="BS14" s="250"/>
      <c r="BT14" s="199"/>
      <c r="BU14" s="200">
        <v>1.37</v>
      </c>
      <c r="BV14" s="200"/>
      <c r="BW14" s="200"/>
      <c r="BX14" s="200">
        <v>0.98</v>
      </c>
      <c r="BY14" s="208"/>
      <c r="BZ14" s="208"/>
      <c r="CA14" s="201"/>
      <c r="CB14" s="202">
        <v>37.61</v>
      </c>
      <c r="CC14" s="200">
        <v>43.33</v>
      </c>
      <c r="CD14" s="202"/>
      <c r="CE14" s="200">
        <v>38.409999999999997</v>
      </c>
      <c r="CF14" s="200"/>
      <c r="CG14" s="200"/>
      <c r="CH14" s="200"/>
      <c r="CI14" s="203"/>
      <c r="CJ14" s="204"/>
      <c r="CK14" s="197"/>
      <c r="CL14" s="264">
        <v>185.99</v>
      </c>
      <c r="CM14" s="265">
        <v>116.9</v>
      </c>
      <c r="CN14" s="202"/>
      <c r="CO14" s="202"/>
      <c r="CP14" s="270"/>
      <c r="CQ14" s="201"/>
      <c r="CR14" s="201"/>
      <c r="CS14" s="284"/>
      <c r="CT14" s="286">
        <f t="shared" si="20"/>
        <v>139.98260009999998</v>
      </c>
      <c r="CU14" s="27">
        <f t="shared" si="20"/>
        <v>75.180000000000007</v>
      </c>
      <c r="CV14" s="28">
        <f t="shared" si="20"/>
        <v>0</v>
      </c>
      <c r="CW14" s="27">
        <f t="shared" si="20"/>
        <v>281.42177140000001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185.99</v>
      </c>
      <c r="DD14" s="280">
        <f t="shared" si="21"/>
        <v>116.9</v>
      </c>
      <c r="DE14" s="508">
        <f t="shared" si="31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2"/>
        <v>0</v>
      </c>
    </row>
    <row r="15" spans="1:117" ht="16.5" customHeight="1" thickBot="1">
      <c r="A15" s="536">
        <v>9</v>
      </c>
      <c r="B15" s="103">
        <f>'[1]октябрь 20'!K14</f>
        <v>443.93799999999999</v>
      </c>
      <c r="C15" s="104">
        <f t="shared" ref="C15:C37" si="34">IF(B15=0,0,(BM15*BU15+BN15*BV15+BP15*BX15+BS15*CA15+BO15*BW15+BR15*BZ15+BQ15*BY15)/B15)</f>
        <v>0.73117500641981537</v>
      </c>
      <c r="D15" s="448">
        <f t="shared" ref="D15:D37" si="35">B15*((100-C15)/100)</f>
        <v>440.69203629999998</v>
      </c>
      <c r="E15" s="104">
        <f t="shared" ref="E15:E18" si="36">IF(B15=0,0,(BM15*CB15+BN15*CC15+BP15*CE15+BS15*CH15+BO15*CD15+BR15*CG15+BQ15*CF15)/B15)</f>
        <v>39.099421428217454</v>
      </c>
      <c r="F15" s="128">
        <f t="shared" ref="F15:F37" si="37">IF(BA15=0,0,D15/BA15)</f>
        <v>2.2829052854330705</v>
      </c>
      <c r="G15" s="106"/>
      <c r="H15" s="107">
        <f t="shared" ref="H15:H37" si="38">IF(BA15=0,0,(CZ15+CW15+CY15+CT15+CX15)/BA15)</f>
        <v>1.9384378175507664</v>
      </c>
      <c r="I15" s="103">
        <f>'[1]сентябрь 20'!AE14</f>
        <v>0</v>
      </c>
      <c r="J15" s="328">
        <f>'[1]октябрь 20'!AA14</f>
        <v>11.879</v>
      </c>
      <c r="K15" s="106">
        <v>20.88</v>
      </c>
      <c r="L15" s="328">
        <f>'[1]октябрь 20'!AI14</f>
        <v>66.495999999999995</v>
      </c>
      <c r="M15" s="103">
        <f t="shared" ref="M15:M37" si="39">IF(BA15=0,0,(CV15+CU15)/BA15)</f>
        <v>0.34446746788230415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'[1]октябрь 20'!S14</f>
        <v>281.63499999999999</v>
      </c>
      <c r="S15" s="108">
        <f t="shared" ref="S15:S37" si="40">IF(R15=0,0,(1-(V15/R15))*100)</f>
        <v>2.8813890319030033</v>
      </c>
      <c r="T15" s="109">
        <f t="shared" ref="T15:T37" si="41">R15*((100-S15)/100)</f>
        <v>273.52</v>
      </c>
      <c r="U15" s="106">
        <v>20.5</v>
      </c>
      <c r="V15" s="109">
        <f t="shared" ref="V15:V37" si="42">CJ15+CK15+CM15+CL15</f>
        <v>273.52</v>
      </c>
      <c r="W15" s="110">
        <f t="shared" ref="W15:W37" si="43">IF(BA15=0,0,T15/BA15)</f>
        <v>1.4169084127641938</v>
      </c>
      <c r="X15" s="110">
        <f t="shared" si="26"/>
        <v>1.4169084127641938</v>
      </c>
      <c r="Y15" s="136">
        <v>193.04</v>
      </c>
      <c r="Z15" s="130">
        <v>193.04</v>
      </c>
      <c r="AA15" s="131">
        <v>0.44</v>
      </c>
      <c r="AB15" s="112">
        <v>660</v>
      </c>
      <c r="AC15" s="133">
        <v>1137</v>
      </c>
      <c r="AD15" s="144" t="s">
        <v>163</v>
      </c>
      <c r="AE15" s="131">
        <v>76.27</v>
      </c>
      <c r="AF15" s="133">
        <v>148</v>
      </c>
      <c r="AG15" s="134">
        <v>5</v>
      </c>
      <c r="AH15" s="131">
        <v>4.6500000000000004</v>
      </c>
      <c r="AI15" s="115">
        <f t="shared" si="10"/>
        <v>24.088271860754247</v>
      </c>
      <c r="AJ15" s="131">
        <v>129.35</v>
      </c>
      <c r="AK15" s="115">
        <f t="shared" ref="AK15:AK37" si="44">IF(BA15=0,0,AJ15/BA15*1000)</f>
        <v>670.06837961044334</v>
      </c>
      <c r="AL15" s="131">
        <v>33.82</v>
      </c>
      <c r="AM15" s="116"/>
      <c r="AN15" s="135">
        <v>15.07</v>
      </c>
      <c r="AO15" s="466">
        <v>65.36</v>
      </c>
      <c r="AP15" s="110">
        <f t="shared" ref="AP15:AP37" si="45">IF(AO15=0,0,AO15/AV15)</f>
        <v>0.24265825134583255</v>
      </c>
      <c r="AQ15" s="137" t="s">
        <v>451</v>
      </c>
      <c r="AR15" s="150">
        <v>6.66</v>
      </c>
      <c r="AS15" s="138">
        <v>8.1</v>
      </c>
      <c r="AT15" s="131"/>
      <c r="AU15" s="131">
        <v>8.1199999999999992</v>
      </c>
      <c r="AV15" s="315">
        <v>269.35000000000002</v>
      </c>
      <c r="AW15" s="131">
        <v>4.12</v>
      </c>
      <c r="AX15" s="116"/>
      <c r="AY15" s="131"/>
      <c r="AZ15" s="109"/>
      <c r="BA15" s="109">
        <f t="shared" ref="BA15:BA37" si="46">AV15-AO15-AN15+AY15+AW15</f>
        <v>193.04000000000002</v>
      </c>
      <c r="BB15" s="115">
        <f t="shared" ref="BB15:BB17" si="47">IF(AE15=0,0,((D15*0.97)*(E15/100)*0.9)/(AE15/100))</f>
        <v>197.22684652077058</v>
      </c>
      <c r="BC15" s="140">
        <f t="shared" ref="BC15:BC37" si="48">(AJ15*AU15)/100*(55/71)</f>
        <v>8.1362971830985895</v>
      </c>
      <c r="BD15" s="141">
        <f t="shared" ref="BD15:BD23" si="49">BA15*$BD$6</f>
        <v>7.7216000000000014</v>
      </c>
      <c r="BE15" s="128">
        <f t="shared" ref="BE15:BE37" si="50">IF((D15*E15)=0,0,(BA15*AE15)/(D15*E15))</f>
        <v>0.85446744686582121</v>
      </c>
      <c r="BF15" s="141">
        <f t="shared" ref="BF15:BF37" si="51">BC15+BD15</f>
        <v>15.85789718309859</v>
      </c>
      <c r="BG15" s="535">
        <v>0.88500000000000001</v>
      </c>
      <c r="BH15" s="16">
        <f t="shared" ref="BH15:BH37" si="52">BH14+BA15</f>
        <v>1811.75</v>
      </c>
      <c r="BI15" s="16">
        <f t="shared" ref="BI15:BI37" si="53">IF(A15&lt;=$BG$43,$AV$43,0)</f>
        <v>222.58064516129033</v>
      </c>
      <c r="BJ15" s="16">
        <f t="shared" ref="BJ15:BJ37" si="54">BI15+BJ14</f>
        <v>2003.2258064516127</v>
      </c>
      <c r="BK15" s="17">
        <f t="shared" ref="BK15:BK30" si="55">IF(BA15&lt;&gt;0,1,0)</f>
        <v>1</v>
      </c>
      <c r="BL15" s="16">
        <f t="shared" ref="BL15:BL37" si="56">BL14+BI15*BK15</f>
        <v>2003.2258064516127</v>
      </c>
      <c r="BM15" s="249">
        <v>125.789</v>
      </c>
      <c r="BN15" s="195">
        <v>66.495999999999995</v>
      </c>
      <c r="BO15" s="197"/>
      <c r="BP15" s="197">
        <v>251.65299999999999</v>
      </c>
      <c r="BQ15" s="230"/>
      <c r="BR15" s="195"/>
      <c r="BS15" s="329"/>
      <c r="BT15" s="199"/>
      <c r="BU15" s="200">
        <v>0.96</v>
      </c>
      <c r="BV15" s="200"/>
      <c r="BW15" s="200"/>
      <c r="BX15" s="200">
        <v>0.81</v>
      </c>
      <c r="BY15" s="208"/>
      <c r="BZ15" s="208"/>
      <c r="CA15" s="330"/>
      <c r="CB15" s="202">
        <v>37.770000000000003</v>
      </c>
      <c r="CC15" s="200">
        <v>43.58</v>
      </c>
      <c r="CD15" s="200"/>
      <c r="CE15" s="200">
        <v>38.58</v>
      </c>
      <c r="CF15" s="200"/>
      <c r="CG15" s="200"/>
      <c r="CH15" s="200"/>
      <c r="CI15" s="203"/>
      <c r="CJ15" s="204"/>
      <c r="CK15" s="230"/>
      <c r="CL15" s="266">
        <v>165.92</v>
      </c>
      <c r="CM15" s="265">
        <v>107.6</v>
      </c>
      <c r="CN15" s="202"/>
      <c r="CO15" s="208"/>
      <c r="CP15" s="208"/>
      <c r="CQ15" s="201"/>
      <c r="CR15" s="201"/>
      <c r="CS15" s="284"/>
      <c r="CT15" s="286">
        <f t="shared" si="20"/>
        <v>124.5814256</v>
      </c>
      <c r="CU15" s="29">
        <f t="shared" si="20"/>
        <v>66.495999999999995</v>
      </c>
      <c r="CV15" s="30">
        <f t="shared" si="20"/>
        <v>0</v>
      </c>
      <c r="CW15" s="29">
        <f t="shared" si="20"/>
        <v>249.61461069999999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165.92</v>
      </c>
      <c r="DD15" s="280">
        <f t="shared" si="21"/>
        <v>107.6</v>
      </c>
      <c r="DE15" s="508">
        <f t="shared" si="31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2"/>
        <v>0</v>
      </c>
    </row>
    <row r="16" spans="1:117" ht="16.5" customHeight="1" thickBot="1">
      <c r="A16" s="534">
        <v>10</v>
      </c>
      <c r="B16" s="103">
        <f>'[1]октябрь 20'!K15</f>
        <v>480.04599999999999</v>
      </c>
      <c r="C16" s="104">
        <f t="shared" si="34"/>
        <v>0.63470234102565182</v>
      </c>
      <c r="D16" s="448">
        <f t="shared" si="35"/>
        <v>476.99913679999997</v>
      </c>
      <c r="E16" s="104">
        <f t="shared" si="36"/>
        <v>38.730549572332656</v>
      </c>
      <c r="F16" s="128">
        <f t="shared" si="37"/>
        <v>2.212836967897569</v>
      </c>
      <c r="G16" s="106"/>
      <c r="H16" s="107">
        <f t="shared" si="38"/>
        <v>1.878916017814066</v>
      </c>
      <c r="I16" s="103">
        <f>'[1]сентябрь 20'!AE15</f>
        <v>0</v>
      </c>
      <c r="J16" s="328">
        <f>'[1]октябрь 20'!AA15</f>
        <v>11.202999999999999</v>
      </c>
      <c r="K16" s="106">
        <v>45.28</v>
      </c>
      <c r="L16" s="328">
        <f>'[1]октябрь 20'!AI15</f>
        <v>71.98</v>
      </c>
      <c r="M16" s="103">
        <f t="shared" si="39"/>
        <v>0.33392095008350342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'[1]октябрь 20'!S15</f>
        <v>301.69600000000003</v>
      </c>
      <c r="S16" s="108">
        <f t="shared" si="40"/>
        <v>2.8028213831141291</v>
      </c>
      <c r="T16" s="109">
        <f t="shared" si="41"/>
        <v>293.24</v>
      </c>
      <c r="U16" s="566">
        <v>24.74</v>
      </c>
      <c r="V16" s="109">
        <f t="shared" si="42"/>
        <v>293.24</v>
      </c>
      <c r="W16" s="110">
        <f t="shared" si="43"/>
        <v>1.360363703841158</v>
      </c>
      <c r="X16" s="110">
        <f t="shared" si="26"/>
        <v>1.360363703841158</v>
      </c>
      <c r="Y16" s="136">
        <v>215.56</v>
      </c>
      <c r="Z16" s="130">
        <v>94.48</v>
      </c>
      <c r="AA16" s="131">
        <v>0.91</v>
      </c>
      <c r="AB16" s="112">
        <v>660</v>
      </c>
      <c r="AC16" s="133">
        <v>1164</v>
      </c>
      <c r="AD16" s="144" t="s">
        <v>252</v>
      </c>
      <c r="AE16" s="131">
        <v>76.69</v>
      </c>
      <c r="AF16" s="133">
        <v>160</v>
      </c>
      <c r="AG16" s="134">
        <v>5</v>
      </c>
      <c r="AH16" s="131"/>
      <c r="AI16" s="115">
        <f t="shared" si="10"/>
        <v>0</v>
      </c>
      <c r="AJ16" s="131">
        <v>116.95</v>
      </c>
      <c r="AK16" s="115">
        <f t="shared" si="44"/>
        <v>542.54035999257746</v>
      </c>
      <c r="AL16" s="139">
        <v>32.700000000000003</v>
      </c>
      <c r="AM16" s="131"/>
      <c r="AN16" s="136">
        <v>12.11</v>
      </c>
      <c r="AO16" s="466">
        <v>66.81</v>
      </c>
      <c r="AP16" s="110">
        <f t="shared" si="45"/>
        <v>0.23133656509695291</v>
      </c>
      <c r="AQ16" s="137" t="s">
        <v>452</v>
      </c>
      <c r="AR16" s="150">
        <v>7.89</v>
      </c>
      <c r="AS16" s="138">
        <v>8.82</v>
      </c>
      <c r="AT16" s="131"/>
      <c r="AU16" s="131">
        <v>6.17</v>
      </c>
      <c r="AV16" s="315">
        <v>288.8</v>
      </c>
      <c r="AW16" s="131">
        <v>5.68</v>
      </c>
      <c r="AX16" s="116"/>
      <c r="AY16" s="131"/>
      <c r="AZ16" s="109"/>
      <c r="BA16" s="109">
        <f t="shared" si="46"/>
        <v>215.56</v>
      </c>
      <c r="BB16" s="115">
        <f t="shared" si="47"/>
        <v>210.30362494641628</v>
      </c>
      <c r="BC16" s="140">
        <f t="shared" si="48"/>
        <v>5.5897158450704225</v>
      </c>
      <c r="BD16" s="141">
        <f t="shared" si="49"/>
        <v>8.6224000000000007</v>
      </c>
      <c r="BE16" s="128">
        <f t="shared" si="50"/>
        <v>0.89481995399721603</v>
      </c>
      <c r="BF16" s="141">
        <f t="shared" si="51"/>
        <v>14.212115845070423</v>
      </c>
      <c r="BG16" s="535">
        <v>0.88600000000000001</v>
      </c>
      <c r="BH16" s="16">
        <f t="shared" si="52"/>
        <v>2027.31</v>
      </c>
      <c r="BI16" s="16">
        <f t="shared" si="53"/>
        <v>222.58064516129033</v>
      </c>
      <c r="BJ16" s="16">
        <f t="shared" si="54"/>
        <v>2225.8064516129029</v>
      </c>
      <c r="BK16" s="17">
        <f t="shared" si="55"/>
        <v>1</v>
      </c>
      <c r="BL16" s="16">
        <f t="shared" si="56"/>
        <v>2225.8064516129029</v>
      </c>
      <c r="BM16" s="249">
        <v>135.98500000000001</v>
      </c>
      <c r="BN16" s="195">
        <v>71.98</v>
      </c>
      <c r="BO16" s="195"/>
      <c r="BP16" s="197">
        <v>272.08100000000002</v>
      </c>
      <c r="BQ16" s="230"/>
      <c r="BR16" s="230"/>
      <c r="BS16" s="250"/>
      <c r="BT16" s="199"/>
      <c r="BU16" s="200">
        <v>0.8</v>
      </c>
      <c r="BV16" s="200"/>
      <c r="BW16" s="200"/>
      <c r="BX16" s="200">
        <v>0.72</v>
      </c>
      <c r="BY16" s="208"/>
      <c r="BZ16" s="208"/>
      <c r="CA16" s="201"/>
      <c r="CB16" s="202">
        <v>37.43</v>
      </c>
      <c r="CC16" s="200">
        <v>43.76</v>
      </c>
      <c r="CD16" s="200"/>
      <c r="CE16" s="200">
        <v>38.049999999999997</v>
      </c>
      <c r="CF16" s="200"/>
      <c r="CG16" s="200"/>
      <c r="CH16" s="200"/>
      <c r="CI16" s="203"/>
      <c r="CJ16" s="204"/>
      <c r="CK16" s="230"/>
      <c r="CL16" s="266">
        <v>156.04</v>
      </c>
      <c r="CM16" s="265">
        <v>137.19999999999999</v>
      </c>
      <c r="CN16" s="202"/>
      <c r="CO16" s="208"/>
      <c r="CP16" s="208"/>
      <c r="CQ16" s="201"/>
      <c r="CR16" s="201"/>
      <c r="CS16" s="284"/>
      <c r="CT16" s="286">
        <f t="shared" si="20"/>
        <v>134.89712</v>
      </c>
      <c r="CU16" s="24">
        <f t="shared" si="20"/>
        <v>71.98</v>
      </c>
      <c r="CV16" s="25">
        <f t="shared" si="20"/>
        <v>0</v>
      </c>
      <c r="CW16" s="24">
        <f t="shared" si="20"/>
        <v>270.12201680000004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156.04</v>
      </c>
      <c r="DD16" s="280">
        <f t="shared" si="21"/>
        <v>137.19999999999999</v>
      </c>
      <c r="DE16" s="508">
        <f t="shared" si="31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2"/>
        <v>0</v>
      </c>
    </row>
    <row r="17" spans="1:115" ht="16.5" customHeight="1" thickBot="1">
      <c r="A17" s="534">
        <v>11</v>
      </c>
      <c r="B17" s="103">
        <f>'[1]октябрь 20'!K16</f>
        <v>474.06200000000001</v>
      </c>
      <c r="C17" s="104">
        <f t="shared" si="34"/>
        <v>0.72538347304782924</v>
      </c>
      <c r="D17" s="448">
        <f t="shared" si="35"/>
        <v>470.62323260000005</v>
      </c>
      <c r="E17" s="104">
        <f t="shared" si="36"/>
        <v>39.156737177837499</v>
      </c>
      <c r="F17" s="128">
        <f t="shared" si="37"/>
        <v>2.3152616352634432</v>
      </c>
      <c r="G17" s="106"/>
      <c r="H17" s="107">
        <f t="shared" si="38"/>
        <v>1.9655691080828457</v>
      </c>
      <c r="I17" s="103">
        <f>'[1]сентябрь 20'!AE16</f>
        <v>0</v>
      </c>
      <c r="J17" s="328">
        <f>'[1]октябрь 20'!AA16</f>
        <v>11.458</v>
      </c>
      <c r="K17" s="106">
        <v>30.57</v>
      </c>
      <c r="L17" s="328">
        <f>'[1]октябрь 20'!AI16</f>
        <v>71.081999999999994</v>
      </c>
      <c r="M17" s="103">
        <f t="shared" si="39"/>
        <v>0.34969252718059723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'[1]октябрь 20'!S16</f>
        <v>298.94499999999999</v>
      </c>
      <c r="S17" s="108">
        <f t="shared" si="40"/>
        <v>3.1661342387395597</v>
      </c>
      <c r="T17" s="109">
        <f t="shared" si="41"/>
        <v>289.48</v>
      </c>
      <c r="U17" s="106"/>
      <c r="V17" s="109">
        <f t="shared" si="42"/>
        <v>289.48</v>
      </c>
      <c r="W17" s="110">
        <f t="shared" si="43"/>
        <v>1.4241157081713978</v>
      </c>
      <c r="X17" s="110">
        <f t="shared" si="26"/>
        <v>1.4241157081713978</v>
      </c>
      <c r="Y17" s="136">
        <v>203.27</v>
      </c>
      <c r="Z17" s="130">
        <v>203.27</v>
      </c>
      <c r="AA17" s="131">
        <v>0.63</v>
      </c>
      <c r="AB17" s="112">
        <v>667</v>
      </c>
      <c r="AC17" s="133">
        <v>1152</v>
      </c>
      <c r="AD17" s="144" t="s">
        <v>176</v>
      </c>
      <c r="AE17" s="131">
        <v>76.23</v>
      </c>
      <c r="AF17" s="133">
        <v>158</v>
      </c>
      <c r="AG17" s="134">
        <v>5</v>
      </c>
      <c r="AH17" s="131">
        <v>8.9499999999999993</v>
      </c>
      <c r="AI17" s="115">
        <f t="shared" si="10"/>
        <v>44.03010773847592</v>
      </c>
      <c r="AJ17" s="131">
        <v>128.4</v>
      </c>
      <c r="AK17" s="115">
        <f t="shared" si="44"/>
        <v>631.67216018104011</v>
      </c>
      <c r="AL17" s="139">
        <v>32.89</v>
      </c>
      <c r="AM17" s="131"/>
      <c r="AN17" s="136">
        <v>14.18</v>
      </c>
      <c r="AO17" s="466">
        <v>63.7</v>
      </c>
      <c r="AP17" s="110">
        <f t="shared" si="45"/>
        <v>0.2291779096959885</v>
      </c>
      <c r="AQ17" s="137" t="s">
        <v>145</v>
      </c>
      <c r="AR17" s="150">
        <v>7.14</v>
      </c>
      <c r="AS17" s="138">
        <v>8.42</v>
      </c>
      <c r="AT17" s="131"/>
      <c r="AU17" s="131">
        <v>7.34</v>
      </c>
      <c r="AV17" s="315">
        <v>277.95</v>
      </c>
      <c r="AW17" s="131">
        <v>3.2</v>
      </c>
      <c r="AX17" s="116"/>
      <c r="AY17" s="131"/>
      <c r="AZ17" s="109"/>
      <c r="BA17" s="109">
        <f t="shared" si="46"/>
        <v>203.26999999999998</v>
      </c>
      <c r="BB17" s="115">
        <f t="shared" si="47"/>
        <v>211.04165433106741</v>
      </c>
      <c r="BC17" s="140">
        <f t="shared" si="48"/>
        <v>7.300715492957746</v>
      </c>
      <c r="BD17" s="141">
        <f t="shared" si="49"/>
        <v>8.1307999999999989</v>
      </c>
      <c r="BE17" s="128">
        <f t="shared" si="50"/>
        <v>0.84085158715455011</v>
      </c>
      <c r="BF17" s="141">
        <f t="shared" si="51"/>
        <v>15.431515492957745</v>
      </c>
      <c r="BG17" s="535">
        <v>0.88200000000000001</v>
      </c>
      <c r="BH17" s="16">
        <f t="shared" si="52"/>
        <v>2230.58</v>
      </c>
      <c r="BI17" s="16">
        <f t="shared" si="53"/>
        <v>222.58064516129033</v>
      </c>
      <c r="BJ17" s="16">
        <f t="shared" si="54"/>
        <v>2448.3870967741932</v>
      </c>
      <c r="BK17" s="17">
        <f t="shared" si="55"/>
        <v>1</v>
      </c>
      <c r="BL17" s="16">
        <f t="shared" si="56"/>
        <v>2448.3870967741932</v>
      </c>
      <c r="BM17" s="249">
        <v>134.303</v>
      </c>
      <c r="BN17" s="195">
        <v>71.081999999999994</v>
      </c>
      <c r="BO17" s="195"/>
      <c r="BP17" s="197">
        <v>268.67700000000002</v>
      </c>
      <c r="BQ17" s="230"/>
      <c r="BR17" s="230"/>
      <c r="BS17" s="250"/>
      <c r="BT17" s="199"/>
      <c r="BU17" s="200">
        <v>0.84</v>
      </c>
      <c r="BV17" s="200"/>
      <c r="BW17" s="200"/>
      <c r="BX17" s="200">
        <v>0.86</v>
      </c>
      <c r="BY17" s="208"/>
      <c r="BZ17" s="208"/>
      <c r="CA17" s="201"/>
      <c r="CB17" s="202">
        <v>38.090000000000003</v>
      </c>
      <c r="CC17" s="200">
        <v>43.39</v>
      </c>
      <c r="CD17" s="200"/>
      <c r="CE17" s="200">
        <v>38.57</v>
      </c>
      <c r="CF17" s="208"/>
      <c r="CG17" s="208"/>
      <c r="CH17" s="201"/>
      <c r="CI17" s="199"/>
      <c r="CJ17" s="197"/>
      <c r="CK17" s="244"/>
      <c r="CL17" s="266">
        <v>147.28</v>
      </c>
      <c r="CM17" s="265">
        <v>142.19999999999999</v>
      </c>
      <c r="CN17" s="231"/>
      <c r="CO17" s="208"/>
      <c r="CP17" s="208"/>
      <c r="CQ17" s="201"/>
      <c r="CR17" s="201"/>
      <c r="CS17" s="284"/>
      <c r="CT17" s="286">
        <f t="shared" si="20"/>
        <v>133.17485479999999</v>
      </c>
      <c r="CU17" s="24">
        <f t="shared" si="20"/>
        <v>71.081999999999994</v>
      </c>
      <c r="CV17" s="25">
        <f t="shared" si="20"/>
        <v>0</v>
      </c>
      <c r="CW17" s="24">
        <f t="shared" si="20"/>
        <v>266.36637780000001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147.28</v>
      </c>
      <c r="DD17" s="280">
        <f t="shared" si="21"/>
        <v>142.19999999999999</v>
      </c>
      <c r="DE17" s="508">
        <f t="shared" si="31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2"/>
        <v>0</v>
      </c>
    </row>
    <row r="18" spans="1:115" ht="16.5" customHeight="1" thickBot="1">
      <c r="A18" s="534">
        <v>12</v>
      </c>
      <c r="B18" s="103">
        <f>'[1]октябрь 20'!K17</f>
        <v>497.798</v>
      </c>
      <c r="C18" s="104">
        <f t="shared" si="34"/>
        <v>0.87623724884390863</v>
      </c>
      <c r="D18" s="143">
        <f t="shared" si="35"/>
        <v>493.43610850000005</v>
      </c>
      <c r="E18" s="104">
        <f t="shared" si="36"/>
        <v>39.350589556406419</v>
      </c>
      <c r="F18" s="128">
        <f t="shared" si="37"/>
        <v>2.2396337531771975</v>
      </c>
      <c r="G18" s="106"/>
      <c r="H18" s="107">
        <f t="shared" si="38"/>
        <v>1.8781459173021064</v>
      </c>
      <c r="I18" s="103">
        <f>'[1]сентябрь 20'!AE17</f>
        <v>0</v>
      </c>
      <c r="J18" s="328">
        <f>'[1]октябрь 20'!AA17</f>
        <v>12.207000000000001</v>
      </c>
      <c r="K18" s="106"/>
      <c r="L18" s="328">
        <f>'[1]октябрь 20'!AI17</f>
        <v>79.643000000000001</v>
      </c>
      <c r="M18" s="103">
        <f t="shared" si="39"/>
        <v>0.36148783587509081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'[1]октябрь 20'!S17</f>
        <v>315.02499999999998</v>
      </c>
      <c r="S18" s="108">
        <f t="shared" si="40"/>
        <v>3.5695579715895542</v>
      </c>
      <c r="T18" s="109">
        <f t="shared" si="41"/>
        <v>303.77999999999997</v>
      </c>
      <c r="U18" s="566">
        <v>28.92</v>
      </c>
      <c r="V18" s="109">
        <f t="shared" si="42"/>
        <v>303.77999999999997</v>
      </c>
      <c r="W18" s="110">
        <f t="shared" si="43"/>
        <v>1.3788126361655775</v>
      </c>
      <c r="X18" s="110">
        <f t="shared" si="26"/>
        <v>1.3788126361655775</v>
      </c>
      <c r="Y18" s="136">
        <v>220.32</v>
      </c>
      <c r="Z18" s="130">
        <v>178.03</v>
      </c>
      <c r="AA18" s="131">
        <v>0.67</v>
      </c>
      <c r="AB18" s="112">
        <v>626</v>
      </c>
      <c r="AC18" s="133">
        <v>1148</v>
      </c>
      <c r="AD18" s="144" t="s">
        <v>181</v>
      </c>
      <c r="AE18" s="131">
        <v>76.78</v>
      </c>
      <c r="AF18" s="133">
        <v>166</v>
      </c>
      <c r="AG18" s="134">
        <v>5</v>
      </c>
      <c r="AH18" s="131">
        <v>7.8</v>
      </c>
      <c r="AI18" s="115">
        <f t="shared" si="10"/>
        <v>35.403050108932469</v>
      </c>
      <c r="AJ18" s="131">
        <v>135.4</v>
      </c>
      <c r="AK18" s="115">
        <f t="shared" si="44"/>
        <v>614.56063907044313</v>
      </c>
      <c r="AL18" s="139">
        <v>33.64</v>
      </c>
      <c r="AM18" s="131"/>
      <c r="AN18" s="136">
        <v>20.43</v>
      </c>
      <c r="AO18" s="466">
        <v>59.99</v>
      </c>
      <c r="AP18" s="110">
        <f t="shared" si="45"/>
        <v>0.20185060565275911</v>
      </c>
      <c r="AQ18" s="137" t="s">
        <v>453</v>
      </c>
      <c r="AR18" s="150">
        <v>6.97</v>
      </c>
      <c r="AS18" s="138">
        <v>8.67</v>
      </c>
      <c r="AT18" s="131"/>
      <c r="AU18" s="131">
        <v>7.8</v>
      </c>
      <c r="AV18" s="315">
        <v>297.2</v>
      </c>
      <c r="AW18" s="131">
        <v>3.54</v>
      </c>
      <c r="AX18" s="116"/>
      <c r="AY18" s="131"/>
      <c r="AZ18" s="109">
        <f t="shared" ref="AZ18:AZ37" si="57">IF(BA18=0,0,AY18/BA18*100)</f>
        <v>0</v>
      </c>
      <c r="BA18" s="109">
        <f t="shared" si="46"/>
        <v>220.31999999999996</v>
      </c>
      <c r="BB18" s="115">
        <f>IF(AE18=0,0,((D18*0.97)*(E18/100)*0.9)/(AE18/100))</f>
        <v>220.77419317662668</v>
      </c>
      <c r="BC18" s="140">
        <f t="shared" si="48"/>
        <v>8.1812112676056348</v>
      </c>
      <c r="BD18" s="141">
        <f t="shared" si="49"/>
        <v>8.8127999999999993</v>
      </c>
      <c r="BE18" s="128">
        <f t="shared" si="50"/>
        <v>0.87120399912920121</v>
      </c>
      <c r="BF18" s="141">
        <f t="shared" si="51"/>
        <v>16.994011267605636</v>
      </c>
      <c r="BG18" s="535">
        <v>0.88100000000000001</v>
      </c>
      <c r="BH18" s="16">
        <f t="shared" si="52"/>
        <v>2450.9</v>
      </c>
      <c r="BI18" s="16">
        <f t="shared" si="53"/>
        <v>222.58064516129033</v>
      </c>
      <c r="BJ18" s="16">
        <f t="shared" si="54"/>
        <v>2670.9677419354834</v>
      </c>
      <c r="BK18" s="17">
        <f t="shared" si="55"/>
        <v>1</v>
      </c>
      <c r="BL18" s="16">
        <f t="shared" si="56"/>
        <v>2670.9677419354834</v>
      </c>
      <c r="BM18" s="249">
        <v>141.10300000000001</v>
      </c>
      <c r="BN18" s="195">
        <v>79.643000000000001</v>
      </c>
      <c r="BO18" s="195"/>
      <c r="BP18" s="197">
        <v>277.05200000000002</v>
      </c>
      <c r="BQ18" s="230"/>
      <c r="BR18" s="230"/>
      <c r="BS18" s="250"/>
      <c r="BT18" s="199"/>
      <c r="BU18" s="200">
        <v>1.01</v>
      </c>
      <c r="BV18" s="200"/>
      <c r="BW18" s="200"/>
      <c r="BX18" s="200">
        <v>1.06</v>
      </c>
      <c r="BY18" s="208"/>
      <c r="BZ18" s="208"/>
      <c r="CA18" s="201"/>
      <c r="CB18" s="202">
        <v>37.799999999999997</v>
      </c>
      <c r="CC18" s="200">
        <v>43.7</v>
      </c>
      <c r="CD18" s="200"/>
      <c r="CE18" s="200">
        <v>38.89</v>
      </c>
      <c r="CF18" s="208"/>
      <c r="CG18" s="208"/>
      <c r="CH18" s="209"/>
      <c r="CI18" s="199"/>
      <c r="CJ18" s="197"/>
      <c r="CK18" s="268">
        <v>149.4</v>
      </c>
      <c r="CL18" s="289">
        <v>154.38</v>
      </c>
      <c r="CM18" s="267"/>
      <c r="CN18" s="202"/>
      <c r="CO18" s="208"/>
      <c r="CP18" s="208"/>
      <c r="CQ18" s="201"/>
      <c r="CR18" s="201"/>
      <c r="CS18" s="284"/>
      <c r="CT18" s="286">
        <f t="shared" si="20"/>
        <v>139.6778597</v>
      </c>
      <c r="CU18" s="24">
        <f t="shared" si="20"/>
        <v>79.643000000000001</v>
      </c>
      <c r="CV18" s="25">
        <f t="shared" si="20"/>
        <v>0</v>
      </c>
      <c r="CW18" s="24">
        <f t="shared" si="20"/>
        <v>274.11524880000002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149.4</v>
      </c>
      <c r="DC18" s="277">
        <f t="shared" si="21"/>
        <v>154.38</v>
      </c>
      <c r="DD18" s="280">
        <f t="shared" si="21"/>
        <v>0</v>
      </c>
      <c r="DE18" s="508">
        <f t="shared" si="31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2"/>
        <v>0</v>
      </c>
    </row>
    <row r="19" spans="1:115" ht="16.5" customHeight="1" thickBot="1">
      <c r="A19" s="534">
        <v>13</v>
      </c>
      <c r="B19" s="103">
        <f>'[1]октябрь 20'!K18</f>
        <v>455.99200000000002</v>
      </c>
      <c r="C19" s="104">
        <f t="shared" si="34"/>
        <v>0.77082679082089156</v>
      </c>
      <c r="D19" s="143">
        <f t="shared" si="35"/>
        <v>452.47709150000003</v>
      </c>
      <c r="E19" s="104">
        <f>IF(B19=0,0,(BM19*CB19+BN19*CC19+BP19*CE19+BS19*CH19+BO19*CD19+BR19*CG19+BQ19*CF19)/B19)</f>
        <v>38.534129239109454</v>
      </c>
      <c r="F19" s="128">
        <f t="shared" si="37"/>
        <v>2.2067747341982056</v>
      </c>
      <c r="G19" s="106"/>
      <c r="H19" s="107">
        <f t="shared" si="38"/>
        <v>1.8360812109832227</v>
      </c>
      <c r="I19" s="103">
        <f>'[1]сентябрь 20'!AE18</f>
        <v>0</v>
      </c>
      <c r="J19" s="328">
        <f>'[1]октябрь 20'!AA18</f>
        <v>10.647</v>
      </c>
      <c r="K19" s="106">
        <v>35.58</v>
      </c>
      <c r="L19" s="328">
        <f>'[1]октябрь 20'!AI18</f>
        <v>76.007000000000005</v>
      </c>
      <c r="M19" s="103">
        <f t="shared" si="39"/>
        <v>0.3706935232149825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'[1]октябрь 20'!S18</f>
        <v>286.17500000000001</v>
      </c>
      <c r="S19" s="108">
        <f t="shared" si="40"/>
        <v>3.2584956757228944</v>
      </c>
      <c r="T19" s="109">
        <f t="shared" si="41"/>
        <v>276.85000000000002</v>
      </c>
      <c r="U19" s="566">
        <v>4.47</v>
      </c>
      <c r="V19" s="109">
        <f t="shared" si="42"/>
        <v>276.85000000000002</v>
      </c>
      <c r="W19" s="110">
        <f t="shared" si="43"/>
        <v>1.3502243464689818</v>
      </c>
      <c r="X19" s="110">
        <f t="shared" si="26"/>
        <v>1.3502243464689818</v>
      </c>
      <c r="Y19" s="136">
        <v>168.3</v>
      </c>
      <c r="Z19" s="130">
        <v>116.16</v>
      </c>
      <c r="AA19" s="131">
        <v>0.86</v>
      </c>
      <c r="AB19" s="112">
        <v>663</v>
      </c>
      <c r="AC19" s="133">
        <v>1092</v>
      </c>
      <c r="AD19" s="144" t="s">
        <v>454</v>
      </c>
      <c r="AE19" s="131">
        <v>75.72</v>
      </c>
      <c r="AF19" s="133">
        <v>152</v>
      </c>
      <c r="AG19" s="134">
        <v>5</v>
      </c>
      <c r="AH19" s="131">
        <v>4.7</v>
      </c>
      <c r="AI19" s="115">
        <f t="shared" si="10"/>
        <v>22.922356613343737</v>
      </c>
      <c r="AJ19" s="131">
        <v>110.4</v>
      </c>
      <c r="AK19" s="115">
        <f t="shared" si="44"/>
        <v>538.4315255559892</v>
      </c>
      <c r="AL19" s="139">
        <v>28.23</v>
      </c>
      <c r="AM19" s="131"/>
      <c r="AN19" s="136">
        <v>14.44</v>
      </c>
      <c r="AO19" s="466">
        <v>56.57</v>
      </c>
      <c r="AP19" s="110">
        <f t="shared" si="45"/>
        <v>0.20878390847019745</v>
      </c>
      <c r="AQ19" s="137" t="s">
        <v>172</v>
      </c>
      <c r="AR19" s="150">
        <v>6.72</v>
      </c>
      <c r="AS19" s="138">
        <v>8.32</v>
      </c>
      <c r="AT19" s="134"/>
      <c r="AU19" s="131">
        <v>7.35</v>
      </c>
      <c r="AV19" s="315">
        <v>270.95</v>
      </c>
      <c r="AW19" s="131">
        <v>5.0999999999999996</v>
      </c>
      <c r="AX19" s="116"/>
      <c r="AY19" s="131"/>
      <c r="AZ19" s="109">
        <f t="shared" si="57"/>
        <v>0</v>
      </c>
      <c r="BA19" s="109">
        <f t="shared" si="46"/>
        <v>205.04</v>
      </c>
      <c r="BB19" s="115">
        <f t="shared" ref="BB19:BB37" si="58">IF(AE19=0,0,((D19*0.97)*(E19/100)*0.9)/(AE19/100))</f>
        <v>201.02301584725953</v>
      </c>
      <c r="BC19" s="140">
        <f t="shared" si="48"/>
        <v>6.2858028169014082</v>
      </c>
      <c r="BD19" s="141">
        <f t="shared" si="49"/>
        <v>8.2015999999999991</v>
      </c>
      <c r="BE19" s="128">
        <f t="shared" si="50"/>
        <v>0.89044490376170149</v>
      </c>
      <c r="BF19" s="141">
        <f t="shared" si="51"/>
        <v>14.487402816901408</v>
      </c>
      <c r="BG19" s="535">
        <v>0.88100000000000001</v>
      </c>
      <c r="BH19" s="16">
        <f t="shared" si="52"/>
        <v>2655.94</v>
      </c>
      <c r="BI19" s="16">
        <f t="shared" si="53"/>
        <v>222.58064516129033</v>
      </c>
      <c r="BJ19" s="16">
        <f t="shared" si="54"/>
        <v>2893.5483870967737</v>
      </c>
      <c r="BK19" s="17">
        <f t="shared" si="55"/>
        <v>1</v>
      </c>
      <c r="BL19" s="16">
        <f t="shared" si="56"/>
        <v>2893.5483870967737</v>
      </c>
      <c r="BM19" s="254">
        <v>129.17599999999999</v>
      </c>
      <c r="BN19" s="197">
        <v>76.007000000000005</v>
      </c>
      <c r="BO19" s="197"/>
      <c r="BP19" s="197">
        <v>250.809</v>
      </c>
      <c r="BQ19" s="230"/>
      <c r="BR19" s="230"/>
      <c r="BS19" s="258"/>
      <c r="BT19" s="199"/>
      <c r="BU19" s="200">
        <v>0.76</v>
      </c>
      <c r="BV19" s="200"/>
      <c r="BW19" s="200"/>
      <c r="BX19" s="200">
        <v>1.01</v>
      </c>
      <c r="BY19" s="208"/>
      <c r="BZ19" s="208"/>
      <c r="CA19" s="201"/>
      <c r="CB19" s="202">
        <v>37.22</v>
      </c>
      <c r="CC19" s="200">
        <v>43.52</v>
      </c>
      <c r="CD19" s="200"/>
      <c r="CE19" s="200">
        <v>37.700000000000003</v>
      </c>
      <c r="CF19" s="208"/>
      <c r="CG19" s="208"/>
      <c r="CH19" s="209"/>
      <c r="CI19" s="199"/>
      <c r="CJ19" s="197"/>
      <c r="CK19" s="197">
        <v>136.80000000000001</v>
      </c>
      <c r="CL19" s="197">
        <v>140.05000000000001</v>
      </c>
      <c r="CM19" s="198"/>
      <c r="CN19" s="202"/>
      <c r="CO19" s="208"/>
      <c r="CP19" s="208"/>
      <c r="CQ19" s="201"/>
      <c r="CR19" s="201"/>
      <c r="CS19" s="284"/>
      <c r="CT19" s="286">
        <f t="shared" si="20"/>
        <v>128.19426239999999</v>
      </c>
      <c r="CU19" s="24">
        <f t="shared" si="20"/>
        <v>76.007000000000005</v>
      </c>
      <c r="CV19" s="25">
        <f t="shared" si="20"/>
        <v>0</v>
      </c>
      <c r="CW19" s="24">
        <f t="shared" si="20"/>
        <v>248.27582910000001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136.80000000000001</v>
      </c>
      <c r="DC19" s="277">
        <f t="shared" si="21"/>
        <v>140.05000000000001</v>
      </c>
      <c r="DD19" s="280">
        <f t="shared" si="21"/>
        <v>0</v>
      </c>
      <c r="DE19" s="508">
        <f t="shared" si="31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2"/>
        <v>0</v>
      </c>
    </row>
    <row r="20" spans="1:115" ht="16.5" customHeight="1" thickBot="1">
      <c r="A20" s="534">
        <v>14</v>
      </c>
      <c r="B20" s="103">
        <f>'[1]октябрь 20'!K19</f>
        <v>279.03399999999999</v>
      </c>
      <c r="C20" s="104">
        <f t="shared" si="34"/>
        <v>0.63837847717482454</v>
      </c>
      <c r="D20" s="143">
        <f t="shared" si="35"/>
        <v>277.25270699999999</v>
      </c>
      <c r="E20" s="104">
        <f t="shared" ref="E20:E21" si="59">IF(B20=0,0,(BM20*CB20+BN20*CC20+BP20*CE20+BS20*CH20+BO20*CD20+BR20*CG20+BQ20*CF20)/B20)</f>
        <v>39.231373416859597</v>
      </c>
      <c r="F20" s="128">
        <f t="shared" si="37"/>
        <v>2.5681058447573175</v>
      </c>
      <c r="G20" s="106"/>
      <c r="H20" s="107">
        <f t="shared" si="38"/>
        <v>2.1374648666172655</v>
      </c>
      <c r="I20" s="103">
        <f>'[1]сентябрь 20'!AE19</f>
        <v>0</v>
      </c>
      <c r="J20" s="328">
        <f>'[1]октябрь 20'!AA19</f>
        <v>6.5819999999999999</v>
      </c>
      <c r="K20" s="106">
        <v>18.48</v>
      </c>
      <c r="L20" s="328">
        <f>'[1]октябрь 20'!AI19</f>
        <v>46.491999999999997</v>
      </c>
      <c r="M20" s="103">
        <f t="shared" si="39"/>
        <v>0.43064097814005187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'[1]октябрь 20'!S19</f>
        <v>178.85900000000001</v>
      </c>
      <c r="S20" s="108">
        <f t="shared" si="40"/>
        <v>3.2813557047730368</v>
      </c>
      <c r="T20" s="109">
        <f t="shared" si="41"/>
        <v>172.99</v>
      </c>
      <c r="U20" s="566">
        <v>1.75</v>
      </c>
      <c r="V20" s="109">
        <f t="shared" si="42"/>
        <v>172.99</v>
      </c>
      <c r="W20" s="110">
        <f t="shared" si="43"/>
        <v>1.6023527232308263</v>
      </c>
      <c r="X20" s="110">
        <f t="shared" si="26"/>
        <v>1.6023527232308263</v>
      </c>
      <c r="Y20" s="136">
        <v>107.96</v>
      </c>
      <c r="Z20" s="130">
        <v>107.96</v>
      </c>
      <c r="AA20" s="131">
        <v>0.6</v>
      </c>
      <c r="AB20" s="112">
        <v>643</v>
      </c>
      <c r="AC20" s="133">
        <v>1049</v>
      </c>
      <c r="AD20" s="151" t="s">
        <v>222</v>
      </c>
      <c r="AE20" s="131">
        <v>76.98</v>
      </c>
      <c r="AF20" s="133">
        <v>94</v>
      </c>
      <c r="AG20" s="134">
        <v>3</v>
      </c>
      <c r="AH20" s="131"/>
      <c r="AI20" s="115">
        <f t="shared" si="10"/>
        <v>0</v>
      </c>
      <c r="AJ20" s="131">
        <v>66.8</v>
      </c>
      <c r="AK20" s="115">
        <f t="shared" si="44"/>
        <v>618.74768432752865</v>
      </c>
      <c r="AL20" s="139">
        <v>16.53</v>
      </c>
      <c r="AM20" s="131"/>
      <c r="AN20" s="136">
        <v>11.18</v>
      </c>
      <c r="AO20" s="466">
        <v>35.520000000000003</v>
      </c>
      <c r="AP20" s="110">
        <f t="shared" si="45"/>
        <v>0.23437809303860113</v>
      </c>
      <c r="AQ20" s="137" t="s">
        <v>364</v>
      </c>
      <c r="AR20" s="150">
        <v>6.91</v>
      </c>
      <c r="AS20" s="138">
        <v>9.06</v>
      </c>
      <c r="AT20" s="131"/>
      <c r="AU20" s="131">
        <v>6.96</v>
      </c>
      <c r="AV20" s="315">
        <v>151.55000000000001</v>
      </c>
      <c r="AW20" s="131">
        <v>3.11</v>
      </c>
      <c r="AX20" s="148"/>
      <c r="AY20" s="131"/>
      <c r="AZ20" s="109">
        <f t="shared" si="57"/>
        <v>0</v>
      </c>
      <c r="BA20" s="109">
        <f t="shared" si="46"/>
        <v>107.96</v>
      </c>
      <c r="BB20" s="115">
        <f t="shared" si="58"/>
        <v>123.3518434697303</v>
      </c>
      <c r="BC20" s="140">
        <f t="shared" si="48"/>
        <v>3.6015549295774645</v>
      </c>
      <c r="BD20" s="141">
        <f t="shared" si="49"/>
        <v>4.3183999999999996</v>
      </c>
      <c r="BE20" s="128">
        <f t="shared" si="50"/>
        <v>0.76406705687481757</v>
      </c>
      <c r="BF20" s="141">
        <f t="shared" si="51"/>
        <v>7.9199549295774645</v>
      </c>
      <c r="BG20" s="535">
        <v>0.88400000000000001</v>
      </c>
      <c r="BH20" s="16">
        <f t="shared" si="52"/>
        <v>2763.9</v>
      </c>
      <c r="BI20" s="16">
        <f t="shared" si="53"/>
        <v>222.58064516129033</v>
      </c>
      <c r="BJ20" s="16">
        <f t="shared" si="54"/>
        <v>3116.1290322580639</v>
      </c>
      <c r="BK20" s="17">
        <f t="shared" si="55"/>
        <v>1</v>
      </c>
      <c r="BL20" s="16">
        <f t="shared" si="56"/>
        <v>3116.1290322580639</v>
      </c>
      <c r="BM20" s="254">
        <v>79.043000000000006</v>
      </c>
      <c r="BN20" s="197">
        <v>46.491999999999997</v>
      </c>
      <c r="BO20" s="197"/>
      <c r="BP20" s="197">
        <v>153.499</v>
      </c>
      <c r="BQ20" s="230"/>
      <c r="BR20" s="230"/>
      <c r="BS20" s="259"/>
      <c r="BT20" s="199"/>
      <c r="BU20" s="200">
        <v>0.7</v>
      </c>
      <c r="BV20" s="200"/>
      <c r="BW20" s="200"/>
      <c r="BX20" s="200">
        <v>0.8</v>
      </c>
      <c r="BY20" s="208"/>
      <c r="BZ20" s="208"/>
      <c r="CA20" s="201"/>
      <c r="CB20" s="202">
        <v>37.21</v>
      </c>
      <c r="CC20" s="200">
        <v>43.63</v>
      </c>
      <c r="CD20" s="200"/>
      <c r="CE20" s="200">
        <v>38.94</v>
      </c>
      <c r="CF20" s="208"/>
      <c r="CG20" s="208"/>
      <c r="CH20" s="209"/>
      <c r="CI20" s="199"/>
      <c r="CJ20" s="197"/>
      <c r="CK20" s="197">
        <v>83.7</v>
      </c>
      <c r="CL20" s="197">
        <v>89.29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78.489699000000002</v>
      </c>
      <c r="CU20" s="24">
        <f t="shared" si="20"/>
        <v>46.491999999999997</v>
      </c>
      <c r="CV20" s="25">
        <f t="shared" si="20"/>
        <v>0</v>
      </c>
      <c r="CW20" s="24">
        <f t="shared" si="20"/>
        <v>152.27100799999999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83.7</v>
      </c>
      <c r="DC20" s="277">
        <f t="shared" si="21"/>
        <v>89.29</v>
      </c>
      <c r="DD20" s="280">
        <f t="shared" si="21"/>
        <v>0</v>
      </c>
      <c r="DE20" s="508">
        <f t="shared" si="31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2"/>
        <v>0</v>
      </c>
    </row>
    <row r="21" spans="1:115" ht="16.5" customHeight="1" thickBot="1">
      <c r="A21" s="534">
        <v>15</v>
      </c>
      <c r="B21" s="103">
        <f>'[1]октябрь 20'!K20</f>
        <v>465.19299999999998</v>
      </c>
      <c r="C21" s="104">
        <f t="shared" si="34"/>
        <v>0.62288065383614977</v>
      </c>
      <c r="D21" s="143">
        <f t="shared" si="35"/>
        <v>462.29540280000003</v>
      </c>
      <c r="E21" s="104">
        <f t="shared" si="59"/>
        <v>39.209617513591134</v>
      </c>
      <c r="F21" s="128">
        <f t="shared" si="37"/>
        <v>2.1319655174322083</v>
      </c>
      <c r="G21" s="106"/>
      <c r="H21" s="107">
        <f t="shared" si="38"/>
        <v>1.6870245471315255</v>
      </c>
      <c r="I21" s="103">
        <f>'[1]сентябрь 20'!AE20</f>
        <v>0</v>
      </c>
      <c r="J21" s="328">
        <f>'[1]октябрь 20'!AA20</f>
        <v>9.8550000000000004</v>
      </c>
      <c r="K21" s="106">
        <v>19.899999999999999</v>
      </c>
      <c r="L21" s="328">
        <f>'[1]октябрь 20'!AI20</f>
        <v>96.480999999999995</v>
      </c>
      <c r="M21" s="103">
        <f t="shared" si="39"/>
        <v>0.44494097030068258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'[1]октябрь 20'!S20</f>
        <v>291.815</v>
      </c>
      <c r="S21" s="108">
        <f t="shared" si="40"/>
        <v>3.3325908537943483</v>
      </c>
      <c r="T21" s="109">
        <f t="shared" si="41"/>
        <v>282.09000000000003</v>
      </c>
      <c r="U21" s="615">
        <v>122.89</v>
      </c>
      <c r="V21" s="109">
        <f t="shared" si="42"/>
        <v>282.09000000000003</v>
      </c>
      <c r="W21" s="110">
        <f t="shared" si="43"/>
        <v>1.3009131156613172</v>
      </c>
      <c r="X21" s="110">
        <f t="shared" si="26"/>
        <v>1.3009131156613172</v>
      </c>
      <c r="Y21" s="136">
        <v>216.84</v>
      </c>
      <c r="Z21" s="130">
        <v>179.84</v>
      </c>
      <c r="AA21" s="131">
        <v>0.81</v>
      </c>
      <c r="AB21" s="112">
        <v>645</v>
      </c>
      <c r="AC21" s="133">
        <v>1182</v>
      </c>
      <c r="AD21" s="151" t="s">
        <v>109</v>
      </c>
      <c r="AE21" s="131">
        <v>76.260000000000005</v>
      </c>
      <c r="AF21" s="133">
        <v>155</v>
      </c>
      <c r="AG21" s="134">
        <v>5</v>
      </c>
      <c r="AH21" s="131">
        <v>7.4</v>
      </c>
      <c r="AI21" s="115">
        <f t="shared" si="10"/>
        <v>34.126544917911822</v>
      </c>
      <c r="AJ21" s="131">
        <v>129.94999999999999</v>
      </c>
      <c r="AK21" s="115">
        <f t="shared" si="44"/>
        <v>599.28979893008659</v>
      </c>
      <c r="AL21" s="139">
        <v>27.48</v>
      </c>
      <c r="AM21" s="131"/>
      <c r="AN21" s="136">
        <v>12.18</v>
      </c>
      <c r="AO21" s="466">
        <v>58.26</v>
      </c>
      <c r="AP21" s="110">
        <f t="shared" si="45"/>
        <v>0.20514084507042252</v>
      </c>
      <c r="AQ21" s="137" t="s">
        <v>367</v>
      </c>
      <c r="AR21" s="150">
        <v>7.26</v>
      </c>
      <c r="AS21" s="138">
        <v>8.94</v>
      </c>
      <c r="AT21" s="131"/>
      <c r="AU21" s="131">
        <v>6.16</v>
      </c>
      <c r="AV21" s="315">
        <v>284</v>
      </c>
      <c r="AW21" s="131">
        <v>3.28</v>
      </c>
      <c r="AX21" s="116"/>
      <c r="AY21" s="131"/>
      <c r="AZ21" s="109">
        <f t="shared" si="57"/>
        <v>0</v>
      </c>
      <c r="BA21" s="109">
        <f t="shared" si="46"/>
        <v>216.84</v>
      </c>
      <c r="BB21" s="115">
        <f t="shared" si="58"/>
        <v>207.50550524489176</v>
      </c>
      <c r="BC21" s="140">
        <f t="shared" si="48"/>
        <v>6.2009943661971834</v>
      </c>
      <c r="BD21" s="141">
        <f t="shared" si="49"/>
        <v>8.6736000000000004</v>
      </c>
      <c r="BE21" s="128">
        <f t="shared" si="50"/>
        <v>0.91227131432774411</v>
      </c>
      <c r="BF21" s="141">
        <f t="shared" si="51"/>
        <v>14.874594366197183</v>
      </c>
      <c r="BG21" s="535">
        <v>0.879</v>
      </c>
      <c r="BH21" s="16">
        <f t="shared" si="52"/>
        <v>2980.7400000000002</v>
      </c>
      <c r="BI21" s="16">
        <f t="shared" si="53"/>
        <v>222.58064516129033</v>
      </c>
      <c r="BJ21" s="16">
        <f t="shared" si="54"/>
        <v>3338.7096774193542</v>
      </c>
      <c r="BK21" s="17">
        <f t="shared" si="55"/>
        <v>1</v>
      </c>
      <c r="BL21" s="16">
        <f t="shared" si="56"/>
        <v>3338.7096774193542</v>
      </c>
      <c r="BM21" s="254">
        <v>127.1</v>
      </c>
      <c r="BN21" s="197">
        <v>14.004</v>
      </c>
      <c r="BO21" s="197">
        <v>82.477000000000004</v>
      </c>
      <c r="BP21" s="197">
        <v>241.61199999999999</v>
      </c>
      <c r="BQ21" s="230"/>
      <c r="BR21" s="230"/>
      <c r="BS21" s="259"/>
      <c r="BT21" s="199"/>
      <c r="BU21" s="200">
        <v>0.74</v>
      </c>
      <c r="BV21" s="200"/>
      <c r="BW21" s="200"/>
      <c r="BX21" s="200">
        <v>0.81</v>
      </c>
      <c r="BY21" s="208"/>
      <c r="BZ21" s="208"/>
      <c r="CA21" s="201"/>
      <c r="CB21" s="202">
        <v>37.6</v>
      </c>
      <c r="CC21" s="200">
        <v>43.28</v>
      </c>
      <c r="CD21" s="200">
        <v>43.4</v>
      </c>
      <c r="CE21" s="200">
        <v>38.39</v>
      </c>
      <c r="CF21" s="208"/>
      <c r="CG21" s="208"/>
      <c r="CH21" s="209"/>
      <c r="CI21" s="199"/>
      <c r="CJ21" s="197"/>
      <c r="CK21" s="197">
        <v>139.5</v>
      </c>
      <c r="CL21" s="197">
        <v>142.59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126.15946</v>
      </c>
      <c r="CU21" s="27">
        <f t="shared" si="20"/>
        <v>14.004</v>
      </c>
      <c r="CV21" s="28">
        <f t="shared" si="20"/>
        <v>82.477000000000004</v>
      </c>
      <c r="CW21" s="27">
        <f t="shared" ref="CT21:CZ37" si="60">BP21*((100-BX21)/100)</f>
        <v>239.65494279999999</v>
      </c>
      <c r="CX21" s="27">
        <f t="shared" si="60"/>
        <v>0</v>
      </c>
      <c r="CY21" s="24">
        <f t="shared" si="60"/>
        <v>0</v>
      </c>
      <c r="CZ21" s="281">
        <f t="shared" si="60"/>
        <v>0</v>
      </c>
      <c r="DA21" s="237">
        <f t="shared" ref="DA21:DD37" si="61">CJ21*((100-CN21)/100)</f>
        <v>0</v>
      </c>
      <c r="DB21" s="24">
        <f t="shared" si="61"/>
        <v>139.5</v>
      </c>
      <c r="DC21" s="277">
        <f t="shared" si="61"/>
        <v>142.59</v>
      </c>
      <c r="DD21" s="280">
        <f t="shared" si="61"/>
        <v>0</v>
      </c>
      <c r="DE21" s="508">
        <f t="shared" ref="DE21:DE37" si="62">P21</f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2"/>
        <v>0</v>
      </c>
    </row>
    <row r="22" spans="1:115" ht="16.5" customHeight="1" thickBot="1">
      <c r="A22" s="534">
        <v>16</v>
      </c>
      <c r="B22" s="103">
        <f>'[1]октябрь 20'!K21</f>
        <v>474.54300000000001</v>
      </c>
      <c r="C22" s="104">
        <f t="shared" si="34"/>
        <v>1.6215956193643146</v>
      </c>
      <c r="D22" s="143">
        <f t="shared" si="35"/>
        <v>466.84783150000004</v>
      </c>
      <c r="E22" s="104">
        <f>IF(B22=0,0,(BM22*CB22+BN22*CC22+BP22*CE22+BS22*CH22+BO22*CD22+BR22*CG22+BQ22*CF22)/B22)</f>
        <v>39.391436624289049</v>
      </c>
      <c r="F22" s="128">
        <f t="shared" si="37"/>
        <v>1.9521130315701447</v>
      </c>
      <c r="G22" s="106"/>
      <c r="H22" s="107">
        <f t="shared" si="38"/>
        <v>1.473262937486933</v>
      </c>
      <c r="I22" s="103">
        <f>'[1]сентябрь 20'!AE21</f>
        <v>0</v>
      </c>
      <c r="J22" s="328">
        <f>'[1]октябрь 20'!AA21</f>
        <v>9.6039999999999992</v>
      </c>
      <c r="K22" s="106">
        <v>29.81</v>
      </c>
      <c r="L22" s="328">
        <f>'[1]октябрь 20'!AI21</f>
        <v>114.517</v>
      </c>
      <c r="M22" s="103">
        <f t="shared" si="39"/>
        <v>0.47885009408321139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'[1]октябрь 20'!S21</f>
        <v>295.04599999999999</v>
      </c>
      <c r="S22" s="108">
        <f t="shared" si="40"/>
        <v>3.30999234017747</v>
      </c>
      <c r="T22" s="109">
        <f t="shared" si="41"/>
        <v>285.27999999999997</v>
      </c>
      <c r="U22" s="566">
        <v>4.5199999999999996</v>
      </c>
      <c r="V22" s="109">
        <f t="shared" si="42"/>
        <v>285.27999999999997</v>
      </c>
      <c r="W22" s="110">
        <f t="shared" si="43"/>
        <v>1.1928914906962158</v>
      </c>
      <c r="X22" s="110">
        <f t="shared" si="26"/>
        <v>1.1928914906962158</v>
      </c>
      <c r="Y22" s="136">
        <v>239.15</v>
      </c>
      <c r="Z22" s="129">
        <v>140.63999999999999</v>
      </c>
      <c r="AA22" s="131">
        <v>0.95</v>
      </c>
      <c r="AB22" s="112">
        <v>647</v>
      </c>
      <c r="AC22" s="152">
        <v>1232</v>
      </c>
      <c r="AD22" s="144" t="s">
        <v>187</v>
      </c>
      <c r="AE22" s="131">
        <v>76.64</v>
      </c>
      <c r="AF22" s="133">
        <v>158</v>
      </c>
      <c r="AG22" s="134">
        <v>5</v>
      </c>
      <c r="AH22" s="131">
        <v>5.15</v>
      </c>
      <c r="AI22" s="115">
        <f t="shared" si="10"/>
        <v>21.534601714405188</v>
      </c>
      <c r="AJ22" s="131">
        <v>116.95</v>
      </c>
      <c r="AK22" s="115">
        <f t="shared" si="44"/>
        <v>489.02362533974497</v>
      </c>
      <c r="AL22" s="139">
        <v>33.979999999999997</v>
      </c>
      <c r="AM22" s="131"/>
      <c r="AN22" s="136">
        <v>17.62</v>
      </c>
      <c r="AO22" s="466">
        <v>58.87</v>
      </c>
      <c r="AP22" s="110">
        <f t="shared" si="45"/>
        <v>0.18886750080205325</v>
      </c>
      <c r="AQ22" s="137" t="s">
        <v>459</v>
      </c>
      <c r="AR22" s="150">
        <v>7.6</v>
      </c>
      <c r="AS22" s="138">
        <v>9.5299999999999994</v>
      </c>
      <c r="AT22" s="134"/>
      <c r="AU22" s="131">
        <v>5.15</v>
      </c>
      <c r="AV22" s="315">
        <v>311.7</v>
      </c>
      <c r="AW22" s="131">
        <v>3.94</v>
      </c>
      <c r="AX22" s="116"/>
      <c r="AY22" s="131"/>
      <c r="AZ22" s="109">
        <f t="shared" si="57"/>
        <v>0</v>
      </c>
      <c r="BA22" s="109">
        <f t="shared" si="46"/>
        <v>239.14999999999998</v>
      </c>
      <c r="BB22" s="115">
        <f t="shared" si="58"/>
        <v>209.47679159993098</v>
      </c>
      <c r="BC22" s="140">
        <f t="shared" si="48"/>
        <v>4.6656461267605627</v>
      </c>
      <c r="BD22" s="141">
        <f t="shared" si="49"/>
        <v>9.5659999999999989</v>
      </c>
      <c r="BE22" s="128">
        <f t="shared" si="50"/>
        <v>0.99666387099690912</v>
      </c>
      <c r="BF22" s="141">
        <f t="shared" si="51"/>
        <v>14.231646126760563</v>
      </c>
      <c r="BG22" s="535">
        <v>0.88600000000000001</v>
      </c>
      <c r="BH22" s="16">
        <f t="shared" si="52"/>
        <v>3219.8900000000003</v>
      </c>
      <c r="BI22" s="16">
        <f t="shared" si="53"/>
        <v>222.58064516129033</v>
      </c>
      <c r="BJ22" s="16">
        <f t="shared" si="54"/>
        <v>3561.2903225806444</v>
      </c>
      <c r="BK22" s="17">
        <f t="shared" si="55"/>
        <v>1</v>
      </c>
      <c r="BL22" s="16">
        <f t="shared" si="56"/>
        <v>3561.2903225806444</v>
      </c>
      <c r="BM22" s="254">
        <v>126.413</v>
      </c>
      <c r="BN22" s="197">
        <v>19.597000000000001</v>
      </c>
      <c r="BO22" s="197">
        <v>94.92</v>
      </c>
      <c r="BP22" s="197">
        <v>233.613</v>
      </c>
      <c r="BQ22" s="230"/>
      <c r="BR22" s="230"/>
      <c r="BS22" s="258"/>
      <c r="BT22" s="199"/>
      <c r="BU22" s="200">
        <v>0.34</v>
      </c>
      <c r="BV22" s="200"/>
      <c r="BW22" s="200"/>
      <c r="BX22" s="200">
        <v>3.11</v>
      </c>
      <c r="BY22" s="208"/>
      <c r="BZ22" s="208"/>
      <c r="CA22" s="201"/>
      <c r="CB22" s="202">
        <v>37.78</v>
      </c>
      <c r="CC22" s="200">
        <v>43.59</v>
      </c>
      <c r="CD22" s="200">
        <v>43.16</v>
      </c>
      <c r="CE22" s="200">
        <v>38.380000000000003</v>
      </c>
      <c r="CF22" s="208"/>
      <c r="CG22" s="208"/>
      <c r="CH22" s="201"/>
      <c r="CI22" s="199"/>
      <c r="CJ22" s="197"/>
      <c r="CK22" s="197">
        <v>142.19999999999999</v>
      </c>
      <c r="CL22" s="197">
        <v>143.08000000000001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125.98319579999999</v>
      </c>
      <c r="CU22" s="29">
        <f t="shared" si="20"/>
        <v>19.597000000000001</v>
      </c>
      <c r="CV22" s="30">
        <f t="shared" si="20"/>
        <v>94.92</v>
      </c>
      <c r="CW22" s="29">
        <f t="shared" si="20"/>
        <v>226.34763569999998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61"/>
        <v>0</v>
      </c>
      <c r="DB22" s="24">
        <f t="shared" si="61"/>
        <v>142.19999999999999</v>
      </c>
      <c r="DC22" s="277">
        <f t="shared" si="61"/>
        <v>143.08000000000001</v>
      </c>
      <c r="DD22" s="280">
        <f t="shared" si="61"/>
        <v>0</v>
      </c>
      <c r="DE22" s="508">
        <f t="shared" si="62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2"/>
        <v>0</v>
      </c>
    </row>
    <row r="23" spans="1:115" ht="16.5" customHeight="1" thickBot="1">
      <c r="A23" s="534">
        <v>17</v>
      </c>
      <c r="B23" s="103">
        <f>'[1]октябрь 20'!K22</f>
        <v>480.05700000000002</v>
      </c>
      <c r="C23" s="104">
        <f t="shared" si="34"/>
        <v>0.71866515851242652</v>
      </c>
      <c r="D23" s="143">
        <f t="shared" si="35"/>
        <v>476.60699760000006</v>
      </c>
      <c r="E23" s="104">
        <f t="shared" ref="E23:E37" si="63">IF(B23=0,0,(BM23*CB23+BN23*CC23+BP23*CE23+BS23*CH23+BO23*CD23+BR23*CG23+BQ23*CF23)/B23)</f>
        <v>39.796647273136315</v>
      </c>
      <c r="F23" s="128">
        <f t="shared" si="37"/>
        <v>2.1789740666575232</v>
      </c>
      <c r="G23" s="106"/>
      <c r="H23" s="107">
        <f t="shared" si="38"/>
        <v>1.6302244666940977</v>
      </c>
      <c r="I23" s="103">
        <f>'[1]сентябрь 20'!AE22</f>
        <v>0</v>
      </c>
      <c r="J23" s="328">
        <f>'[1]октябрь 20'!AA22</f>
        <v>9.6010000000000009</v>
      </c>
      <c r="K23" s="106"/>
      <c r="L23" s="328">
        <f>'[1]октябрь 20'!AI22</f>
        <v>120.02800000000001</v>
      </c>
      <c r="M23" s="103">
        <f t="shared" si="39"/>
        <v>0.54874959996342532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'[1]октябрь 20'!S22</f>
        <v>298.81099999999998</v>
      </c>
      <c r="S23" s="108">
        <f t="shared" si="40"/>
        <v>3.6180060305678108</v>
      </c>
      <c r="T23" s="109">
        <f t="shared" si="41"/>
        <v>288</v>
      </c>
      <c r="U23" s="566">
        <v>14.65</v>
      </c>
      <c r="V23" s="109">
        <f t="shared" si="42"/>
        <v>288</v>
      </c>
      <c r="W23" s="110">
        <f t="shared" si="43"/>
        <v>1.3166918118227953</v>
      </c>
      <c r="X23" s="110">
        <f t="shared" si="26"/>
        <v>1.3166918118227953</v>
      </c>
      <c r="Y23" s="136">
        <v>218.73</v>
      </c>
      <c r="Z23" s="129">
        <v>218.73</v>
      </c>
      <c r="AA23" s="131">
        <v>0.56000000000000005</v>
      </c>
      <c r="AB23" s="112">
        <v>674</v>
      </c>
      <c r="AC23" s="133">
        <v>1227</v>
      </c>
      <c r="AD23" s="144" t="s">
        <v>149</v>
      </c>
      <c r="AE23" s="131">
        <v>76.06</v>
      </c>
      <c r="AF23" s="133">
        <v>160</v>
      </c>
      <c r="AG23" s="134">
        <v>5</v>
      </c>
      <c r="AH23" s="131"/>
      <c r="AI23" s="115">
        <f t="shared" si="10"/>
        <v>0</v>
      </c>
      <c r="AJ23" s="131">
        <v>134.4</v>
      </c>
      <c r="AK23" s="115">
        <f t="shared" si="44"/>
        <v>614.45617885063791</v>
      </c>
      <c r="AL23" s="139">
        <v>29.79</v>
      </c>
      <c r="AM23" s="131"/>
      <c r="AN23" s="136">
        <v>14.65</v>
      </c>
      <c r="AO23" s="466">
        <v>62.85</v>
      </c>
      <c r="AP23" s="110">
        <f t="shared" si="45"/>
        <v>0.21564590838908906</v>
      </c>
      <c r="AQ23" s="137" t="s">
        <v>361</v>
      </c>
      <c r="AR23" s="150">
        <v>7.18</v>
      </c>
      <c r="AS23" s="138">
        <v>9.27</v>
      </c>
      <c r="AT23" s="134"/>
      <c r="AU23" s="131">
        <v>6.39</v>
      </c>
      <c r="AV23" s="315">
        <v>291.45</v>
      </c>
      <c r="AW23" s="131">
        <v>4.78</v>
      </c>
      <c r="AX23" s="116"/>
      <c r="AY23" s="131"/>
      <c r="AZ23" s="109">
        <f t="shared" si="57"/>
        <v>0</v>
      </c>
      <c r="BA23" s="109">
        <f t="shared" si="46"/>
        <v>218.73</v>
      </c>
      <c r="BB23" s="115">
        <f t="shared" si="58"/>
        <v>217.70320508583319</v>
      </c>
      <c r="BC23" s="140">
        <f t="shared" si="48"/>
        <v>6.6528</v>
      </c>
      <c r="BD23" s="141">
        <f t="shared" si="49"/>
        <v>8.7492000000000001</v>
      </c>
      <c r="BE23" s="128">
        <f t="shared" si="50"/>
        <v>0.87711749546688678</v>
      </c>
      <c r="BF23" s="141">
        <f t="shared" si="51"/>
        <v>15.402000000000001</v>
      </c>
      <c r="BG23" s="535">
        <v>0.88600000000000001</v>
      </c>
      <c r="BH23" s="16">
        <f t="shared" si="52"/>
        <v>3438.6200000000003</v>
      </c>
      <c r="BI23" s="16">
        <f t="shared" si="53"/>
        <v>222.58064516129033</v>
      </c>
      <c r="BJ23" s="16">
        <f t="shared" si="54"/>
        <v>3783.8709677419347</v>
      </c>
      <c r="BK23" s="17">
        <f t="shared" si="55"/>
        <v>1</v>
      </c>
      <c r="BL23" s="16">
        <f t="shared" si="56"/>
        <v>3783.8709677419347</v>
      </c>
      <c r="BM23" s="254">
        <v>127.992</v>
      </c>
      <c r="BN23" s="197">
        <v>23.991</v>
      </c>
      <c r="BO23" s="197">
        <v>96.037000000000006</v>
      </c>
      <c r="BP23" s="197">
        <v>232.03700000000001</v>
      </c>
      <c r="BQ23" s="230"/>
      <c r="BR23" s="230"/>
      <c r="BS23" s="258"/>
      <c r="BT23" s="199"/>
      <c r="BU23" s="200">
        <v>0.52</v>
      </c>
      <c r="BV23" s="200"/>
      <c r="BW23" s="200"/>
      <c r="BX23" s="200">
        <v>1.2</v>
      </c>
      <c r="BY23" s="208"/>
      <c r="BZ23" s="208"/>
      <c r="CA23" s="201"/>
      <c r="CB23" s="202">
        <v>38.090000000000003</v>
      </c>
      <c r="CC23" s="200">
        <v>43.6</v>
      </c>
      <c r="CD23" s="200">
        <v>43.07</v>
      </c>
      <c r="CE23" s="200">
        <v>38.99</v>
      </c>
      <c r="CF23" s="208"/>
      <c r="CG23" s="208"/>
      <c r="CH23" s="209"/>
      <c r="CI23" s="199"/>
      <c r="CJ23" s="197"/>
      <c r="CK23" s="197">
        <v>144</v>
      </c>
      <c r="CL23" s="197">
        <v>144</v>
      </c>
      <c r="CM23" s="198"/>
      <c r="CN23" s="202"/>
      <c r="CO23" s="208"/>
      <c r="CP23" s="208"/>
      <c r="CQ23" s="201"/>
      <c r="CR23" s="201"/>
      <c r="CS23" s="284"/>
      <c r="CT23" s="286">
        <f t="shared" ref="CT23:CZ32" si="64">BM23*((100-BU23)/100)</f>
        <v>127.32644160000001</v>
      </c>
      <c r="CU23" s="24">
        <f t="shared" si="64"/>
        <v>23.991</v>
      </c>
      <c r="CV23" s="25">
        <f t="shared" si="64"/>
        <v>96.037000000000006</v>
      </c>
      <c r="CW23" s="24">
        <f t="shared" si="64"/>
        <v>229.252556</v>
      </c>
      <c r="CX23" s="27">
        <f t="shared" si="64"/>
        <v>0</v>
      </c>
      <c r="CY23" s="24">
        <f t="shared" si="64"/>
        <v>0</v>
      </c>
      <c r="CZ23" s="280">
        <f t="shared" si="64"/>
        <v>0</v>
      </c>
      <c r="DA23" s="237">
        <f t="shared" si="61"/>
        <v>0</v>
      </c>
      <c r="DB23" s="29">
        <f t="shared" si="61"/>
        <v>144</v>
      </c>
      <c r="DC23" s="277">
        <f t="shared" si="61"/>
        <v>144</v>
      </c>
      <c r="DD23" s="280">
        <f t="shared" si="61"/>
        <v>0</v>
      </c>
      <c r="DE23" s="508">
        <f t="shared" si="62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2"/>
        <v>0</v>
      </c>
    </row>
    <row r="24" spans="1:115" ht="16.5" customHeight="1" thickBot="1">
      <c r="A24" s="534">
        <v>18</v>
      </c>
      <c r="B24" s="103">
        <f>'[1]октябрь 20'!K23</f>
        <v>498.05200000000002</v>
      </c>
      <c r="C24" s="104">
        <f t="shared" si="34"/>
        <v>0.46800787869539723</v>
      </c>
      <c r="D24" s="143">
        <f t="shared" si="35"/>
        <v>495.72107740000001</v>
      </c>
      <c r="E24" s="104">
        <f t="shared" si="63"/>
        <v>39.577757181980992</v>
      </c>
      <c r="F24" s="128">
        <f t="shared" si="37"/>
        <v>2.0255836121439956</v>
      </c>
      <c r="G24" s="106"/>
      <c r="H24" s="107">
        <f t="shared" si="38"/>
        <v>1.5167861618926983</v>
      </c>
      <c r="I24" s="103">
        <f>'[1]сентябрь 20'!AE23</f>
        <v>0</v>
      </c>
      <c r="J24" s="328">
        <f>'[1]октябрь 20'!AA23</f>
        <v>9.9619999999999997</v>
      </c>
      <c r="K24" s="106">
        <v>30.86</v>
      </c>
      <c r="L24" s="328">
        <f>'[1]октябрь 20'!AI23</f>
        <v>124.518</v>
      </c>
      <c r="M24" s="103">
        <f t="shared" si="39"/>
        <v>0.50879745025129741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'[1]октябрь 20'!S23</f>
        <v>309.108</v>
      </c>
      <c r="S24" s="108">
        <f t="shared" si="40"/>
        <v>3.334756784036641</v>
      </c>
      <c r="T24" s="109">
        <f t="shared" si="41"/>
        <v>298.8</v>
      </c>
      <c r="U24" s="106">
        <v>24.95</v>
      </c>
      <c r="V24" s="109">
        <f t="shared" si="42"/>
        <v>298.8</v>
      </c>
      <c r="W24" s="110">
        <f t="shared" si="43"/>
        <v>1.2209373595390842</v>
      </c>
      <c r="X24" s="110">
        <f t="shared" si="26"/>
        <v>1.2209373595390842</v>
      </c>
      <c r="Y24" s="136">
        <v>244.73</v>
      </c>
      <c r="Z24" s="129">
        <v>244.73</v>
      </c>
      <c r="AA24" s="131">
        <v>0.45</v>
      </c>
      <c r="AB24" s="133">
        <v>664</v>
      </c>
      <c r="AC24" s="133">
        <v>1237</v>
      </c>
      <c r="AD24" s="144" t="s">
        <v>174</v>
      </c>
      <c r="AE24" s="131">
        <v>76.239999999999995</v>
      </c>
      <c r="AF24" s="133">
        <v>166</v>
      </c>
      <c r="AG24" s="134">
        <v>5</v>
      </c>
      <c r="AH24" s="131">
        <v>6.95</v>
      </c>
      <c r="AI24" s="115">
        <f t="shared" si="10"/>
        <v>28.39864340293385</v>
      </c>
      <c r="AJ24" s="131">
        <v>124.05</v>
      </c>
      <c r="AK24" s="115">
        <f t="shared" si="44"/>
        <v>506.88513872430849</v>
      </c>
      <c r="AL24" s="139">
        <v>33.020000000000003</v>
      </c>
      <c r="AM24" s="131"/>
      <c r="AN24" s="136">
        <v>15.16</v>
      </c>
      <c r="AO24" s="466">
        <v>58.05</v>
      </c>
      <c r="AP24" s="110">
        <f t="shared" si="45"/>
        <v>0.18537442120389591</v>
      </c>
      <c r="AQ24" s="137" t="s">
        <v>367</v>
      </c>
      <c r="AR24" s="150">
        <v>6.95</v>
      </c>
      <c r="AS24" s="138">
        <v>9</v>
      </c>
      <c r="AT24" s="134"/>
      <c r="AU24" s="131">
        <v>5.92</v>
      </c>
      <c r="AV24" s="315">
        <v>313.14999999999998</v>
      </c>
      <c r="AW24" s="131">
        <v>4.79</v>
      </c>
      <c r="AX24" s="116"/>
      <c r="AY24" s="131"/>
      <c r="AZ24" s="109">
        <f t="shared" si="57"/>
        <v>0</v>
      </c>
      <c r="BA24" s="109">
        <f t="shared" si="46"/>
        <v>244.72999999999996</v>
      </c>
      <c r="BB24" s="115">
        <f t="shared" si="58"/>
        <v>224.6569821687913</v>
      </c>
      <c r="BC24" s="140">
        <f t="shared" si="48"/>
        <v>5.6888281690140836</v>
      </c>
      <c r="BD24" s="141"/>
      <c r="BE24" s="128">
        <f t="shared" si="50"/>
        <v>0.95100222542595636</v>
      </c>
      <c r="BF24" s="141">
        <f t="shared" si="51"/>
        <v>5.6888281690140836</v>
      </c>
      <c r="BG24" s="535">
        <v>0.89</v>
      </c>
      <c r="BH24" s="16">
        <f t="shared" si="52"/>
        <v>3683.3500000000004</v>
      </c>
      <c r="BI24" s="16">
        <f t="shared" si="53"/>
        <v>222.58064516129033</v>
      </c>
      <c r="BJ24" s="16">
        <f t="shared" si="54"/>
        <v>4006.4516129032249</v>
      </c>
      <c r="BK24" s="17">
        <f t="shared" si="55"/>
        <v>1</v>
      </c>
      <c r="BL24" s="16">
        <f t="shared" si="56"/>
        <v>4006.4516129032249</v>
      </c>
      <c r="BM24" s="254">
        <v>132.786</v>
      </c>
      <c r="BN24" s="197">
        <v>24.835999999999999</v>
      </c>
      <c r="BO24" s="197">
        <v>99.682000000000002</v>
      </c>
      <c r="BP24" s="197">
        <v>240.74799999999999</v>
      </c>
      <c r="BQ24" s="230"/>
      <c r="BR24" s="230"/>
      <c r="BS24" s="258"/>
      <c r="BT24" s="199"/>
      <c r="BU24" s="200">
        <v>0.45</v>
      </c>
      <c r="BV24" s="200"/>
      <c r="BW24" s="200"/>
      <c r="BX24" s="200">
        <v>0.72</v>
      </c>
      <c r="BY24" s="208"/>
      <c r="BZ24" s="208"/>
      <c r="CA24" s="201"/>
      <c r="CB24" s="202">
        <v>37.49</v>
      </c>
      <c r="CC24" s="200">
        <v>43.26</v>
      </c>
      <c r="CD24" s="200">
        <v>43.03</v>
      </c>
      <c r="CE24" s="200">
        <v>38.92</v>
      </c>
      <c r="CF24" s="208"/>
      <c r="CG24" s="208"/>
      <c r="CH24" s="209"/>
      <c r="CI24" s="199"/>
      <c r="CJ24" s="197"/>
      <c r="CK24" s="197">
        <v>149.4</v>
      </c>
      <c r="CL24" s="197">
        <v>149.4</v>
      </c>
      <c r="CM24" s="198"/>
      <c r="CN24" s="202"/>
      <c r="CO24" s="208"/>
      <c r="CP24" s="208"/>
      <c r="CQ24" s="201"/>
      <c r="CR24" s="201"/>
      <c r="CS24" s="284"/>
      <c r="CT24" s="286">
        <f t="shared" si="64"/>
        <v>132.18846299999998</v>
      </c>
      <c r="CU24" s="29">
        <f t="shared" si="64"/>
        <v>24.835999999999999</v>
      </c>
      <c r="CV24" s="30">
        <f t="shared" si="64"/>
        <v>99.682000000000002</v>
      </c>
      <c r="CW24" s="29">
        <f t="shared" si="64"/>
        <v>239.0146144</v>
      </c>
      <c r="CX24" s="27">
        <f t="shared" si="64"/>
        <v>0</v>
      </c>
      <c r="CY24" s="27">
        <f t="shared" si="64"/>
        <v>0</v>
      </c>
      <c r="CZ24" s="282">
        <f t="shared" si="64"/>
        <v>0</v>
      </c>
      <c r="DA24" s="25">
        <f t="shared" si="61"/>
        <v>0</v>
      </c>
      <c r="DB24" s="26">
        <f t="shared" si="61"/>
        <v>149.4</v>
      </c>
      <c r="DC24" s="277">
        <f t="shared" si="61"/>
        <v>149.4</v>
      </c>
      <c r="DD24" s="280">
        <f t="shared" si="61"/>
        <v>0</v>
      </c>
      <c r="DE24" s="508">
        <f t="shared" si="62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2"/>
        <v>0</v>
      </c>
    </row>
    <row r="25" spans="1:115" ht="16.5" customHeight="1" thickBot="1">
      <c r="A25" s="534">
        <v>19</v>
      </c>
      <c r="B25" s="103">
        <f>'[1]октябрь 20'!K24</f>
        <v>480.01600000000002</v>
      </c>
      <c r="C25" s="104">
        <f t="shared" si="34"/>
        <v>0.54482390170327644</v>
      </c>
      <c r="D25" s="143">
        <f t="shared" si="35"/>
        <v>477.40075809999996</v>
      </c>
      <c r="E25" s="104">
        <f t="shared" si="63"/>
        <v>39.833150478317386</v>
      </c>
      <c r="F25" s="128">
        <f t="shared" si="37"/>
        <v>2.1883056385221855</v>
      </c>
      <c r="G25" s="106"/>
      <c r="H25" s="107">
        <f t="shared" si="38"/>
        <v>1.6385256605243859</v>
      </c>
      <c r="I25" s="103">
        <f>'[1]сентябрь 20'!AE24</f>
        <v>0</v>
      </c>
      <c r="J25" s="328">
        <f>'[1]октябрь 20'!AA24</f>
        <v>10.664</v>
      </c>
      <c r="K25" s="106">
        <v>19.78</v>
      </c>
      <c r="L25" s="328">
        <f>'[1]октябрь 20'!AI24</f>
        <v>119.94</v>
      </c>
      <c r="M25" s="103">
        <f t="shared" si="39"/>
        <v>0.54977997799779976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'[1]октябрь 20'!S24</f>
        <v>297.298</v>
      </c>
      <c r="S25" s="108">
        <f t="shared" si="40"/>
        <v>3.3696829443857768</v>
      </c>
      <c r="T25" s="109">
        <f t="shared" si="41"/>
        <v>287.27999999999997</v>
      </c>
      <c r="U25" s="566">
        <v>13.21</v>
      </c>
      <c r="V25" s="109">
        <f t="shared" si="42"/>
        <v>287.27999999999997</v>
      </c>
      <c r="W25" s="110">
        <f t="shared" si="43"/>
        <v>1.3168316831683167</v>
      </c>
      <c r="X25" s="110">
        <f t="shared" si="26"/>
        <v>1.3168316831683167</v>
      </c>
      <c r="Y25" s="136">
        <v>218.16</v>
      </c>
      <c r="Z25" s="129">
        <v>218.16</v>
      </c>
      <c r="AA25" s="131">
        <v>0.73</v>
      </c>
      <c r="AB25" s="133">
        <v>674</v>
      </c>
      <c r="AC25" s="133">
        <v>1232</v>
      </c>
      <c r="AD25" s="144" t="s">
        <v>181</v>
      </c>
      <c r="AE25" s="131">
        <v>76.06</v>
      </c>
      <c r="AF25" s="133">
        <v>160</v>
      </c>
      <c r="AG25" s="134">
        <v>5</v>
      </c>
      <c r="AH25" s="131">
        <v>8.35</v>
      </c>
      <c r="AI25" s="115">
        <f t="shared" si="10"/>
        <v>38.274660799413276</v>
      </c>
      <c r="AJ25" s="131">
        <v>117.85</v>
      </c>
      <c r="AK25" s="115">
        <f t="shared" si="44"/>
        <v>540.19985331866519</v>
      </c>
      <c r="AL25" s="139">
        <v>29.41</v>
      </c>
      <c r="AM25" s="131"/>
      <c r="AN25" s="136">
        <v>13.53</v>
      </c>
      <c r="AO25" s="466">
        <v>62.35</v>
      </c>
      <c r="AP25" s="110">
        <f t="shared" si="45"/>
        <v>0.21448228414172688</v>
      </c>
      <c r="AQ25" s="137" t="s">
        <v>460</v>
      </c>
      <c r="AR25" s="150">
        <v>7.16</v>
      </c>
      <c r="AS25" s="138">
        <v>8.61</v>
      </c>
      <c r="AT25" s="153"/>
      <c r="AU25" s="131">
        <v>5.45</v>
      </c>
      <c r="AV25" s="315">
        <v>290.7</v>
      </c>
      <c r="AW25" s="131">
        <v>3.34</v>
      </c>
      <c r="AX25" s="148"/>
      <c r="AY25" s="131"/>
      <c r="AZ25" s="109">
        <f t="shared" si="57"/>
        <v>0</v>
      </c>
      <c r="BA25" s="109">
        <f t="shared" si="46"/>
        <v>218.16</v>
      </c>
      <c r="BB25" s="115">
        <f t="shared" si="58"/>
        <v>218.26579613339291</v>
      </c>
      <c r="BC25" s="140">
        <f t="shared" si="48"/>
        <v>4.9754278169014086</v>
      </c>
      <c r="BD25" s="141">
        <f t="shared" ref="BD25:BD37" si="65">BA25*$BD$6</f>
        <v>8.7263999999999999</v>
      </c>
      <c r="BE25" s="128">
        <f t="shared" si="50"/>
        <v>0.8725768460927541</v>
      </c>
      <c r="BF25" s="141">
        <f t="shared" si="51"/>
        <v>13.701827816901408</v>
      </c>
      <c r="BG25" s="535">
        <v>0.88900000000000001</v>
      </c>
      <c r="BH25" s="16">
        <f t="shared" si="52"/>
        <v>3901.51</v>
      </c>
      <c r="BI25" s="16">
        <f t="shared" si="53"/>
        <v>222.58064516129033</v>
      </c>
      <c r="BJ25" s="16">
        <f t="shared" si="54"/>
        <v>4229.0322580645152</v>
      </c>
      <c r="BK25" s="17">
        <f t="shared" si="55"/>
        <v>1</v>
      </c>
      <c r="BL25" s="16">
        <f t="shared" si="56"/>
        <v>4229.0322580645152</v>
      </c>
      <c r="BM25" s="254">
        <v>32.420999999999999</v>
      </c>
      <c r="BN25" s="197">
        <v>23.978000000000002</v>
      </c>
      <c r="BO25" s="197">
        <v>95.962000000000003</v>
      </c>
      <c r="BP25" s="197">
        <v>327.65499999999997</v>
      </c>
      <c r="BQ25" s="230"/>
      <c r="BR25" s="230"/>
      <c r="BS25" s="258"/>
      <c r="BT25" s="199"/>
      <c r="BU25" s="200">
        <v>0.79</v>
      </c>
      <c r="BV25" s="200"/>
      <c r="BW25" s="200"/>
      <c r="BX25" s="200">
        <v>0.72</v>
      </c>
      <c r="BY25" s="208"/>
      <c r="BZ25" s="208"/>
      <c r="CA25" s="201"/>
      <c r="CB25" s="202">
        <v>38.090000000000003</v>
      </c>
      <c r="CC25" s="200">
        <v>43.75</v>
      </c>
      <c r="CD25" s="200">
        <v>43.21</v>
      </c>
      <c r="CE25" s="200">
        <v>38.729999999999997</v>
      </c>
      <c r="CF25" s="208"/>
      <c r="CG25" s="208"/>
      <c r="CH25" s="201"/>
      <c r="CI25" s="199"/>
      <c r="CJ25" s="197"/>
      <c r="CK25" s="197">
        <v>144</v>
      </c>
      <c r="CL25" s="197">
        <v>143.28</v>
      </c>
      <c r="CM25" s="198"/>
      <c r="CN25" s="202"/>
      <c r="CO25" s="208"/>
      <c r="CP25" s="208"/>
      <c r="CQ25" s="201"/>
      <c r="CR25" s="201"/>
      <c r="CS25" s="284"/>
      <c r="CT25" s="286">
        <f t="shared" si="64"/>
        <v>32.164874099999999</v>
      </c>
      <c r="CU25" s="24">
        <f t="shared" si="64"/>
        <v>23.978000000000002</v>
      </c>
      <c r="CV25" s="25">
        <f t="shared" si="64"/>
        <v>95.962000000000003</v>
      </c>
      <c r="CW25" s="24">
        <f t="shared" si="64"/>
        <v>325.295884</v>
      </c>
      <c r="CX25" s="27">
        <f t="shared" si="64"/>
        <v>0</v>
      </c>
      <c r="CY25" s="30">
        <f t="shared" si="64"/>
        <v>0</v>
      </c>
      <c r="CZ25" s="280">
        <f t="shared" si="64"/>
        <v>0</v>
      </c>
      <c r="DA25" s="25">
        <f t="shared" si="61"/>
        <v>0</v>
      </c>
      <c r="DB25" s="26">
        <f t="shared" si="61"/>
        <v>144</v>
      </c>
      <c r="DC25" s="277">
        <f t="shared" si="61"/>
        <v>143.28</v>
      </c>
      <c r="DD25" s="280">
        <f t="shared" si="61"/>
        <v>0</v>
      </c>
      <c r="DE25" s="508">
        <f t="shared" si="62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2"/>
        <v>0</v>
      </c>
    </row>
    <row r="26" spans="1:115" ht="16.5" customHeight="1" thickBot="1">
      <c r="A26" s="534">
        <v>20</v>
      </c>
      <c r="B26" s="103">
        <f>'[1]октябрь 20'!K25</f>
        <v>510.28800000000001</v>
      </c>
      <c r="C26" s="104">
        <f t="shared" si="34"/>
        <v>1.5431591571818266</v>
      </c>
      <c r="D26" s="143">
        <f t="shared" si="35"/>
        <v>502.41344400000003</v>
      </c>
      <c r="E26" s="104">
        <f t="shared" si="63"/>
        <v>39.485457153607371</v>
      </c>
      <c r="F26" s="128">
        <f t="shared" si="37"/>
        <v>2.1615688336273289</v>
      </c>
      <c r="G26" s="106"/>
      <c r="H26" s="107">
        <f t="shared" si="38"/>
        <v>1.6107449296562406</v>
      </c>
      <c r="I26" s="103">
        <f>'[1]сентябрь 20'!AE25</f>
        <v>0</v>
      </c>
      <c r="J26" s="328">
        <f>'[1]октябрь 20'!AA25</f>
        <v>11.901</v>
      </c>
      <c r="K26" s="106">
        <v>20.75</v>
      </c>
      <c r="L26" s="328">
        <f>'[1]октябрь 20'!AI25</f>
        <v>128.02799999999999</v>
      </c>
      <c r="M26" s="103">
        <f t="shared" si="39"/>
        <v>0.55082390397108816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'[1]октябрь 20'!S25</f>
        <v>316.46699999999998</v>
      </c>
      <c r="S26" s="108">
        <f t="shared" si="40"/>
        <v>3.4717679884474384</v>
      </c>
      <c r="T26" s="109">
        <f t="shared" si="41"/>
        <v>305.48</v>
      </c>
      <c r="U26" s="566">
        <v>2.02</v>
      </c>
      <c r="V26" s="109">
        <f t="shared" si="42"/>
        <v>305.48</v>
      </c>
      <c r="W26" s="110">
        <f t="shared" si="43"/>
        <v>1.3142881727832036</v>
      </c>
      <c r="X26" s="110">
        <f t="shared" si="26"/>
        <v>1.3142881727832036</v>
      </c>
      <c r="Y26" s="136">
        <v>232.43</v>
      </c>
      <c r="Z26" s="154">
        <v>232.43</v>
      </c>
      <c r="AA26" s="149">
        <v>0.43</v>
      </c>
      <c r="AB26" s="147">
        <v>682</v>
      </c>
      <c r="AC26" s="147">
        <v>1235</v>
      </c>
      <c r="AD26" s="144" t="s">
        <v>461</v>
      </c>
      <c r="AE26" s="149">
        <v>76.09</v>
      </c>
      <c r="AF26" s="147">
        <v>170</v>
      </c>
      <c r="AG26" s="155">
        <v>5</v>
      </c>
      <c r="AH26" s="149">
        <v>6.7</v>
      </c>
      <c r="AI26" s="115">
        <f t="shared" si="10"/>
        <v>28.825883061566927</v>
      </c>
      <c r="AJ26" s="149">
        <v>136.9</v>
      </c>
      <c r="AK26" s="115">
        <f t="shared" si="44"/>
        <v>588.99453598933019</v>
      </c>
      <c r="AL26" s="156">
        <v>32.520000000000003</v>
      </c>
      <c r="AM26" s="149"/>
      <c r="AN26" s="157">
        <v>12.58</v>
      </c>
      <c r="AO26" s="466">
        <v>58.03</v>
      </c>
      <c r="AP26" s="110">
        <f t="shared" si="45"/>
        <v>0.19411272788091655</v>
      </c>
      <c r="AQ26" s="158" t="s">
        <v>364</v>
      </c>
      <c r="AR26" s="404">
        <v>6.98</v>
      </c>
      <c r="AS26" s="159">
        <v>9.25</v>
      </c>
      <c r="AT26" s="155"/>
      <c r="AU26" s="149">
        <v>6.78</v>
      </c>
      <c r="AV26" s="315">
        <v>298.95</v>
      </c>
      <c r="AW26" s="131">
        <v>4.09</v>
      </c>
      <c r="AX26" s="148"/>
      <c r="AY26" s="149"/>
      <c r="AZ26" s="160">
        <f t="shared" si="57"/>
        <v>0</v>
      </c>
      <c r="BA26" s="109">
        <f t="shared" si="46"/>
        <v>232.42999999999998</v>
      </c>
      <c r="BB26" s="115">
        <f t="shared" si="58"/>
        <v>227.60672102599696</v>
      </c>
      <c r="BC26" s="140">
        <f t="shared" si="48"/>
        <v>7.1901422535211266</v>
      </c>
      <c r="BD26" s="140">
        <f t="shared" si="65"/>
        <v>9.2972000000000001</v>
      </c>
      <c r="BE26" s="161">
        <f t="shared" si="50"/>
        <v>0.89149999211501174</v>
      </c>
      <c r="BF26" s="140">
        <f t="shared" si="51"/>
        <v>16.487342253521128</v>
      </c>
      <c r="BG26" s="537">
        <v>0.88900000000000001</v>
      </c>
      <c r="BH26" s="16">
        <f t="shared" si="52"/>
        <v>4133.9400000000005</v>
      </c>
      <c r="BI26" s="16">
        <f t="shared" si="53"/>
        <v>222.58064516129033</v>
      </c>
      <c r="BJ26" s="16">
        <f t="shared" si="54"/>
        <v>4451.6129032258059</v>
      </c>
      <c r="BK26" s="17">
        <f t="shared" si="55"/>
        <v>1</v>
      </c>
      <c r="BL26" s="16">
        <f t="shared" si="56"/>
        <v>4451.6129032258059</v>
      </c>
      <c r="BM26" s="254"/>
      <c r="BN26" s="197">
        <v>25.5</v>
      </c>
      <c r="BO26" s="197">
        <v>102.52800000000001</v>
      </c>
      <c r="BP26" s="197">
        <v>382.26</v>
      </c>
      <c r="BQ26" s="230"/>
      <c r="BR26" s="230"/>
      <c r="BS26" s="258"/>
      <c r="BT26" s="199"/>
      <c r="BU26" s="200"/>
      <c r="BV26" s="200"/>
      <c r="BW26" s="200"/>
      <c r="BX26" s="200">
        <v>2.06</v>
      </c>
      <c r="BY26" s="208"/>
      <c r="BZ26" s="208"/>
      <c r="CA26" s="201"/>
      <c r="CB26" s="202"/>
      <c r="CC26" s="200">
        <v>43.29</v>
      </c>
      <c r="CD26" s="200">
        <v>43.22</v>
      </c>
      <c r="CE26" s="200">
        <v>38.229999999999997</v>
      </c>
      <c r="CF26" s="208"/>
      <c r="CG26" s="208"/>
      <c r="CH26" s="209"/>
      <c r="CI26" s="199"/>
      <c r="CJ26" s="197"/>
      <c r="CK26" s="197">
        <v>162.4</v>
      </c>
      <c r="CL26" s="197">
        <v>143.08000000000001</v>
      </c>
      <c r="CM26" s="198"/>
      <c r="CN26" s="202"/>
      <c r="CO26" s="208"/>
      <c r="CP26" s="208"/>
      <c r="CQ26" s="201"/>
      <c r="CR26" s="201"/>
      <c r="CS26" s="284"/>
      <c r="CT26" s="286">
        <f t="shared" si="64"/>
        <v>0</v>
      </c>
      <c r="CU26" s="24">
        <f t="shared" si="64"/>
        <v>25.5</v>
      </c>
      <c r="CV26" s="25">
        <f t="shared" si="64"/>
        <v>102.52800000000001</v>
      </c>
      <c r="CW26" s="24">
        <f t="shared" si="64"/>
        <v>374.38544399999995</v>
      </c>
      <c r="CX26" s="27">
        <f t="shared" si="64"/>
        <v>0</v>
      </c>
      <c r="CY26" s="24">
        <f t="shared" si="64"/>
        <v>0</v>
      </c>
      <c r="CZ26" s="280">
        <f t="shared" si="64"/>
        <v>0</v>
      </c>
      <c r="DA26" s="30">
        <f t="shared" si="61"/>
        <v>0</v>
      </c>
      <c r="DB26" s="26">
        <f t="shared" si="61"/>
        <v>162.4</v>
      </c>
      <c r="DC26" s="277">
        <f t="shared" si="61"/>
        <v>143.08000000000001</v>
      </c>
      <c r="DD26" s="280">
        <f t="shared" si="61"/>
        <v>0</v>
      </c>
      <c r="DE26" s="508">
        <f t="shared" si="62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2"/>
        <v>0</v>
      </c>
    </row>
    <row r="27" spans="1:115" ht="16.5" customHeight="1" thickBot="1">
      <c r="A27" s="534">
        <v>21</v>
      </c>
      <c r="B27" s="103">
        <f>'[1]октябрь 20'!K26</f>
        <v>468.053</v>
      </c>
      <c r="C27" s="104">
        <f t="shared" si="34"/>
        <v>0.86259152275490159</v>
      </c>
      <c r="D27" s="143">
        <f t="shared" si="35"/>
        <v>464.01561450000003</v>
      </c>
      <c r="E27" s="104">
        <f t="shared" si="63"/>
        <v>39.80912283437987</v>
      </c>
      <c r="F27" s="128">
        <f t="shared" si="37"/>
        <v>1.9951653889151653</v>
      </c>
      <c r="G27" s="106"/>
      <c r="H27" s="107">
        <f t="shared" si="38"/>
        <v>1.4921942404437372</v>
      </c>
      <c r="I27" s="103">
        <f>'[1]сентябрь 20'!AE26</f>
        <v>0</v>
      </c>
      <c r="J27" s="328">
        <f>'[1]октябрь 20'!AA26</f>
        <v>10.646000000000001</v>
      </c>
      <c r="K27" s="106">
        <v>27.11</v>
      </c>
      <c r="L27" s="328">
        <f>'[1]октябрь 20'!AI26</f>
        <v>116.976</v>
      </c>
      <c r="M27" s="103">
        <f t="shared" si="39"/>
        <v>0.50297114847142788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'[1]октябрь 20'!S26</f>
        <v>289.80500000000001</v>
      </c>
      <c r="S27" s="108">
        <f t="shared" si="40"/>
        <v>3.1003605872914619</v>
      </c>
      <c r="T27" s="109">
        <f t="shared" si="41"/>
        <v>280.82</v>
      </c>
      <c r="U27" s="566">
        <v>17.75</v>
      </c>
      <c r="V27" s="109">
        <f t="shared" si="42"/>
        <v>280.82</v>
      </c>
      <c r="W27" s="110">
        <f t="shared" si="43"/>
        <v>1.2074644193146149</v>
      </c>
      <c r="X27" s="110">
        <f t="shared" si="26"/>
        <v>1.2074644193146149</v>
      </c>
      <c r="Y27" s="129">
        <v>232.57</v>
      </c>
      <c r="Z27" s="129">
        <v>161.07</v>
      </c>
      <c r="AA27" s="131">
        <v>1</v>
      </c>
      <c r="AB27" s="133">
        <v>657</v>
      </c>
      <c r="AC27" s="133">
        <v>1231</v>
      </c>
      <c r="AD27" s="144" t="s">
        <v>149</v>
      </c>
      <c r="AE27" s="131">
        <v>76.180000000000007</v>
      </c>
      <c r="AF27" s="133">
        <v>156</v>
      </c>
      <c r="AG27" s="134">
        <v>5</v>
      </c>
      <c r="AH27" s="131">
        <v>5.15</v>
      </c>
      <c r="AI27" s="115">
        <f t="shared" si="10"/>
        <v>22.143870662596207</v>
      </c>
      <c r="AJ27" s="131">
        <v>127.4</v>
      </c>
      <c r="AK27" s="115">
        <f t="shared" si="44"/>
        <v>547.79206260480714</v>
      </c>
      <c r="AL27" s="139">
        <v>29.76</v>
      </c>
      <c r="AM27" s="131"/>
      <c r="AN27" s="136">
        <v>11.34</v>
      </c>
      <c r="AO27" s="466">
        <v>57.82</v>
      </c>
      <c r="AP27" s="110">
        <f t="shared" si="45"/>
        <v>0.19379922909334674</v>
      </c>
      <c r="AQ27" s="137" t="s">
        <v>374</v>
      </c>
      <c r="AR27" s="150">
        <v>7.22</v>
      </c>
      <c r="AS27" s="138">
        <v>9.14</v>
      </c>
      <c r="AT27" s="134"/>
      <c r="AU27" s="131">
        <v>7.73</v>
      </c>
      <c r="AV27" s="139">
        <v>298.35000000000002</v>
      </c>
      <c r="AW27" s="131">
        <v>3.38</v>
      </c>
      <c r="AX27" s="148"/>
      <c r="AY27" s="131"/>
      <c r="AZ27" s="109">
        <f t="shared" si="57"/>
        <v>0</v>
      </c>
      <c r="BA27" s="109">
        <f t="shared" si="46"/>
        <v>232.57000000000002</v>
      </c>
      <c r="BB27" s="115">
        <f t="shared" si="58"/>
        <v>211.6842171327614</v>
      </c>
      <c r="BC27" s="140">
        <f t="shared" si="48"/>
        <v>7.6287478873239447</v>
      </c>
      <c r="BD27" s="141">
        <f t="shared" si="65"/>
        <v>9.3028000000000013</v>
      </c>
      <c r="BE27" s="128">
        <f t="shared" si="50"/>
        <v>0.95913437832100645</v>
      </c>
      <c r="BF27" s="141">
        <f t="shared" si="51"/>
        <v>16.931547887323944</v>
      </c>
      <c r="BG27" s="535">
        <v>0.89300000000000002</v>
      </c>
      <c r="BH27" s="16">
        <f t="shared" si="52"/>
        <v>4366.51</v>
      </c>
      <c r="BI27" s="16">
        <f t="shared" si="53"/>
        <v>222.58064516129033</v>
      </c>
      <c r="BJ27" s="16">
        <f t="shared" si="54"/>
        <v>4674.1935483870966</v>
      </c>
      <c r="BK27" s="17">
        <f t="shared" si="55"/>
        <v>1</v>
      </c>
      <c r="BL27" s="16">
        <f t="shared" si="56"/>
        <v>4674.1935483870966</v>
      </c>
      <c r="BM27" s="254"/>
      <c r="BN27" s="197">
        <v>23.423999999999999</v>
      </c>
      <c r="BO27" s="197">
        <v>93.552000000000007</v>
      </c>
      <c r="BP27" s="197">
        <v>351.077</v>
      </c>
      <c r="BQ27" s="230"/>
      <c r="BR27" s="230"/>
      <c r="BS27" s="258"/>
      <c r="BT27" s="199"/>
      <c r="BU27" s="200"/>
      <c r="BV27" s="200"/>
      <c r="BW27" s="200"/>
      <c r="BX27" s="200">
        <v>1.1499999999999999</v>
      </c>
      <c r="BY27" s="208"/>
      <c r="BZ27" s="208"/>
      <c r="CA27" s="201"/>
      <c r="CB27" s="202"/>
      <c r="CC27" s="200">
        <v>44.04</v>
      </c>
      <c r="CD27" s="200">
        <v>43.55</v>
      </c>
      <c r="CE27" s="200">
        <v>38.53</v>
      </c>
      <c r="CF27" s="208"/>
      <c r="CG27" s="208"/>
      <c r="CH27" s="209"/>
      <c r="CI27" s="199"/>
      <c r="CJ27" s="197"/>
      <c r="CK27" s="197">
        <v>171.62</v>
      </c>
      <c r="CL27" s="197">
        <v>109.2</v>
      </c>
      <c r="CM27" s="198"/>
      <c r="CN27" s="202"/>
      <c r="CO27" s="208"/>
      <c r="CP27" s="208"/>
      <c r="CQ27" s="201"/>
      <c r="CR27" s="201"/>
      <c r="CS27" s="284"/>
      <c r="CT27" s="286">
        <f t="shared" si="64"/>
        <v>0</v>
      </c>
      <c r="CU27" s="24">
        <f t="shared" si="64"/>
        <v>23.423999999999999</v>
      </c>
      <c r="CV27" s="25">
        <f t="shared" si="64"/>
        <v>93.552000000000007</v>
      </c>
      <c r="CW27" s="24">
        <f t="shared" si="64"/>
        <v>347.03961449999997</v>
      </c>
      <c r="CX27" s="27">
        <f t="shared" si="64"/>
        <v>0</v>
      </c>
      <c r="CY27" s="29">
        <f t="shared" si="64"/>
        <v>0</v>
      </c>
      <c r="CZ27" s="280">
        <f t="shared" si="64"/>
        <v>0</v>
      </c>
      <c r="DA27" s="237">
        <f t="shared" si="61"/>
        <v>0</v>
      </c>
      <c r="DB27" s="26">
        <f t="shared" si="61"/>
        <v>171.62</v>
      </c>
      <c r="DC27" s="277">
        <f t="shared" si="61"/>
        <v>109.2</v>
      </c>
      <c r="DD27" s="280">
        <f t="shared" si="61"/>
        <v>0</v>
      </c>
      <c r="DE27" s="508">
        <f t="shared" si="62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2"/>
        <v>0</v>
      </c>
    </row>
    <row r="28" spans="1:115" ht="16.5" customHeight="1" thickBot="1">
      <c r="A28" s="534">
        <v>22</v>
      </c>
      <c r="B28" s="103">
        <f>'[1]октябрь 20'!K27</f>
        <v>488.83199999999999</v>
      </c>
      <c r="C28" s="104">
        <f t="shared" si="34"/>
        <v>1.1027676379615083</v>
      </c>
      <c r="D28" s="143">
        <f t="shared" si="35"/>
        <v>483.4413189</v>
      </c>
      <c r="E28" s="104">
        <f t="shared" si="63"/>
        <v>39.732182508510085</v>
      </c>
      <c r="F28" s="128">
        <f t="shared" si="37"/>
        <v>1.9518787100290698</v>
      </c>
      <c r="G28" s="106"/>
      <c r="H28" s="107">
        <f t="shared" si="38"/>
        <v>1.4588271919412146</v>
      </c>
      <c r="I28" s="103">
        <f>'[1]сентябрь 20'!AE27</f>
        <v>0</v>
      </c>
      <c r="J28" s="328">
        <f>'[1]октябрь 20'!AA27</f>
        <v>10.180999999999999</v>
      </c>
      <c r="K28" s="106">
        <v>22.36</v>
      </c>
      <c r="L28" s="328">
        <f>'[1]октябрь 20'!AI27</f>
        <v>122.119</v>
      </c>
      <c r="M28" s="103">
        <f t="shared" si="39"/>
        <v>0.4930515180878553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'[1]октябрь 20'!S27</f>
        <v>298.27699999999999</v>
      </c>
      <c r="S28" s="108">
        <f t="shared" si="40"/>
        <v>3.106843638631207</v>
      </c>
      <c r="T28" s="109">
        <f t="shared" si="41"/>
        <v>289.01</v>
      </c>
      <c r="U28" s="566">
        <v>5.83</v>
      </c>
      <c r="V28" s="109">
        <f t="shared" si="42"/>
        <v>289.01</v>
      </c>
      <c r="W28" s="110">
        <f t="shared" si="43"/>
        <v>1.1668685400516796</v>
      </c>
      <c r="X28" s="110">
        <f t="shared" si="26"/>
        <v>1.1668685400516796</v>
      </c>
      <c r="Y28" s="129">
        <v>247.68</v>
      </c>
      <c r="Z28" s="136">
        <v>97.4</v>
      </c>
      <c r="AA28" s="131">
        <v>1.1499999999999999</v>
      </c>
      <c r="AB28" s="133">
        <v>676</v>
      </c>
      <c r="AC28" s="133">
        <v>1232</v>
      </c>
      <c r="AD28" s="144" t="s">
        <v>203</v>
      </c>
      <c r="AE28" s="131">
        <v>75.680000000000007</v>
      </c>
      <c r="AF28" s="133">
        <v>163</v>
      </c>
      <c r="AG28" s="134">
        <v>5</v>
      </c>
      <c r="AH28" s="131"/>
      <c r="AI28" s="115">
        <f t="shared" si="10"/>
        <v>0</v>
      </c>
      <c r="AJ28" s="131">
        <v>114.05</v>
      </c>
      <c r="AK28" s="115">
        <f t="shared" si="44"/>
        <v>460.47319121447026</v>
      </c>
      <c r="AL28" s="139">
        <v>34.21</v>
      </c>
      <c r="AM28" s="131"/>
      <c r="AN28" s="136">
        <v>11.98</v>
      </c>
      <c r="AO28" s="466">
        <v>54.86</v>
      </c>
      <c r="AP28" s="110">
        <f t="shared" si="45"/>
        <v>0.17637035846326957</v>
      </c>
      <c r="AQ28" s="137" t="s">
        <v>386</v>
      </c>
      <c r="AR28" s="150">
        <v>6.89</v>
      </c>
      <c r="AS28" s="138">
        <v>9.18</v>
      </c>
      <c r="AT28" s="134"/>
      <c r="AU28" s="131">
        <v>5.78</v>
      </c>
      <c r="AV28" s="139">
        <v>311.05</v>
      </c>
      <c r="AW28" s="131">
        <v>3.47</v>
      </c>
      <c r="AX28" s="148"/>
      <c r="AY28" s="131"/>
      <c r="AZ28" s="109">
        <f t="shared" si="57"/>
        <v>0</v>
      </c>
      <c r="BA28" s="109">
        <f t="shared" si="46"/>
        <v>247.68</v>
      </c>
      <c r="BB28" s="115">
        <f t="shared" si="58"/>
        <v>221.57426027912314</v>
      </c>
      <c r="BC28" s="140">
        <f t="shared" si="48"/>
        <v>5.1065485915492959</v>
      </c>
      <c r="BD28" s="141">
        <f t="shared" si="65"/>
        <v>9.9072000000000013</v>
      </c>
      <c r="BE28" s="128">
        <f t="shared" si="50"/>
        <v>0.97585630987830396</v>
      </c>
      <c r="BF28" s="141">
        <f t="shared" si="51"/>
        <v>15.013748591549298</v>
      </c>
      <c r="BG28" s="535">
        <v>0.89700000000000002</v>
      </c>
      <c r="BH28" s="16">
        <f t="shared" si="52"/>
        <v>4614.1900000000005</v>
      </c>
      <c r="BI28" s="16">
        <f t="shared" si="53"/>
        <v>222.58064516129033</v>
      </c>
      <c r="BJ28" s="16">
        <f t="shared" si="54"/>
        <v>4896.7741935483873</v>
      </c>
      <c r="BK28" s="17">
        <f t="shared" si="55"/>
        <v>1</v>
      </c>
      <c r="BL28" s="16">
        <f t="shared" si="56"/>
        <v>4896.7741935483873</v>
      </c>
      <c r="BM28" s="254"/>
      <c r="BN28" s="197">
        <v>24.35</v>
      </c>
      <c r="BO28" s="197">
        <v>97.769000000000005</v>
      </c>
      <c r="BP28" s="197">
        <v>366.71300000000002</v>
      </c>
      <c r="BQ28" s="230"/>
      <c r="BR28" s="230"/>
      <c r="BS28" s="258"/>
      <c r="BT28" s="199"/>
      <c r="BU28" s="200"/>
      <c r="BV28" s="200"/>
      <c r="BW28" s="200"/>
      <c r="BX28" s="200">
        <v>1.47</v>
      </c>
      <c r="BY28" s="208"/>
      <c r="BZ28" s="208"/>
      <c r="CA28" s="201"/>
      <c r="CB28" s="202"/>
      <c r="CC28" s="200">
        <v>43.04</v>
      </c>
      <c r="CD28" s="200">
        <v>43.38</v>
      </c>
      <c r="CE28" s="200">
        <v>38.54</v>
      </c>
      <c r="CF28" s="208"/>
      <c r="CG28" s="208"/>
      <c r="CH28" s="209"/>
      <c r="CI28" s="199"/>
      <c r="CJ28" s="197"/>
      <c r="CK28" s="197">
        <v>174.91</v>
      </c>
      <c r="CL28" s="197">
        <v>114.1</v>
      </c>
      <c r="CM28" s="198"/>
      <c r="CN28" s="202"/>
      <c r="CO28" s="208"/>
      <c r="CP28" s="208"/>
      <c r="CQ28" s="201"/>
      <c r="CR28" s="201"/>
      <c r="CS28" s="284"/>
      <c r="CT28" s="286">
        <f t="shared" si="64"/>
        <v>0</v>
      </c>
      <c r="CU28" s="29">
        <f t="shared" si="64"/>
        <v>24.35</v>
      </c>
      <c r="CV28" s="30">
        <f t="shared" si="64"/>
        <v>97.769000000000005</v>
      </c>
      <c r="CW28" s="29">
        <f t="shared" si="64"/>
        <v>361.32231890000003</v>
      </c>
      <c r="CX28" s="27">
        <f t="shared" si="64"/>
        <v>0</v>
      </c>
      <c r="CY28" s="24">
        <f t="shared" si="64"/>
        <v>0</v>
      </c>
      <c r="CZ28" s="282">
        <f t="shared" si="64"/>
        <v>0</v>
      </c>
      <c r="DA28" s="25">
        <f t="shared" si="61"/>
        <v>0</v>
      </c>
      <c r="DB28" s="24">
        <f t="shared" si="61"/>
        <v>174.91</v>
      </c>
      <c r="DC28" s="277">
        <f t="shared" si="61"/>
        <v>114.1</v>
      </c>
      <c r="DD28" s="280">
        <f t="shared" si="61"/>
        <v>0</v>
      </c>
      <c r="DE28" s="508">
        <f t="shared" si="62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2"/>
        <v>0</v>
      </c>
    </row>
    <row r="29" spans="1:115" ht="16.5" customHeight="1" thickBot="1">
      <c r="A29" s="534">
        <v>23</v>
      </c>
      <c r="B29" s="103">
        <f>'[1]октябрь 20'!K28</f>
        <v>507.21300000000002</v>
      </c>
      <c r="C29" s="104">
        <f t="shared" si="34"/>
        <v>1.1996190949364467</v>
      </c>
      <c r="D29" s="143">
        <f t="shared" si="35"/>
        <v>501.128376</v>
      </c>
      <c r="E29" s="104">
        <f t="shared" si="63"/>
        <v>39.513291812315529</v>
      </c>
      <c r="F29" s="128">
        <f t="shared" si="37"/>
        <v>2.0954563077566379</v>
      </c>
      <c r="G29" s="106"/>
      <c r="H29" s="107">
        <f t="shared" si="38"/>
        <v>1.5647266401839848</v>
      </c>
      <c r="I29" s="103">
        <f>'[1]сентябрь 20'!AE28</f>
        <v>0</v>
      </c>
      <c r="J29" s="328">
        <f>'[1]октябрь 20'!AA28</f>
        <v>11.896000000000001</v>
      </c>
      <c r="K29" s="106">
        <v>17.75</v>
      </c>
      <c r="L29" s="328">
        <f>'[1]октябрь 20'!AI28</f>
        <v>126.92400000000001</v>
      </c>
      <c r="M29" s="103">
        <f t="shared" si="39"/>
        <v>0.53072966757265305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'[1]октябрь 20'!S28</f>
        <v>308.536</v>
      </c>
      <c r="S29" s="108">
        <f t="shared" si="40"/>
        <v>3.1555474887857482</v>
      </c>
      <c r="T29" s="109">
        <f t="shared" si="41"/>
        <v>298.8</v>
      </c>
      <c r="U29" s="566">
        <v>0.65</v>
      </c>
      <c r="V29" s="109">
        <f t="shared" si="42"/>
        <v>298.8</v>
      </c>
      <c r="W29" s="110">
        <f t="shared" si="43"/>
        <v>1.2494250470416055</v>
      </c>
      <c r="X29" s="110">
        <f t="shared" si="26"/>
        <v>1.2494250470416055</v>
      </c>
      <c r="Y29" s="129">
        <v>186.94</v>
      </c>
      <c r="Z29" s="136">
        <v>186.94</v>
      </c>
      <c r="AA29" s="131">
        <v>0.71</v>
      </c>
      <c r="AB29" s="133">
        <v>679</v>
      </c>
      <c r="AC29" s="133">
        <v>1223</v>
      </c>
      <c r="AD29" s="144" t="s">
        <v>463</v>
      </c>
      <c r="AE29" s="131">
        <v>75.5</v>
      </c>
      <c r="AF29" s="133">
        <v>169</v>
      </c>
      <c r="AG29" s="134">
        <v>5</v>
      </c>
      <c r="AH29" s="131">
        <v>5.55</v>
      </c>
      <c r="AI29" s="115">
        <f t="shared" si="10"/>
        <v>23.207192138825</v>
      </c>
      <c r="AJ29" s="131">
        <v>132.75</v>
      </c>
      <c r="AK29" s="115">
        <f t="shared" si="44"/>
        <v>555.09094710432771</v>
      </c>
      <c r="AL29" s="139">
        <v>32.299999999999997</v>
      </c>
      <c r="AM29" s="131"/>
      <c r="AN29" s="136">
        <v>13.81</v>
      </c>
      <c r="AO29" s="466">
        <v>57.75</v>
      </c>
      <c r="AP29" s="110">
        <f t="shared" si="45"/>
        <v>0.18774382314694407</v>
      </c>
      <c r="AQ29" s="137" t="s">
        <v>464</v>
      </c>
      <c r="AR29" s="150">
        <v>6.48</v>
      </c>
      <c r="AS29" s="138">
        <v>9.4</v>
      </c>
      <c r="AT29" s="134"/>
      <c r="AU29" s="131">
        <v>7.03</v>
      </c>
      <c r="AV29" s="139">
        <v>307.60000000000002</v>
      </c>
      <c r="AW29" s="131">
        <v>3.11</v>
      </c>
      <c r="AX29" s="148"/>
      <c r="AY29" s="131"/>
      <c r="AZ29" s="109">
        <f t="shared" si="57"/>
        <v>0</v>
      </c>
      <c r="BA29" s="109">
        <f t="shared" si="46"/>
        <v>239.15000000000003</v>
      </c>
      <c r="BB29" s="115">
        <f t="shared" si="58"/>
        <v>228.95993805651875</v>
      </c>
      <c r="BC29" s="140">
        <f t="shared" si="48"/>
        <v>7.2292658450704232</v>
      </c>
      <c r="BD29" s="141">
        <f t="shared" si="65"/>
        <v>9.5660000000000007</v>
      </c>
      <c r="BE29" s="128">
        <f t="shared" si="50"/>
        <v>0.91185362719858531</v>
      </c>
      <c r="BF29" s="141">
        <f t="shared" si="51"/>
        <v>16.795265845070425</v>
      </c>
      <c r="BG29" s="535">
        <v>0.89700000000000002</v>
      </c>
      <c r="BH29" s="16">
        <f t="shared" si="52"/>
        <v>4853.34</v>
      </c>
      <c r="BI29" s="16">
        <f t="shared" si="53"/>
        <v>222.58064516129033</v>
      </c>
      <c r="BJ29" s="16">
        <f t="shared" si="54"/>
        <v>5119.354838709678</v>
      </c>
      <c r="BK29" s="17">
        <f t="shared" si="55"/>
        <v>1</v>
      </c>
      <c r="BL29" s="16">
        <f t="shared" si="56"/>
        <v>5119.354838709678</v>
      </c>
      <c r="BM29" s="254"/>
      <c r="BN29" s="197">
        <v>25.509</v>
      </c>
      <c r="BO29" s="197">
        <v>101.41500000000001</v>
      </c>
      <c r="BP29" s="197">
        <v>380.28899999999999</v>
      </c>
      <c r="BQ29" s="230"/>
      <c r="BR29" s="230"/>
      <c r="BS29" s="258"/>
      <c r="BT29" s="199"/>
      <c r="BU29" s="200"/>
      <c r="BV29" s="200"/>
      <c r="BW29" s="200"/>
      <c r="BX29" s="200">
        <v>1.6</v>
      </c>
      <c r="BY29" s="208"/>
      <c r="BZ29" s="208"/>
      <c r="CA29" s="201"/>
      <c r="CB29" s="202"/>
      <c r="CC29" s="200">
        <v>43.59</v>
      </c>
      <c r="CD29" s="200">
        <v>43.3</v>
      </c>
      <c r="CE29" s="200">
        <v>38.229999999999997</v>
      </c>
      <c r="CF29" s="208"/>
      <c r="CG29" s="208"/>
      <c r="CH29" s="201"/>
      <c r="CI29" s="199"/>
      <c r="CJ29" s="197"/>
      <c r="CK29" s="197">
        <v>180.5</v>
      </c>
      <c r="CL29" s="230">
        <v>118.3</v>
      </c>
      <c r="CM29" s="198"/>
      <c r="CN29" s="202"/>
      <c r="CO29" s="208"/>
      <c r="CP29" s="208"/>
      <c r="CQ29" s="201"/>
      <c r="CR29" s="201"/>
      <c r="CS29" s="284"/>
      <c r="CT29" s="286">
        <f t="shared" si="64"/>
        <v>0</v>
      </c>
      <c r="CU29" s="24">
        <f t="shared" si="64"/>
        <v>25.509</v>
      </c>
      <c r="CV29" s="25">
        <f t="shared" si="64"/>
        <v>101.41500000000001</v>
      </c>
      <c r="CW29" s="24">
        <f t="shared" si="64"/>
        <v>374.20437600000002</v>
      </c>
      <c r="CX29" s="27">
        <f t="shared" si="64"/>
        <v>0</v>
      </c>
      <c r="CY29" s="29">
        <f t="shared" si="64"/>
        <v>0</v>
      </c>
      <c r="CZ29" s="280">
        <f t="shared" si="64"/>
        <v>0</v>
      </c>
      <c r="DA29" s="30">
        <f t="shared" si="61"/>
        <v>0</v>
      </c>
      <c r="DB29" s="29">
        <f t="shared" si="61"/>
        <v>180.5</v>
      </c>
      <c r="DC29" s="277">
        <f t="shared" si="61"/>
        <v>118.3</v>
      </c>
      <c r="DD29" s="280">
        <f t="shared" si="61"/>
        <v>0</v>
      </c>
      <c r="DE29" s="508">
        <f t="shared" si="62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2"/>
        <v>0</v>
      </c>
    </row>
    <row r="30" spans="1:115" ht="16.5" customHeight="1" thickBot="1">
      <c r="A30" s="534">
        <v>24</v>
      </c>
      <c r="B30" s="103">
        <f>'[1]октябрь 20'!K29</f>
        <v>512.74300000000005</v>
      </c>
      <c r="C30" s="104">
        <f t="shared" si="34"/>
        <v>2.6940876033412446</v>
      </c>
      <c r="D30" s="143">
        <f t="shared" si="35"/>
        <v>498.92925440000005</v>
      </c>
      <c r="E30" s="104">
        <f t="shared" si="63"/>
        <v>39.494425686942577</v>
      </c>
      <c r="F30" s="128">
        <f t="shared" si="37"/>
        <v>2.1061642720249911</v>
      </c>
      <c r="G30" s="106"/>
      <c r="H30" s="107">
        <f t="shared" si="38"/>
        <v>1.5660021714719914</v>
      </c>
      <c r="I30" s="103">
        <f>'[1]сентябрь 20'!AE29</f>
        <v>0</v>
      </c>
      <c r="J30" s="328">
        <f>'[1]октябрь 20'!AA29</f>
        <v>11.509</v>
      </c>
      <c r="K30" s="106">
        <v>23.15</v>
      </c>
      <c r="L30" s="328">
        <f>'[1]октябрь 20'!AI29</f>
        <v>127.959</v>
      </c>
      <c r="M30" s="103">
        <f t="shared" si="39"/>
        <v>0.5401621005529994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'[1]октябрь 20'!S29</f>
        <v>312.41699999999997</v>
      </c>
      <c r="S30" s="108">
        <f t="shared" si="40"/>
        <v>3.1198686371100015</v>
      </c>
      <c r="T30" s="109">
        <f t="shared" si="41"/>
        <v>302.67</v>
      </c>
      <c r="U30" s="566">
        <v>19.11</v>
      </c>
      <c r="V30" s="109">
        <f t="shared" si="42"/>
        <v>302.67</v>
      </c>
      <c r="W30" s="110">
        <f t="shared" si="43"/>
        <v>1.2776816243826252</v>
      </c>
      <c r="X30" s="110">
        <f t="shared" si="26"/>
        <v>1.2776816243826252</v>
      </c>
      <c r="Y30" s="154">
        <v>236.89</v>
      </c>
      <c r="Z30" s="157">
        <v>236.89</v>
      </c>
      <c r="AA30" s="149">
        <v>0.67</v>
      </c>
      <c r="AB30" s="147">
        <v>630</v>
      </c>
      <c r="AC30" s="147">
        <v>1231</v>
      </c>
      <c r="AD30" s="144" t="s">
        <v>200</v>
      </c>
      <c r="AE30" s="149">
        <v>76.13</v>
      </c>
      <c r="AF30" s="147">
        <v>171</v>
      </c>
      <c r="AG30" s="155">
        <v>5</v>
      </c>
      <c r="AH30" s="149">
        <v>7.3</v>
      </c>
      <c r="AI30" s="115">
        <f t="shared" si="10"/>
        <v>30.815990544134412</v>
      </c>
      <c r="AJ30" s="131">
        <v>134.80000000000001</v>
      </c>
      <c r="AK30" s="115">
        <f t="shared" si="44"/>
        <v>569.04048292456434</v>
      </c>
      <c r="AL30" s="139">
        <v>31.15</v>
      </c>
      <c r="AM30" s="131"/>
      <c r="AN30" s="157">
        <v>15.71</v>
      </c>
      <c r="AO30" s="466">
        <v>56.62</v>
      </c>
      <c r="AP30" s="110">
        <f t="shared" si="45"/>
        <v>0.18554809110273637</v>
      </c>
      <c r="AQ30" s="158" t="s">
        <v>465</v>
      </c>
      <c r="AR30" s="404">
        <v>6.5</v>
      </c>
      <c r="AS30" s="159">
        <v>9.08</v>
      </c>
      <c r="AT30" s="155"/>
      <c r="AU30" s="149">
        <v>8.3000000000000007</v>
      </c>
      <c r="AV30" s="156">
        <v>305.14999999999998</v>
      </c>
      <c r="AW30" s="131">
        <v>4.07</v>
      </c>
      <c r="AX30" s="164"/>
      <c r="AY30" s="149"/>
      <c r="AZ30" s="109">
        <f t="shared" si="57"/>
        <v>0</v>
      </c>
      <c r="BA30" s="109">
        <f t="shared" si="46"/>
        <v>236.88999999999996</v>
      </c>
      <c r="BB30" s="115">
        <f t="shared" si="58"/>
        <v>225.96084286224584</v>
      </c>
      <c r="BC30" s="140">
        <f t="shared" si="48"/>
        <v>8.6670704225352129</v>
      </c>
      <c r="BD30" s="141">
        <f t="shared" si="65"/>
        <v>9.4755999999999982</v>
      </c>
      <c r="BE30" s="128">
        <f t="shared" si="50"/>
        <v>0.91522481231881381</v>
      </c>
      <c r="BF30" s="141">
        <f t="shared" si="51"/>
        <v>18.142670422535211</v>
      </c>
      <c r="BG30" s="537">
        <v>0.89700000000000002</v>
      </c>
      <c r="BH30" s="16">
        <f t="shared" si="52"/>
        <v>5090.2300000000005</v>
      </c>
      <c r="BI30" s="16">
        <f t="shared" si="53"/>
        <v>222.58064516129033</v>
      </c>
      <c r="BJ30" s="16">
        <f t="shared" si="54"/>
        <v>5341.9354838709687</v>
      </c>
      <c r="BK30" s="17">
        <f t="shared" si="55"/>
        <v>1</v>
      </c>
      <c r="BL30" s="16">
        <f t="shared" si="56"/>
        <v>5341.9354838709687</v>
      </c>
      <c r="BM30" s="255"/>
      <c r="BN30" s="210">
        <v>25.495000000000001</v>
      </c>
      <c r="BO30" s="210">
        <v>102.464</v>
      </c>
      <c r="BP30" s="210">
        <v>384.78399999999999</v>
      </c>
      <c r="BQ30" s="233"/>
      <c r="BR30" s="233"/>
      <c r="BS30" s="260"/>
      <c r="BT30" s="212"/>
      <c r="BU30" s="213"/>
      <c r="BV30" s="213"/>
      <c r="BW30" s="213"/>
      <c r="BX30" s="213">
        <v>3.59</v>
      </c>
      <c r="BY30" s="235"/>
      <c r="BZ30" s="235"/>
      <c r="CA30" s="214"/>
      <c r="CB30" s="215"/>
      <c r="CC30" s="213">
        <v>44.17</v>
      </c>
      <c r="CD30" s="216">
        <v>43.53</v>
      </c>
      <c r="CE30" s="213">
        <v>38.11</v>
      </c>
      <c r="CF30" s="235"/>
      <c r="CG30" s="235"/>
      <c r="CH30" s="214"/>
      <c r="CI30" s="212"/>
      <c r="CJ30" s="210"/>
      <c r="CK30" s="210">
        <v>182.97</v>
      </c>
      <c r="CL30" s="233">
        <v>119.7</v>
      </c>
      <c r="CM30" s="198"/>
      <c r="CN30" s="202"/>
      <c r="CO30" s="208"/>
      <c r="CP30" s="208"/>
      <c r="CQ30" s="201"/>
      <c r="CR30" s="201"/>
      <c r="CS30" s="284"/>
      <c r="CT30" s="286">
        <f t="shared" si="64"/>
        <v>0</v>
      </c>
      <c r="CU30" s="24">
        <f t="shared" si="64"/>
        <v>25.495000000000001</v>
      </c>
      <c r="CV30" s="25">
        <f t="shared" si="64"/>
        <v>102.464</v>
      </c>
      <c r="CW30" s="24">
        <f t="shared" si="64"/>
        <v>370.97025439999999</v>
      </c>
      <c r="CX30" s="27">
        <f t="shared" si="64"/>
        <v>0</v>
      </c>
      <c r="CY30" s="24">
        <f t="shared" si="64"/>
        <v>0</v>
      </c>
      <c r="CZ30" s="280">
        <f t="shared" si="64"/>
        <v>0</v>
      </c>
      <c r="DA30" s="25">
        <f t="shared" si="61"/>
        <v>0</v>
      </c>
      <c r="DB30" s="26">
        <f t="shared" si="61"/>
        <v>182.97</v>
      </c>
      <c r="DC30" s="277">
        <f t="shared" si="61"/>
        <v>119.7</v>
      </c>
      <c r="DD30" s="280">
        <f t="shared" si="61"/>
        <v>0</v>
      </c>
      <c r="DE30" s="508">
        <f t="shared" si="62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2"/>
        <v>0</v>
      </c>
    </row>
    <row r="31" spans="1:115" ht="16.5" customHeight="1" thickBot="1">
      <c r="A31" s="534">
        <v>25</v>
      </c>
      <c r="B31" s="103">
        <f>'[1]октябрь 20'!K30</f>
        <v>507.32</v>
      </c>
      <c r="C31" s="104">
        <f t="shared" si="34"/>
        <v>2.2040090278325319</v>
      </c>
      <c r="D31" s="143">
        <f t="shared" si="35"/>
        <v>496.13862139999998</v>
      </c>
      <c r="E31" s="104">
        <f t="shared" si="63"/>
        <v>39.313484447685873</v>
      </c>
      <c r="F31" s="128">
        <f t="shared" si="37"/>
        <v>2.363577825734839</v>
      </c>
      <c r="G31" s="106"/>
      <c r="H31" s="107">
        <f t="shared" si="38"/>
        <v>1.7585518622266689</v>
      </c>
      <c r="I31" s="103">
        <f>'[1]сентябрь 20'!AE30</f>
        <v>0</v>
      </c>
      <c r="J31" s="328">
        <f>'[1]октябрь 20'!AA30</f>
        <v>10.211</v>
      </c>
      <c r="K31" s="106">
        <v>18.48</v>
      </c>
      <c r="L31" s="328">
        <f>'[1]октябрь 20'!AI30</f>
        <v>127.001</v>
      </c>
      <c r="M31" s="103">
        <f t="shared" si="39"/>
        <v>0.60502596350817028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'[1]октябрь 20'!S30</f>
        <v>307.69299999999998</v>
      </c>
      <c r="S31" s="108">
        <f t="shared" si="40"/>
        <v>2.6237190966320267</v>
      </c>
      <c r="T31" s="109">
        <f t="shared" si="41"/>
        <v>299.62</v>
      </c>
      <c r="U31" s="566"/>
      <c r="V31" s="109">
        <f t="shared" si="42"/>
        <v>299.62</v>
      </c>
      <c r="W31" s="110">
        <f t="shared" si="43"/>
        <v>1.427373636320328</v>
      </c>
      <c r="X31" s="110">
        <f t="shared" si="26"/>
        <v>1.427373636320328</v>
      </c>
      <c r="Y31" s="136">
        <v>209.91</v>
      </c>
      <c r="Z31" s="136">
        <v>209.91</v>
      </c>
      <c r="AA31" s="131">
        <v>0.56000000000000005</v>
      </c>
      <c r="AB31" s="133">
        <v>685</v>
      </c>
      <c r="AC31" s="133">
        <v>1232</v>
      </c>
      <c r="AD31" s="144" t="s">
        <v>466</v>
      </c>
      <c r="AE31" s="131">
        <v>76.040000000000006</v>
      </c>
      <c r="AF31" s="133">
        <v>169</v>
      </c>
      <c r="AG31" s="134">
        <v>5</v>
      </c>
      <c r="AH31" s="131">
        <v>6.75</v>
      </c>
      <c r="AI31" s="115">
        <f t="shared" si="10"/>
        <v>32.1566385593826</v>
      </c>
      <c r="AJ31" s="131">
        <v>134.75</v>
      </c>
      <c r="AK31" s="115">
        <f t="shared" si="44"/>
        <v>641.94178457434145</v>
      </c>
      <c r="AL31" s="139">
        <v>28.17</v>
      </c>
      <c r="AM31" s="131"/>
      <c r="AN31" s="136">
        <v>14.13</v>
      </c>
      <c r="AO31" s="466">
        <v>67.98</v>
      </c>
      <c r="AP31" s="110">
        <f t="shared" si="45"/>
        <v>0.23591879229567936</v>
      </c>
      <c r="AQ31" s="137" t="s">
        <v>467</v>
      </c>
      <c r="AR31" s="150">
        <v>6.6</v>
      </c>
      <c r="AS31" s="138">
        <v>9.0399999999999991</v>
      </c>
      <c r="AT31" s="134"/>
      <c r="AU31" s="131">
        <v>8.25</v>
      </c>
      <c r="AV31" s="139">
        <v>288.14999999999998</v>
      </c>
      <c r="AW31" s="131">
        <v>3.87</v>
      </c>
      <c r="AX31" s="148"/>
      <c r="AY31" s="131"/>
      <c r="AZ31" s="109">
        <f t="shared" si="57"/>
        <v>0</v>
      </c>
      <c r="BA31" s="109">
        <f t="shared" si="46"/>
        <v>209.90999999999997</v>
      </c>
      <c r="BB31" s="115">
        <f t="shared" si="58"/>
        <v>223.93228371007953</v>
      </c>
      <c r="BC31" s="140">
        <f t="shared" si="48"/>
        <v>8.6116637323943657</v>
      </c>
      <c r="BD31" s="141">
        <f t="shared" si="65"/>
        <v>8.3963999999999981</v>
      </c>
      <c r="BE31" s="128">
        <f t="shared" si="50"/>
        <v>0.8183341274599415</v>
      </c>
      <c r="BF31" s="141">
        <f t="shared" si="51"/>
        <v>17.008063732394362</v>
      </c>
      <c r="BG31" s="535">
        <v>0.89600000000000002</v>
      </c>
      <c r="BH31" s="16">
        <f t="shared" si="52"/>
        <v>5300.14</v>
      </c>
      <c r="BI31" s="16">
        <f t="shared" si="53"/>
        <v>222.58064516129033</v>
      </c>
      <c r="BJ31" s="16">
        <f t="shared" si="54"/>
        <v>5564.5161290322594</v>
      </c>
      <c r="BK31" s="17">
        <f>IF(BA31&lt;&gt;0,1,0)</f>
        <v>1</v>
      </c>
      <c r="BL31" s="16">
        <f t="shared" si="56"/>
        <v>5564.5161290322594</v>
      </c>
      <c r="BM31" s="254"/>
      <c r="BN31" s="197">
        <v>25.491</v>
      </c>
      <c r="BO31" s="197">
        <v>101.51</v>
      </c>
      <c r="BP31" s="197">
        <v>380.31900000000002</v>
      </c>
      <c r="BQ31" s="230"/>
      <c r="BR31" s="230"/>
      <c r="BS31" s="259"/>
      <c r="BT31" s="199"/>
      <c r="BU31" s="200"/>
      <c r="BV31" s="200"/>
      <c r="BW31" s="200"/>
      <c r="BX31" s="200">
        <v>2.94</v>
      </c>
      <c r="BY31" s="208"/>
      <c r="BZ31" s="208"/>
      <c r="CA31" s="201"/>
      <c r="CB31" s="202"/>
      <c r="CC31" s="200">
        <v>43.94</v>
      </c>
      <c r="CD31" s="200">
        <v>43.41</v>
      </c>
      <c r="CE31" s="200">
        <v>37.909999999999997</v>
      </c>
      <c r="CF31" s="208"/>
      <c r="CG31" s="208"/>
      <c r="CH31" s="209"/>
      <c r="CI31" s="199"/>
      <c r="CJ31" s="197">
        <v>170.62</v>
      </c>
      <c r="CK31" s="197">
        <v>10.7</v>
      </c>
      <c r="CL31" s="230">
        <v>118.3</v>
      </c>
      <c r="CM31" s="198"/>
      <c r="CN31" s="202"/>
      <c r="CO31" s="208"/>
      <c r="CP31" s="208"/>
      <c r="CQ31" s="201"/>
      <c r="CR31" s="201"/>
      <c r="CS31" s="284"/>
      <c r="CT31" s="286">
        <f t="shared" si="64"/>
        <v>0</v>
      </c>
      <c r="CU31" s="24">
        <f t="shared" si="64"/>
        <v>25.491</v>
      </c>
      <c r="CV31" s="25">
        <f t="shared" si="64"/>
        <v>101.51</v>
      </c>
      <c r="CW31" s="24">
        <f t="shared" si="64"/>
        <v>369.1376214</v>
      </c>
      <c r="CX31" s="27">
        <f t="shared" si="64"/>
        <v>0</v>
      </c>
      <c r="CY31" s="24">
        <f t="shared" si="64"/>
        <v>0</v>
      </c>
      <c r="CZ31" s="280">
        <f t="shared" si="64"/>
        <v>0</v>
      </c>
      <c r="DA31" s="28">
        <f t="shared" si="61"/>
        <v>170.62</v>
      </c>
      <c r="DB31" s="24">
        <f t="shared" si="61"/>
        <v>10.7</v>
      </c>
      <c r="DC31" s="277">
        <f t="shared" si="61"/>
        <v>118.3</v>
      </c>
      <c r="DD31" s="280">
        <f t="shared" si="61"/>
        <v>0</v>
      </c>
      <c r="DE31" s="508">
        <f t="shared" si="62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2"/>
        <v>0</v>
      </c>
    </row>
    <row r="32" spans="1:115" ht="16.5" customHeight="1" thickBot="1">
      <c r="A32" s="534">
        <v>26</v>
      </c>
      <c r="B32" s="103">
        <f>'[1]октябрь 20'!K31</f>
        <v>500.87099999999998</v>
      </c>
      <c r="C32" s="104">
        <f t="shared" si="34"/>
        <v>1.5830381675121936</v>
      </c>
      <c r="D32" s="143">
        <f t="shared" si="35"/>
        <v>492.94202089999999</v>
      </c>
      <c r="E32" s="104">
        <f t="shared" si="63"/>
        <v>39.864009455528468</v>
      </c>
      <c r="F32" s="128">
        <f t="shared" si="37"/>
        <v>2.1644946908755598</v>
      </c>
      <c r="G32" s="106"/>
      <c r="H32" s="107">
        <f t="shared" si="38"/>
        <v>1.6152279832264864</v>
      </c>
      <c r="I32" s="103">
        <f>'[1]сентябрь 20'!AE31</f>
        <v>0</v>
      </c>
      <c r="J32" s="328">
        <f>'[1]октябрь 20'!AA31</f>
        <v>9.577</v>
      </c>
      <c r="K32" s="106">
        <v>30.52</v>
      </c>
      <c r="L32" s="328">
        <f>'[1]октябрь 20'!AI31</f>
        <v>125.09</v>
      </c>
      <c r="M32" s="103">
        <f t="shared" si="39"/>
        <v>0.54926670764907348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'[1]октябрь 20'!S31</f>
        <v>306.88499999999999</v>
      </c>
      <c r="S32" s="108">
        <f t="shared" si="40"/>
        <v>2.7322938560046861</v>
      </c>
      <c r="T32" s="109">
        <f t="shared" si="41"/>
        <v>298.5</v>
      </c>
      <c r="U32" s="615">
        <v>101.84</v>
      </c>
      <c r="V32" s="109">
        <f t="shared" si="42"/>
        <v>298.5</v>
      </c>
      <c r="W32" s="110">
        <f t="shared" si="43"/>
        <v>1.3107051901290945</v>
      </c>
      <c r="X32" s="110">
        <f t="shared" si="26"/>
        <v>1.3107051901290945</v>
      </c>
      <c r="Y32" s="136">
        <v>227.74</v>
      </c>
      <c r="Z32" s="136">
        <v>227.74</v>
      </c>
      <c r="AA32" s="131">
        <v>0.41</v>
      </c>
      <c r="AB32" s="133">
        <v>682</v>
      </c>
      <c r="AC32" s="133">
        <v>1229</v>
      </c>
      <c r="AD32" s="144" t="s">
        <v>426</v>
      </c>
      <c r="AE32" s="131">
        <v>75.95</v>
      </c>
      <c r="AF32" s="133">
        <v>167</v>
      </c>
      <c r="AG32" s="134">
        <v>5</v>
      </c>
      <c r="AH32" s="131"/>
      <c r="AI32" s="115">
        <f t="shared" si="10"/>
        <v>0</v>
      </c>
      <c r="AJ32" s="131">
        <v>133.1</v>
      </c>
      <c r="AK32" s="115">
        <f t="shared" si="44"/>
        <v>584.43839466057784</v>
      </c>
      <c r="AL32" s="139">
        <v>28.65</v>
      </c>
      <c r="AM32" s="131"/>
      <c r="AN32" s="136">
        <v>13.28</v>
      </c>
      <c r="AO32" s="466">
        <v>59.1</v>
      </c>
      <c r="AP32" s="110">
        <f t="shared" si="45"/>
        <v>0.2011572498298162</v>
      </c>
      <c r="AQ32" s="137" t="s">
        <v>468</v>
      </c>
      <c r="AR32" s="150">
        <v>6.92</v>
      </c>
      <c r="AS32" s="138">
        <v>8.93</v>
      </c>
      <c r="AT32" s="134"/>
      <c r="AU32" s="131">
        <v>8.6</v>
      </c>
      <c r="AV32" s="139">
        <v>293.8</v>
      </c>
      <c r="AW32" s="131">
        <v>6.32</v>
      </c>
      <c r="AX32" s="148"/>
      <c r="AY32" s="131"/>
      <c r="AZ32" s="109">
        <f t="shared" si="57"/>
        <v>0</v>
      </c>
      <c r="BA32" s="109">
        <f t="shared" si="46"/>
        <v>227.74</v>
      </c>
      <c r="BB32" s="115">
        <f t="shared" si="58"/>
        <v>225.87246107501545</v>
      </c>
      <c r="BC32" s="140">
        <f t="shared" si="48"/>
        <v>8.8670845070422519</v>
      </c>
      <c r="BD32" s="141">
        <f t="shared" si="65"/>
        <v>9.1096000000000004</v>
      </c>
      <c r="BE32" s="128">
        <f t="shared" si="50"/>
        <v>0.8802180622363257</v>
      </c>
      <c r="BF32" s="141">
        <f t="shared" si="51"/>
        <v>17.976684507042251</v>
      </c>
      <c r="BG32" s="535">
        <v>0.89600000000000002</v>
      </c>
      <c r="BH32" s="16">
        <f t="shared" si="52"/>
        <v>5527.88</v>
      </c>
      <c r="BI32" s="16">
        <f t="shared" si="53"/>
        <v>222.58064516129033</v>
      </c>
      <c r="BJ32" s="16">
        <f t="shared" si="54"/>
        <v>5787.0967741935501</v>
      </c>
      <c r="BK32" s="17">
        <f>IF(BA32&lt;&gt;0,1,0)</f>
        <v>1</v>
      </c>
      <c r="BL32" s="16">
        <f t="shared" si="56"/>
        <v>5787.0967741935501</v>
      </c>
      <c r="BM32" s="254"/>
      <c r="BN32" s="197">
        <v>24.882000000000001</v>
      </c>
      <c r="BO32" s="197">
        <v>100.208</v>
      </c>
      <c r="BP32" s="197">
        <v>375.78100000000001</v>
      </c>
      <c r="BQ32" s="230"/>
      <c r="BR32" s="230"/>
      <c r="BS32" s="258"/>
      <c r="BT32" s="199"/>
      <c r="BU32" s="200"/>
      <c r="BV32" s="200"/>
      <c r="BW32" s="200"/>
      <c r="BX32" s="200">
        <v>2.11</v>
      </c>
      <c r="BY32" s="208"/>
      <c r="BZ32" s="208"/>
      <c r="CA32" s="201"/>
      <c r="CB32" s="202"/>
      <c r="CC32" s="200">
        <v>44.25</v>
      </c>
      <c r="CD32" s="200">
        <v>43.29</v>
      </c>
      <c r="CE32" s="200">
        <v>38.659999999999997</v>
      </c>
      <c r="CF32" s="208"/>
      <c r="CG32" s="208"/>
      <c r="CH32" s="209"/>
      <c r="CI32" s="199"/>
      <c r="CJ32" s="197">
        <v>181.6</v>
      </c>
      <c r="CK32" s="197"/>
      <c r="CL32" s="230">
        <v>116.9</v>
      </c>
      <c r="CM32" s="198"/>
      <c r="CN32" s="202"/>
      <c r="CO32" s="208"/>
      <c r="CP32" s="208"/>
      <c r="CQ32" s="201"/>
      <c r="CR32" s="201"/>
      <c r="CS32" s="284"/>
      <c r="CT32" s="286">
        <f t="shared" si="64"/>
        <v>0</v>
      </c>
      <c r="CU32" s="24">
        <f t="shared" si="64"/>
        <v>24.882000000000001</v>
      </c>
      <c r="CV32" s="25">
        <f t="shared" si="64"/>
        <v>100.208</v>
      </c>
      <c r="CW32" s="24">
        <f t="shared" si="64"/>
        <v>367.85202090000001</v>
      </c>
      <c r="CX32" s="27">
        <f t="shared" si="64"/>
        <v>0</v>
      </c>
      <c r="CY32" s="24">
        <f t="shared" si="64"/>
        <v>0</v>
      </c>
      <c r="CZ32" s="280">
        <f t="shared" si="64"/>
        <v>0</v>
      </c>
      <c r="DA32" s="25">
        <f t="shared" si="61"/>
        <v>181.6</v>
      </c>
      <c r="DB32" s="24">
        <f t="shared" si="61"/>
        <v>0</v>
      </c>
      <c r="DC32" s="277">
        <f t="shared" si="61"/>
        <v>116.9</v>
      </c>
      <c r="DD32" s="280">
        <f t="shared" si="61"/>
        <v>0</v>
      </c>
      <c r="DE32" s="508">
        <f t="shared" si="62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2"/>
        <v>0</v>
      </c>
    </row>
    <row r="33" spans="1:115" ht="16.5" customHeight="1" thickBot="1">
      <c r="A33" s="534">
        <v>27</v>
      </c>
      <c r="B33" s="103">
        <f>'[1]октябрь 20'!K32</f>
        <v>501.048</v>
      </c>
      <c r="C33" s="104">
        <f t="shared" si="34"/>
        <v>1.3947067346841022</v>
      </c>
      <c r="D33" s="143">
        <f t="shared" si="35"/>
        <v>494.05984979999999</v>
      </c>
      <c r="E33" s="104">
        <f t="shared" si="63"/>
        <v>39.580002794143475</v>
      </c>
      <c r="F33" s="128">
        <f t="shared" si="37"/>
        <v>2.1641764851723684</v>
      </c>
      <c r="G33" s="106"/>
      <c r="H33" s="107">
        <f t="shared" si="38"/>
        <v>1.6151336011213806</v>
      </c>
      <c r="I33" s="103">
        <f>'[1]сентябрь 20'!AE32</f>
        <v>0</v>
      </c>
      <c r="J33" s="103">
        <f>'[1]октябрь 20'!AA32</f>
        <v>9.9339999999999993</v>
      </c>
      <c r="K33" s="106">
        <v>10.1</v>
      </c>
      <c r="L33" s="103">
        <f>'[1]октябрь 20'!AI32</f>
        <v>125.34099999999999</v>
      </c>
      <c r="M33" s="103">
        <f t="shared" si="39"/>
        <v>0.54904288405098778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'[1]октябрь 20'!S32</f>
        <v>310.36700000000002</v>
      </c>
      <c r="S33" s="108">
        <f t="shared" si="40"/>
        <v>2.6571768261445361</v>
      </c>
      <c r="T33" s="109">
        <f t="shared" si="41"/>
        <v>302.12</v>
      </c>
      <c r="U33" s="566">
        <v>24.44</v>
      </c>
      <c r="V33" s="109">
        <f t="shared" si="42"/>
        <v>302.12</v>
      </c>
      <c r="W33" s="110">
        <f t="shared" si="43"/>
        <v>1.3234044417188662</v>
      </c>
      <c r="X33" s="110">
        <f t="shared" si="26"/>
        <v>1.3234044417188662</v>
      </c>
      <c r="Y33" s="136">
        <v>228.29</v>
      </c>
      <c r="Z33" s="136">
        <v>228.29</v>
      </c>
      <c r="AA33" s="131">
        <v>0.57999999999999996</v>
      </c>
      <c r="AB33" s="133">
        <v>690</v>
      </c>
      <c r="AC33" s="133">
        <v>1240</v>
      </c>
      <c r="AD33" s="144" t="s">
        <v>469</v>
      </c>
      <c r="AE33" s="131">
        <v>75.94</v>
      </c>
      <c r="AF33" s="133">
        <v>167</v>
      </c>
      <c r="AG33" s="134">
        <v>5</v>
      </c>
      <c r="AH33" s="131">
        <v>8</v>
      </c>
      <c r="AI33" s="115">
        <f t="shared" si="10"/>
        <v>35.043146874589333</v>
      </c>
      <c r="AJ33" s="131">
        <v>148.1</v>
      </c>
      <c r="AK33" s="115">
        <f t="shared" si="44"/>
        <v>648.73625651583495</v>
      </c>
      <c r="AL33" s="139">
        <v>33.28</v>
      </c>
      <c r="AM33" s="131"/>
      <c r="AN33" s="136">
        <v>13.69</v>
      </c>
      <c r="AO33" s="466">
        <v>76.2</v>
      </c>
      <c r="AP33" s="110">
        <f t="shared" si="45"/>
        <v>0.24133016627078385</v>
      </c>
      <c r="AQ33" s="137" t="s">
        <v>470</v>
      </c>
      <c r="AR33" s="150">
        <v>6.79</v>
      </c>
      <c r="AS33" s="138">
        <v>9.33</v>
      </c>
      <c r="AT33" s="134"/>
      <c r="AU33" s="131">
        <v>8.5399999999999991</v>
      </c>
      <c r="AV33" s="139">
        <v>315.75</v>
      </c>
      <c r="AW33" s="131">
        <v>2.4300000000000002</v>
      </c>
      <c r="AX33" s="116"/>
      <c r="AY33" s="131"/>
      <c r="AZ33" s="109">
        <f t="shared" si="57"/>
        <v>0</v>
      </c>
      <c r="BA33" s="109">
        <f t="shared" si="46"/>
        <v>228.29000000000002</v>
      </c>
      <c r="BB33" s="115">
        <f t="shared" si="58"/>
        <v>224.80141132001879</v>
      </c>
      <c r="BC33" s="140">
        <f t="shared" si="48"/>
        <v>9.7975450704225331</v>
      </c>
      <c r="BD33" s="141">
        <f t="shared" si="65"/>
        <v>9.1316000000000006</v>
      </c>
      <c r="BE33" s="128">
        <f t="shared" si="50"/>
        <v>0.88654768148358332</v>
      </c>
      <c r="BF33" s="141">
        <f t="shared" si="51"/>
        <v>18.929145070422535</v>
      </c>
      <c r="BG33" s="535">
        <v>0.89400000000000002</v>
      </c>
      <c r="BH33" s="16">
        <f t="shared" si="52"/>
        <v>5756.17</v>
      </c>
      <c r="BI33" s="16">
        <f t="shared" si="53"/>
        <v>222.58064516129033</v>
      </c>
      <c r="BJ33" s="16">
        <f t="shared" si="54"/>
        <v>6009.6774193548408</v>
      </c>
      <c r="BK33" s="17">
        <f t="shared" ref="BK33:BK37" si="66">IF(BA33&lt;&gt;0,1,0)</f>
        <v>1</v>
      </c>
      <c r="BL33" s="16">
        <f t="shared" si="56"/>
        <v>6009.6774193548408</v>
      </c>
      <c r="BM33" s="254"/>
      <c r="BN33" s="197">
        <v>25.178999999999998</v>
      </c>
      <c r="BO33" s="197">
        <v>100.16200000000001</v>
      </c>
      <c r="BP33" s="197">
        <v>375.70699999999999</v>
      </c>
      <c r="BQ33" s="230"/>
      <c r="BR33" s="230"/>
      <c r="BS33" s="258"/>
      <c r="BT33" s="199"/>
      <c r="BU33" s="200"/>
      <c r="BV33" s="200"/>
      <c r="BW33" s="200"/>
      <c r="BX33" s="200">
        <v>1.86</v>
      </c>
      <c r="BY33" s="208"/>
      <c r="BZ33" s="208"/>
      <c r="CA33" s="201"/>
      <c r="CB33" s="202"/>
      <c r="CC33" s="200">
        <v>44.14</v>
      </c>
      <c r="CD33" s="200">
        <v>43.31</v>
      </c>
      <c r="CE33" s="200">
        <v>38.28</v>
      </c>
      <c r="CF33" s="208"/>
      <c r="CG33" s="208"/>
      <c r="CH33" s="209"/>
      <c r="CI33" s="199"/>
      <c r="CJ33" s="197">
        <v>185.22</v>
      </c>
      <c r="CK33" s="197"/>
      <c r="CL33" s="230">
        <v>116.9</v>
      </c>
      <c r="CM33" s="198"/>
      <c r="CN33" s="202"/>
      <c r="CO33" s="208"/>
      <c r="CP33" s="208"/>
      <c r="CQ33" s="209"/>
      <c r="CR33" s="201"/>
      <c r="CS33" s="284"/>
      <c r="CT33" s="286">
        <f t="shared" si="60"/>
        <v>0</v>
      </c>
      <c r="CU33" s="24">
        <f t="shared" si="60"/>
        <v>25.178999999999998</v>
      </c>
      <c r="CV33" s="25">
        <f t="shared" si="60"/>
        <v>100.16200000000001</v>
      </c>
      <c r="CW33" s="24">
        <f t="shared" si="60"/>
        <v>368.71884979999999</v>
      </c>
      <c r="CX33" s="27">
        <f t="shared" si="60"/>
        <v>0</v>
      </c>
      <c r="CY33" s="24">
        <f t="shared" si="60"/>
        <v>0</v>
      </c>
      <c r="CZ33" s="280">
        <f t="shared" si="60"/>
        <v>0</v>
      </c>
      <c r="DA33" s="25">
        <f t="shared" si="61"/>
        <v>185.22</v>
      </c>
      <c r="DB33" s="24">
        <f t="shared" si="61"/>
        <v>0</v>
      </c>
      <c r="DC33" s="277">
        <f t="shared" si="61"/>
        <v>116.9</v>
      </c>
      <c r="DD33" s="280">
        <f t="shared" si="61"/>
        <v>0</v>
      </c>
      <c r="DE33" s="508">
        <f t="shared" si="62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2"/>
        <v>0</v>
      </c>
    </row>
    <row r="34" spans="1:115" ht="16.5" customHeight="1" thickBot="1">
      <c r="A34" s="534">
        <v>28</v>
      </c>
      <c r="B34" s="103">
        <f>'[1]октябрь 20'!K33</f>
        <v>504.01100000000002</v>
      </c>
      <c r="C34" s="104">
        <f t="shared" si="34"/>
        <v>1.1475204906242125</v>
      </c>
      <c r="D34" s="143">
        <f t="shared" si="35"/>
        <v>498.22737050000001</v>
      </c>
      <c r="E34" s="104">
        <f t="shared" si="63"/>
        <v>39.380863949397927</v>
      </c>
      <c r="F34" s="128">
        <f t="shared" si="37"/>
        <v>2.1769011687857733</v>
      </c>
      <c r="G34" s="106"/>
      <c r="H34" s="107">
        <f t="shared" si="38"/>
        <v>1.6263877769039188</v>
      </c>
      <c r="I34" s="103">
        <f>'[1]сентябрь 20'!AE33</f>
        <v>0</v>
      </c>
      <c r="J34" s="103">
        <f>'[1]октябрь 20'!AA33</f>
        <v>11.58</v>
      </c>
      <c r="K34" s="106"/>
      <c r="L34" s="103">
        <f>'[1]октябрь 20'!AI33</f>
        <v>125.996</v>
      </c>
      <c r="M34" s="103">
        <f t="shared" si="39"/>
        <v>0.55051339188185422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'[1]октябрь 20'!S33</f>
        <v>312.30500000000001</v>
      </c>
      <c r="S34" s="108">
        <f t="shared" si="40"/>
        <v>2.3966955380157251</v>
      </c>
      <c r="T34" s="109">
        <f t="shared" si="41"/>
        <v>304.82</v>
      </c>
      <c r="U34" s="566">
        <v>28.91</v>
      </c>
      <c r="V34" s="109">
        <f t="shared" si="42"/>
        <v>304.82</v>
      </c>
      <c r="W34" s="110">
        <f t="shared" si="43"/>
        <v>1.3318477738454142</v>
      </c>
      <c r="X34" s="110">
        <f t="shared" si="26"/>
        <v>1.3318477738454142</v>
      </c>
      <c r="Y34" s="157">
        <v>122.76</v>
      </c>
      <c r="Z34" s="157">
        <v>101.17</v>
      </c>
      <c r="AA34" s="149">
        <v>0.61</v>
      </c>
      <c r="AB34" s="147">
        <v>691</v>
      </c>
      <c r="AC34" s="147">
        <v>1231</v>
      </c>
      <c r="AD34" s="144" t="s">
        <v>446</v>
      </c>
      <c r="AE34" s="149">
        <v>76.09</v>
      </c>
      <c r="AF34" s="147">
        <v>168</v>
      </c>
      <c r="AG34" s="155">
        <v>5</v>
      </c>
      <c r="AH34" s="149">
        <v>6.75</v>
      </c>
      <c r="AI34" s="115">
        <f t="shared" si="10"/>
        <v>29.492725127801805</v>
      </c>
      <c r="AJ34" s="149">
        <v>125.45</v>
      </c>
      <c r="AK34" s="115">
        <f t="shared" si="44"/>
        <v>548.12775811596089</v>
      </c>
      <c r="AL34" s="156">
        <v>31.45</v>
      </c>
      <c r="AM34" s="149"/>
      <c r="AN34" s="157">
        <v>15.39</v>
      </c>
      <c r="AO34" s="466">
        <v>56.32</v>
      </c>
      <c r="AP34" s="110">
        <f t="shared" si="45"/>
        <v>0.19020601148260721</v>
      </c>
      <c r="AQ34" s="158" t="s">
        <v>472</v>
      </c>
      <c r="AR34" s="404">
        <v>7.45</v>
      </c>
      <c r="AS34" s="159">
        <v>8.52</v>
      </c>
      <c r="AT34" s="155"/>
      <c r="AU34" s="149">
        <v>7.17</v>
      </c>
      <c r="AV34" s="156">
        <v>296.10000000000002</v>
      </c>
      <c r="AW34" s="131">
        <v>4.4800000000000004</v>
      </c>
      <c r="AX34" s="148"/>
      <c r="AY34" s="149"/>
      <c r="AZ34" s="109">
        <f t="shared" si="57"/>
        <v>0</v>
      </c>
      <c r="BA34" s="109">
        <f t="shared" si="46"/>
        <v>228.87000000000003</v>
      </c>
      <c r="BB34" s="115">
        <f t="shared" si="58"/>
        <v>225.11243275396072</v>
      </c>
      <c r="BC34" s="140">
        <f t="shared" si="48"/>
        <v>6.9677757042253514</v>
      </c>
      <c r="BD34" s="141">
        <f t="shared" si="65"/>
        <v>9.1548000000000016</v>
      </c>
      <c r="BE34" s="128">
        <f t="shared" si="50"/>
        <v>0.88757207923019354</v>
      </c>
      <c r="BF34" s="141">
        <f t="shared" si="51"/>
        <v>16.122575704225355</v>
      </c>
      <c r="BG34" s="538">
        <v>0.89400000000000002</v>
      </c>
      <c r="BH34" s="16">
        <f t="shared" si="52"/>
        <v>5985.04</v>
      </c>
      <c r="BI34" s="16">
        <f t="shared" si="53"/>
        <v>222.58064516129033</v>
      </c>
      <c r="BJ34" s="16">
        <f t="shared" si="54"/>
        <v>6232.2580645161315</v>
      </c>
      <c r="BK34" s="17">
        <f t="shared" si="66"/>
        <v>1</v>
      </c>
      <c r="BL34" s="16">
        <f t="shared" si="56"/>
        <v>6232.2580645161315</v>
      </c>
      <c r="BM34" s="255"/>
      <c r="BN34" s="210">
        <v>25.155000000000001</v>
      </c>
      <c r="BO34" s="210">
        <v>100.84099999999999</v>
      </c>
      <c r="BP34" s="210">
        <v>378.01499999999999</v>
      </c>
      <c r="BQ34" s="233"/>
      <c r="BR34" s="233"/>
      <c r="BS34" s="260"/>
      <c r="BT34" s="212"/>
      <c r="BU34" s="213"/>
      <c r="BV34" s="213"/>
      <c r="BW34" s="213"/>
      <c r="BX34" s="213">
        <v>1.53</v>
      </c>
      <c r="BY34" s="235"/>
      <c r="BZ34" s="235"/>
      <c r="CA34" s="214"/>
      <c r="CB34" s="215"/>
      <c r="CC34" s="213">
        <v>44.04</v>
      </c>
      <c r="CD34" s="213">
        <v>43.32</v>
      </c>
      <c r="CE34" s="213">
        <v>38.020000000000003</v>
      </c>
      <c r="CF34" s="235"/>
      <c r="CG34" s="235"/>
      <c r="CH34" s="211"/>
      <c r="CI34" s="212"/>
      <c r="CJ34" s="210">
        <v>187.22</v>
      </c>
      <c r="CK34" s="210"/>
      <c r="CL34" s="233">
        <v>117.6</v>
      </c>
      <c r="CM34" s="198"/>
      <c r="CN34" s="202"/>
      <c r="CO34" s="208"/>
      <c r="CP34" s="208"/>
      <c r="CQ34" s="209"/>
      <c r="CR34" s="201"/>
      <c r="CS34" s="284"/>
      <c r="CT34" s="286">
        <f t="shared" si="60"/>
        <v>0</v>
      </c>
      <c r="CU34" s="24">
        <f t="shared" si="60"/>
        <v>25.155000000000001</v>
      </c>
      <c r="CV34" s="25">
        <f t="shared" si="60"/>
        <v>100.84099999999999</v>
      </c>
      <c r="CW34" s="24">
        <f t="shared" si="60"/>
        <v>372.23137049999997</v>
      </c>
      <c r="CX34" s="27">
        <f t="shared" si="60"/>
        <v>0</v>
      </c>
      <c r="CY34" s="24">
        <f t="shared" si="60"/>
        <v>0</v>
      </c>
      <c r="CZ34" s="280">
        <f t="shared" si="60"/>
        <v>0</v>
      </c>
      <c r="DA34" s="30">
        <f t="shared" si="61"/>
        <v>187.22</v>
      </c>
      <c r="DB34" s="29">
        <f t="shared" si="61"/>
        <v>0</v>
      </c>
      <c r="DC34" s="277">
        <f t="shared" si="61"/>
        <v>117.6</v>
      </c>
      <c r="DD34" s="280">
        <f t="shared" si="61"/>
        <v>0</v>
      </c>
      <c r="DE34" s="508">
        <f t="shared" si="62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2"/>
        <v>0</v>
      </c>
    </row>
    <row r="35" spans="1:115" ht="16.5" customHeight="1" thickBot="1">
      <c r="A35" s="534">
        <v>29</v>
      </c>
      <c r="B35" s="103">
        <f>'[1]октябрь 20'!K34</f>
        <v>494.84300000000002</v>
      </c>
      <c r="C35" s="104">
        <f t="shared" si="34"/>
        <v>0.84028008883625704</v>
      </c>
      <c r="D35" s="143">
        <f t="shared" si="35"/>
        <v>490.68493280000001</v>
      </c>
      <c r="E35" s="104">
        <f t="shared" si="63"/>
        <v>39.432945277593085</v>
      </c>
      <c r="F35" s="128">
        <f t="shared" si="37"/>
        <v>2.1207802774776332</v>
      </c>
      <c r="G35" s="106"/>
      <c r="H35" s="107">
        <f t="shared" si="38"/>
        <v>1.5866271893503907</v>
      </c>
      <c r="I35" s="103">
        <f>'[1]сентябрь 20'!AE34</f>
        <v>0</v>
      </c>
      <c r="J35" s="103">
        <f>'[1]октябрь 20'!AA34</f>
        <v>11.481</v>
      </c>
      <c r="K35" s="106">
        <v>23.48</v>
      </c>
      <c r="L35" s="103">
        <f>'[1]октябрь 20'!AI34</f>
        <v>123.587</v>
      </c>
      <c r="M35" s="103">
        <f t="shared" si="39"/>
        <v>0.53415308812724205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'[1]октябрь 20'!S34</f>
        <v>303.226</v>
      </c>
      <c r="S35" s="108">
        <f t="shared" si="40"/>
        <v>2.1060199323276962</v>
      </c>
      <c r="T35" s="109">
        <f t="shared" si="41"/>
        <v>296.84000000000003</v>
      </c>
      <c r="U35" s="566">
        <v>3.45</v>
      </c>
      <c r="V35" s="109">
        <f t="shared" si="42"/>
        <v>296.84000000000003</v>
      </c>
      <c r="W35" s="110">
        <f t="shared" si="43"/>
        <v>1.2829666767515235</v>
      </c>
      <c r="X35" s="110">
        <f t="shared" si="26"/>
        <v>1.2829666767515235</v>
      </c>
      <c r="Y35" s="136">
        <v>231.37</v>
      </c>
      <c r="Z35" s="136">
        <v>96.52</v>
      </c>
      <c r="AA35" s="131">
        <v>1.06</v>
      </c>
      <c r="AB35" s="133">
        <v>672</v>
      </c>
      <c r="AC35" s="133">
        <v>1239</v>
      </c>
      <c r="AD35" s="144" t="s">
        <v>217</v>
      </c>
      <c r="AE35" s="131">
        <v>75.7</v>
      </c>
      <c r="AF35" s="133">
        <v>165</v>
      </c>
      <c r="AG35" s="134">
        <v>5</v>
      </c>
      <c r="AH35" s="166">
        <v>5.3</v>
      </c>
      <c r="AI35" s="115">
        <f t="shared" si="10"/>
        <v>22.907032026624019</v>
      </c>
      <c r="AJ35" s="166">
        <v>122</v>
      </c>
      <c r="AK35" s="115">
        <f t="shared" si="44"/>
        <v>527.29394476379821</v>
      </c>
      <c r="AL35" s="139"/>
      <c r="AM35" s="131"/>
      <c r="AN35" s="167">
        <v>12.31</v>
      </c>
      <c r="AO35" s="466">
        <v>67.12</v>
      </c>
      <c r="AP35" s="110">
        <f t="shared" si="45"/>
        <v>0.22006557377049182</v>
      </c>
      <c r="AQ35" s="168" t="s">
        <v>362</v>
      </c>
      <c r="AR35" s="405">
        <v>7.56</v>
      </c>
      <c r="AS35" s="169">
        <v>9.14</v>
      </c>
      <c r="AT35" s="170"/>
      <c r="AU35" s="166">
        <v>5.44</v>
      </c>
      <c r="AV35" s="171">
        <v>305</v>
      </c>
      <c r="AW35" s="131">
        <v>5.8</v>
      </c>
      <c r="AX35" s="116"/>
      <c r="AY35" s="131"/>
      <c r="AZ35" s="109">
        <f t="shared" si="57"/>
        <v>0</v>
      </c>
      <c r="BA35" s="109">
        <f t="shared" si="46"/>
        <v>231.37</v>
      </c>
      <c r="BB35" s="115">
        <f t="shared" si="58"/>
        <v>223.14147670382201</v>
      </c>
      <c r="BC35" s="140">
        <f t="shared" si="48"/>
        <v>5.1411830985915499</v>
      </c>
      <c r="BD35" s="141">
        <f t="shared" si="65"/>
        <v>9.2548000000000012</v>
      </c>
      <c r="BE35" s="128">
        <f t="shared" si="50"/>
        <v>0.90519258447006756</v>
      </c>
      <c r="BF35" s="141">
        <f t="shared" si="51"/>
        <v>14.39598309859155</v>
      </c>
      <c r="BG35" s="538">
        <v>0.89400000000000002</v>
      </c>
      <c r="BH35" s="16">
        <f t="shared" si="52"/>
        <v>6216.41</v>
      </c>
      <c r="BI35" s="16">
        <f t="shared" si="53"/>
        <v>222.58064516129033</v>
      </c>
      <c r="BJ35" s="16">
        <f t="shared" si="54"/>
        <v>6454.8387096774222</v>
      </c>
      <c r="BK35" s="17">
        <f t="shared" si="66"/>
        <v>1</v>
      </c>
      <c r="BL35" s="16">
        <f t="shared" si="56"/>
        <v>6454.8387096774222</v>
      </c>
      <c r="BM35" s="254"/>
      <c r="BN35" s="197">
        <v>24.574999999999999</v>
      </c>
      <c r="BO35" s="197">
        <v>99.012</v>
      </c>
      <c r="BP35" s="197">
        <v>371.25599999999997</v>
      </c>
      <c r="BQ35" s="230"/>
      <c r="BR35" s="230"/>
      <c r="BS35" s="259"/>
      <c r="BT35" s="199"/>
      <c r="BU35" s="200"/>
      <c r="BV35" s="200"/>
      <c r="BW35" s="200"/>
      <c r="BX35" s="200">
        <v>1.1200000000000001</v>
      </c>
      <c r="BY35" s="208"/>
      <c r="BZ35" s="208"/>
      <c r="CA35" s="201"/>
      <c r="CB35" s="202"/>
      <c r="CC35" s="200">
        <v>44.06</v>
      </c>
      <c r="CD35" s="200">
        <v>43.47</v>
      </c>
      <c r="CE35" s="200">
        <v>38.049999999999997</v>
      </c>
      <c r="CF35" s="208"/>
      <c r="CG35" s="208"/>
      <c r="CH35" s="209"/>
      <c r="CI35" s="199"/>
      <c r="CJ35" s="197">
        <v>181.34</v>
      </c>
      <c r="CK35" s="197"/>
      <c r="CL35" s="230">
        <v>115.5</v>
      </c>
      <c r="CM35" s="198"/>
      <c r="CN35" s="202"/>
      <c r="CO35" s="208"/>
      <c r="CP35" s="208"/>
      <c r="CQ35" s="209"/>
      <c r="CR35" s="201"/>
      <c r="CT35" s="286">
        <f t="shared" si="60"/>
        <v>0</v>
      </c>
      <c r="CU35" s="24">
        <f t="shared" si="60"/>
        <v>24.574999999999999</v>
      </c>
      <c r="CV35" s="24">
        <f t="shared" si="60"/>
        <v>99.012</v>
      </c>
      <c r="CW35" s="24">
        <f t="shared" si="60"/>
        <v>367.09793279999991</v>
      </c>
      <c r="CX35" s="27">
        <f t="shared" si="60"/>
        <v>0</v>
      </c>
      <c r="CY35" s="27">
        <f t="shared" si="60"/>
        <v>0</v>
      </c>
      <c r="CZ35" s="280">
        <f t="shared" si="60"/>
        <v>0</v>
      </c>
      <c r="DA35" s="237">
        <f t="shared" si="61"/>
        <v>181.34</v>
      </c>
      <c r="DB35" s="26">
        <f t="shared" si="61"/>
        <v>0</v>
      </c>
      <c r="DC35" s="277">
        <f t="shared" si="61"/>
        <v>115.5</v>
      </c>
      <c r="DD35" s="280">
        <f t="shared" si="61"/>
        <v>0</v>
      </c>
      <c r="DE35" s="508">
        <f t="shared" si="62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2"/>
        <v>0</v>
      </c>
    </row>
    <row r="36" spans="1:115" ht="16.5" customHeight="1" thickBot="1">
      <c r="A36" s="534">
        <v>30</v>
      </c>
      <c r="B36" s="103">
        <f>'[1]октябрь 20'!K35</f>
        <v>356.89400000000001</v>
      </c>
      <c r="C36" s="104">
        <f t="shared" si="34"/>
        <v>0.93741068776723613</v>
      </c>
      <c r="D36" s="143">
        <f t="shared" si="35"/>
        <v>353.54843749999998</v>
      </c>
      <c r="E36" s="104">
        <f t="shared" si="63"/>
        <v>39.418775014430054</v>
      </c>
      <c r="F36" s="128">
        <f t="shared" si="37"/>
        <v>2.4775643833216541</v>
      </c>
      <c r="G36" s="106"/>
      <c r="H36" s="107">
        <f t="shared" si="38"/>
        <v>1.8521334092501753</v>
      </c>
      <c r="I36" s="103">
        <f>'[1]сентябрь 20'!AE35</f>
        <v>0</v>
      </c>
      <c r="J36" s="103">
        <f>'[1]октябрь 20'!AA35</f>
        <v>8.2639999999999993</v>
      </c>
      <c r="K36" s="106"/>
      <c r="L36" s="103">
        <f>'[1]октябрь 20'!AI35</f>
        <v>89.248999999999995</v>
      </c>
      <c r="M36" s="103">
        <f t="shared" si="39"/>
        <v>0.62543097407147863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'[1]октябрь 20'!S35</f>
        <v>219.77799999999999</v>
      </c>
      <c r="S36" s="108">
        <f t="shared" si="40"/>
        <v>2.1876620953871773</v>
      </c>
      <c r="T36" s="109">
        <f t="shared" si="41"/>
        <v>214.96999999999997</v>
      </c>
      <c r="U36" s="566">
        <v>2.34</v>
      </c>
      <c r="V36" s="109">
        <f t="shared" si="42"/>
        <v>214.96999999999997</v>
      </c>
      <c r="W36" s="110">
        <f t="shared" si="43"/>
        <v>1.5064470918009809</v>
      </c>
      <c r="X36" s="110">
        <f t="shared" si="26"/>
        <v>1.5064470918009809</v>
      </c>
      <c r="Y36" s="136">
        <v>142.69999999999999</v>
      </c>
      <c r="Z36" s="136">
        <v>124.36</v>
      </c>
      <c r="AA36" s="131">
        <v>0.87</v>
      </c>
      <c r="AB36" s="133">
        <v>613</v>
      </c>
      <c r="AC36" s="133">
        <v>1189</v>
      </c>
      <c r="AD36" s="144" t="s">
        <v>473</v>
      </c>
      <c r="AE36" s="131">
        <v>75.87</v>
      </c>
      <c r="AF36" s="133">
        <v>121</v>
      </c>
      <c r="AG36" s="134">
        <v>4</v>
      </c>
      <c r="AH36" s="131">
        <v>3.6</v>
      </c>
      <c r="AI36" s="115">
        <f t="shared" si="10"/>
        <v>25.227750525578141</v>
      </c>
      <c r="AJ36" s="131">
        <v>90.6</v>
      </c>
      <c r="AK36" s="115">
        <f t="shared" si="44"/>
        <v>634.89838822704985</v>
      </c>
      <c r="AL36" s="139">
        <v>22.16</v>
      </c>
      <c r="AM36" s="131"/>
      <c r="AN36" s="136">
        <v>9.5299999999999994</v>
      </c>
      <c r="AO36" s="466">
        <v>61.08</v>
      </c>
      <c r="AP36" s="110">
        <f t="shared" si="45"/>
        <v>0.28927302865261662</v>
      </c>
      <c r="AQ36" s="137" t="s">
        <v>380</v>
      </c>
      <c r="AR36" s="150">
        <v>7.2</v>
      </c>
      <c r="AS36" s="138">
        <v>9.1</v>
      </c>
      <c r="AT36" s="134"/>
      <c r="AU36" s="131">
        <v>7.27</v>
      </c>
      <c r="AV36" s="139">
        <v>211.15</v>
      </c>
      <c r="AW36" s="131">
        <v>2.16</v>
      </c>
      <c r="AX36" s="116"/>
      <c r="AY36" s="131"/>
      <c r="AZ36" s="109">
        <f t="shared" si="57"/>
        <v>0</v>
      </c>
      <c r="BA36" s="109">
        <f t="shared" si="46"/>
        <v>142.69999999999999</v>
      </c>
      <c r="BB36" s="115">
        <f t="shared" si="58"/>
        <v>160.36005842325397</v>
      </c>
      <c r="BC36" s="140">
        <f t="shared" si="48"/>
        <v>5.102311267605633</v>
      </c>
      <c r="BD36" s="141">
        <f t="shared" si="65"/>
        <v>5.7079999999999993</v>
      </c>
      <c r="BE36" s="128">
        <f t="shared" si="50"/>
        <v>0.77685865935014486</v>
      </c>
      <c r="BF36" s="141">
        <f t="shared" si="51"/>
        <v>10.810311267605632</v>
      </c>
      <c r="BG36" s="538">
        <v>0.89100000000000001</v>
      </c>
      <c r="BH36" s="16">
        <f t="shared" si="52"/>
        <v>6359.11</v>
      </c>
      <c r="BI36" s="16">
        <f t="shared" si="53"/>
        <v>222.58064516129033</v>
      </c>
      <c r="BJ36" s="16">
        <f t="shared" si="54"/>
        <v>6677.4193548387129</v>
      </c>
      <c r="BK36" s="17">
        <f t="shared" si="66"/>
        <v>1</v>
      </c>
      <c r="BL36" s="16">
        <f t="shared" si="56"/>
        <v>6677.4193548387129</v>
      </c>
      <c r="BM36" s="254"/>
      <c r="BN36" s="197">
        <v>17.698</v>
      </c>
      <c r="BO36" s="197">
        <v>71.551000000000002</v>
      </c>
      <c r="BP36" s="197">
        <v>267.64499999999998</v>
      </c>
      <c r="BQ36" s="230"/>
      <c r="BR36" s="230"/>
      <c r="BS36" s="258"/>
      <c r="BT36" s="199"/>
      <c r="BU36" s="200"/>
      <c r="BV36" s="200"/>
      <c r="BW36" s="200"/>
      <c r="BX36" s="200">
        <v>1.25</v>
      </c>
      <c r="BY36" s="208"/>
      <c r="BZ36" s="208"/>
      <c r="CA36" s="201"/>
      <c r="CB36" s="202"/>
      <c r="CC36" s="200">
        <v>43.99</v>
      </c>
      <c r="CD36" s="200">
        <v>43.67</v>
      </c>
      <c r="CE36" s="200">
        <v>37.979999999999997</v>
      </c>
      <c r="CF36" s="208"/>
      <c r="CG36" s="208"/>
      <c r="CH36" s="209"/>
      <c r="CI36" s="199"/>
      <c r="CJ36" s="197">
        <v>131.66999999999999</v>
      </c>
      <c r="CK36" s="197"/>
      <c r="CL36" s="230">
        <v>83.3</v>
      </c>
      <c r="CM36" s="198"/>
      <c r="CN36" s="202"/>
      <c r="CO36" s="208"/>
      <c r="CP36" s="208"/>
      <c r="CQ36" s="209"/>
      <c r="CR36" s="201"/>
      <c r="CT36" s="286">
        <f t="shared" si="60"/>
        <v>0</v>
      </c>
      <c r="CU36" s="27">
        <f t="shared" si="60"/>
        <v>17.698</v>
      </c>
      <c r="CV36" s="28">
        <f t="shared" si="60"/>
        <v>71.551000000000002</v>
      </c>
      <c r="CW36" s="27">
        <f t="shared" si="60"/>
        <v>264.29943750000001</v>
      </c>
      <c r="CX36" s="27">
        <f t="shared" si="60"/>
        <v>0</v>
      </c>
      <c r="CY36" s="29">
        <f t="shared" si="60"/>
        <v>0</v>
      </c>
      <c r="CZ36" s="281">
        <f t="shared" si="60"/>
        <v>0</v>
      </c>
      <c r="DA36" s="25">
        <f t="shared" si="61"/>
        <v>131.66999999999999</v>
      </c>
      <c r="DB36" s="24">
        <f t="shared" si="61"/>
        <v>0</v>
      </c>
      <c r="DC36" s="277">
        <f t="shared" si="61"/>
        <v>83.3</v>
      </c>
      <c r="DD36" s="280">
        <f t="shared" si="61"/>
        <v>0</v>
      </c>
      <c r="DE36" s="508">
        <f t="shared" si="62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2"/>
        <v>0</v>
      </c>
    </row>
    <row r="37" spans="1:115" ht="16.5" customHeight="1" thickBot="1">
      <c r="A37" s="539">
        <v>31</v>
      </c>
      <c r="B37" s="103">
        <f>'[1]октябрь 20'!K36</f>
        <v>491.96199999999999</v>
      </c>
      <c r="C37" s="541">
        <f t="shared" si="34"/>
        <v>0.9074397412808306</v>
      </c>
      <c r="D37" s="542">
        <f t="shared" si="35"/>
        <v>487.49774130000003</v>
      </c>
      <c r="E37" s="541">
        <f t="shared" si="63"/>
        <v>39.614753924083566</v>
      </c>
      <c r="F37" s="505">
        <f t="shared" si="37"/>
        <v>2.1497452983198833</v>
      </c>
      <c r="G37" s="543"/>
      <c r="H37" s="544">
        <f t="shared" si="38"/>
        <v>1.6072793636724434</v>
      </c>
      <c r="I37" s="540">
        <f>'[1]сентябрь 20'!AE36</f>
        <v>0</v>
      </c>
      <c r="J37" s="568">
        <f>'[1]октябрь 20'!AA36</f>
        <v>11.481</v>
      </c>
      <c r="K37" s="543"/>
      <c r="L37" s="505">
        <f>'[1]октябрь 20'!AI36</f>
        <v>123.015</v>
      </c>
      <c r="M37" s="540">
        <f t="shared" si="39"/>
        <v>0.54246593464744008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505">
        <f>'[1]октябрь 20'!S36</f>
        <v>296.65600000000001</v>
      </c>
      <c r="S37" s="546">
        <f t="shared" si="40"/>
        <v>2.1189525915538576</v>
      </c>
      <c r="T37" s="547">
        <f t="shared" si="41"/>
        <v>290.36999999999995</v>
      </c>
      <c r="U37" s="576"/>
      <c r="V37" s="547">
        <f t="shared" si="42"/>
        <v>290.37</v>
      </c>
      <c r="W37" s="549">
        <f t="shared" si="43"/>
        <v>1.2804603783569251</v>
      </c>
      <c r="X37" s="227">
        <f t="shared" si="26"/>
        <v>1.2804603783569251</v>
      </c>
      <c r="Y37" s="550">
        <v>226.77</v>
      </c>
      <c r="Z37" s="550">
        <v>100.7</v>
      </c>
      <c r="AA37" s="548">
        <v>0.88</v>
      </c>
      <c r="AB37" s="551">
        <v>625</v>
      </c>
      <c r="AC37" s="551">
        <v>1211</v>
      </c>
      <c r="AD37" s="552" t="s">
        <v>454</v>
      </c>
      <c r="AE37" s="548">
        <v>75.959999999999994</v>
      </c>
      <c r="AF37" s="551">
        <v>164</v>
      </c>
      <c r="AG37" s="553">
        <v>5</v>
      </c>
      <c r="AH37" s="548">
        <v>6.4</v>
      </c>
      <c r="AI37" s="554">
        <f t="shared" si="10"/>
        <v>28.222428010759796</v>
      </c>
      <c r="AJ37" s="548">
        <v>118.7</v>
      </c>
      <c r="AK37" s="555">
        <f t="shared" si="44"/>
        <v>523.43784451206056</v>
      </c>
      <c r="AL37" s="556">
        <v>33.479999999999997</v>
      </c>
      <c r="AM37" s="548"/>
      <c r="AN37" s="550">
        <v>14.06</v>
      </c>
      <c r="AO37" s="619">
        <v>65.02</v>
      </c>
      <c r="AP37" s="549">
        <f t="shared" si="45"/>
        <v>0.21258786987085171</v>
      </c>
      <c r="AQ37" s="558" t="s">
        <v>474</v>
      </c>
      <c r="AR37" s="559">
        <v>6.91</v>
      </c>
      <c r="AS37" s="560">
        <v>9.15</v>
      </c>
      <c r="AT37" s="553"/>
      <c r="AU37" s="548">
        <v>7</v>
      </c>
      <c r="AV37" s="548">
        <v>305.85000000000002</v>
      </c>
      <c r="AW37" s="548"/>
      <c r="AX37" s="548"/>
      <c r="AY37" s="548"/>
      <c r="AZ37" s="547">
        <f t="shared" si="57"/>
        <v>0</v>
      </c>
      <c r="BA37" s="547">
        <f t="shared" si="46"/>
        <v>226.77000000000004</v>
      </c>
      <c r="BB37" s="554">
        <f t="shared" si="58"/>
        <v>221.95189535949848</v>
      </c>
      <c r="BC37" s="561">
        <f t="shared" si="48"/>
        <v>6.4365492957746469</v>
      </c>
      <c r="BD37" s="555">
        <f t="shared" si="65"/>
        <v>9.070800000000002</v>
      </c>
      <c r="BE37" s="505">
        <f t="shared" si="50"/>
        <v>0.89195097739239859</v>
      </c>
      <c r="BF37" s="555">
        <f t="shared" si="51"/>
        <v>15.507349295774649</v>
      </c>
      <c r="BG37" s="562">
        <v>0.89100000000000001</v>
      </c>
      <c r="BH37" s="16">
        <f t="shared" si="52"/>
        <v>6585.88</v>
      </c>
      <c r="BI37" s="16">
        <f t="shared" si="53"/>
        <v>222.58064516129033</v>
      </c>
      <c r="BJ37" s="16">
        <f t="shared" si="54"/>
        <v>6900.0000000000036</v>
      </c>
      <c r="BK37" s="17">
        <f t="shared" si="66"/>
        <v>1</v>
      </c>
      <c r="BL37" s="16">
        <f t="shared" si="56"/>
        <v>6900.0000000000036</v>
      </c>
      <c r="BM37" s="256"/>
      <c r="BN37" s="257">
        <v>24.593</v>
      </c>
      <c r="BO37" s="257">
        <v>98.421999999999997</v>
      </c>
      <c r="BP37" s="257">
        <v>368.947</v>
      </c>
      <c r="BQ37" s="261"/>
      <c r="BR37" s="261"/>
      <c r="BS37" s="262"/>
      <c r="BT37" s="219"/>
      <c r="BU37" s="220"/>
      <c r="BV37" s="220"/>
      <c r="BW37" s="220"/>
      <c r="BX37" s="220">
        <v>1.21</v>
      </c>
      <c r="BY37" s="224"/>
      <c r="BZ37" s="224"/>
      <c r="CA37" s="221"/>
      <c r="CB37" s="222"/>
      <c r="CC37" s="220">
        <v>43.87</v>
      </c>
      <c r="CD37" s="220">
        <v>43.48</v>
      </c>
      <c r="CE37" s="220">
        <v>38.299999999999997</v>
      </c>
      <c r="CF37" s="224"/>
      <c r="CG37" s="224"/>
      <c r="CH37" s="221"/>
      <c r="CI37" s="219"/>
      <c r="CJ37" s="217">
        <v>175.57</v>
      </c>
      <c r="CK37" s="217"/>
      <c r="CL37" s="234">
        <v>114.8</v>
      </c>
      <c r="CM37" s="223"/>
      <c r="CN37" s="222"/>
      <c r="CO37" s="224"/>
      <c r="CP37" s="224"/>
      <c r="CQ37" s="218"/>
      <c r="CR37" s="221"/>
      <c r="CT37" s="287">
        <f t="shared" si="60"/>
        <v>0</v>
      </c>
      <c r="CU37" s="32">
        <f t="shared" si="60"/>
        <v>24.593</v>
      </c>
      <c r="CV37" s="30">
        <f t="shared" si="60"/>
        <v>98.421999999999997</v>
      </c>
      <c r="CW37" s="246">
        <f t="shared" si="60"/>
        <v>364.48274130000004</v>
      </c>
      <c r="CX37" s="27">
        <f t="shared" si="60"/>
        <v>0</v>
      </c>
      <c r="CY37" s="26">
        <f t="shared" si="60"/>
        <v>0</v>
      </c>
      <c r="CZ37" s="282">
        <f t="shared" si="60"/>
        <v>0</v>
      </c>
      <c r="DA37" s="30">
        <f t="shared" si="61"/>
        <v>175.57</v>
      </c>
      <c r="DB37" s="32">
        <f t="shared" si="61"/>
        <v>0</v>
      </c>
      <c r="DC37" s="246">
        <f t="shared" si="61"/>
        <v>114.8</v>
      </c>
      <c r="DD37" s="280">
        <f t="shared" si="61"/>
        <v>0</v>
      </c>
      <c r="DE37" s="563">
        <f t="shared" si="62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2"/>
        <v>0</v>
      </c>
    </row>
    <row r="38" spans="1:115" ht="16.5" customHeight="1" thickBot="1">
      <c r="A38" s="55" t="s">
        <v>58</v>
      </c>
      <c r="B38" s="574">
        <f>SUM(B7:B37)</f>
        <v>14536.488000000001</v>
      </c>
      <c r="C38" s="527"/>
      <c r="D38" s="327">
        <f>SUM(D7:D37)</f>
        <v>14376.279364362625</v>
      </c>
      <c r="E38" s="528"/>
      <c r="F38" s="340"/>
      <c r="G38" s="343">
        <f>SUM(G7:G37)</f>
        <v>0</v>
      </c>
      <c r="H38" s="340"/>
      <c r="I38" s="327">
        <f>SUM(I7:I37)</f>
        <v>0</v>
      </c>
      <c r="J38" s="574">
        <f>SUM(J7:J37)</f>
        <v>330.19900000000001</v>
      </c>
      <c r="K38" s="327">
        <f>SUM(K7:K37)</f>
        <v>706.98</v>
      </c>
      <c r="L38" s="529">
        <f>SUM(L7:L37)</f>
        <v>3023.0030000000002</v>
      </c>
      <c r="M38" s="575"/>
      <c r="N38" s="340">
        <f>SUM(N7:N37)</f>
        <v>0</v>
      </c>
      <c r="O38" s="529">
        <f>SUM(O7:O37)</f>
        <v>0</v>
      </c>
      <c r="P38" s="529">
        <f>SUM(P7:P37)</f>
        <v>0</v>
      </c>
      <c r="Q38" s="569"/>
      <c r="R38" s="327">
        <f>SUM(R7:R37)</f>
        <v>8990.8930000000037</v>
      </c>
      <c r="S38" s="340"/>
      <c r="T38" s="343">
        <f>SUM(T7:T37)</f>
        <v>8729.7100001999988</v>
      </c>
      <c r="U38" s="327">
        <f>SUM(U7:U37)</f>
        <v>596.23</v>
      </c>
      <c r="V38" s="343">
        <f>SUM(V7:V37)</f>
        <v>8729.7100001999988</v>
      </c>
      <c r="W38" s="346"/>
      <c r="X38" s="344"/>
      <c r="Y38" s="194">
        <f>SUM(Y7:Y37)</f>
        <v>6348.75</v>
      </c>
      <c r="Z38" s="194">
        <f>SUM(Z7:Z37)</f>
        <v>5387.7599999999993</v>
      </c>
      <c r="AA38" s="345"/>
      <c r="AB38" s="346"/>
      <c r="AC38" s="347"/>
      <c r="AD38" s="348"/>
      <c r="AE38" s="345"/>
      <c r="AF38" s="345"/>
      <c r="AG38" s="347">
        <f>SUM(AG7:AG37)</f>
        <v>148</v>
      </c>
      <c r="AH38" s="194">
        <f>SUM(AH7:AH37)</f>
        <v>153.80000000000001</v>
      </c>
      <c r="AI38" s="351"/>
      <c r="AJ38" s="194">
        <f>SUM(AJ7:AJ37)</f>
        <v>3827.65</v>
      </c>
      <c r="AK38" s="343"/>
      <c r="AL38" s="338">
        <f>SUM(AL7:AL37)</f>
        <v>923.70999999999981</v>
      </c>
      <c r="AM38" s="343">
        <f>SUM(AM7:AM37)</f>
        <v>0</v>
      </c>
      <c r="AN38" s="337">
        <f>SUM(AN7:AN37)</f>
        <v>456.59999999999991</v>
      </c>
      <c r="AO38" s="395">
        <f>SUM(AO7:AO37)</f>
        <v>1845.5499999999997</v>
      </c>
      <c r="AP38" s="530"/>
      <c r="AQ38" s="351"/>
      <c r="AR38" s="343"/>
      <c r="AS38" s="351"/>
      <c r="AT38" s="351"/>
      <c r="AU38" s="352"/>
      <c r="AV38" s="337">
        <f>SUM(AV7:AV37)</f>
        <v>8759.4</v>
      </c>
      <c r="AW38" s="343">
        <f>SUM(AW7:AW37)</f>
        <v>128.63000000000002</v>
      </c>
      <c r="AX38" s="343">
        <f>SUM(AX7:AX36)</f>
        <v>0</v>
      </c>
      <c r="AY38" s="343">
        <f>SUM(AY7:AY37)</f>
        <v>0</v>
      </c>
      <c r="AZ38" s="340"/>
      <c r="BA38" s="194">
        <f>SUM(BA7:BA37)</f>
        <v>6585.88</v>
      </c>
      <c r="BB38" s="194">
        <f>SUM(BB7:BB37)</f>
        <v>6452.6761649970122</v>
      </c>
      <c r="BC38" s="351">
        <f>SUM(BC7:BC36)</f>
        <v>206.79652957746472</v>
      </c>
      <c r="BD38" s="351">
        <f>SUM(BD7:BD36)</f>
        <v>244.57519999999994</v>
      </c>
      <c r="BE38" s="340"/>
      <c r="BF38" s="351">
        <f>SUM(BF7:BF37)</f>
        <v>466.87907887323945</v>
      </c>
      <c r="BG38" s="353"/>
      <c r="BH38" s="16"/>
      <c r="BI38" s="16">
        <f t="shared" ref="BI38" si="67">IF(A38&lt;=$BG$43,$AV$43,0)</f>
        <v>0</v>
      </c>
      <c r="BJ38" s="16"/>
      <c r="BK38" s="17">
        <f>SUM(BK7:BK37)</f>
        <v>31</v>
      </c>
      <c r="BL38" s="33"/>
      <c r="BM38" s="228">
        <f t="shared" ref="BM38:BS38" si="68">SUM(BM7:BM37)</f>
        <v>2329.81</v>
      </c>
      <c r="BN38" s="38">
        <f t="shared" si="68"/>
        <v>1384.4910000000002</v>
      </c>
      <c r="BO38" s="38">
        <f t="shared" si="68"/>
        <v>1638.5120001</v>
      </c>
      <c r="BP38" s="38">
        <f t="shared" si="68"/>
        <v>9183.6750000000011</v>
      </c>
      <c r="BQ38" s="38">
        <f t="shared" si="68"/>
        <v>9.9999999999999995E-8</v>
      </c>
      <c r="BR38" s="38">
        <f t="shared" si="68"/>
        <v>9.9999999999999995E-8</v>
      </c>
      <c r="BS38" s="38">
        <f t="shared" si="68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1213.2400001000001</v>
      </c>
      <c r="CK38" s="39">
        <f>SUM(CK7:CK37)</f>
        <v>1972.1000001</v>
      </c>
      <c r="CL38" s="39">
        <f>SUM(CL7:CL37)</f>
        <v>4465.9100000000008</v>
      </c>
      <c r="CM38" s="40">
        <f>SUM(CM7:CM37)</f>
        <v>1078.46</v>
      </c>
      <c r="CN38" s="34"/>
      <c r="CO38" s="35"/>
      <c r="CP38" s="236"/>
      <c r="CQ38" s="36"/>
      <c r="CR38" s="36"/>
      <c r="CT38" s="189">
        <f t="shared" ref="CT38:DE38" si="69">SUM(CT7:CT37)</f>
        <v>2307.5952188000001</v>
      </c>
      <c r="CU38" s="190">
        <f t="shared" si="69"/>
        <v>1384.4909999626243</v>
      </c>
      <c r="CV38" s="191">
        <f t="shared" si="69"/>
        <v>1638.5120001</v>
      </c>
      <c r="CW38" s="192">
        <f t="shared" si="69"/>
        <v>9045.6811455999978</v>
      </c>
      <c r="CX38" s="192">
        <f t="shared" si="69"/>
        <v>9.99999999E-8</v>
      </c>
      <c r="CY38" s="192">
        <f t="shared" si="69"/>
        <v>9.99999999E-8</v>
      </c>
      <c r="CZ38" s="278">
        <f t="shared" si="69"/>
        <v>9.99999999E-8</v>
      </c>
      <c r="DA38" s="278">
        <f t="shared" si="69"/>
        <v>1213.2400001000001</v>
      </c>
      <c r="DB38" s="192">
        <f t="shared" si="69"/>
        <v>1972.1000001</v>
      </c>
      <c r="DC38" s="192">
        <f t="shared" si="69"/>
        <v>4465.909999906281</v>
      </c>
      <c r="DD38" s="498">
        <f t="shared" si="69"/>
        <v>1078.4599999659999</v>
      </c>
      <c r="DE38" s="564">
        <f t="shared" si="69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468.91896774193555</v>
      </c>
      <c r="C39" s="84">
        <f>(BM38*BU39+BN38*BV39+BP38*BX39+BS38*CA39+BO38*BW39+BR38*BZ39+BQ38*BY39)/B38</f>
        <v>1.1021137680392679</v>
      </c>
      <c r="D39" s="82"/>
      <c r="E39" s="354">
        <f>(BM38*CB39+BN38*CC39+BP38*CE39+BS38*CH39+BO38*CD39+BR38*CG39+BQ38*CF39)/B38</f>
        <v>39.130487994073945</v>
      </c>
      <c r="F39" s="355">
        <f>IF(BA38=0,0,D38/BA38)</f>
        <v>2.1828942167732519</v>
      </c>
      <c r="G39" s="354">
        <f>G38/AV2</f>
        <v>0</v>
      </c>
      <c r="H39" s="355">
        <f>IF(BA38=0,0,(CZ38+CW38+CY38+CT38+CX38)/BA38)</f>
        <v>1.7238814501175239</v>
      </c>
      <c r="I39" s="354">
        <f>I38/AV2</f>
        <v>0</v>
      </c>
      <c r="J39" s="572">
        <f>J38/AV2</f>
        <v>10.651580645161291</v>
      </c>
      <c r="K39" s="354">
        <f>K38/AV2</f>
        <v>22.805806451612902</v>
      </c>
      <c r="L39" s="354">
        <f>L38/AV2</f>
        <v>97.516225806451615</v>
      </c>
      <c r="M39" s="355">
        <f>IF($BA$38=0,0,(CV38+CU38)/$BA$38)</f>
        <v>0.45901276671646374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290.02880645161304</v>
      </c>
      <c r="S39" s="354">
        <f>(SUMPRODUCT(R7:R37,S7:S37))/R38</f>
        <v>2.9049728408512916</v>
      </c>
      <c r="T39" s="357"/>
      <c r="U39" s="354">
        <f>U38/AV2</f>
        <v>19.233225806451614</v>
      </c>
      <c r="V39" s="354">
        <f>V38/AV2:AV2</f>
        <v>281.60354839354835</v>
      </c>
      <c r="W39" s="358">
        <f>IF($BA$38=0,0,T38/$BA$38)</f>
        <v>1.3255191409804004</v>
      </c>
      <c r="X39" s="358">
        <f>Q39+W39</f>
        <v>1.3255191409804004</v>
      </c>
      <c r="Y39" s="354">
        <f>Y38/AV2</f>
        <v>204.79838709677421</v>
      </c>
      <c r="Z39" s="354">
        <f>Z38/AV2</f>
        <v>173.79870967741934</v>
      </c>
      <c r="AA39" s="354">
        <f>(SUMPRODUCT(AA7:AA37,BA7:BA37))/BA38</f>
        <v>0.68862401076241897</v>
      </c>
      <c r="AB39" s="359">
        <f>AVERAGE(AB7:AB37)</f>
        <v>653.38709677419354</v>
      </c>
      <c r="AC39" s="359">
        <f>AVERAGE(AC7:AC37)</f>
        <v>1191.5806451612902</v>
      </c>
      <c r="AD39" s="359"/>
      <c r="AE39" s="354">
        <f>(SUMPRODUCT(AE7:AE37,BA7:BA37))/BA38</f>
        <v>76.108386745582948</v>
      </c>
      <c r="AF39" s="360">
        <f>AVERAGE(AF7:AF37)</f>
        <v>156.45161290322579</v>
      </c>
      <c r="AG39" s="360">
        <f>AVERAGE(AG7:AG37)</f>
        <v>4.774193548387097</v>
      </c>
      <c r="AH39" s="354">
        <f>AH38/AV2</f>
        <v>4.9612903225806457</v>
      </c>
      <c r="AI39" s="361">
        <f>IF(BA38=0,0,AH38/BA38*1000)</f>
        <v>23.352991551622562</v>
      </c>
      <c r="AJ39" s="361">
        <f>AJ38/AV2</f>
        <v>123.47258064516129</v>
      </c>
      <c r="AK39" s="361">
        <f>IF(BA38=0,0,AJ38/BA38*1000)</f>
        <v>581.19036484114497</v>
      </c>
      <c r="AL39" s="354">
        <f>AL38/AV2</f>
        <v>29.797096774193541</v>
      </c>
      <c r="AM39" s="359"/>
      <c r="AN39" s="354">
        <f>AN38/AV2</f>
        <v>14.729032258064514</v>
      </c>
      <c r="AO39" s="354">
        <f>AO38/AV2</f>
        <v>59.533870967741926</v>
      </c>
      <c r="AP39" s="346">
        <f>IF(AO39=0,0,AO39/AV39)</f>
        <v>0.2106936548165399</v>
      </c>
      <c r="AQ39" s="361">
        <f>SUM(AQ8:AQ38)</f>
        <v>0</v>
      </c>
      <c r="AR39" s="354">
        <f>AVERAGE(AR7:AR37)</f>
        <v>7.1061290322580613</v>
      </c>
      <c r="AS39" s="354">
        <f>AVERAGE(AS7:AS37)</f>
        <v>8.8506451612903252</v>
      </c>
      <c r="AT39" s="362"/>
      <c r="AU39" s="354">
        <f>AVERAGE(AU7:AU37)</f>
        <v>7.1854838709677411</v>
      </c>
      <c r="AV39" s="363">
        <f>AV38/AV2</f>
        <v>282.56129032258065</v>
      </c>
      <c r="AW39" s="363">
        <f>AW38/AV2</f>
        <v>4.1493548387096784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212.44774193548386</v>
      </c>
      <c r="BB39" s="354">
        <f>BB38/AV2</f>
        <v>208.15084403216167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0.89101407016617629</v>
      </c>
      <c r="BF39" s="354">
        <f>BF38/AV2</f>
        <v>15.060615447523853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0.95350183920577225</v>
      </c>
      <c r="BV39" s="42">
        <f t="shared" ref="BV39:CA39" si="70">(SUMPRODUCT(BN7:BN37,BV7:BV37))/BN38</f>
        <v>2.6996202936674914E-9</v>
      </c>
      <c r="BW39" s="42">
        <f t="shared" si="70"/>
        <v>6.1030984206338971E-18</v>
      </c>
      <c r="BX39" s="42">
        <f>(SUMPRODUCT(BP7:BP37,BX7:BX37))/BP38</f>
        <v>1.5025994974778616</v>
      </c>
      <c r="BY39" s="42">
        <f t="shared" si="70"/>
        <v>9.9999999999999982E-8</v>
      </c>
      <c r="BZ39" s="46">
        <f t="shared" si="70"/>
        <v>9.9999999999999982E-8</v>
      </c>
      <c r="CA39" s="240">
        <f t="shared" si="70"/>
        <v>9.9999999999999982E-8</v>
      </c>
      <c r="CB39" s="41">
        <f t="shared" ref="CB39:CH39" si="71">(SUMPRODUCT(BM7:BM37,CB7:CB37))/BM38</f>
        <v>37.190430211047264</v>
      </c>
      <c r="CC39" s="42">
        <f t="shared" si="71"/>
        <v>43.529849453698134</v>
      </c>
      <c r="CD39" s="42">
        <f t="shared" si="71"/>
        <v>43.335457778561569</v>
      </c>
      <c r="CE39" s="42">
        <f t="shared" si="71"/>
        <v>38.209200625022113</v>
      </c>
      <c r="CF39" s="42">
        <f t="shared" si="71"/>
        <v>9.9999999999999982E-8</v>
      </c>
      <c r="CG39" s="46">
        <f t="shared" si="71"/>
        <v>9.9999999999999982E-8</v>
      </c>
      <c r="CH39" s="240">
        <f t="shared" si="71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8.2423922712536335E-18</v>
      </c>
      <c r="CO39" s="46">
        <f>(SUMPRODUCT(CK7:CK37,CO7:CO37))/CK38</f>
        <v>5.070736777796727E-18</v>
      </c>
      <c r="CP39" s="46">
        <f>(SUMPRODUCT(CL7:CL37,CP7:CP37))/CL38</f>
        <v>2.0985644583074891E-9</v>
      </c>
      <c r="CQ39" s="44">
        <f>(SUMPRODUCT(CM7:CM37,CQ7:CQ37))/CM38</f>
        <v>3.1526435843703052E-9</v>
      </c>
      <c r="CR39" s="44" t="e">
        <f>(SUMPRODUCT(O7:O37,CR7:CR37))/O38</f>
        <v>#DIV/0!</v>
      </c>
      <c r="CT39" s="667">
        <f>CT38+CU38</f>
        <v>3692.0862187626244</v>
      </c>
      <c r="CU39" s="667"/>
      <c r="CV39" s="668">
        <f>CV38+CW38+CZ38+CY38+CX38</f>
        <v>10684.193146</v>
      </c>
      <c r="CW39" s="668"/>
      <c r="CX39" s="668"/>
      <c r="CY39" s="668"/>
      <c r="CZ39" s="668"/>
      <c r="DA39" s="669">
        <f>DA38+DB38+DD38+DC38</f>
        <v>8729.7100000722821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37.4</v>
      </c>
      <c r="F40" s="366">
        <v>2.15</v>
      </c>
      <c r="G40" s="366"/>
      <c r="H40" s="366">
        <v>1.8274999999999999</v>
      </c>
      <c r="I40" s="366"/>
      <c r="J40" s="570">
        <v>7.79</v>
      </c>
      <c r="K40" s="366">
        <v>18.295999999999999</v>
      </c>
      <c r="L40" s="366"/>
      <c r="M40" s="366">
        <v>0.32250000000000001</v>
      </c>
      <c r="N40" s="365"/>
      <c r="O40" s="366"/>
      <c r="P40" s="366"/>
      <c r="Q40" s="366"/>
      <c r="R40" s="367"/>
      <c r="S40" s="368"/>
      <c r="T40" s="367"/>
      <c r="U40" s="450">
        <v>25.64</v>
      </c>
      <c r="V40" s="367"/>
      <c r="W40" s="369">
        <v>1.28</v>
      </c>
      <c r="X40" s="484"/>
      <c r="Y40" s="370">
        <v>6900</v>
      </c>
      <c r="Z40" s="370">
        <v>6900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720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6900</v>
      </c>
      <c r="AW40" s="379">
        <v>82.8</v>
      </c>
      <c r="AX40" s="380"/>
      <c r="AY40" s="381"/>
      <c r="AZ40" s="382"/>
      <c r="BA40" s="365">
        <v>222.58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14376.279364762624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3.2894216773251994E-2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2.9049728408512916</v>
      </c>
      <c r="T41" s="386"/>
      <c r="U41" s="388"/>
      <c r="V41" s="388"/>
      <c r="W41" s="385">
        <f>W39-W40</f>
        <v>4.551914098040033E-2</v>
      </c>
      <c r="X41" s="385"/>
      <c r="Y41" s="385"/>
      <c r="Z41" s="385"/>
      <c r="AA41" s="385"/>
      <c r="AB41" s="385"/>
      <c r="AC41" s="389">
        <f>AC39-AC40</f>
        <v>-58.419354838709751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1859.3999999999996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222.58064516129033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0.21069365481653993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59.185135135135134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230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-314.12000000000353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-4.5524637681159934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'[4]октябрь 20'!$G$38</f>
        <v>1845.5520000000001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'[4]октябрь 20'!$C$38</f>
        <v>1845.5499999999997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-2.0000000004074536E-3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BM3:BS5"/>
    <mergeCell ref="BU3:CA5"/>
    <mergeCell ref="CB3:CH5"/>
    <mergeCell ref="CJ3:CM5"/>
    <mergeCell ref="CN3:CQ5"/>
    <mergeCell ref="DG5:DK5"/>
    <mergeCell ref="CT39:CU39"/>
    <mergeCell ref="CV39:CZ39"/>
    <mergeCell ref="DA39:DD39"/>
    <mergeCell ref="CR3:CR6"/>
    <mergeCell ref="Y3:Y6"/>
    <mergeCell ref="V4:V6"/>
    <mergeCell ref="W4:W6"/>
    <mergeCell ref="X4:X6"/>
    <mergeCell ref="AH5:AH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CP22" activePane="bottomRight" state="frozen"/>
      <selection pane="topRight" activeCell="B1" sqref="B1"/>
      <selection pane="bottomLeft" activeCell="A7" sqref="A7"/>
      <selection pane="bottomRight" activeCell="CX45" sqref="CX45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8.140625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7.2851562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436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588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458</v>
      </c>
      <c r="BP6" s="396" t="s">
        <v>99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455</v>
      </c>
      <c r="CD6" s="232" t="s">
        <v>458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457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'[1]октябрь 20'!K6</f>
        <v>204.023</v>
      </c>
      <c r="C7" s="104">
        <f t="shared" ref="C7:C37" si="0">IF(B7=0,0,(BM7*BU7+BN7*BV7+BP7*BX7+BS7*CA7+BO7*BW7+BR7*BZ7+BQ7*BY7)/B7)</f>
        <v>0.69723008551780929</v>
      </c>
      <c r="D7" s="447">
        <f t="shared" ref="D7:D37" si="1">B7*((100-C7)/100)</f>
        <v>202.60049026262396</v>
      </c>
      <c r="E7" s="104">
        <f t="shared" ref="E7:E37" si="2">IF(B7=0,0,(BM7*CB7+BN7*CC7+BP7*CE7+BS7*CH7+BO7*CD7+BR7*CG7+BQ7*CF7)/B7)</f>
        <v>38.271436553721884</v>
      </c>
      <c r="F7" s="103">
        <f t="shared" ref="F7:F37" si="3">IF(BA7=0,0,D7/BA7)</f>
        <v>2.1954616067426729</v>
      </c>
      <c r="G7" s="106"/>
      <c r="H7" s="107">
        <f t="shared" ref="H7:H37" si="4">IF(BA7=0,0,(CZ7+CW7+CY7+CT7+CX7)/BA7)</f>
        <v>1.7904400188553502</v>
      </c>
      <c r="I7" s="103">
        <f>'[1]сентябрь 20'!AE6</f>
        <v>0</v>
      </c>
      <c r="J7" s="103">
        <f>'[1]октябрь 20'!AA6</f>
        <v>2.3809999999999998</v>
      </c>
      <c r="K7" s="106"/>
      <c r="L7" s="103">
        <f>'[1]октябрь 20'!AI6</f>
        <v>37.375999999999998</v>
      </c>
      <c r="M7" s="103">
        <f t="shared" ref="M7:M37" si="5">IF(BA7=0,0,(CV7+CU7)/BA7)</f>
        <v>0.40502159222188633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'[1]октябрь 20'!S6</f>
        <v>130.91800000000001</v>
      </c>
      <c r="S7" s="108">
        <f t="shared" ref="S7:S37" si="6">IF(R7=0,0,(1-(V7/R7))*100)</f>
        <v>2.4427502711621085</v>
      </c>
      <c r="T7" s="109">
        <f t="shared" ref="T7:T37" si="7">R7*((100-S7)/100)</f>
        <v>127.7200002</v>
      </c>
      <c r="U7" s="106">
        <v>27.09</v>
      </c>
      <c r="V7" s="109">
        <f t="shared" ref="V7:V37" si="8">CJ7+CK7+CM7+CL7</f>
        <v>127.7200002</v>
      </c>
      <c r="W7" s="110">
        <f t="shared" ref="W7:W37" si="9">IF(BA7=0,0,T7/BA7)</f>
        <v>1.3840260528925084</v>
      </c>
      <c r="X7" s="110">
        <f>Q7+W7</f>
        <v>1.3840260528925084</v>
      </c>
      <c r="Y7" s="136">
        <v>43.67</v>
      </c>
      <c r="Z7" s="111">
        <v>92.28</v>
      </c>
      <c r="AA7" s="106">
        <v>0.54</v>
      </c>
      <c r="AB7" s="112">
        <v>671</v>
      </c>
      <c r="AC7" s="112">
        <v>1129</v>
      </c>
      <c r="AD7" s="113" t="s">
        <v>443</v>
      </c>
      <c r="AE7" s="106">
        <v>75.099999999999994</v>
      </c>
      <c r="AF7" s="112">
        <v>70</v>
      </c>
      <c r="AG7" s="114">
        <v>2</v>
      </c>
      <c r="AH7" s="106"/>
      <c r="AI7" s="115">
        <f t="shared" ref="AI7:AI37" si="10">IF(BA7=0,0,AH7/BA7*1000)</f>
        <v>0</v>
      </c>
      <c r="AJ7" s="106">
        <v>55.65</v>
      </c>
      <c r="AK7" s="115">
        <f t="shared" ref="AK7:AK37" si="11">IF(BA7=0,0,AJ7/BA7*1000)</f>
        <v>603.04611433494256</v>
      </c>
      <c r="AL7" s="106">
        <v>13.57</v>
      </c>
      <c r="AM7" s="116"/>
      <c r="AN7" s="117">
        <v>12.26</v>
      </c>
      <c r="AO7" s="466">
        <f>AV7*0.19</f>
        <v>22.828500000000002</v>
      </c>
      <c r="AP7" s="110">
        <f t="shared" ref="AP7:AP37" si="12">IF(AO7=0,0,AO7/AV7)</f>
        <v>0.19</v>
      </c>
      <c r="AQ7" s="119" t="s">
        <v>331</v>
      </c>
      <c r="AR7" s="403">
        <v>7.71</v>
      </c>
      <c r="AS7" s="120">
        <v>8.26</v>
      </c>
      <c r="AT7" s="106"/>
      <c r="AU7" s="106">
        <v>8.66</v>
      </c>
      <c r="AV7" s="314">
        <v>120.15</v>
      </c>
      <c r="AW7" s="121">
        <v>7.22</v>
      </c>
      <c r="AX7" s="122"/>
      <c r="AY7" s="123"/>
      <c r="AZ7" s="124"/>
      <c r="BA7" s="109">
        <f t="shared" ref="BA7:BA37" si="13">AV7-AO7-AN7+AY7+AW7</f>
        <v>92.281499999999994</v>
      </c>
      <c r="BB7" s="115">
        <f>IF(AE7=0,0,((D7*0.97)*(E7/100)*0.9)/(AE7/100))</f>
        <v>90.134190534173285</v>
      </c>
      <c r="BC7" s="125">
        <f t="shared" ref="BC7:BC37" si="14">(AJ7*AU7)/100*(55/71)</f>
        <v>3.7332528169014081</v>
      </c>
      <c r="BD7" s="115">
        <f t="shared" ref="BD7:BD23" si="15">BA7*$BD$6</f>
        <v>3.6912599999999998</v>
      </c>
      <c r="BE7" s="103">
        <f t="shared" ref="BE7:BE37" si="16">IF((D7*E7)=0,0,(BA7*AE7)/(D7*E7))</f>
        <v>0.89379789203804949</v>
      </c>
      <c r="BF7" s="115">
        <f t="shared" ref="BF7:BF37" si="17">BC7+BD7</f>
        <v>7.4245128169014079</v>
      </c>
      <c r="BG7" s="533">
        <v>0.89400000000000002</v>
      </c>
      <c r="BH7" s="16">
        <f>BA7</f>
        <v>92.281499999999994</v>
      </c>
      <c r="BI7" s="16">
        <f t="shared" ref="BI7:BI38" si="18">IF(A7&lt;=$BG$43,$AV$43,0)</f>
        <v>222.58064516129033</v>
      </c>
      <c r="BJ7" s="16">
        <f>BI7</f>
        <v>222.58064516129033</v>
      </c>
      <c r="BK7" s="17">
        <f t="shared" ref="BK7:BK37" si="19">IF(BA7&lt;&gt;0,1,0)</f>
        <v>1</v>
      </c>
      <c r="BL7" s="16">
        <f>BI7*BK7</f>
        <v>222.58064516129033</v>
      </c>
      <c r="BM7" s="336">
        <v>57.774999999999999</v>
      </c>
      <c r="BN7" s="336">
        <v>37.375999999999998</v>
      </c>
      <c r="BO7" s="336">
        <v>9.9999999999999995E-8</v>
      </c>
      <c r="BP7" s="336">
        <v>108.872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1.03</v>
      </c>
      <c r="BV7" s="336">
        <v>9.9999999999999995E-8</v>
      </c>
      <c r="BW7" s="336">
        <v>9.9999999999999995E-8</v>
      </c>
      <c r="BX7" s="336">
        <v>0.76</v>
      </c>
      <c r="BY7" s="336">
        <v>9.9999999999999995E-8</v>
      </c>
      <c r="BZ7" s="336">
        <v>9.9999999999999995E-8</v>
      </c>
      <c r="CA7" s="336">
        <v>9.9999999999999995E-8</v>
      </c>
      <c r="CB7" s="336">
        <v>36.06</v>
      </c>
      <c r="CC7" s="336">
        <v>43.5</v>
      </c>
      <c r="CD7" s="336">
        <v>9.9999999999999995E-8</v>
      </c>
      <c r="CE7" s="336">
        <v>37.65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93.72</v>
      </c>
      <c r="CM7" s="336">
        <v>34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57.179917500000002</v>
      </c>
      <c r="CU7" s="22">
        <f t="shared" si="20"/>
        <v>37.375999962624</v>
      </c>
      <c r="CV7" s="22">
        <f t="shared" si="20"/>
        <v>9.99999999E-8</v>
      </c>
      <c r="CW7" s="27">
        <f t="shared" si="20"/>
        <v>108.0445728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93.719999906279995</v>
      </c>
      <c r="DD7" s="279">
        <f t="shared" si="21"/>
        <v>33.999999966000004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'[1]октябрь 20'!K7</f>
        <v>483.20600000000002</v>
      </c>
      <c r="C8" s="104">
        <f t="shared" si="0"/>
        <v>0.78277571056650774</v>
      </c>
      <c r="D8" s="447">
        <f t="shared" si="1"/>
        <v>479.42358080000002</v>
      </c>
      <c r="E8" s="104">
        <f t="shared" si="2"/>
        <v>38.05908130279839</v>
      </c>
      <c r="F8" s="128">
        <f t="shared" si="3"/>
        <v>2.130364333927294</v>
      </c>
      <c r="G8" s="106"/>
      <c r="H8" s="107">
        <f t="shared" si="4"/>
        <v>1.73700395391103</v>
      </c>
      <c r="I8" s="103">
        <f>'[1]сентябрь 20'!AE7</f>
        <v>0</v>
      </c>
      <c r="J8" s="103">
        <f>'[1]октябрь 20'!AA7</f>
        <v>5.1929999999999996</v>
      </c>
      <c r="K8" s="106">
        <v>36.340000000000003</v>
      </c>
      <c r="L8" s="103">
        <f>'[1]октябрь 20'!AI7</f>
        <v>88.522999999999996</v>
      </c>
      <c r="M8" s="103">
        <f t="shared" si="5"/>
        <v>0.39336038001626356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'[1]октябрь 20'!S7</f>
        <v>296.541</v>
      </c>
      <c r="S8" s="108">
        <f t="shared" si="6"/>
        <v>2.8161367230838175</v>
      </c>
      <c r="T8" s="109">
        <f t="shared" si="7"/>
        <v>288.19</v>
      </c>
      <c r="U8" s="106">
        <v>4.58</v>
      </c>
      <c r="V8" s="109">
        <f t="shared" si="8"/>
        <v>288.19</v>
      </c>
      <c r="W8" s="110">
        <f t="shared" si="9"/>
        <v>1.2805997076114342</v>
      </c>
      <c r="X8" s="110">
        <f t="shared" ref="X8:X37" si="26">Q8+W8</f>
        <v>1.2805997076114342</v>
      </c>
      <c r="Y8" s="136">
        <v>225.04</v>
      </c>
      <c r="Z8" s="130">
        <v>225.04</v>
      </c>
      <c r="AA8" s="131">
        <v>0.66</v>
      </c>
      <c r="AB8" s="112">
        <v>636</v>
      </c>
      <c r="AC8" s="112">
        <v>1194</v>
      </c>
      <c r="AD8" s="132" t="s">
        <v>444</v>
      </c>
      <c r="AE8" s="131">
        <v>75.69</v>
      </c>
      <c r="AF8" s="133">
        <v>161</v>
      </c>
      <c r="AG8" s="134">
        <v>5</v>
      </c>
      <c r="AH8" s="131">
        <v>6.95</v>
      </c>
      <c r="AI8" s="115">
        <f t="shared" si="10"/>
        <v>30.882986806965778</v>
      </c>
      <c r="AJ8" s="131">
        <v>126.8</v>
      </c>
      <c r="AK8" s="115">
        <f t="shared" si="11"/>
        <v>563.44787440622451</v>
      </c>
      <c r="AL8" s="131">
        <v>39.99</v>
      </c>
      <c r="AM8" s="116"/>
      <c r="AN8" s="135">
        <v>17.690000000000001</v>
      </c>
      <c r="AO8" s="466">
        <f t="shared" ref="AO8:AO36" si="27">AV8*0.19</f>
        <v>55.917000000000002</v>
      </c>
      <c r="AP8" s="110">
        <f t="shared" si="12"/>
        <v>0.19</v>
      </c>
      <c r="AQ8" s="137" t="s">
        <v>445</v>
      </c>
      <c r="AR8" s="150">
        <v>7.66</v>
      </c>
      <c r="AS8" s="138">
        <v>8.24</v>
      </c>
      <c r="AT8" s="131"/>
      <c r="AU8" s="131">
        <v>8.9</v>
      </c>
      <c r="AV8" s="315">
        <v>294.3</v>
      </c>
      <c r="AW8" s="131">
        <v>4.3499999999999996</v>
      </c>
      <c r="AX8" s="116"/>
      <c r="AY8" s="131"/>
      <c r="AZ8" s="109"/>
      <c r="BA8" s="109">
        <f t="shared" si="13"/>
        <v>225.04300000000001</v>
      </c>
      <c r="BB8" s="115">
        <f t="shared" ref="BB8:BB37" si="28">IF(AE8=0,0,((D8*0.97)*(E8/100)*0.9)/(AE8/100))</f>
        <v>210.45218084353814</v>
      </c>
      <c r="BC8" s="140">
        <f t="shared" si="14"/>
        <v>8.7420563380281688</v>
      </c>
      <c r="BD8" s="141">
        <f t="shared" si="15"/>
        <v>9.0017200000000006</v>
      </c>
      <c r="BE8" s="128">
        <f t="shared" si="16"/>
        <v>0.93352579294990135</v>
      </c>
      <c r="BF8" s="141">
        <f t="shared" si="17"/>
        <v>17.743776338028169</v>
      </c>
      <c r="BG8" s="535">
        <v>0.92200000000000004</v>
      </c>
      <c r="BH8" s="16">
        <f t="shared" ref="BH8:BH37" si="29">BH7+BA8</f>
        <v>317.3245</v>
      </c>
      <c r="BI8" s="16">
        <f t="shared" si="18"/>
        <v>222.58064516129033</v>
      </c>
      <c r="BJ8" s="16">
        <f t="shared" ref="BJ8:BJ37" si="30">BI8+BJ7</f>
        <v>445.16129032258067</v>
      </c>
      <c r="BK8" s="17">
        <f t="shared" si="19"/>
        <v>1</v>
      </c>
      <c r="BL8" s="16">
        <f t="shared" ref="BL8:BL37" si="31">BL7+BI8*BK8</f>
        <v>445.16129032258067</v>
      </c>
      <c r="BM8" s="249">
        <v>137.00899999999999</v>
      </c>
      <c r="BN8" s="195">
        <v>88.522999999999996</v>
      </c>
      <c r="BO8" s="197"/>
      <c r="BP8" s="197">
        <v>257.67399999999998</v>
      </c>
      <c r="BQ8" s="230"/>
      <c r="BR8" s="230"/>
      <c r="BS8" s="250"/>
      <c r="BT8" s="199"/>
      <c r="BU8" s="200">
        <v>0.88</v>
      </c>
      <c r="BV8" s="200"/>
      <c r="BW8" s="200"/>
      <c r="BX8" s="200">
        <v>1</v>
      </c>
      <c r="BY8" s="208"/>
      <c r="BZ8" s="208"/>
      <c r="CA8" s="198"/>
      <c r="CB8" s="202">
        <v>36.729999999999997</v>
      </c>
      <c r="CC8" s="200">
        <v>43.49</v>
      </c>
      <c r="CD8" s="200"/>
      <c r="CE8" s="200">
        <v>36.9</v>
      </c>
      <c r="CF8" s="197"/>
      <c r="CG8" s="197"/>
      <c r="CH8" s="197"/>
      <c r="CI8" s="203"/>
      <c r="CJ8" s="204"/>
      <c r="CK8" s="197"/>
      <c r="CL8" s="197">
        <v>204.53</v>
      </c>
      <c r="CM8" s="198">
        <v>83.66</v>
      </c>
      <c r="CN8" s="205"/>
      <c r="CO8" s="206"/>
      <c r="CP8" s="269"/>
      <c r="CQ8" s="207"/>
      <c r="CR8" s="207"/>
      <c r="CS8" s="284"/>
      <c r="CT8" s="286">
        <f t="shared" si="20"/>
        <v>135.80332079999999</v>
      </c>
      <c r="CU8" s="24">
        <f t="shared" si="20"/>
        <v>88.522999999999996</v>
      </c>
      <c r="CV8" s="25">
        <f t="shared" si="20"/>
        <v>0</v>
      </c>
      <c r="CW8" s="24">
        <f t="shared" si="20"/>
        <v>255.09725999999998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204.53</v>
      </c>
      <c r="DD8" s="280">
        <f t="shared" si="21"/>
        <v>83.66</v>
      </c>
      <c r="DE8" s="508">
        <f t="shared" ref="DE8:DE37" si="32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3">IF(I8=0,0,(DJ8*DI8%)/(AE8/100))</f>
        <v>0</v>
      </c>
      <c r="DM8" s="402"/>
    </row>
    <row r="9" spans="1:117" ht="16.5" customHeight="1" thickBot="1">
      <c r="A9" s="534">
        <v>3</v>
      </c>
      <c r="B9" s="103">
        <f>'[1]октябрь 20'!K8</f>
        <v>509.92200000000003</v>
      </c>
      <c r="C9" s="104">
        <f t="shared" si="0"/>
        <v>0.93393050309655201</v>
      </c>
      <c r="D9" s="448">
        <f t="shared" si="1"/>
        <v>505.15968290000006</v>
      </c>
      <c r="E9" s="104">
        <f t="shared" si="2"/>
        <v>38.307815763979583</v>
      </c>
      <c r="F9" s="128">
        <f t="shared" si="3"/>
        <v>2.1526385260152554</v>
      </c>
      <c r="G9" s="106"/>
      <c r="H9" s="107">
        <f t="shared" si="4"/>
        <v>1.8177810666041678</v>
      </c>
      <c r="I9" s="103">
        <f>'[1]сентябрь 20'!AE8</f>
        <v>0</v>
      </c>
      <c r="J9" s="103">
        <f>'[1]октябрь 20'!AA8</f>
        <v>13.256</v>
      </c>
      <c r="K9" s="106">
        <v>40.47</v>
      </c>
      <c r="L9" s="103">
        <f>'[1]октябрь 20'!AI8</f>
        <v>78.581000000000003</v>
      </c>
      <c r="M9" s="103">
        <f t="shared" si="5"/>
        <v>0.33485745941108791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'[1]октябрь 20'!S8</f>
        <v>311.82600000000002</v>
      </c>
      <c r="S9" s="108">
        <f t="shared" si="6"/>
        <v>2.580285159031015</v>
      </c>
      <c r="T9" s="109">
        <f t="shared" si="7"/>
        <v>303.77999999999992</v>
      </c>
      <c r="U9" s="106">
        <v>23.88</v>
      </c>
      <c r="V9" s="109">
        <f t="shared" si="8"/>
        <v>303.77999999999997</v>
      </c>
      <c r="W9" s="110">
        <f t="shared" si="9"/>
        <v>1.294498657689521</v>
      </c>
      <c r="X9" s="110">
        <f t="shared" si="26"/>
        <v>1.294498657689521</v>
      </c>
      <c r="Y9" s="136">
        <v>234.67</v>
      </c>
      <c r="Z9" s="130">
        <v>190.99</v>
      </c>
      <c r="AA9" s="131">
        <v>0.64</v>
      </c>
      <c r="AB9" s="112">
        <v>587</v>
      </c>
      <c r="AC9" s="112">
        <v>1194</v>
      </c>
      <c r="AD9" s="144" t="s">
        <v>426</v>
      </c>
      <c r="AE9" s="131">
        <v>75.989999999999995</v>
      </c>
      <c r="AF9" s="133">
        <v>170</v>
      </c>
      <c r="AG9" s="134">
        <v>5</v>
      </c>
      <c r="AH9" s="131">
        <v>8.75</v>
      </c>
      <c r="AI9" s="115">
        <f t="shared" si="10"/>
        <v>37.286402181787189</v>
      </c>
      <c r="AJ9" s="131">
        <v>131.80000000000001</v>
      </c>
      <c r="AK9" s="115">
        <f t="shared" si="11"/>
        <v>561.63974943537733</v>
      </c>
      <c r="AL9" s="131">
        <v>36.729999999999997</v>
      </c>
      <c r="AM9" s="116"/>
      <c r="AN9" s="135">
        <v>16.23</v>
      </c>
      <c r="AO9" s="466">
        <f t="shared" si="27"/>
        <v>57.76</v>
      </c>
      <c r="AP9" s="110">
        <f t="shared" si="12"/>
        <v>0.19</v>
      </c>
      <c r="AQ9" s="137" t="s">
        <v>442</v>
      </c>
      <c r="AR9" s="150">
        <v>7.61</v>
      </c>
      <c r="AS9" s="131">
        <v>8.4600000000000009</v>
      </c>
      <c r="AT9" s="131"/>
      <c r="AU9" s="131">
        <v>7.3</v>
      </c>
      <c r="AV9" s="315">
        <v>304</v>
      </c>
      <c r="AW9" s="131">
        <v>4.66</v>
      </c>
      <c r="AX9" s="116"/>
      <c r="AY9" s="131"/>
      <c r="AZ9" s="109"/>
      <c r="BA9" s="109">
        <f t="shared" si="13"/>
        <v>234.67000000000002</v>
      </c>
      <c r="BB9" s="115">
        <f t="shared" si="28"/>
        <v>222.3176132097021</v>
      </c>
      <c r="BC9" s="140">
        <f t="shared" si="14"/>
        <v>7.4531971830985926</v>
      </c>
      <c r="BD9" s="141">
        <f t="shared" si="15"/>
        <v>9.3868000000000009</v>
      </c>
      <c r="BE9" s="128">
        <f t="shared" si="16"/>
        <v>0.92150553004884228</v>
      </c>
      <c r="BF9" s="141">
        <f t="shared" si="17"/>
        <v>16.839997183098593</v>
      </c>
      <c r="BG9" s="535">
        <v>0.92200000000000004</v>
      </c>
      <c r="BH9" s="16">
        <f t="shared" si="29"/>
        <v>551.99450000000002</v>
      </c>
      <c r="BI9" s="16">
        <f t="shared" si="18"/>
        <v>222.58064516129033</v>
      </c>
      <c r="BJ9" s="16">
        <f t="shared" si="30"/>
        <v>667.74193548387098</v>
      </c>
      <c r="BK9" s="17">
        <f t="shared" si="19"/>
        <v>1</v>
      </c>
      <c r="BL9" s="16">
        <f t="shared" si="31"/>
        <v>667.74193548387098</v>
      </c>
      <c r="BM9" s="249">
        <v>144.33000000000001</v>
      </c>
      <c r="BN9" s="195">
        <v>78.581000000000003</v>
      </c>
      <c r="BO9" s="197"/>
      <c r="BP9" s="197">
        <v>287.01100000000002</v>
      </c>
      <c r="BQ9" s="230"/>
      <c r="BR9" s="230"/>
      <c r="BS9" s="250"/>
      <c r="BT9" s="199"/>
      <c r="BU9" s="200">
        <v>1.49</v>
      </c>
      <c r="BV9" s="200"/>
      <c r="BW9" s="200"/>
      <c r="BX9" s="200">
        <v>0.91</v>
      </c>
      <c r="BY9" s="208"/>
      <c r="BZ9" s="208">
        <v>3.1</v>
      </c>
      <c r="CA9" s="201"/>
      <c r="CB9" s="202">
        <v>36.369999999999997</v>
      </c>
      <c r="CC9" s="200">
        <v>43.32</v>
      </c>
      <c r="CD9" s="200"/>
      <c r="CE9" s="200">
        <v>37.909999999999997</v>
      </c>
      <c r="CF9" s="200"/>
      <c r="CG9" s="200">
        <v>29.97</v>
      </c>
      <c r="CH9" s="200"/>
      <c r="CI9" s="203"/>
      <c r="CJ9" s="204"/>
      <c r="CK9" s="197"/>
      <c r="CL9" s="197">
        <v>218.78</v>
      </c>
      <c r="CM9" s="198">
        <v>85</v>
      </c>
      <c r="CN9" s="202"/>
      <c r="CO9" s="208"/>
      <c r="CP9" s="208"/>
      <c r="CQ9" s="201"/>
      <c r="CR9" s="201"/>
      <c r="CS9" s="284"/>
      <c r="CT9" s="286">
        <f t="shared" si="20"/>
        <v>142.17948300000003</v>
      </c>
      <c r="CU9" s="27">
        <f t="shared" si="20"/>
        <v>78.581000000000003</v>
      </c>
      <c r="CV9" s="28">
        <f t="shared" si="20"/>
        <v>0</v>
      </c>
      <c r="CW9" s="27">
        <f t="shared" si="20"/>
        <v>284.39919990000004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218.78</v>
      </c>
      <c r="DD9" s="280">
        <f t="shared" si="21"/>
        <v>85</v>
      </c>
      <c r="DE9" s="508">
        <f t="shared" si="32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3"/>
        <v>0</v>
      </c>
      <c r="DM9" s="402"/>
    </row>
    <row r="10" spans="1:117" ht="16.5" customHeight="1" thickBot="1">
      <c r="A10" s="534">
        <v>4</v>
      </c>
      <c r="B10" s="103">
        <f>'[1]октябрь 20'!K9</f>
        <v>491.98099999999999</v>
      </c>
      <c r="C10" s="104">
        <f t="shared" si="0"/>
        <v>1.411179456117208</v>
      </c>
      <c r="D10" s="448">
        <f t="shared" si="1"/>
        <v>485.03826520000001</v>
      </c>
      <c r="E10" s="104">
        <f t="shared" si="2"/>
        <v>37.719732550647279</v>
      </c>
      <c r="F10" s="128">
        <f t="shared" si="3"/>
        <v>2.1278554453447511</v>
      </c>
      <c r="G10" s="106"/>
      <c r="H10" s="107">
        <f t="shared" si="4"/>
        <v>1.8042231974976639</v>
      </c>
      <c r="I10" s="103">
        <f>'[1]сентябрь 20'!AE9</f>
        <v>0</v>
      </c>
      <c r="J10" s="103">
        <f>'[1]октябрь 20'!AA9</f>
        <v>13.942</v>
      </c>
      <c r="K10" s="106">
        <v>37.22</v>
      </c>
      <c r="L10" s="103">
        <f>'[1]октябрь 20'!AI9</f>
        <v>73.771000000000001</v>
      </c>
      <c r="M10" s="103">
        <f t="shared" si="5"/>
        <v>0.32363224784708727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'[1]октябрь 20'!S9</f>
        <v>299.95</v>
      </c>
      <c r="S10" s="108">
        <f t="shared" si="6"/>
        <v>2.5504250708451304</v>
      </c>
      <c r="T10" s="109">
        <f t="shared" si="7"/>
        <v>292.3</v>
      </c>
      <c r="U10" s="106">
        <v>32.119999999999997</v>
      </c>
      <c r="V10" s="109">
        <f t="shared" si="8"/>
        <v>292.3</v>
      </c>
      <c r="W10" s="110">
        <f t="shared" si="9"/>
        <v>1.2823156260007809</v>
      </c>
      <c r="X10" s="110">
        <f t="shared" si="26"/>
        <v>1.2823156260007809</v>
      </c>
      <c r="Y10" s="136">
        <v>227.95</v>
      </c>
      <c r="Z10" s="130">
        <v>227.95</v>
      </c>
      <c r="AA10" s="131">
        <v>0.54</v>
      </c>
      <c r="AB10" s="112">
        <v>655</v>
      </c>
      <c r="AC10" s="112">
        <v>1193</v>
      </c>
      <c r="AD10" s="144" t="s">
        <v>446</v>
      </c>
      <c r="AE10" s="131">
        <v>76.28</v>
      </c>
      <c r="AF10" s="133">
        <v>164</v>
      </c>
      <c r="AG10" s="134">
        <v>5</v>
      </c>
      <c r="AH10" s="131">
        <v>6.25</v>
      </c>
      <c r="AI10" s="115">
        <f t="shared" si="10"/>
        <v>27.418654336315022</v>
      </c>
      <c r="AJ10" s="131">
        <v>142</v>
      </c>
      <c r="AK10" s="115">
        <f t="shared" si="11"/>
        <v>622.95182652107724</v>
      </c>
      <c r="AL10" s="131">
        <v>40.26</v>
      </c>
      <c r="AM10" s="116"/>
      <c r="AN10" s="135">
        <v>18.82</v>
      </c>
      <c r="AO10" s="466">
        <f t="shared" si="27"/>
        <v>56.753</v>
      </c>
      <c r="AP10" s="110">
        <f t="shared" si="12"/>
        <v>0.19</v>
      </c>
      <c r="AQ10" s="137" t="s">
        <v>442</v>
      </c>
      <c r="AR10" s="150">
        <v>7.29</v>
      </c>
      <c r="AS10" s="138">
        <v>8.56</v>
      </c>
      <c r="AT10" s="131"/>
      <c r="AU10" s="131">
        <v>7.38</v>
      </c>
      <c r="AV10" s="315">
        <v>298.7</v>
      </c>
      <c r="AW10" s="131">
        <v>4.82</v>
      </c>
      <c r="AX10" s="116"/>
      <c r="AY10" s="131"/>
      <c r="AZ10" s="109"/>
      <c r="BA10" s="109">
        <f t="shared" si="13"/>
        <v>227.947</v>
      </c>
      <c r="BB10" s="115">
        <f>IF(AE10=0,0,((D10*0.97)*(E10/100)*0.9)/(AE10/100))</f>
        <v>209.38625338059566</v>
      </c>
      <c r="BC10" s="140">
        <f t="shared" si="14"/>
        <v>8.1179999999999986</v>
      </c>
      <c r="BD10" s="141">
        <f t="shared" si="15"/>
        <v>9.1178799999999995</v>
      </c>
      <c r="BE10" s="128">
        <f t="shared" si="16"/>
        <v>0.9503858433260528</v>
      </c>
      <c r="BF10" s="141">
        <f t="shared" si="17"/>
        <v>17.235879999999998</v>
      </c>
      <c r="BG10" s="535">
        <v>0.93</v>
      </c>
      <c r="BH10" s="16">
        <f t="shared" si="29"/>
        <v>779.94150000000002</v>
      </c>
      <c r="BI10" s="16">
        <f t="shared" si="18"/>
        <v>222.58064516129033</v>
      </c>
      <c r="BJ10" s="16">
        <f t="shared" si="30"/>
        <v>890.32258064516134</v>
      </c>
      <c r="BK10" s="17">
        <f t="shared" si="19"/>
        <v>1</v>
      </c>
      <c r="BL10" s="16">
        <f t="shared" si="31"/>
        <v>890.32258064516134</v>
      </c>
      <c r="BM10" s="249">
        <v>139.358</v>
      </c>
      <c r="BN10" s="195">
        <v>73.771000000000001</v>
      </c>
      <c r="BO10" s="197"/>
      <c r="BP10" s="195">
        <v>278.85199999999998</v>
      </c>
      <c r="BQ10" s="195"/>
      <c r="BR10" s="230"/>
      <c r="BS10" s="250"/>
      <c r="BT10" s="199"/>
      <c r="BU10" s="200">
        <v>1</v>
      </c>
      <c r="BV10" s="200"/>
      <c r="BW10" s="200"/>
      <c r="BX10" s="200">
        <v>1.99</v>
      </c>
      <c r="BY10" s="208"/>
      <c r="BZ10" s="208"/>
      <c r="CA10" s="201"/>
      <c r="CB10" s="202">
        <v>36.020000000000003</v>
      </c>
      <c r="CC10" s="200">
        <v>43.5</v>
      </c>
      <c r="CD10" s="200"/>
      <c r="CE10" s="200">
        <v>37.04</v>
      </c>
      <c r="CF10" s="200"/>
      <c r="CG10" s="200"/>
      <c r="CH10" s="200"/>
      <c r="CI10" s="203"/>
      <c r="CJ10" s="204"/>
      <c r="CK10" s="197"/>
      <c r="CL10" s="197">
        <v>210.3</v>
      </c>
      <c r="CM10" s="198">
        <v>82</v>
      </c>
      <c r="CN10" s="202"/>
      <c r="CO10" s="208"/>
      <c r="CP10" s="208"/>
      <c r="CQ10" s="201"/>
      <c r="CR10" s="201"/>
      <c r="CS10" s="284"/>
      <c r="CT10" s="286">
        <f t="shared" si="20"/>
        <v>137.96441999999999</v>
      </c>
      <c r="CU10" s="29">
        <f t="shared" si="20"/>
        <v>73.771000000000001</v>
      </c>
      <c r="CV10" s="30">
        <f t="shared" si="20"/>
        <v>0</v>
      </c>
      <c r="CW10" s="29">
        <f t="shared" si="20"/>
        <v>273.30284519999998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210.3</v>
      </c>
      <c r="DD10" s="280">
        <f t="shared" si="21"/>
        <v>82</v>
      </c>
      <c r="DE10" s="508">
        <f t="shared" si="32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3"/>
        <v>0</v>
      </c>
      <c r="DM10" s="402"/>
    </row>
    <row r="11" spans="1:117" ht="16.5" customHeight="1" thickBot="1">
      <c r="A11" s="534">
        <v>5</v>
      </c>
      <c r="B11" s="103">
        <f>'[1]октябрь 20'!K10</f>
        <v>530.98699999999997</v>
      </c>
      <c r="C11" s="104">
        <f t="shared" si="0"/>
        <v>1.0851660586794027</v>
      </c>
      <c r="D11" s="448">
        <f t="shared" si="1"/>
        <v>525.22490929999992</v>
      </c>
      <c r="E11" s="104">
        <f t="shared" si="2"/>
        <v>37.684702469175335</v>
      </c>
      <c r="F11" s="128">
        <f t="shared" si="3"/>
        <v>2.2470235806496466</v>
      </c>
      <c r="G11" s="106"/>
      <c r="H11" s="107">
        <f>IF(BA11=0,0,(CZ11+CW11+CY11+CT11+CX11)/BA11)</f>
        <v>1.9062725405093215</v>
      </c>
      <c r="I11" s="103">
        <f>'[1]сентябрь 20'!AE10</f>
        <v>0</v>
      </c>
      <c r="J11" s="103">
        <f>'[1]октябрь 20'!AA10</f>
        <v>14.529</v>
      </c>
      <c r="K11" s="106">
        <v>42.76</v>
      </c>
      <c r="L11" s="103">
        <f>'[1]октябрь 20'!AI10</f>
        <v>79.647999999999996</v>
      </c>
      <c r="M11" s="103">
        <f t="shared" si="5"/>
        <v>0.34075104014032537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'[1]октябрь 20'!S10</f>
        <v>325.005</v>
      </c>
      <c r="S11" s="108">
        <f t="shared" si="6"/>
        <v>2.4815002846110046</v>
      </c>
      <c r="T11" s="109">
        <f t="shared" si="7"/>
        <v>316.94</v>
      </c>
      <c r="U11" s="106">
        <v>15.11</v>
      </c>
      <c r="V11" s="109">
        <f t="shared" si="8"/>
        <v>316.94</v>
      </c>
      <c r="W11" s="110">
        <f t="shared" si="9"/>
        <v>1.3559365541140358</v>
      </c>
      <c r="X11" s="110">
        <f t="shared" si="26"/>
        <v>1.3559365541140358</v>
      </c>
      <c r="Y11" s="136">
        <v>233.74</v>
      </c>
      <c r="Z11" s="130">
        <v>233.74</v>
      </c>
      <c r="AA11" s="131">
        <v>0.43</v>
      </c>
      <c r="AB11" s="112">
        <v>643</v>
      </c>
      <c r="AC11" s="112">
        <v>1171</v>
      </c>
      <c r="AD11" s="144" t="s">
        <v>447</v>
      </c>
      <c r="AE11" s="131">
        <v>75.989999999999995</v>
      </c>
      <c r="AF11" s="133">
        <v>177</v>
      </c>
      <c r="AG11" s="134">
        <v>5</v>
      </c>
      <c r="AH11" s="131">
        <v>2.5499999999999998</v>
      </c>
      <c r="AI11" s="115">
        <f t="shared" si="10"/>
        <v>10.909440944629239</v>
      </c>
      <c r="AJ11" s="131">
        <v>148.80000000000001</v>
      </c>
      <c r="AK11" s="115">
        <f t="shared" si="11"/>
        <v>636.59796571012987</v>
      </c>
      <c r="AL11" s="131">
        <v>29.28</v>
      </c>
      <c r="AM11" s="116"/>
      <c r="AN11" s="135">
        <v>19.02</v>
      </c>
      <c r="AO11" s="466">
        <f t="shared" si="27"/>
        <v>58.377499999999998</v>
      </c>
      <c r="AP11" s="110">
        <f t="shared" si="12"/>
        <v>0.19</v>
      </c>
      <c r="AQ11" s="137" t="s">
        <v>442</v>
      </c>
      <c r="AR11" s="150">
        <v>7.04</v>
      </c>
      <c r="AS11" s="138">
        <v>8.7799999999999994</v>
      </c>
      <c r="AT11" s="131"/>
      <c r="AU11" s="131">
        <v>6.89</v>
      </c>
      <c r="AV11" s="315">
        <v>307.25</v>
      </c>
      <c r="AW11" s="131">
        <v>3.89</v>
      </c>
      <c r="AX11" s="145"/>
      <c r="AY11" s="131"/>
      <c r="AZ11" s="109"/>
      <c r="BA11" s="109">
        <f t="shared" si="13"/>
        <v>233.74249999999998</v>
      </c>
      <c r="BB11" s="115">
        <f t="shared" si="28"/>
        <v>227.38834705817999</v>
      </c>
      <c r="BC11" s="140">
        <f t="shared" si="14"/>
        <v>7.9419380281690133</v>
      </c>
      <c r="BD11" s="141">
        <f t="shared" si="15"/>
        <v>9.3496999999999986</v>
      </c>
      <c r="BE11" s="128">
        <f t="shared" si="16"/>
        <v>0.89739516180127554</v>
      </c>
      <c r="BF11" s="141">
        <f t="shared" si="17"/>
        <v>17.291638028169011</v>
      </c>
      <c r="BG11" s="535">
        <v>0.92200000000000004</v>
      </c>
      <c r="BH11" s="16">
        <f t="shared" si="29"/>
        <v>1013.684</v>
      </c>
      <c r="BI11" s="16">
        <f t="shared" si="18"/>
        <v>222.58064516129033</v>
      </c>
      <c r="BJ11" s="16">
        <f t="shared" si="30"/>
        <v>1112.9032258064517</v>
      </c>
      <c r="BK11" s="17">
        <f t="shared" si="19"/>
        <v>1</v>
      </c>
      <c r="BL11" s="16">
        <f t="shared" si="31"/>
        <v>1112.9032258064517</v>
      </c>
      <c r="BM11" s="249">
        <v>150.42699999999999</v>
      </c>
      <c r="BN11" s="195">
        <v>79.647999999999996</v>
      </c>
      <c r="BO11" s="197"/>
      <c r="BP11" s="197">
        <v>300.91199999999998</v>
      </c>
      <c r="BQ11" s="230"/>
      <c r="BR11" s="230"/>
      <c r="BS11" s="250"/>
      <c r="BT11" s="199"/>
      <c r="BU11" s="200">
        <v>1.29</v>
      </c>
      <c r="BV11" s="200"/>
      <c r="BW11" s="200"/>
      <c r="BX11" s="200">
        <v>1.27</v>
      </c>
      <c r="BY11" s="208"/>
      <c r="BZ11" s="208"/>
      <c r="CA11" s="201"/>
      <c r="CB11" s="202">
        <v>36.049999999999997</v>
      </c>
      <c r="CC11" s="200">
        <v>43.17</v>
      </c>
      <c r="CD11" s="200"/>
      <c r="CE11" s="200">
        <v>37.049999999999997</v>
      </c>
      <c r="CF11" s="200"/>
      <c r="CG11" s="200"/>
      <c r="CH11" s="200"/>
      <c r="CI11" s="203"/>
      <c r="CJ11" s="204"/>
      <c r="CK11" s="197"/>
      <c r="CL11" s="230">
        <v>228.44</v>
      </c>
      <c r="CM11" s="198">
        <v>88.5</v>
      </c>
      <c r="CN11" s="202"/>
      <c r="CO11" s="208"/>
      <c r="CP11" s="208"/>
      <c r="CQ11" s="201"/>
      <c r="CR11" s="201"/>
      <c r="CS11" s="284"/>
      <c r="CT11" s="286">
        <f t="shared" si="20"/>
        <v>148.48649169999999</v>
      </c>
      <c r="CU11" s="24">
        <f t="shared" si="20"/>
        <v>79.647999999999996</v>
      </c>
      <c r="CV11" s="25">
        <f t="shared" si="20"/>
        <v>0</v>
      </c>
      <c r="CW11" s="24">
        <f t="shared" si="20"/>
        <v>297.09041760000002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228.44</v>
      </c>
      <c r="DD11" s="280">
        <f t="shared" si="21"/>
        <v>88.5</v>
      </c>
      <c r="DE11" s="508">
        <f t="shared" si="32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3"/>
        <v>0</v>
      </c>
      <c r="DM11" s="402"/>
    </row>
    <row r="12" spans="1:117" ht="16.5" customHeight="1" thickBot="1">
      <c r="A12" s="534">
        <v>6</v>
      </c>
      <c r="B12" s="103">
        <f>'[1]октябрь 20'!K11</f>
        <v>504.19499999999999</v>
      </c>
      <c r="C12" s="104">
        <f t="shared" si="0"/>
        <v>1.0112351173653049</v>
      </c>
      <c r="D12" s="448">
        <f t="shared" si="1"/>
        <v>499.09640309999997</v>
      </c>
      <c r="E12" s="104">
        <f t="shared" si="2"/>
        <v>38.151772687154775</v>
      </c>
      <c r="F12" s="128">
        <f t="shared" si="3"/>
        <v>2.1880692291505</v>
      </c>
      <c r="G12" s="106"/>
      <c r="H12" s="107">
        <f t="shared" si="4"/>
        <v>1.8559502807991266</v>
      </c>
      <c r="I12" s="103">
        <f>'[1]сентябрь 20'!AE11</f>
        <v>0</v>
      </c>
      <c r="J12" s="103">
        <f>'[1]октябрь 20'!AA11</f>
        <v>13.444000000000001</v>
      </c>
      <c r="K12" s="106">
        <v>37.520000000000003</v>
      </c>
      <c r="L12" s="103">
        <f>'[1]октябрь 20'!AI11</f>
        <v>75.756</v>
      </c>
      <c r="M12" s="103">
        <f t="shared" si="5"/>
        <v>0.33211894835137373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'[1]октябрь 20'!S11</f>
        <v>309.63</v>
      </c>
      <c r="S12" s="108">
        <f t="shared" si="6"/>
        <v>2.7161450763814821</v>
      </c>
      <c r="T12" s="109">
        <f t="shared" si="7"/>
        <v>301.22000000000003</v>
      </c>
      <c r="U12" s="106">
        <v>20.73</v>
      </c>
      <c r="V12" s="109">
        <f t="shared" si="8"/>
        <v>301.22000000000003</v>
      </c>
      <c r="W12" s="110">
        <f t="shared" si="9"/>
        <v>1.3205669468081842</v>
      </c>
      <c r="X12" s="110">
        <f t="shared" si="26"/>
        <v>1.3205669468081842</v>
      </c>
      <c r="Y12" s="136">
        <v>228.1</v>
      </c>
      <c r="Z12" s="130">
        <v>138.63999999999999</v>
      </c>
      <c r="AA12" s="131">
        <v>0.9</v>
      </c>
      <c r="AB12" s="112">
        <v>631</v>
      </c>
      <c r="AC12" s="133">
        <v>1181</v>
      </c>
      <c r="AD12" s="144" t="s">
        <v>448</v>
      </c>
      <c r="AE12" s="131">
        <v>76.540000000000006</v>
      </c>
      <c r="AF12" s="133">
        <v>168</v>
      </c>
      <c r="AG12" s="134">
        <v>5</v>
      </c>
      <c r="AH12" s="131">
        <v>6.3</v>
      </c>
      <c r="AI12" s="115">
        <f t="shared" si="10"/>
        <v>27.619586232293869</v>
      </c>
      <c r="AJ12" s="131">
        <v>128.25</v>
      </c>
      <c r="AK12" s="115">
        <f t="shared" si="11"/>
        <v>562.25586258598241</v>
      </c>
      <c r="AL12" s="131">
        <v>34.14</v>
      </c>
      <c r="AM12" s="116"/>
      <c r="AN12" s="135">
        <v>21.33</v>
      </c>
      <c r="AO12" s="466">
        <f t="shared" si="27"/>
        <v>57.550999999999995</v>
      </c>
      <c r="AP12" s="110">
        <f t="shared" si="12"/>
        <v>0.19</v>
      </c>
      <c r="AQ12" s="137" t="s">
        <v>449</v>
      </c>
      <c r="AR12" s="150">
        <v>7.4</v>
      </c>
      <c r="AS12" s="138">
        <v>9.16</v>
      </c>
      <c r="AT12" s="131"/>
      <c r="AU12" s="131">
        <v>6.12</v>
      </c>
      <c r="AV12" s="315">
        <v>302.89999999999998</v>
      </c>
      <c r="AW12" s="131">
        <v>4.08</v>
      </c>
      <c r="AX12" s="116"/>
      <c r="AY12" s="131"/>
      <c r="AZ12" s="109"/>
      <c r="BA12" s="109">
        <f t="shared" si="13"/>
        <v>228.09900000000002</v>
      </c>
      <c r="BB12" s="115">
        <f t="shared" si="28"/>
        <v>217.18255983801538</v>
      </c>
      <c r="BC12" s="140">
        <f t="shared" si="14"/>
        <v>6.080133802816901</v>
      </c>
      <c r="BD12" s="141">
        <f t="shared" si="15"/>
        <v>9.1239600000000003</v>
      </c>
      <c r="BE12" s="128">
        <f t="shared" si="16"/>
        <v>0.91688037542480616</v>
      </c>
      <c r="BF12" s="141">
        <f t="shared" si="17"/>
        <v>15.204093802816901</v>
      </c>
      <c r="BG12" s="535">
        <v>0.92100000000000004</v>
      </c>
      <c r="BH12" s="16">
        <f t="shared" si="29"/>
        <v>1241.7829999999999</v>
      </c>
      <c r="BI12" s="16">
        <f t="shared" si="18"/>
        <v>222.58064516129033</v>
      </c>
      <c r="BJ12" s="16">
        <f t="shared" si="30"/>
        <v>1335.483870967742</v>
      </c>
      <c r="BK12" s="17">
        <f t="shared" si="19"/>
        <v>1</v>
      </c>
      <c r="BL12" s="16">
        <f t="shared" si="31"/>
        <v>1335.483870967742</v>
      </c>
      <c r="BM12" s="249">
        <v>142.77699999999999</v>
      </c>
      <c r="BN12" s="195">
        <v>75.756</v>
      </c>
      <c r="BO12" s="271"/>
      <c r="BP12" s="197">
        <v>285.66199999999998</v>
      </c>
      <c r="BQ12" s="230"/>
      <c r="BR12" s="230"/>
      <c r="BS12" s="250"/>
      <c r="BT12" s="199"/>
      <c r="BU12" s="200">
        <v>0.87</v>
      </c>
      <c r="BV12" s="200"/>
      <c r="BW12" s="200"/>
      <c r="BX12" s="200">
        <v>1.35</v>
      </c>
      <c r="BY12" s="208"/>
      <c r="BZ12" s="208"/>
      <c r="CA12" s="201"/>
      <c r="CB12" s="202">
        <v>35.950000000000003</v>
      </c>
      <c r="CC12" s="200">
        <v>43.1</v>
      </c>
      <c r="CD12" s="200"/>
      <c r="CE12" s="200">
        <v>37.94</v>
      </c>
      <c r="CF12" s="200"/>
      <c r="CG12" s="200"/>
      <c r="CH12" s="200"/>
      <c r="CI12" s="203"/>
      <c r="CJ12" s="204"/>
      <c r="CK12" s="197"/>
      <c r="CL12" s="230">
        <v>202.02</v>
      </c>
      <c r="CM12" s="198">
        <v>99.2</v>
      </c>
      <c r="CN12" s="202"/>
      <c r="CO12" s="202"/>
      <c r="CP12" s="270"/>
      <c r="CQ12" s="201"/>
      <c r="CR12" s="201"/>
      <c r="CS12" s="284"/>
      <c r="CT12" s="286">
        <f t="shared" si="20"/>
        <v>141.53484009999997</v>
      </c>
      <c r="CU12" s="24">
        <f t="shared" si="20"/>
        <v>75.756</v>
      </c>
      <c r="CV12" s="25">
        <f t="shared" si="20"/>
        <v>0</v>
      </c>
      <c r="CW12" s="24">
        <f t="shared" si="20"/>
        <v>281.80556300000001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202.02</v>
      </c>
      <c r="DD12" s="280">
        <f t="shared" si="21"/>
        <v>99.2</v>
      </c>
      <c r="DE12" s="508">
        <f t="shared" si="32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3"/>
        <v>0</v>
      </c>
    </row>
    <row r="13" spans="1:117" ht="16.5" customHeight="1" thickBot="1">
      <c r="A13" s="534">
        <v>7</v>
      </c>
      <c r="B13" s="103">
        <f>'[1]октябрь 20'!K12</f>
        <v>438.05099999999999</v>
      </c>
      <c r="C13" s="104">
        <f t="shared" si="0"/>
        <v>1.889894281716056</v>
      </c>
      <c r="D13" s="448">
        <f t="shared" si="1"/>
        <v>429.77229920000002</v>
      </c>
      <c r="E13" s="104">
        <f t="shared" si="2"/>
        <v>39.092783420195367</v>
      </c>
      <c r="F13" s="128">
        <f t="shared" si="3"/>
        <v>2.1571124511255553</v>
      </c>
      <c r="G13" s="106"/>
      <c r="H13" s="107">
        <f t="shared" si="4"/>
        <v>1.8273561332095261</v>
      </c>
      <c r="I13" s="103">
        <f>'[1]сентябрь 20'!AE12</f>
        <v>0</v>
      </c>
      <c r="J13" s="103">
        <f>'[1]октябрь 20'!AA12</f>
        <v>11.682</v>
      </c>
      <c r="K13" s="106">
        <v>28.7</v>
      </c>
      <c r="L13" s="103">
        <f>'[1]октябрь 20'!AI12</f>
        <v>65.698999999999998</v>
      </c>
      <c r="M13" s="103">
        <f t="shared" si="5"/>
        <v>0.32975631791602877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'[1]октябрь 20'!S12</f>
        <v>268.49900000000002</v>
      </c>
      <c r="S13" s="108">
        <f t="shared" si="6"/>
        <v>2.6663041575573976</v>
      </c>
      <c r="T13" s="109">
        <f t="shared" si="7"/>
        <v>261.34000000000003</v>
      </c>
      <c r="U13" s="106">
        <v>5.78</v>
      </c>
      <c r="V13" s="109">
        <f t="shared" si="8"/>
        <v>261.33999999999997</v>
      </c>
      <c r="W13" s="110">
        <f t="shared" si="9"/>
        <v>1.3117173187441966</v>
      </c>
      <c r="X13" s="110">
        <f t="shared" si="26"/>
        <v>1.3117173187441966</v>
      </c>
      <c r="Y13" s="136">
        <v>199.24</v>
      </c>
      <c r="Z13" s="130">
        <v>199.24</v>
      </c>
      <c r="AA13" s="131">
        <v>0.61</v>
      </c>
      <c r="AB13" s="146">
        <v>606</v>
      </c>
      <c r="AC13" s="147">
        <v>1151</v>
      </c>
      <c r="AD13" s="144" t="s">
        <v>234</v>
      </c>
      <c r="AE13" s="131">
        <v>76.17</v>
      </c>
      <c r="AF13" s="133">
        <v>146</v>
      </c>
      <c r="AG13" s="134">
        <v>4</v>
      </c>
      <c r="AH13" s="131">
        <v>7.55</v>
      </c>
      <c r="AI13" s="115">
        <f t="shared" si="10"/>
        <v>37.894948176776168</v>
      </c>
      <c r="AJ13" s="131">
        <v>120.1</v>
      </c>
      <c r="AK13" s="115">
        <f t="shared" si="11"/>
        <v>602.80573192461156</v>
      </c>
      <c r="AL13" s="131">
        <v>29.47</v>
      </c>
      <c r="AM13" s="116"/>
      <c r="AN13" s="135">
        <v>12.17</v>
      </c>
      <c r="AO13" s="466">
        <f t="shared" si="27"/>
        <v>47.975000000000001</v>
      </c>
      <c r="AP13" s="110">
        <f t="shared" si="12"/>
        <v>0.19</v>
      </c>
      <c r="AQ13" s="137" t="s">
        <v>347</v>
      </c>
      <c r="AR13" s="150">
        <v>6.92</v>
      </c>
      <c r="AS13" s="138">
        <v>8.52</v>
      </c>
      <c r="AT13" s="131"/>
      <c r="AU13" s="131">
        <v>9.02</v>
      </c>
      <c r="AV13" s="315">
        <v>252.5</v>
      </c>
      <c r="AW13" s="131">
        <v>6.88</v>
      </c>
      <c r="AX13" s="148"/>
      <c r="AY13" s="149"/>
      <c r="AZ13" s="109"/>
      <c r="BA13" s="109">
        <f t="shared" si="13"/>
        <v>199.23500000000001</v>
      </c>
      <c r="BB13" s="115">
        <f t="shared" si="28"/>
        <v>192.55965596982571</v>
      </c>
      <c r="BC13" s="140">
        <f t="shared" si="14"/>
        <v>8.3917760563380277</v>
      </c>
      <c r="BD13" s="141">
        <f t="shared" si="15"/>
        <v>7.9694000000000011</v>
      </c>
      <c r="BE13" s="128">
        <f t="shared" si="16"/>
        <v>0.90326373987319175</v>
      </c>
      <c r="BF13" s="141">
        <f t="shared" si="17"/>
        <v>16.361176056338028</v>
      </c>
      <c r="BG13" s="535">
        <v>0.91900000000000004</v>
      </c>
      <c r="BH13" s="16">
        <f t="shared" si="29"/>
        <v>1441.018</v>
      </c>
      <c r="BI13" s="16">
        <f t="shared" si="18"/>
        <v>222.58064516129033</v>
      </c>
      <c r="BJ13" s="16">
        <f t="shared" si="30"/>
        <v>1558.0645161290322</v>
      </c>
      <c r="BK13" s="17">
        <f t="shared" si="19"/>
        <v>1</v>
      </c>
      <c r="BL13" s="16">
        <f t="shared" si="31"/>
        <v>1558.0645161290322</v>
      </c>
      <c r="BM13" s="249">
        <v>124.096</v>
      </c>
      <c r="BN13" s="195">
        <v>65.698999999999998</v>
      </c>
      <c r="BO13" s="266"/>
      <c r="BP13" s="196">
        <v>248.256</v>
      </c>
      <c r="BQ13" s="313"/>
      <c r="BR13" s="230"/>
      <c r="BS13" s="250"/>
      <c r="BT13" s="199"/>
      <c r="BU13" s="200">
        <v>1.99</v>
      </c>
      <c r="BV13" s="200"/>
      <c r="BW13" s="200"/>
      <c r="BX13" s="200">
        <v>2.34</v>
      </c>
      <c r="BY13" s="208"/>
      <c r="BZ13" s="208"/>
      <c r="CA13" s="201"/>
      <c r="CB13" s="202">
        <v>37.76</v>
      </c>
      <c r="CC13" s="200">
        <v>43.17</v>
      </c>
      <c r="CD13" s="202"/>
      <c r="CE13" s="200">
        <v>38.68</v>
      </c>
      <c r="CF13" s="200"/>
      <c r="CG13" s="200"/>
      <c r="CH13" s="200"/>
      <c r="CI13" s="203"/>
      <c r="CJ13" s="204"/>
      <c r="CK13" s="197"/>
      <c r="CL13" s="264">
        <v>159.13999999999999</v>
      </c>
      <c r="CM13" s="265">
        <v>102.2</v>
      </c>
      <c r="CN13" s="202"/>
      <c r="CO13" s="202"/>
      <c r="CP13" s="270"/>
      <c r="CQ13" s="201"/>
      <c r="CR13" s="201"/>
      <c r="CS13" s="284"/>
      <c r="CT13" s="286">
        <f t="shared" si="20"/>
        <v>121.62648960000001</v>
      </c>
      <c r="CU13" s="24">
        <f t="shared" si="20"/>
        <v>65.698999999999998</v>
      </c>
      <c r="CV13" s="25">
        <f t="shared" si="20"/>
        <v>0</v>
      </c>
      <c r="CW13" s="24">
        <f t="shared" si="20"/>
        <v>242.44680959999997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159.13999999999999</v>
      </c>
      <c r="DD13" s="280">
        <f t="shared" si="21"/>
        <v>102.2</v>
      </c>
      <c r="DE13" s="508">
        <f t="shared" si="32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3"/>
        <v>0</v>
      </c>
    </row>
    <row r="14" spans="1:117" ht="16.5" customHeight="1" thickBot="1">
      <c r="A14" s="534">
        <v>8</v>
      </c>
      <c r="B14" s="103">
        <f>'[1]октябрь 20'!K13</f>
        <v>501.31400000000002</v>
      </c>
      <c r="C14" s="104">
        <f>IF(B14=0,0,(BM14*BU14+BN14*BV14+BP14*BX14+BS14*CA14+BO14*BW14+BR14*BZ14+BQ14*BY14)/B14)</f>
        <v>0.94344632306299048</v>
      </c>
      <c r="D14" s="448">
        <f>B14*((100-C14)/100)</f>
        <v>496.58437150000003</v>
      </c>
      <c r="E14" s="104">
        <f>IF(B14=0,0,(BM14*CB14+BN14*CC14+BP14*CE14+BS14*CH14+BO14*CD14+BR14*CG14+BQ14*CF14)/B14)</f>
        <v>38.921344187475313</v>
      </c>
      <c r="F14" s="128">
        <f>IF(BA14=0,0,D14/BA14)</f>
        <v>2.2205723385607419</v>
      </c>
      <c r="G14" s="106"/>
      <c r="H14" s="107">
        <f>IF(BA14=0,0,(CZ14+CW14+CY14+CT14+CX14)/BA14)</f>
        <v>1.8843905374526564</v>
      </c>
      <c r="I14" s="103">
        <f>'[1]сентябрь 20'!AE13</f>
        <v>0</v>
      </c>
      <c r="J14" s="103">
        <f>'[1]октябрь 20'!AA13</f>
        <v>13.449</v>
      </c>
      <c r="K14" s="106">
        <v>39.130000000000003</v>
      </c>
      <c r="L14" s="103">
        <f>'[1]октябрь 20'!AI13</f>
        <v>75.180000000000007</v>
      </c>
      <c r="M14" s="103">
        <f>IF(BA14=0,0,(CV14+CU14)/BA14)</f>
        <v>0.33618180110808538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'[1]октябрь 20'!S13</f>
        <v>311.69900000000001</v>
      </c>
      <c r="S14" s="108">
        <f>IF(R14=0,0,(1-(V14/R14))*100)</f>
        <v>2.8261239208338895</v>
      </c>
      <c r="T14" s="109">
        <f>R14*((100-S14)/100)</f>
        <v>302.89</v>
      </c>
      <c r="U14" s="106"/>
      <c r="V14" s="109">
        <f>CJ14+CK14+CM14+CL14</f>
        <v>302.89</v>
      </c>
      <c r="W14" s="110">
        <f>IF(BA14=0,0,T14/BA14)</f>
        <v>1.354430775972705</v>
      </c>
      <c r="X14" s="110">
        <f t="shared" si="26"/>
        <v>1.354430775972705</v>
      </c>
      <c r="Y14" s="136">
        <v>223.63</v>
      </c>
      <c r="Z14" s="130">
        <v>223.63</v>
      </c>
      <c r="AA14" s="131">
        <v>0.32</v>
      </c>
      <c r="AB14" s="146">
        <v>621</v>
      </c>
      <c r="AC14" s="147">
        <v>1151</v>
      </c>
      <c r="AD14" s="144" t="s">
        <v>450</v>
      </c>
      <c r="AE14" s="131">
        <v>76.36</v>
      </c>
      <c r="AF14" s="133">
        <v>167</v>
      </c>
      <c r="AG14" s="134">
        <v>5</v>
      </c>
      <c r="AH14" s="131"/>
      <c r="AI14" s="115">
        <f t="shared" si="10"/>
        <v>0</v>
      </c>
      <c r="AJ14" s="131">
        <v>145.15</v>
      </c>
      <c r="AK14" s="115">
        <f>IF(BA14=0,0,AJ14/BA14*1000)</f>
        <v>649.06608713538958</v>
      </c>
      <c r="AL14" s="131">
        <v>31.65</v>
      </c>
      <c r="AM14" s="116"/>
      <c r="AN14" s="135">
        <v>20.72</v>
      </c>
      <c r="AO14" s="466">
        <f t="shared" si="27"/>
        <v>56.220999999999997</v>
      </c>
      <c r="AP14" s="110">
        <f>IF(AO14=0,0,AO14/AV14)</f>
        <v>0.19</v>
      </c>
      <c r="AQ14" s="137" t="s">
        <v>442</v>
      </c>
      <c r="AR14" s="150">
        <v>6.72</v>
      </c>
      <c r="AS14" s="138">
        <v>8.39</v>
      </c>
      <c r="AT14" s="131"/>
      <c r="AU14" s="131">
        <v>7.78</v>
      </c>
      <c r="AV14" s="315">
        <v>295.89999999999998</v>
      </c>
      <c r="AW14" s="131">
        <v>4.67</v>
      </c>
      <c r="AX14" s="148"/>
      <c r="AY14" s="149"/>
      <c r="AZ14" s="109"/>
      <c r="BA14" s="109">
        <f>AV14-AO14-AN14+AY14+AW14</f>
        <v>223.62899999999996</v>
      </c>
      <c r="BB14" s="115">
        <f>IF(AE14=0,0,((D14*0.97)*(E14/100)*0.9)/(AE14/100))</f>
        <v>220.96790693597418</v>
      </c>
      <c r="BC14" s="140">
        <f>(AJ14*AU14)/100*(55/71)</f>
        <v>8.7478429577464798</v>
      </c>
      <c r="BD14" s="141">
        <f>BA14*$BD$6</f>
        <v>8.9451599999999996</v>
      </c>
      <c r="BE14" s="128">
        <f>IF((D14*E14)=0,0,(BA14*AE14)/(D14*E14))</f>
        <v>0.88351344639639318</v>
      </c>
      <c r="BF14" s="141">
        <f>BC14+BD14</f>
        <v>17.693002957746479</v>
      </c>
      <c r="BG14" s="535">
        <v>0.91400000000000003</v>
      </c>
      <c r="BH14" s="16">
        <f>BH13+BA14</f>
        <v>1664.6469999999999</v>
      </c>
      <c r="BI14" s="16">
        <f>IF(A14&lt;=$BG$43,$AV$43,0)</f>
        <v>222.58064516129033</v>
      </c>
      <c r="BJ14" s="16">
        <f>BI14+BJ13</f>
        <v>1780.6451612903224</v>
      </c>
      <c r="BK14" s="17">
        <f>IF(BA14&lt;&gt;0,1,0)</f>
        <v>1</v>
      </c>
      <c r="BL14" s="16">
        <f>BL13+BI14*BK14</f>
        <v>1780.6451612903224</v>
      </c>
      <c r="BM14" s="249">
        <v>141.92699999999999</v>
      </c>
      <c r="BN14" s="195">
        <v>75.180000000000007</v>
      </c>
      <c r="BO14" s="266"/>
      <c r="BP14" s="196">
        <v>284.20699999999999</v>
      </c>
      <c r="BQ14" s="313"/>
      <c r="BR14" s="230"/>
      <c r="BS14" s="250"/>
      <c r="BT14" s="199"/>
      <c r="BU14" s="200">
        <v>1.37</v>
      </c>
      <c r="BV14" s="200"/>
      <c r="BW14" s="200"/>
      <c r="BX14" s="200">
        <v>0.98</v>
      </c>
      <c r="BY14" s="208"/>
      <c r="BZ14" s="208"/>
      <c r="CA14" s="201"/>
      <c r="CB14" s="202">
        <v>37.61</v>
      </c>
      <c r="CC14" s="200">
        <v>43.33</v>
      </c>
      <c r="CD14" s="202"/>
      <c r="CE14" s="200">
        <v>38.409999999999997</v>
      </c>
      <c r="CF14" s="200"/>
      <c r="CG14" s="200"/>
      <c r="CH14" s="200"/>
      <c r="CI14" s="203"/>
      <c r="CJ14" s="204"/>
      <c r="CK14" s="197"/>
      <c r="CL14" s="264">
        <v>185.99</v>
      </c>
      <c r="CM14" s="265">
        <v>116.9</v>
      </c>
      <c r="CN14" s="202"/>
      <c r="CO14" s="202"/>
      <c r="CP14" s="270"/>
      <c r="CQ14" s="201"/>
      <c r="CR14" s="201"/>
      <c r="CS14" s="284"/>
      <c r="CT14" s="286">
        <f t="shared" si="20"/>
        <v>139.98260009999998</v>
      </c>
      <c r="CU14" s="27">
        <f t="shared" si="20"/>
        <v>75.180000000000007</v>
      </c>
      <c r="CV14" s="28">
        <f t="shared" si="20"/>
        <v>0</v>
      </c>
      <c r="CW14" s="27">
        <f t="shared" si="20"/>
        <v>281.42177140000001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185.99</v>
      </c>
      <c r="DD14" s="280">
        <f t="shared" si="21"/>
        <v>116.9</v>
      </c>
      <c r="DE14" s="508">
        <f t="shared" si="32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3"/>
        <v>0</v>
      </c>
    </row>
    <row r="15" spans="1:117" ht="16.5" customHeight="1" thickBot="1">
      <c r="A15" s="536">
        <v>9</v>
      </c>
      <c r="B15" s="103">
        <f>'[1]октябрь 20'!K14</f>
        <v>443.93799999999999</v>
      </c>
      <c r="C15" s="104">
        <f t="shared" si="0"/>
        <v>0.73117500641981537</v>
      </c>
      <c r="D15" s="448">
        <f t="shared" si="1"/>
        <v>440.69203629999998</v>
      </c>
      <c r="E15" s="104">
        <f t="shared" si="2"/>
        <v>39.099421428217454</v>
      </c>
      <c r="F15" s="128">
        <f t="shared" si="3"/>
        <v>2.1266508687479941</v>
      </c>
      <c r="G15" s="106"/>
      <c r="H15" s="107">
        <f t="shared" si="4"/>
        <v>1.805760622226726</v>
      </c>
      <c r="I15" s="103">
        <f>'[1]сентябрь 20'!AE14</f>
        <v>0</v>
      </c>
      <c r="J15" s="103">
        <f>'[1]октябрь 20'!AA14</f>
        <v>11.879</v>
      </c>
      <c r="K15" s="106">
        <v>20.88</v>
      </c>
      <c r="L15" s="103">
        <f>'[1]октябрь 20'!AI14</f>
        <v>66.495999999999995</v>
      </c>
      <c r="M15" s="103">
        <f t="shared" si="5"/>
        <v>0.32089024652126802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'[1]октябрь 20'!S14</f>
        <v>281.63499999999999</v>
      </c>
      <c r="S15" s="108">
        <f t="shared" si="6"/>
        <v>2.8813890319030033</v>
      </c>
      <c r="T15" s="109">
        <f t="shared" si="7"/>
        <v>273.52</v>
      </c>
      <c r="U15" s="106">
        <v>20.5</v>
      </c>
      <c r="V15" s="109">
        <f t="shared" si="8"/>
        <v>273.52</v>
      </c>
      <c r="W15" s="110">
        <f t="shared" si="9"/>
        <v>1.3199275178732139</v>
      </c>
      <c r="X15" s="110">
        <f t="shared" si="26"/>
        <v>1.3199275178732139</v>
      </c>
      <c r="Y15" s="136">
        <v>207.22</v>
      </c>
      <c r="Z15" s="130">
        <v>207.22</v>
      </c>
      <c r="AA15" s="131">
        <v>0.44</v>
      </c>
      <c r="AB15" s="112">
        <v>660</v>
      </c>
      <c r="AC15" s="133">
        <v>1137</v>
      </c>
      <c r="AD15" s="144" t="s">
        <v>163</v>
      </c>
      <c r="AE15" s="131">
        <v>76.27</v>
      </c>
      <c r="AF15" s="133">
        <v>148</v>
      </c>
      <c r="AG15" s="134">
        <v>5</v>
      </c>
      <c r="AH15" s="131">
        <v>4.6500000000000004</v>
      </c>
      <c r="AI15" s="115">
        <f t="shared" si="10"/>
        <v>22.439539917046087</v>
      </c>
      <c r="AJ15" s="131">
        <v>129.35</v>
      </c>
      <c r="AK15" s="115">
        <f t="shared" si="11"/>
        <v>624.20526629460448</v>
      </c>
      <c r="AL15" s="131">
        <v>33.82</v>
      </c>
      <c r="AM15" s="116"/>
      <c r="AN15" s="135">
        <v>15.07</v>
      </c>
      <c r="AO15" s="466">
        <f t="shared" si="27"/>
        <v>51.176500000000004</v>
      </c>
      <c r="AP15" s="110">
        <f t="shared" si="12"/>
        <v>0.19</v>
      </c>
      <c r="AQ15" s="137" t="s">
        <v>451</v>
      </c>
      <c r="AR15" s="150">
        <v>6.66</v>
      </c>
      <c r="AS15" s="138">
        <v>8.1</v>
      </c>
      <c r="AT15" s="131"/>
      <c r="AU15" s="131">
        <v>8.1199999999999992</v>
      </c>
      <c r="AV15" s="315">
        <v>269.35000000000002</v>
      </c>
      <c r="AW15" s="131">
        <v>4.12</v>
      </c>
      <c r="AX15" s="116"/>
      <c r="AY15" s="131"/>
      <c r="AZ15" s="109"/>
      <c r="BA15" s="109">
        <f t="shared" si="13"/>
        <v>207.22350000000003</v>
      </c>
      <c r="BB15" s="115">
        <f t="shared" si="28"/>
        <v>197.22684652077058</v>
      </c>
      <c r="BC15" s="140">
        <f t="shared" si="14"/>
        <v>8.1362971830985895</v>
      </c>
      <c r="BD15" s="141">
        <f t="shared" si="15"/>
        <v>8.288940000000002</v>
      </c>
      <c r="BE15" s="128">
        <f t="shared" si="16"/>
        <v>0.91724893791752748</v>
      </c>
      <c r="BF15" s="141">
        <f t="shared" si="17"/>
        <v>16.425237183098591</v>
      </c>
      <c r="BG15" s="535">
        <v>0.91400000000000003</v>
      </c>
      <c r="BH15" s="16">
        <f t="shared" si="29"/>
        <v>1871.8705</v>
      </c>
      <c r="BI15" s="16">
        <f t="shared" si="18"/>
        <v>222.58064516129033</v>
      </c>
      <c r="BJ15" s="16">
        <f t="shared" si="30"/>
        <v>2003.2258064516127</v>
      </c>
      <c r="BK15" s="17">
        <f t="shared" si="19"/>
        <v>1</v>
      </c>
      <c r="BL15" s="16">
        <f t="shared" si="31"/>
        <v>2003.2258064516127</v>
      </c>
      <c r="BM15" s="249">
        <v>125.789</v>
      </c>
      <c r="BN15" s="195">
        <v>66.495999999999995</v>
      </c>
      <c r="BO15" s="197"/>
      <c r="BP15" s="197">
        <v>251.65299999999999</v>
      </c>
      <c r="BQ15" s="230"/>
      <c r="BR15" s="195"/>
      <c r="BS15" s="329"/>
      <c r="BT15" s="199"/>
      <c r="BU15" s="200">
        <v>0.96</v>
      </c>
      <c r="BV15" s="200"/>
      <c r="BW15" s="200"/>
      <c r="BX15" s="200">
        <v>0.81</v>
      </c>
      <c r="BY15" s="208"/>
      <c r="BZ15" s="208"/>
      <c r="CA15" s="330"/>
      <c r="CB15" s="202">
        <v>37.770000000000003</v>
      </c>
      <c r="CC15" s="200">
        <v>43.58</v>
      </c>
      <c r="CD15" s="200"/>
      <c r="CE15" s="200">
        <v>38.58</v>
      </c>
      <c r="CF15" s="200"/>
      <c r="CG15" s="200"/>
      <c r="CH15" s="200"/>
      <c r="CI15" s="203"/>
      <c r="CJ15" s="204"/>
      <c r="CK15" s="230"/>
      <c r="CL15" s="266">
        <v>165.92</v>
      </c>
      <c r="CM15" s="265">
        <v>107.6</v>
      </c>
      <c r="CN15" s="202"/>
      <c r="CO15" s="208"/>
      <c r="CP15" s="208"/>
      <c r="CQ15" s="201"/>
      <c r="CR15" s="201"/>
      <c r="CS15" s="284"/>
      <c r="CT15" s="286">
        <f t="shared" si="20"/>
        <v>124.5814256</v>
      </c>
      <c r="CU15" s="29">
        <f t="shared" si="20"/>
        <v>66.495999999999995</v>
      </c>
      <c r="CV15" s="30">
        <f t="shared" si="20"/>
        <v>0</v>
      </c>
      <c r="CW15" s="29">
        <f t="shared" si="20"/>
        <v>249.61461069999999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165.92</v>
      </c>
      <c r="DD15" s="280">
        <f t="shared" si="21"/>
        <v>107.6</v>
      </c>
      <c r="DE15" s="508">
        <f t="shared" si="32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3"/>
        <v>0</v>
      </c>
    </row>
    <row r="16" spans="1:117" ht="16.5" customHeight="1" thickBot="1">
      <c r="A16" s="534">
        <v>10</v>
      </c>
      <c r="B16" s="103">
        <f>'[1]октябрь 20'!K15</f>
        <v>480.04599999999999</v>
      </c>
      <c r="C16" s="104">
        <f t="shared" si="0"/>
        <v>0.63470234102565182</v>
      </c>
      <c r="D16" s="448">
        <f t="shared" si="1"/>
        <v>476.99913679999997</v>
      </c>
      <c r="E16" s="104">
        <f t="shared" si="2"/>
        <v>38.730549572332656</v>
      </c>
      <c r="F16" s="128">
        <f t="shared" si="3"/>
        <v>3.0687026299536799</v>
      </c>
      <c r="G16" s="106"/>
      <c r="H16" s="107">
        <f t="shared" si="4"/>
        <v>2.6056300617601651</v>
      </c>
      <c r="I16" s="103">
        <f>'[1]сентябрь 20'!AE15</f>
        <v>0</v>
      </c>
      <c r="J16" s="103">
        <f>'[1]октябрь 20'!AA15</f>
        <v>11.202999999999999</v>
      </c>
      <c r="K16" s="106">
        <v>45.28</v>
      </c>
      <c r="L16" s="103">
        <f>'[1]октябрь 20'!AI15</f>
        <v>71.98</v>
      </c>
      <c r="M16" s="103">
        <f t="shared" si="5"/>
        <v>0.46307256819351522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'[1]октябрь 20'!S15</f>
        <v>301.69600000000003</v>
      </c>
      <c r="S16" s="108">
        <f t="shared" si="6"/>
        <v>2.8028213831141291</v>
      </c>
      <c r="T16" s="109">
        <f t="shared" si="7"/>
        <v>293.24</v>
      </c>
      <c r="U16" s="566">
        <v>24.74</v>
      </c>
      <c r="V16" s="109">
        <f t="shared" si="8"/>
        <v>293.24</v>
      </c>
      <c r="W16" s="110">
        <f t="shared" si="9"/>
        <v>1.8865156973751931</v>
      </c>
      <c r="X16" s="110">
        <f t="shared" si="26"/>
        <v>1.8865156973751931</v>
      </c>
      <c r="Y16" s="136">
        <v>155.44</v>
      </c>
      <c r="Z16" s="130">
        <v>94.48</v>
      </c>
      <c r="AA16" s="131">
        <v>0.91</v>
      </c>
      <c r="AB16" s="112">
        <v>660</v>
      </c>
      <c r="AC16" s="133">
        <v>1164</v>
      </c>
      <c r="AD16" s="144" t="s">
        <v>252</v>
      </c>
      <c r="AE16" s="131">
        <v>76.69</v>
      </c>
      <c r="AF16" s="133">
        <v>160</v>
      </c>
      <c r="AG16" s="134">
        <v>5</v>
      </c>
      <c r="AH16" s="131"/>
      <c r="AI16" s="115">
        <f t="shared" si="10"/>
        <v>0</v>
      </c>
      <c r="AJ16" s="131">
        <v>116.95</v>
      </c>
      <c r="AK16" s="115">
        <f t="shared" si="11"/>
        <v>752.38033968090588</v>
      </c>
      <c r="AL16" s="139">
        <v>32.700000000000003</v>
      </c>
      <c r="AM16" s="131"/>
      <c r="AN16" s="136">
        <v>12.11</v>
      </c>
      <c r="AO16" s="466">
        <v>126.93</v>
      </c>
      <c r="AP16" s="110">
        <f t="shared" si="12"/>
        <v>0.43950831024930748</v>
      </c>
      <c r="AQ16" s="137" t="s">
        <v>452</v>
      </c>
      <c r="AR16" s="150">
        <v>7.89</v>
      </c>
      <c r="AS16" s="138">
        <v>8.82</v>
      </c>
      <c r="AT16" s="131"/>
      <c r="AU16" s="131">
        <v>6.17</v>
      </c>
      <c r="AV16" s="315">
        <v>288.8</v>
      </c>
      <c r="AW16" s="131">
        <v>5.68</v>
      </c>
      <c r="AX16" s="116"/>
      <c r="AY16" s="131"/>
      <c r="AZ16" s="109"/>
      <c r="BA16" s="109">
        <f t="shared" si="13"/>
        <v>155.44</v>
      </c>
      <c r="BB16" s="115">
        <f t="shared" si="28"/>
        <v>210.30362494641628</v>
      </c>
      <c r="BC16" s="140">
        <f t="shared" si="14"/>
        <v>5.5897158450704225</v>
      </c>
      <c r="BD16" s="141">
        <f t="shared" si="15"/>
        <v>6.2176</v>
      </c>
      <c r="BE16" s="128">
        <f t="shared" si="16"/>
        <v>0.6452533570668364</v>
      </c>
      <c r="BF16" s="141">
        <f t="shared" si="17"/>
        <v>11.807315845070423</v>
      </c>
      <c r="BG16" s="535">
        <v>0.88600000000000001</v>
      </c>
      <c r="BH16" s="16">
        <f t="shared" si="29"/>
        <v>2027.3105</v>
      </c>
      <c r="BI16" s="16">
        <f t="shared" si="18"/>
        <v>222.58064516129033</v>
      </c>
      <c r="BJ16" s="16">
        <f t="shared" si="30"/>
        <v>2225.8064516129029</v>
      </c>
      <c r="BK16" s="17">
        <f t="shared" si="19"/>
        <v>1</v>
      </c>
      <c r="BL16" s="16">
        <f t="shared" si="31"/>
        <v>2225.8064516129029</v>
      </c>
      <c r="BM16" s="249">
        <v>135.98500000000001</v>
      </c>
      <c r="BN16" s="195">
        <v>71.98</v>
      </c>
      <c r="BO16" s="195"/>
      <c r="BP16" s="197">
        <v>272.08100000000002</v>
      </c>
      <c r="BQ16" s="230"/>
      <c r="BR16" s="230"/>
      <c r="BS16" s="250"/>
      <c r="BT16" s="199"/>
      <c r="BU16" s="200">
        <v>0.8</v>
      </c>
      <c r="BV16" s="200"/>
      <c r="BW16" s="200"/>
      <c r="BX16" s="200">
        <v>0.72</v>
      </c>
      <c r="BY16" s="208"/>
      <c r="BZ16" s="208"/>
      <c r="CA16" s="201"/>
      <c r="CB16" s="202">
        <v>37.43</v>
      </c>
      <c r="CC16" s="200">
        <v>43.76</v>
      </c>
      <c r="CD16" s="200"/>
      <c r="CE16" s="200">
        <v>38.049999999999997</v>
      </c>
      <c r="CF16" s="200"/>
      <c r="CG16" s="200"/>
      <c r="CH16" s="200"/>
      <c r="CI16" s="203"/>
      <c r="CJ16" s="204"/>
      <c r="CK16" s="230"/>
      <c r="CL16" s="266">
        <v>156.04</v>
      </c>
      <c r="CM16" s="265">
        <v>137.19999999999999</v>
      </c>
      <c r="CN16" s="202"/>
      <c r="CO16" s="208"/>
      <c r="CP16" s="208"/>
      <c r="CQ16" s="201"/>
      <c r="CR16" s="201"/>
      <c r="CS16" s="284"/>
      <c r="CT16" s="286">
        <f t="shared" si="20"/>
        <v>134.89712</v>
      </c>
      <c r="CU16" s="24">
        <f t="shared" si="20"/>
        <v>71.98</v>
      </c>
      <c r="CV16" s="25">
        <f t="shared" si="20"/>
        <v>0</v>
      </c>
      <c r="CW16" s="24">
        <f t="shared" si="20"/>
        <v>270.12201680000004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156.04</v>
      </c>
      <c r="DD16" s="280">
        <f t="shared" si="21"/>
        <v>137.19999999999999</v>
      </c>
      <c r="DE16" s="508">
        <f t="shared" si="32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3"/>
        <v>0</v>
      </c>
    </row>
    <row r="17" spans="1:115" ht="16.5" customHeight="1" thickBot="1">
      <c r="A17" s="534">
        <v>11</v>
      </c>
      <c r="B17" s="103">
        <f>'[1]октябрь 20'!K16</f>
        <v>474.06200000000001</v>
      </c>
      <c r="C17" s="104">
        <f t="shared" si="0"/>
        <v>0.72538347304782924</v>
      </c>
      <c r="D17" s="448">
        <f t="shared" si="1"/>
        <v>470.62323260000005</v>
      </c>
      <c r="E17" s="104">
        <f t="shared" si="2"/>
        <v>39.156737177837499</v>
      </c>
      <c r="F17" s="128">
        <f t="shared" si="3"/>
        <v>2.197536100896762</v>
      </c>
      <c r="G17" s="106"/>
      <c r="H17" s="107">
        <f t="shared" si="4"/>
        <v>1.8656246050256937</v>
      </c>
      <c r="I17" s="103">
        <f>'[1]сентябрь 20'!AE16</f>
        <v>0</v>
      </c>
      <c r="J17" s="103">
        <f>'[1]октябрь 20'!AA16</f>
        <v>11.458</v>
      </c>
      <c r="K17" s="106">
        <v>30.57</v>
      </c>
      <c r="L17" s="103">
        <f>'[1]октябрь 20'!AI16</f>
        <v>71.081999999999994</v>
      </c>
      <c r="M17" s="103">
        <f t="shared" si="5"/>
        <v>0.33191149587106805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'[1]октябрь 20'!S16</f>
        <v>298.94499999999999</v>
      </c>
      <c r="S17" s="108">
        <f t="shared" si="6"/>
        <v>3.1661342387395597</v>
      </c>
      <c r="T17" s="109">
        <f t="shared" si="7"/>
        <v>289.48</v>
      </c>
      <c r="U17" s="106"/>
      <c r="V17" s="109">
        <f t="shared" si="8"/>
        <v>289.48</v>
      </c>
      <c r="W17" s="110">
        <f t="shared" si="9"/>
        <v>1.3517028196274274</v>
      </c>
      <c r="X17" s="110">
        <f t="shared" si="26"/>
        <v>1.3517028196274274</v>
      </c>
      <c r="Y17" s="136">
        <v>214.16</v>
      </c>
      <c r="Z17" s="130">
        <v>214.16</v>
      </c>
      <c r="AA17" s="131">
        <v>0.63</v>
      </c>
      <c r="AB17" s="112">
        <v>667</v>
      </c>
      <c r="AC17" s="133">
        <v>1152</v>
      </c>
      <c r="AD17" s="144" t="s">
        <v>176</v>
      </c>
      <c r="AE17" s="131">
        <v>76.23</v>
      </c>
      <c r="AF17" s="133">
        <v>158</v>
      </c>
      <c r="AG17" s="134">
        <v>5</v>
      </c>
      <c r="AH17" s="131">
        <v>8.9499999999999993</v>
      </c>
      <c r="AI17" s="115">
        <f t="shared" si="10"/>
        <v>41.791281731606581</v>
      </c>
      <c r="AJ17" s="131">
        <v>128.4</v>
      </c>
      <c r="AK17" s="115">
        <f t="shared" si="11"/>
        <v>599.55313679757387</v>
      </c>
      <c r="AL17" s="139">
        <v>32.89</v>
      </c>
      <c r="AM17" s="131"/>
      <c r="AN17" s="136">
        <v>14.18</v>
      </c>
      <c r="AO17" s="466">
        <f t="shared" si="27"/>
        <v>52.810499999999998</v>
      </c>
      <c r="AP17" s="110">
        <f t="shared" si="12"/>
        <v>0.19</v>
      </c>
      <c r="AQ17" s="137" t="s">
        <v>145</v>
      </c>
      <c r="AR17" s="150">
        <v>7.14</v>
      </c>
      <c r="AS17" s="138">
        <v>8.42</v>
      </c>
      <c r="AT17" s="131"/>
      <c r="AU17" s="131">
        <v>7.34</v>
      </c>
      <c r="AV17" s="315">
        <v>277.95</v>
      </c>
      <c r="AW17" s="131">
        <v>3.2</v>
      </c>
      <c r="AX17" s="116"/>
      <c r="AY17" s="131"/>
      <c r="AZ17" s="109"/>
      <c r="BA17" s="109">
        <f t="shared" si="13"/>
        <v>214.15949999999998</v>
      </c>
      <c r="BB17" s="115">
        <f t="shared" si="28"/>
        <v>211.04165433106741</v>
      </c>
      <c r="BC17" s="140">
        <f t="shared" si="14"/>
        <v>7.300715492957746</v>
      </c>
      <c r="BD17" s="141">
        <f t="shared" si="15"/>
        <v>8.5663799999999988</v>
      </c>
      <c r="BE17" s="128">
        <f t="shared" si="16"/>
        <v>0.88589735563154859</v>
      </c>
      <c r="BF17" s="141">
        <f t="shared" si="17"/>
        <v>15.867095492957745</v>
      </c>
      <c r="BG17" s="535">
        <v>0.88600000000000001</v>
      </c>
      <c r="BH17" s="16">
        <f t="shared" si="29"/>
        <v>2241.4700000000003</v>
      </c>
      <c r="BI17" s="16">
        <f t="shared" si="18"/>
        <v>222.58064516129033</v>
      </c>
      <c r="BJ17" s="16">
        <f t="shared" si="30"/>
        <v>2448.3870967741932</v>
      </c>
      <c r="BK17" s="17">
        <f t="shared" si="19"/>
        <v>1</v>
      </c>
      <c r="BL17" s="16">
        <f t="shared" si="31"/>
        <v>2448.3870967741932</v>
      </c>
      <c r="BM17" s="249">
        <v>134.303</v>
      </c>
      <c r="BN17" s="195">
        <v>71.081999999999994</v>
      </c>
      <c r="BO17" s="195"/>
      <c r="BP17" s="197">
        <v>268.67700000000002</v>
      </c>
      <c r="BQ17" s="230"/>
      <c r="BR17" s="230"/>
      <c r="BS17" s="250"/>
      <c r="BT17" s="199"/>
      <c r="BU17" s="200">
        <v>0.84</v>
      </c>
      <c r="BV17" s="200"/>
      <c r="BW17" s="200"/>
      <c r="BX17" s="200">
        <v>0.86</v>
      </c>
      <c r="BY17" s="208"/>
      <c r="BZ17" s="208"/>
      <c r="CA17" s="201"/>
      <c r="CB17" s="202">
        <v>38.090000000000003</v>
      </c>
      <c r="CC17" s="200">
        <v>43.39</v>
      </c>
      <c r="CD17" s="200"/>
      <c r="CE17" s="200">
        <v>38.57</v>
      </c>
      <c r="CF17" s="208"/>
      <c r="CG17" s="208"/>
      <c r="CH17" s="201"/>
      <c r="CI17" s="199"/>
      <c r="CJ17" s="197"/>
      <c r="CK17" s="244"/>
      <c r="CL17" s="266">
        <v>147.28</v>
      </c>
      <c r="CM17" s="265">
        <v>142.19999999999999</v>
      </c>
      <c r="CN17" s="231"/>
      <c r="CO17" s="208"/>
      <c r="CP17" s="208"/>
      <c r="CQ17" s="201"/>
      <c r="CR17" s="201"/>
      <c r="CS17" s="284"/>
      <c r="CT17" s="286">
        <f t="shared" si="20"/>
        <v>133.17485479999999</v>
      </c>
      <c r="CU17" s="24">
        <f t="shared" si="20"/>
        <v>71.081999999999994</v>
      </c>
      <c r="CV17" s="25">
        <f t="shared" si="20"/>
        <v>0</v>
      </c>
      <c r="CW17" s="24">
        <f t="shared" si="20"/>
        <v>266.36637780000001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147.28</v>
      </c>
      <c r="DD17" s="280">
        <f t="shared" si="21"/>
        <v>142.19999999999999</v>
      </c>
      <c r="DE17" s="508">
        <f t="shared" si="32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3"/>
        <v>0</v>
      </c>
    </row>
    <row r="18" spans="1:115" ht="16.5" customHeight="1" thickBot="1">
      <c r="A18" s="534">
        <v>12</v>
      </c>
      <c r="B18" s="103">
        <f>'[1]октябрь 20'!K17</f>
        <v>497.798</v>
      </c>
      <c r="C18" s="104">
        <f t="shared" si="0"/>
        <v>0.87623724884390863</v>
      </c>
      <c r="D18" s="143">
        <f t="shared" si="1"/>
        <v>493.43610850000005</v>
      </c>
      <c r="E18" s="104">
        <f t="shared" si="2"/>
        <v>39.350589556406419</v>
      </c>
      <c r="F18" s="128">
        <f t="shared" si="3"/>
        <v>2.2043946556052934</v>
      </c>
      <c r="G18" s="106"/>
      <c r="H18" s="107">
        <f t="shared" si="4"/>
        <v>1.8485945823393288</v>
      </c>
      <c r="I18" s="103">
        <f>'[1]сентябрь 20'!AE17</f>
        <v>0</v>
      </c>
      <c r="J18" s="103">
        <f>'[1]октябрь 20'!AA17</f>
        <v>12.207000000000001</v>
      </c>
      <c r="K18" s="106"/>
      <c r="L18" s="103">
        <f>'[1]октябрь 20'!AI17</f>
        <v>79.643000000000001</v>
      </c>
      <c r="M18" s="103">
        <f t="shared" si="5"/>
        <v>0.35580007326596441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'[1]октябрь 20'!S17</f>
        <v>315.02499999999998</v>
      </c>
      <c r="S18" s="108">
        <f t="shared" si="6"/>
        <v>3.5695579715895542</v>
      </c>
      <c r="T18" s="109">
        <f t="shared" si="7"/>
        <v>303.77999999999997</v>
      </c>
      <c r="U18" s="566">
        <v>28.92</v>
      </c>
      <c r="V18" s="109">
        <f t="shared" si="8"/>
        <v>303.77999999999997</v>
      </c>
      <c r="W18" s="110">
        <f t="shared" si="9"/>
        <v>1.3571179671375344</v>
      </c>
      <c r="X18" s="110">
        <f t="shared" si="26"/>
        <v>1.3571179671375344</v>
      </c>
      <c r="Y18" s="136">
        <v>223.84</v>
      </c>
      <c r="Z18" s="130">
        <v>178.03</v>
      </c>
      <c r="AA18" s="131">
        <v>0.67</v>
      </c>
      <c r="AB18" s="112">
        <v>626</v>
      </c>
      <c r="AC18" s="133">
        <v>1148</v>
      </c>
      <c r="AD18" s="144" t="s">
        <v>181</v>
      </c>
      <c r="AE18" s="131">
        <v>76.78</v>
      </c>
      <c r="AF18" s="133">
        <v>166</v>
      </c>
      <c r="AG18" s="134">
        <v>5</v>
      </c>
      <c r="AH18" s="131">
        <v>7.8</v>
      </c>
      <c r="AI18" s="115">
        <f t="shared" si="10"/>
        <v>34.846007451684677</v>
      </c>
      <c r="AJ18" s="131">
        <v>135.4</v>
      </c>
      <c r="AK18" s="115">
        <f t="shared" si="11"/>
        <v>604.89094986642363</v>
      </c>
      <c r="AL18" s="139">
        <v>33.64</v>
      </c>
      <c r="AM18" s="131"/>
      <c r="AN18" s="136">
        <v>20.43</v>
      </c>
      <c r="AO18" s="466">
        <f t="shared" si="27"/>
        <v>56.467999999999996</v>
      </c>
      <c r="AP18" s="110">
        <f t="shared" si="12"/>
        <v>0.19</v>
      </c>
      <c r="AQ18" s="137" t="s">
        <v>453</v>
      </c>
      <c r="AR18" s="150">
        <v>6.97</v>
      </c>
      <c r="AS18" s="138">
        <v>8.67</v>
      </c>
      <c r="AT18" s="131"/>
      <c r="AU18" s="131">
        <v>7.8</v>
      </c>
      <c r="AV18" s="315">
        <v>297.2</v>
      </c>
      <c r="AW18" s="131">
        <v>3.54</v>
      </c>
      <c r="AX18" s="116"/>
      <c r="AY18" s="131"/>
      <c r="AZ18" s="109">
        <f t="shared" ref="AZ18:AZ37" si="34">IF(BA18=0,0,AY18/BA18*100)</f>
        <v>0</v>
      </c>
      <c r="BA18" s="109">
        <f t="shared" si="13"/>
        <v>223.84199999999998</v>
      </c>
      <c r="BB18" s="115">
        <f>IF(AE18=0,0,((D18*0.97)*(E18/100)*0.9)/(AE18/100))</f>
        <v>220.77419317662668</v>
      </c>
      <c r="BC18" s="140">
        <f t="shared" si="14"/>
        <v>8.1812112676056348</v>
      </c>
      <c r="BD18" s="141">
        <f t="shared" si="15"/>
        <v>8.9536800000000003</v>
      </c>
      <c r="BE18" s="128">
        <f t="shared" si="16"/>
        <v>0.88513092580373398</v>
      </c>
      <c r="BF18" s="141">
        <f t="shared" si="17"/>
        <v>17.134891267605635</v>
      </c>
      <c r="BG18" s="535">
        <v>0.88600000000000001</v>
      </c>
      <c r="BH18" s="16">
        <f t="shared" si="29"/>
        <v>2465.3120000000004</v>
      </c>
      <c r="BI18" s="16">
        <f t="shared" si="18"/>
        <v>222.58064516129033</v>
      </c>
      <c r="BJ18" s="16">
        <f t="shared" si="30"/>
        <v>2670.9677419354834</v>
      </c>
      <c r="BK18" s="17">
        <f t="shared" si="19"/>
        <v>1</v>
      </c>
      <c r="BL18" s="16">
        <f t="shared" si="31"/>
        <v>2670.9677419354834</v>
      </c>
      <c r="BM18" s="249">
        <v>141.10300000000001</v>
      </c>
      <c r="BN18" s="195">
        <v>79.643000000000001</v>
      </c>
      <c r="BO18" s="195"/>
      <c r="BP18" s="197">
        <v>277.05200000000002</v>
      </c>
      <c r="BQ18" s="230"/>
      <c r="BR18" s="230"/>
      <c r="BS18" s="250"/>
      <c r="BT18" s="199"/>
      <c r="BU18" s="200">
        <v>1.01</v>
      </c>
      <c r="BV18" s="200"/>
      <c r="BW18" s="200"/>
      <c r="BX18" s="200">
        <v>1.06</v>
      </c>
      <c r="BY18" s="208"/>
      <c r="BZ18" s="208"/>
      <c r="CA18" s="201"/>
      <c r="CB18" s="202">
        <v>37.799999999999997</v>
      </c>
      <c r="CC18" s="200">
        <v>43.7</v>
      </c>
      <c r="CD18" s="200"/>
      <c r="CE18" s="200">
        <v>38.89</v>
      </c>
      <c r="CF18" s="208"/>
      <c r="CG18" s="208"/>
      <c r="CH18" s="209"/>
      <c r="CI18" s="199"/>
      <c r="CJ18" s="197"/>
      <c r="CK18" s="268">
        <v>149.4</v>
      </c>
      <c r="CL18" s="289">
        <v>154.38</v>
      </c>
      <c r="CM18" s="267"/>
      <c r="CN18" s="202"/>
      <c r="CO18" s="208"/>
      <c r="CP18" s="208"/>
      <c r="CQ18" s="201"/>
      <c r="CR18" s="201"/>
      <c r="CS18" s="284"/>
      <c r="CT18" s="286">
        <f t="shared" si="20"/>
        <v>139.6778597</v>
      </c>
      <c r="CU18" s="24">
        <f t="shared" si="20"/>
        <v>79.643000000000001</v>
      </c>
      <c r="CV18" s="25">
        <f t="shared" si="20"/>
        <v>0</v>
      </c>
      <c r="CW18" s="24">
        <f t="shared" si="20"/>
        <v>274.11524880000002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149.4</v>
      </c>
      <c r="DC18" s="277">
        <f t="shared" si="21"/>
        <v>154.38</v>
      </c>
      <c r="DD18" s="280">
        <f t="shared" si="21"/>
        <v>0</v>
      </c>
      <c r="DE18" s="508">
        <f t="shared" si="32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3"/>
        <v>0</v>
      </c>
    </row>
    <row r="19" spans="1:115" ht="16.5" customHeight="1" thickBot="1">
      <c r="A19" s="534">
        <v>13</v>
      </c>
      <c r="B19" s="103">
        <f>'[1]октябрь 20'!K18</f>
        <v>455.99200000000002</v>
      </c>
      <c r="C19" s="104">
        <f t="shared" si="0"/>
        <v>0.77082679082089156</v>
      </c>
      <c r="D19" s="143">
        <f t="shared" si="1"/>
        <v>452.47709150000003</v>
      </c>
      <c r="E19" s="104">
        <f>IF(B19=0,0,(BM19*CB19+BN19*CC19+BP19*CE19+BS19*CH19+BO19*CD19+BR19*CG19+BQ19*CF19)/B19)</f>
        <v>38.534129239109454</v>
      </c>
      <c r="F19" s="128">
        <f t="shared" si="3"/>
        <v>2.1533249329580095</v>
      </c>
      <c r="G19" s="106"/>
      <c r="H19" s="107">
        <f t="shared" si="4"/>
        <v>1.7916098953264534</v>
      </c>
      <c r="I19" s="103">
        <f>'[1]сентябрь 20'!AE18</f>
        <v>0</v>
      </c>
      <c r="J19" s="103">
        <f>'[1]октябрь 20'!AA18</f>
        <v>10.647</v>
      </c>
      <c r="K19" s="106">
        <v>35.58</v>
      </c>
      <c r="L19" s="103">
        <f>'[1]октябрь 20'!AI18</f>
        <v>76.007000000000005</v>
      </c>
      <c r="M19" s="103">
        <f t="shared" si="5"/>
        <v>0.36171503763155582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'[1]октябрь 20'!S18</f>
        <v>286.17500000000001</v>
      </c>
      <c r="S19" s="108">
        <f t="shared" si="6"/>
        <v>3.2584956757228944</v>
      </c>
      <c r="T19" s="109">
        <f t="shared" si="7"/>
        <v>276.85000000000002</v>
      </c>
      <c r="U19" s="566">
        <v>4.47</v>
      </c>
      <c r="V19" s="109">
        <f t="shared" si="8"/>
        <v>276.85000000000002</v>
      </c>
      <c r="W19" s="110">
        <f t="shared" si="9"/>
        <v>1.317520862135017</v>
      </c>
      <c r="X19" s="110">
        <f t="shared" si="26"/>
        <v>1.317520862135017</v>
      </c>
      <c r="Y19" s="136">
        <v>168.3</v>
      </c>
      <c r="Z19" s="130">
        <v>116.16</v>
      </c>
      <c r="AA19" s="131">
        <v>0.86</v>
      </c>
      <c r="AB19" s="112">
        <v>663</v>
      </c>
      <c r="AC19" s="133">
        <v>1092</v>
      </c>
      <c r="AD19" s="144" t="s">
        <v>454</v>
      </c>
      <c r="AE19" s="131">
        <v>75.72</v>
      </c>
      <c r="AF19" s="133">
        <v>152</v>
      </c>
      <c r="AG19" s="134">
        <v>5</v>
      </c>
      <c r="AH19" s="131">
        <v>4.7</v>
      </c>
      <c r="AI19" s="115">
        <f t="shared" si="10"/>
        <v>22.367159299384433</v>
      </c>
      <c r="AJ19" s="131">
        <v>110.4</v>
      </c>
      <c r="AK19" s="115">
        <f t="shared" si="11"/>
        <v>525.39029503234917</v>
      </c>
      <c r="AL19" s="139">
        <v>28.23</v>
      </c>
      <c r="AM19" s="131"/>
      <c r="AN19" s="136">
        <v>14.44</v>
      </c>
      <c r="AO19" s="466">
        <f t="shared" si="27"/>
        <v>51.480499999999999</v>
      </c>
      <c r="AP19" s="110">
        <f t="shared" si="12"/>
        <v>0.19</v>
      </c>
      <c r="AQ19" s="137" t="s">
        <v>172</v>
      </c>
      <c r="AR19" s="150">
        <v>6.72</v>
      </c>
      <c r="AS19" s="138">
        <v>8.32</v>
      </c>
      <c r="AT19" s="134"/>
      <c r="AU19" s="131">
        <v>7.35</v>
      </c>
      <c r="AV19" s="315">
        <v>270.95</v>
      </c>
      <c r="AW19" s="131">
        <v>5.0999999999999996</v>
      </c>
      <c r="AX19" s="116"/>
      <c r="AY19" s="131"/>
      <c r="AZ19" s="109">
        <f t="shared" si="34"/>
        <v>0</v>
      </c>
      <c r="BA19" s="109">
        <f t="shared" si="13"/>
        <v>210.12949999999998</v>
      </c>
      <c r="BB19" s="115">
        <f t="shared" si="28"/>
        <v>201.02301584725953</v>
      </c>
      <c r="BC19" s="140">
        <f t="shared" si="14"/>
        <v>6.2858028169014082</v>
      </c>
      <c r="BD19" s="141">
        <f t="shared" si="15"/>
        <v>8.4051799999999997</v>
      </c>
      <c r="BE19" s="128">
        <f t="shared" si="16"/>
        <v>0.91254751465564987</v>
      </c>
      <c r="BF19" s="141">
        <f t="shared" si="17"/>
        <v>14.690982816901407</v>
      </c>
      <c r="BG19" s="535">
        <v>0.88800000000000001</v>
      </c>
      <c r="BH19" s="16">
        <f t="shared" si="29"/>
        <v>2675.4415000000004</v>
      </c>
      <c r="BI19" s="16">
        <f t="shared" si="18"/>
        <v>222.58064516129033</v>
      </c>
      <c r="BJ19" s="16">
        <f t="shared" si="30"/>
        <v>2893.5483870967737</v>
      </c>
      <c r="BK19" s="17">
        <f t="shared" si="19"/>
        <v>1</v>
      </c>
      <c r="BL19" s="16">
        <f t="shared" si="31"/>
        <v>2893.5483870967737</v>
      </c>
      <c r="BM19" s="254">
        <v>129.17599999999999</v>
      </c>
      <c r="BN19" s="197">
        <v>76.007000000000005</v>
      </c>
      <c r="BO19" s="197"/>
      <c r="BP19" s="197">
        <v>250.809</v>
      </c>
      <c r="BQ19" s="230"/>
      <c r="BR19" s="230"/>
      <c r="BS19" s="258"/>
      <c r="BT19" s="199"/>
      <c r="BU19" s="200">
        <v>0.76</v>
      </c>
      <c r="BV19" s="200"/>
      <c r="BW19" s="200"/>
      <c r="BX19" s="200">
        <v>1.01</v>
      </c>
      <c r="BY19" s="208"/>
      <c r="BZ19" s="208"/>
      <c r="CA19" s="201"/>
      <c r="CB19" s="202">
        <v>37.22</v>
      </c>
      <c r="CC19" s="200">
        <v>43.52</v>
      </c>
      <c r="CD19" s="200"/>
      <c r="CE19" s="200">
        <v>37.700000000000003</v>
      </c>
      <c r="CF19" s="208"/>
      <c r="CG19" s="208"/>
      <c r="CH19" s="209"/>
      <c r="CI19" s="199"/>
      <c r="CJ19" s="197"/>
      <c r="CK19" s="197">
        <v>136.80000000000001</v>
      </c>
      <c r="CL19" s="197">
        <v>140.05000000000001</v>
      </c>
      <c r="CM19" s="198"/>
      <c r="CN19" s="202"/>
      <c r="CO19" s="208"/>
      <c r="CP19" s="208"/>
      <c r="CQ19" s="201"/>
      <c r="CR19" s="201"/>
      <c r="CS19" s="284"/>
      <c r="CT19" s="286">
        <f t="shared" si="20"/>
        <v>128.19426239999999</v>
      </c>
      <c r="CU19" s="24">
        <f t="shared" si="20"/>
        <v>76.007000000000005</v>
      </c>
      <c r="CV19" s="25">
        <f t="shared" si="20"/>
        <v>0</v>
      </c>
      <c r="CW19" s="24">
        <f t="shared" si="20"/>
        <v>248.27582910000001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136.80000000000001</v>
      </c>
      <c r="DC19" s="277">
        <f t="shared" si="21"/>
        <v>140.05000000000001</v>
      </c>
      <c r="DD19" s="280">
        <f t="shared" si="21"/>
        <v>0</v>
      </c>
      <c r="DE19" s="508">
        <f t="shared" si="32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3"/>
        <v>0</v>
      </c>
    </row>
    <row r="20" spans="1:115" ht="16.5" customHeight="1" thickBot="1">
      <c r="A20" s="534">
        <v>14</v>
      </c>
      <c r="B20" s="103">
        <f>'[1]октябрь 20'!K19</f>
        <v>279.03399999999999</v>
      </c>
      <c r="C20" s="104">
        <f t="shared" si="0"/>
        <v>0.63837847717482454</v>
      </c>
      <c r="D20" s="143">
        <f t="shared" si="1"/>
        <v>277.25270699999999</v>
      </c>
      <c r="E20" s="104">
        <f t="shared" ref="E20:E27" si="35">IF(B20=0,0,(BM20*CB20+BN20*CC20+BP20*CE20+BS20*CH20+BO20*CD20+BR20*CG20+BQ20*CF20)/B20)</f>
        <v>39.231373416859597</v>
      </c>
      <c r="F20" s="128">
        <f t="shared" si="3"/>
        <v>2.4175044534836574</v>
      </c>
      <c r="G20" s="106"/>
      <c r="H20" s="107">
        <f t="shared" si="4"/>
        <v>2.0121175475539625</v>
      </c>
      <c r="I20" s="103">
        <f>'[1]сентябрь 20'!AE19</f>
        <v>0</v>
      </c>
      <c r="J20" s="103">
        <f>'[1]октябрь 20'!AA19</f>
        <v>6.5819999999999999</v>
      </c>
      <c r="K20" s="106">
        <v>18.48</v>
      </c>
      <c r="L20" s="103">
        <f>'[1]октябрь 20'!AI19</f>
        <v>46.491999999999997</v>
      </c>
      <c r="M20" s="103">
        <f t="shared" si="5"/>
        <v>0.40538690592969467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'[1]октябрь 20'!S19</f>
        <v>178.85900000000001</v>
      </c>
      <c r="S20" s="108">
        <f t="shared" si="6"/>
        <v>3.2813557047730368</v>
      </c>
      <c r="T20" s="109">
        <f t="shared" si="7"/>
        <v>172.99</v>
      </c>
      <c r="U20" s="566">
        <v>1.75</v>
      </c>
      <c r="V20" s="109">
        <f t="shared" si="8"/>
        <v>172.99</v>
      </c>
      <c r="W20" s="110">
        <f t="shared" si="9"/>
        <v>1.5083859773031465</v>
      </c>
      <c r="X20" s="110">
        <f t="shared" si="26"/>
        <v>1.5083859773031465</v>
      </c>
      <c r="Y20" s="136">
        <v>114.69</v>
      </c>
      <c r="Z20" s="130">
        <v>114.69</v>
      </c>
      <c r="AA20" s="131">
        <v>0.6</v>
      </c>
      <c r="AB20" s="112">
        <v>643</v>
      </c>
      <c r="AC20" s="133">
        <v>1049</v>
      </c>
      <c r="AD20" s="151" t="s">
        <v>222</v>
      </c>
      <c r="AE20" s="131">
        <v>76.98</v>
      </c>
      <c r="AF20" s="133">
        <v>94</v>
      </c>
      <c r="AG20" s="134">
        <v>3</v>
      </c>
      <c r="AH20" s="131"/>
      <c r="AI20" s="115">
        <f t="shared" si="10"/>
        <v>0</v>
      </c>
      <c r="AJ20" s="131">
        <v>66.8</v>
      </c>
      <c r="AK20" s="115">
        <f t="shared" si="11"/>
        <v>582.46247346002758</v>
      </c>
      <c r="AL20" s="139">
        <v>16.53</v>
      </c>
      <c r="AM20" s="131"/>
      <c r="AN20" s="136">
        <v>11.18</v>
      </c>
      <c r="AO20" s="466">
        <f t="shared" si="27"/>
        <v>28.794500000000003</v>
      </c>
      <c r="AP20" s="110">
        <f t="shared" si="12"/>
        <v>0.19</v>
      </c>
      <c r="AQ20" s="137" t="s">
        <v>364</v>
      </c>
      <c r="AR20" s="150">
        <v>6.91</v>
      </c>
      <c r="AS20" s="138">
        <v>9.06</v>
      </c>
      <c r="AT20" s="131"/>
      <c r="AU20" s="131">
        <v>6.96</v>
      </c>
      <c r="AV20" s="315">
        <v>151.55000000000001</v>
      </c>
      <c r="AW20" s="131">
        <v>3.11</v>
      </c>
      <c r="AX20" s="148"/>
      <c r="AY20" s="131"/>
      <c r="AZ20" s="109">
        <f t="shared" si="34"/>
        <v>0</v>
      </c>
      <c r="BA20" s="109">
        <f t="shared" si="13"/>
        <v>114.6855</v>
      </c>
      <c r="BB20" s="115">
        <f t="shared" si="28"/>
        <v>123.3518434697303</v>
      </c>
      <c r="BC20" s="140">
        <f t="shared" si="14"/>
        <v>3.6015549295774645</v>
      </c>
      <c r="BD20" s="141">
        <f t="shared" si="15"/>
        <v>4.5874200000000007</v>
      </c>
      <c r="BE20" s="128">
        <f t="shared" si="16"/>
        <v>0.81166554697310955</v>
      </c>
      <c r="BF20" s="141">
        <f t="shared" si="17"/>
        <v>8.1889749295774656</v>
      </c>
      <c r="BG20" s="535">
        <v>0.88400000000000001</v>
      </c>
      <c r="BH20" s="16">
        <f t="shared" si="29"/>
        <v>2790.1270000000004</v>
      </c>
      <c r="BI20" s="16">
        <f t="shared" si="18"/>
        <v>222.58064516129033</v>
      </c>
      <c r="BJ20" s="16">
        <f t="shared" si="30"/>
        <v>3116.1290322580639</v>
      </c>
      <c r="BK20" s="17">
        <f t="shared" si="19"/>
        <v>1</v>
      </c>
      <c r="BL20" s="16">
        <f t="shared" si="31"/>
        <v>3116.1290322580639</v>
      </c>
      <c r="BM20" s="254">
        <v>79.043000000000006</v>
      </c>
      <c r="BN20" s="197">
        <v>46.491999999999997</v>
      </c>
      <c r="BO20" s="197"/>
      <c r="BP20" s="197">
        <v>153.499</v>
      </c>
      <c r="BQ20" s="230"/>
      <c r="BR20" s="230"/>
      <c r="BS20" s="259"/>
      <c r="BT20" s="199"/>
      <c r="BU20" s="200">
        <v>0.7</v>
      </c>
      <c r="BV20" s="200"/>
      <c r="BW20" s="200"/>
      <c r="BX20" s="200">
        <v>0.8</v>
      </c>
      <c r="BY20" s="208"/>
      <c r="BZ20" s="208"/>
      <c r="CA20" s="201"/>
      <c r="CB20" s="202">
        <v>37.21</v>
      </c>
      <c r="CC20" s="200">
        <v>43.63</v>
      </c>
      <c r="CD20" s="200"/>
      <c r="CE20" s="200">
        <v>38.94</v>
      </c>
      <c r="CF20" s="208"/>
      <c r="CG20" s="208"/>
      <c r="CH20" s="209"/>
      <c r="CI20" s="199"/>
      <c r="CJ20" s="197"/>
      <c r="CK20" s="197">
        <v>83.7</v>
      </c>
      <c r="CL20" s="197">
        <v>89.29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78.489699000000002</v>
      </c>
      <c r="CU20" s="24">
        <f t="shared" si="20"/>
        <v>46.491999999999997</v>
      </c>
      <c r="CV20" s="25">
        <f t="shared" si="20"/>
        <v>0</v>
      </c>
      <c r="CW20" s="24">
        <f t="shared" si="20"/>
        <v>152.27100799999999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83.7</v>
      </c>
      <c r="DC20" s="277">
        <f t="shared" si="21"/>
        <v>89.29</v>
      </c>
      <c r="DD20" s="280">
        <f t="shared" si="21"/>
        <v>0</v>
      </c>
      <c r="DE20" s="508">
        <f t="shared" si="32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3"/>
        <v>0</v>
      </c>
    </row>
    <row r="21" spans="1:115" ht="16.5" customHeight="1" thickBot="1">
      <c r="A21" s="534">
        <v>15</v>
      </c>
      <c r="B21" s="103">
        <f>'[1]октябрь 20'!K20</f>
        <v>465.19299999999998</v>
      </c>
      <c r="C21" s="104">
        <f t="shared" si="0"/>
        <v>0.62288065383614977</v>
      </c>
      <c r="D21" s="143">
        <f t="shared" si="1"/>
        <v>462.29540280000003</v>
      </c>
      <c r="E21" s="104">
        <f t="shared" si="35"/>
        <v>39.209617513591134</v>
      </c>
      <c r="F21" s="128">
        <f t="shared" si="3"/>
        <v>2.0905100967712764</v>
      </c>
      <c r="G21" s="106"/>
      <c r="H21" s="107">
        <f t="shared" si="4"/>
        <v>1.6542208682282717</v>
      </c>
      <c r="I21" s="103">
        <f>'[1]сентябрь 20'!AE20</f>
        <v>0</v>
      </c>
      <c r="J21" s="103">
        <f>'[1]октябрь 20'!AA20</f>
        <v>9.8550000000000004</v>
      </c>
      <c r="K21" s="106">
        <v>19.899999999999999</v>
      </c>
      <c r="L21" s="103">
        <f>'[1]октябрь 20'!AI20</f>
        <v>96.480999999999995</v>
      </c>
      <c r="M21" s="103">
        <f t="shared" si="5"/>
        <v>0.4362892285430045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'[1]октябрь 20'!S20</f>
        <v>291.815</v>
      </c>
      <c r="S21" s="108">
        <f t="shared" si="6"/>
        <v>3.3325908537943483</v>
      </c>
      <c r="T21" s="109">
        <f t="shared" si="7"/>
        <v>282.09000000000003</v>
      </c>
      <c r="U21" s="566">
        <v>122.89</v>
      </c>
      <c r="V21" s="109">
        <f t="shared" si="8"/>
        <v>282.09000000000003</v>
      </c>
      <c r="W21" s="110">
        <f t="shared" si="9"/>
        <v>1.2756172560368999</v>
      </c>
      <c r="X21" s="110">
        <f t="shared" si="26"/>
        <v>1.2756172560368999</v>
      </c>
      <c r="Y21" s="136">
        <v>221.14</v>
      </c>
      <c r="Z21" s="130">
        <v>179.84</v>
      </c>
      <c r="AA21" s="131">
        <v>0.81</v>
      </c>
      <c r="AB21" s="112">
        <v>645</v>
      </c>
      <c r="AC21" s="133">
        <v>1182</v>
      </c>
      <c r="AD21" s="151" t="s">
        <v>109</v>
      </c>
      <c r="AE21" s="131">
        <v>76.260000000000005</v>
      </c>
      <c r="AF21" s="133">
        <v>155</v>
      </c>
      <c r="AG21" s="134">
        <v>5</v>
      </c>
      <c r="AH21" s="131">
        <v>7.4</v>
      </c>
      <c r="AI21" s="115">
        <f t="shared" si="10"/>
        <v>33.462964637786023</v>
      </c>
      <c r="AJ21" s="131">
        <v>129.94999999999999</v>
      </c>
      <c r="AK21" s="115">
        <f t="shared" si="11"/>
        <v>587.63679117301263</v>
      </c>
      <c r="AL21" s="139">
        <v>27.48</v>
      </c>
      <c r="AM21" s="131"/>
      <c r="AN21" s="136">
        <v>12.18</v>
      </c>
      <c r="AO21" s="466">
        <f t="shared" si="27"/>
        <v>53.96</v>
      </c>
      <c r="AP21" s="110">
        <f t="shared" si="12"/>
        <v>0.19</v>
      </c>
      <c r="AQ21" s="137" t="s">
        <v>367</v>
      </c>
      <c r="AR21" s="150">
        <v>7.26</v>
      </c>
      <c r="AS21" s="138">
        <v>8.94</v>
      </c>
      <c r="AT21" s="131"/>
      <c r="AU21" s="131">
        <v>6.16</v>
      </c>
      <c r="AV21" s="315">
        <v>284</v>
      </c>
      <c r="AW21" s="131">
        <v>3.28</v>
      </c>
      <c r="AX21" s="116"/>
      <c r="AY21" s="131"/>
      <c r="AZ21" s="109">
        <f t="shared" si="34"/>
        <v>0</v>
      </c>
      <c r="BA21" s="109">
        <f t="shared" si="13"/>
        <v>221.14</v>
      </c>
      <c r="BB21" s="115">
        <f t="shared" si="28"/>
        <v>207.50550524489176</v>
      </c>
      <c r="BC21" s="140">
        <f t="shared" si="14"/>
        <v>6.2009943661971834</v>
      </c>
      <c r="BD21" s="141">
        <f t="shared" si="15"/>
        <v>8.8455999999999992</v>
      </c>
      <c r="BE21" s="128">
        <f t="shared" si="16"/>
        <v>0.93036191869782925</v>
      </c>
      <c r="BF21" s="141">
        <f t="shared" si="17"/>
        <v>15.046594366197183</v>
      </c>
      <c r="BG21" s="535">
        <v>0.88700000000000001</v>
      </c>
      <c r="BH21" s="16">
        <f t="shared" si="29"/>
        <v>3011.2670000000003</v>
      </c>
      <c r="BI21" s="16">
        <f t="shared" si="18"/>
        <v>222.58064516129033</v>
      </c>
      <c r="BJ21" s="16">
        <f t="shared" si="30"/>
        <v>3338.7096774193542</v>
      </c>
      <c r="BK21" s="17">
        <f t="shared" si="19"/>
        <v>1</v>
      </c>
      <c r="BL21" s="16">
        <f t="shared" si="31"/>
        <v>3338.7096774193542</v>
      </c>
      <c r="BM21" s="254">
        <v>127.1</v>
      </c>
      <c r="BN21" s="197">
        <v>14.004</v>
      </c>
      <c r="BO21" s="197">
        <v>82.477000000000004</v>
      </c>
      <c r="BP21" s="197">
        <v>241.61199999999999</v>
      </c>
      <c r="BQ21" s="230"/>
      <c r="BR21" s="230"/>
      <c r="BS21" s="259"/>
      <c r="BT21" s="199"/>
      <c r="BU21" s="200">
        <v>0.74</v>
      </c>
      <c r="BV21" s="200"/>
      <c r="BW21" s="200"/>
      <c r="BX21" s="200">
        <v>0.81</v>
      </c>
      <c r="BY21" s="208"/>
      <c r="BZ21" s="208"/>
      <c r="CA21" s="201"/>
      <c r="CB21" s="202">
        <v>37.6</v>
      </c>
      <c r="CC21" s="200">
        <v>43.28</v>
      </c>
      <c r="CD21" s="200">
        <v>43.4</v>
      </c>
      <c r="CE21" s="200">
        <v>38.39</v>
      </c>
      <c r="CF21" s="208"/>
      <c r="CG21" s="208"/>
      <c r="CH21" s="209"/>
      <c r="CI21" s="199"/>
      <c r="CJ21" s="197"/>
      <c r="CK21" s="197">
        <v>139.5</v>
      </c>
      <c r="CL21" s="197">
        <v>142.59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126.15946</v>
      </c>
      <c r="CU21" s="27">
        <f t="shared" si="20"/>
        <v>14.004</v>
      </c>
      <c r="CV21" s="28">
        <f t="shared" si="20"/>
        <v>82.477000000000004</v>
      </c>
      <c r="CW21" s="27">
        <f t="shared" si="20"/>
        <v>239.65494279999999</v>
      </c>
      <c r="CX21" s="27">
        <f t="shared" si="20"/>
        <v>0</v>
      </c>
      <c r="CY21" s="24">
        <f t="shared" si="20"/>
        <v>0</v>
      </c>
      <c r="CZ21" s="281">
        <f t="shared" si="20"/>
        <v>0</v>
      </c>
      <c r="DA21" s="237">
        <f t="shared" si="21"/>
        <v>0</v>
      </c>
      <c r="DB21" s="24">
        <f t="shared" si="21"/>
        <v>139.5</v>
      </c>
      <c r="DC21" s="277">
        <f t="shared" si="21"/>
        <v>142.59</v>
      </c>
      <c r="DD21" s="280">
        <f t="shared" si="21"/>
        <v>0</v>
      </c>
      <c r="DE21" s="508">
        <f t="shared" si="32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3"/>
        <v>0</v>
      </c>
    </row>
    <row r="22" spans="1:115" ht="16.5" customHeight="1" thickBot="1">
      <c r="A22" s="534">
        <v>16</v>
      </c>
      <c r="B22" s="103">
        <f>'[1]октябрь 20'!K21</f>
        <v>474.54300000000001</v>
      </c>
      <c r="C22" s="104">
        <f t="shared" si="0"/>
        <v>1.6215956193643146</v>
      </c>
      <c r="D22" s="143">
        <f t="shared" si="1"/>
        <v>466.84783150000004</v>
      </c>
      <c r="E22" s="104">
        <f>IF(B22=0,0,(BM22*CB22+BN22*CC22+BP22*CE22+BS22*CH22+BO22*CD22+BR22*CG22+BQ22*CF22)/B22)</f>
        <v>39.391436624289049</v>
      </c>
      <c r="F22" s="128">
        <f t="shared" si="3"/>
        <v>1.9549987290460102</v>
      </c>
      <c r="G22" s="106"/>
      <c r="H22" s="107">
        <f t="shared" si="4"/>
        <v>1.4754407781504795</v>
      </c>
      <c r="I22" s="103">
        <f>'[1]сентябрь 20'!AE21</f>
        <v>0</v>
      </c>
      <c r="J22" s="103">
        <f>'[1]октябрь 20'!AA21</f>
        <v>9.6039999999999992</v>
      </c>
      <c r="K22" s="106">
        <v>29.81</v>
      </c>
      <c r="L22" s="103">
        <f>'[1]октябрь 20'!AI21</f>
        <v>114.517</v>
      </c>
      <c r="M22" s="103">
        <f t="shared" si="5"/>
        <v>0.47955795089553055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'[1]октябрь 20'!S21</f>
        <v>295.04599999999999</v>
      </c>
      <c r="S22" s="108">
        <f t="shared" si="6"/>
        <v>3.30999234017747</v>
      </c>
      <c r="T22" s="109">
        <f t="shared" si="7"/>
        <v>285.27999999999997</v>
      </c>
      <c r="U22" s="566">
        <v>4.5199999999999996</v>
      </c>
      <c r="V22" s="109">
        <f t="shared" si="8"/>
        <v>285.27999999999997</v>
      </c>
      <c r="W22" s="110">
        <f t="shared" si="9"/>
        <v>1.1946548742237131</v>
      </c>
      <c r="X22" s="110">
        <f t="shared" si="26"/>
        <v>1.1946548742237131</v>
      </c>
      <c r="Y22" s="136">
        <v>238.8</v>
      </c>
      <c r="Z22" s="129">
        <v>140.63999999999999</v>
      </c>
      <c r="AA22" s="131">
        <v>0.95</v>
      </c>
      <c r="AB22" s="112">
        <v>647</v>
      </c>
      <c r="AC22" s="152">
        <v>1232</v>
      </c>
      <c r="AD22" s="144" t="s">
        <v>187</v>
      </c>
      <c r="AE22" s="131">
        <v>76.64</v>
      </c>
      <c r="AF22" s="133">
        <v>158</v>
      </c>
      <c r="AG22" s="134">
        <v>5</v>
      </c>
      <c r="AH22" s="131">
        <v>5.15</v>
      </c>
      <c r="AI22" s="115">
        <f t="shared" si="10"/>
        <v>21.566435089218043</v>
      </c>
      <c r="AJ22" s="131">
        <v>116.95</v>
      </c>
      <c r="AK22" s="115">
        <f t="shared" si="11"/>
        <v>489.74652110369902</v>
      </c>
      <c r="AL22" s="139">
        <v>33.979999999999997</v>
      </c>
      <c r="AM22" s="131"/>
      <c r="AN22" s="136">
        <v>17.62</v>
      </c>
      <c r="AO22" s="466">
        <f t="shared" si="27"/>
        <v>59.222999999999999</v>
      </c>
      <c r="AP22" s="110">
        <f t="shared" si="12"/>
        <v>0.19</v>
      </c>
      <c r="AQ22" s="137" t="s">
        <v>459</v>
      </c>
      <c r="AR22" s="150">
        <v>7.6</v>
      </c>
      <c r="AS22" s="138">
        <v>9.5299999999999994</v>
      </c>
      <c r="AT22" s="134"/>
      <c r="AU22" s="131">
        <v>5.15</v>
      </c>
      <c r="AV22" s="315">
        <v>311.7</v>
      </c>
      <c r="AW22" s="131">
        <v>3.94</v>
      </c>
      <c r="AX22" s="116"/>
      <c r="AY22" s="131"/>
      <c r="AZ22" s="109">
        <f t="shared" si="34"/>
        <v>0</v>
      </c>
      <c r="BA22" s="109">
        <f t="shared" si="13"/>
        <v>238.79699999999997</v>
      </c>
      <c r="BB22" s="115">
        <f t="shared" si="28"/>
        <v>209.47679159993098</v>
      </c>
      <c r="BC22" s="140">
        <f t="shared" si="14"/>
        <v>4.6656461267605627</v>
      </c>
      <c r="BD22" s="141">
        <f t="shared" si="15"/>
        <v>9.5518799999999988</v>
      </c>
      <c r="BE22" s="128">
        <f t="shared" si="16"/>
        <v>0.99519273427743626</v>
      </c>
      <c r="BF22" s="141">
        <f t="shared" si="17"/>
        <v>14.217526126760561</v>
      </c>
      <c r="BG22" s="535">
        <v>0.88800000000000001</v>
      </c>
      <c r="BH22" s="16">
        <f t="shared" si="29"/>
        <v>3250.0640000000003</v>
      </c>
      <c r="BI22" s="16">
        <f t="shared" si="18"/>
        <v>222.58064516129033</v>
      </c>
      <c r="BJ22" s="16">
        <f t="shared" si="30"/>
        <v>3561.2903225806444</v>
      </c>
      <c r="BK22" s="17">
        <f t="shared" si="19"/>
        <v>1</v>
      </c>
      <c r="BL22" s="16">
        <f t="shared" si="31"/>
        <v>3561.2903225806444</v>
      </c>
      <c r="BM22" s="254">
        <v>126.413</v>
      </c>
      <c r="BN22" s="197">
        <v>19.597000000000001</v>
      </c>
      <c r="BO22" s="197">
        <v>94.92</v>
      </c>
      <c r="BP22" s="197">
        <v>233.613</v>
      </c>
      <c r="BQ22" s="230"/>
      <c r="BR22" s="230"/>
      <c r="BS22" s="258"/>
      <c r="BT22" s="199"/>
      <c r="BU22" s="200">
        <v>0.34</v>
      </c>
      <c r="BV22" s="200"/>
      <c r="BW22" s="200"/>
      <c r="BX22" s="200">
        <v>3.11</v>
      </c>
      <c r="BY22" s="208"/>
      <c r="BZ22" s="208"/>
      <c r="CA22" s="201"/>
      <c r="CB22" s="202">
        <v>37.78</v>
      </c>
      <c r="CC22" s="200">
        <v>43.59</v>
      </c>
      <c r="CD22" s="200">
        <v>43.16</v>
      </c>
      <c r="CE22" s="200">
        <v>38.380000000000003</v>
      </c>
      <c r="CF22" s="208"/>
      <c r="CG22" s="208"/>
      <c r="CH22" s="201"/>
      <c r="CI22" s="199"/>
      <c r="CJ22" s="197"/>
      <c r="CK22" s="197">
        <v>142.19999999999999</v>
      </c>
      <c r="CL22" s="197">
        <v>143.08000000000001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125.98319579999999</v>
      </c>
      <c r="CU22" s="29">
        <f t="shared" si="20"/>
        <v>19.597000000000001</v>
      </c>
      <c r="CV22" s="30">
        <f t="shared" si="20"/>
        <v>94.92</v>
      </c>
      <c r="CW22" s="29">
        <f t="shared" si="20"/>
        <v>226.34763569999998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21"/>
        <v>0</v>
      </c>
      <c r="DB22" s="24">
        <f t="shared" si="21"/>
        <v>142.19999999999999</v>
      </c>
      <c r="DC22" s="277">
        <f t="shared" si="21"/>
        <v>143.08000000000001</v>
      </c>
      <c r="DD22" s="280">
        <f t="shared" si="21"/>
        <v>0</v>
      </c>
      <c r="DE22" s="508">
        <f t="shared" si="32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3"/>
        <v>0</v>
      </c>
    </row>
    <row r="23" spans="1:115" ht="16.5" customHeight="1" thickBot="1">
      <c r="A23" s="534">
        <v>17</v>
      </c>
      <c r="B23" s="103">
        <f>'[1]октябрь 20'!K22</f>
        <v>480.05700000000002</v>
      </c>
      <c r="C23" s="104">
        <f t="shared" si="0"/>
        <v>0.71866515851242652</v>
      </c>
      <c r="D23" s="143">
        <f t="shared" si="1"/>
        <v>476.60699760000006</v>
      </c>
      <c r="E23" s="104">
        <f t="shared" si="35"/>
        <v>39.796647273136315</v>
      </c>
      <c r="F23" s="128">
        <f t="shared" si="3"/>
        <v>2.1069739885811294</v>
      </c>
      <c r="G23" s="106"/>
      <c r="H23" s="107">
        <f t="shared" si="4"/>
        <v>1.5763567815848047</v>
      </c>
      <c r="I23" s="103">
        <f>'[1]сентябрь 20'!AE22</f>
        <v>0</v>
      </c>
      <c r="J23" s="103">
        <f>'[1]октябрь 20'!AA22</f>
        <v>9.6010000000000009</v>
      </c>
      <c r="K23" s="106"/>
      <c r="L23" s="103">
        <f>'[1]октябрь 20'!AI22</f>
        <v>120.02800000000001</v>
      </c>
      <c r="M23" s="103">
        <f t="shared" si="5"/>
        <v>0.5306172069963242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'[1]октябрь 20'!S22</f>
        <v>298.81099999999998</v>
      </c>
      <c r="S23" s="108">
        <f t="shared" si="6"/>
        <v>3.6180060305678108</v>
      </c>
      <c r="T23" s="109">
        <f t="shared" si="7"/>
        <v>288</v>
      </c>
      <c r="U23" s="566">
        <v>14.65</v>
      </c>
      <c r="V23" s="109">
        <f t="shared" si="8"/>
        <v>288</v>
      </c>
      <c r="W23" s="110">
        <f t="shared" si="9"/>
        <v>1.2731842204730675</v>
      </c>
      <c r="X23" s="110">
        <f t="shared" si="26"/>
        <v>1.2731842204730675</v>
      </c>
      <c r="Y23" s="136">
        <v>226.2</v>
      </c>
      <c r="Z23" s="129">
        <v>226.2</v>
      </c>
      <c r="AA23" s="131">
        <v>0.56000000000000005</v>
      </c>
      <c r="AB23" s="112">
        <v>674</v>
      </c>
      <c r="AC23" s="133">
        <v>1227</v>
      </c>
      <c r="AD23" s="144" t="s">
        <v>149</v>
      </c>
      <c r="AE23" s="131">
        <v>76.06</v>
      </c>
      <c r="AF23" s="133">
        <v>160</v>
      </c>
      <c r="AG23" s="134">
        <v>5</v>
      </c>
      <c r="AH23" s="131"/>
      <c r="AI23" s="115">
        <f t="shared" si="10"/>
        <v>0</v>
      </c>
      <c r="AJ23" s="131">
        <v>134.4</v>
      </c>
      <c r="AK23" s="115">
        <f t="shared" si="11"/>
        <v>594.15263622076486</v>
      </c>
      <c r="AL23" s="139">
        <v>29.79</v>
      </c>
      <c r="AM23" s="131"/>
      <c r="AN23" s="136">
        <v>14.65</v>
      </c>
      <c r="AO23" s="466">
        <f t="shared" si="27"/>
        <v>55.375499999999995</v>
      </c>
      <c r="AP23" s="110">
        <f t="shared" si="12"/>
        <v>0.19</v>
      </c>
      <c r="AQ23" s="137" t="s">
        <v>361</v>
      </c>
      <c r="AR23" s="150">
        <v>7.18</v>
      </c>
      <c r="AS23" s="138">
        <v>9.27</v>
      </c>
      <c r="AT23" s="134"/>
      <c r="AU23" s="131">
        <v>6.39</v>
      </c>
      <c r="AV23" s="315">
        <v>291.45</v>
      </c>
      <c r="AW23" s="131">
        <v>4.78</v>
      </c>
      <c r="AX23" s="116"/>
      <c r="AY23" s="131"/>
      <c r="AZ23" s="109">
        <f t="shared" si="34"/>
        <v>0</v>
      </c>
      <c r="BA23" s="109">
        <f t="shared" si="13"/>
        <v>226.2045</v>
      </c>
      <c r="BB23" s="115">
        <f t="shared" si="28"/>
        <v>217.70320508583319</v>
      </c>
      <c r="BC23" s="140">
        <f t="shared" si="14"/>
        <v>6.6528</v>
      </c>
      <c r="BD23" s="141">
        <f t="shared" si="15"/>
        <v>9.0481800000000003</v>
      </c>
      <c r="BE23" s="128">
        <f t="shared" si="16"/>
        <v>0.90709058886910532</v>
      </c>
      <c r="BF23" s="141">
        <f t="shared" si="17"/>
        <v>15.700980000000001</v>
      </c>
      <c r="BG23" s="535">
        <v>0.89500000000000002</v>
      </c>
      <c r="BH23" s="16">
        <f t="shared" si="29"/>
        <v>3476.2685000000001</v>
      </c>
      <c r="BI23" s="16">
        <f t="shared" si="18"/>
        <v>222.58064516129033</v>
      </c>
      <c r="BJ23" s="16">
        <f t="shared" si="30"/>
        <v>3783.8709677419347</v>
      </c>
      <c r="BK23" s="17">
        <f t="shared" si="19"/>
        <v>1</v>
      </c>
      <c r="BL23" s="16">
        <f t="shared" si="31"/>
        <v>3783.8709677419347</v>
      </c>
      <c r="BM23" s="254">
        <v>127.992</v>
      </c>
      <c r="BN23" s="197">
        <v>23.991</v>
      </c>
      <c r="BO23" s="197">
        <v>96.037000000000006</v>
      </c>
      <c r="BP23" s="197">
        <v>232.03700000000001</v>
      </c>
      <c r="BQ23" s="230"/>
      <c r="BR23" s="230"/>
      <c r="BS23" s="258"/>
      <c r="BT23" s="199"/>
      <c r="BU23" s="200">
        <v>0.52</v>
      </c>
      <c r="BV23" s="200"/>
      <c r="BW23" s="200"/>
      <c r="BX23" s="200">
        <v>1.2</v>
      </c>
      <c r="BY23" s="208"/>
      <c r="BZ23" s="208"/>
      <c r="CA23" s="201"/>
      <c r="CB23" s="202">
        <v>38.090000000000003</v>
      </c>
      <c r="CC23" s="200">
        <v>43.6</v>
      </c>
      <c r="CD23" s="200">
        <v>43.07</v>
      </c>
      <c r="CE23" s="200">
        <v>38.99</v>
      </c>
      <c r="CF23" s="208"/>
      <c r="CG23" s="208"/>
      <c r="CH23" s="209"/>
      <c r="CI23" s="199"/>
      <c r="CJ23" s="197"/>
      <c r="CK23" s="197">
        <v>144</v>
      </c>
      <c r="CL23" s="197">
        <v>144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127.32644160000001</v>
      </c>
      <c r="CU23" s="24">
        <f t="shared" si="20"/>
        <v>23.991</v>
      </c>
      <c r="CV23" s="25">
        <f t="shared" si="20"/>
        <v>96.037000000000006</v>
      </c>
      <c r="CW23" s="24">
        <f t="shared" si="20"/>
        <v>229.252556</v>
      </c>
      <c r="CX23" s="27">
        <f t="shared" si="20"/>
        <v>0</v>
      </c>
      <c r="CY23" s="24">
        <f t="shared" si="20"/>
        <v>0</v>
      </c>
      <c r="CZ23" s="280">
        <f t="shared" si="20"/>
        <v>0</v>
      </c>
      <c r="DA23" s="237">
        <f t="shared" si="21"/>
        <v>0</v>
      </c>
      <c r="DB23" s="29">
        <f t="shared" si="21"/>
        <v>144</v>
      </c>
      <c r="DC23" s="277">
        <f t="shared" si="21"/>
        <v>144</v>
      </c>
      <c r="DD23" s="280">
        <f t="shared" si="21"/>
        <v>0</v>
      </c>
      <c r="DE23" s="508">
        <f t="shared" si="32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3"/>
        <v>0</v>
      </c>
    </row>
    <row r="24" spans="1:115" ht="16.5" customHeight="1" thickBot="1">
      <c r="A24" s="534">
        <v>18</v>
      </c>
      <c r="B24" s="103">
        <f>'[1]октябрь 20'!K23</f>
        <v>498.05200000000002</v>
      </c>
      <c r="C24" s="104">
        <f t="shared" si="0"/>
        <v>0.46800787869539723</v>
      </c>
      <c r="D24" s="143">
        <f t="shared" si="1"/>
        <v>495.72107740000001</v>
      </c>
      <c r="E24" s="104">
        <f t="shared" si="35"/>
        <v>39.577757181980992</v>
      </c>
      <c r="F24" s="128">
        <f t="shared" si="3"/>
        <v>2.0376439531982498</v>
      </c>
      <c r="G24" s="106"/>
      <c r="H24" s="107">
        <f t="shared" si="4"/>
        <v>1.5258171188520293</v>
      </c>
      <c r="I24" s="103">
        <f>'[1]сентябрь 20'!AE23</f>
        <v>0</v>
      </c>
      <c r="J24" s="103">
        <f>'[1]октябрь 20'!AA23</f>
        <v>9.9619999999999997</v>
      </c>
      <c r="K24" s="106">
        <v>30.86</v>
      </c>
      <c r="L24" s="103">
        <f>'[1]октябрь 20'!AI23</f>
        <v>124.518</v>
      </c>
      <c r="M24" s="103">
        <f t="shared" si="5"/>
        <v>0.51182683434622034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'[1]октябрь 20'!S23</f>
        <v>309.108</v>
      </c>
      <c r="S24" s="108">
        <f t="shared" si="6"/>
        <v>3.334756784036641</v>
      </c>
      <c r="T24" s="109">
        <f t="shared" si="7"/>
        <v>298.8</v>
      </c>
      <c r="U24" s="106">
        <v>24.95</v>
      </c>
      <c r="V24" s="109">
        <f t="shared" si="8"/>
        <v>298.8</v>
      </c>
      <c r="W24" s="110">
        <f t="shared" si="9"/>
        <v>1.2282068303590696</v>
      </c>
      <c r="X24" s="110">
        <f t="shared" si="26"/>
        <v>1.2282068303590696</v>
      </c>
      <c r="Y24" s="136">
        <v>243.28</v>
      </c>
      <c r="Z24" s="129">
        <v>243.28</v>
      </c>
      <c r="AA24" s="131">
        <v>0.45</v>
      </c>
      <c r="AB24" s="133">
        <v>664</v>
      </c>
      <c r="AC24" s="133">
        <v>1237</v>
      </c>
      <c r="AD24" s="144" t="s">
        <v>174</v>
      </c>
      <c r="AE24" s="131">
        <v>76.239999999999995</v>
      </c>
      <c r="AF24" s="133">
        <v>166</v>
      </c>
      <c r="AG24" s="134">
        <v>5</v>
      </c>
      <c r="AH24" s="131">
        <v>6.95</v>
      </c>
      <c r="AI24" s="115">
        <f t="shared" si="10"/>
        <v>28.567729153264843</v>
      </c>
      <c r="AJ24" s="131">
        <v>124.05</v>
      </c>
      <c r="AK24" s="115">
        <f t="shared" si="11"/>
        <v>509.90313690107956</v>
      </c>
      <c r="AL24" s="139">
        <v>33.020000000000003</v>
      </c>
      <c r="AM24" s="131"/>
      <c r="AN24" s="136">
        <v>15.16</v>
      </c>
      <c r="AO24" s="466">
        <f t="shared" si="27"/>
        <v>59.498499999999993</v>
      </c>
      <c r="AP24" s="110">
        <f t="shared" si="12"/>
        <v>0.19</v>
      </c>
      <c r="AQ24" s="137" t="s">
        <v>367</v>
      </c>
      <c r="AR24" s="150">
        <v>6.95</v>
      </c>
      <c r="AS24" s="138">
        <v>9</v>
      </c>
      <c r="AT24" s="134"/>
      <c r="AU24" s="131">
        <v>5.92</v>
      </c>
      <c r="AV24" s="315">
        <v>313.14999999999998</v>
      </c>
      <c r="AW24" s="131">
        <v>4.79</v>
      </c>
      <c r="AX24" s="116"/>
      <c r="AY24" s="131"/>
      <c r="AZ24" s="109">
        <f t="shared" si="34"/>
        <v>0</v>
      </c>
      <c r="BA24" s="109">
        <f t="shared" si="13"/>
        <v>243.28149999999999</v>
      </c>
      <c r="BB24" s="115">
        <f t="shared" si="28"/>
        <v>224.6569821687913</v>
      </c>
      <c r="BC24" s="140">
        <f t="shared" si="14"/>
        <v>5.6888281690140836</v>
      </c>
      <c r="BD24" s="141"/>
      <c r="BE24" s="128">
        <f t="shared" si="16"/>
        <v>0.94537346424616864</v>
      </c>
      <c r="BF24" s="141">
        <f t="shared" si="17"/>
        <v>5.6888281690140836</v>
      </c>
      <c r="BG24" s="535">
        <v>0.89900000000000002</v>
      </c>
      <c r="BH24" s="16">
        <f t="shared" si="29"/>
        <v>3719.55</v>
      </c>
      <c r="BI24" s="16">
        <f t="shared" si="18"/>
        <v>222.58064516129033</v>
      </c>
      <c r="BJ24" s="16">
        <f t="shared" si="30"/>
        <v>4006.4516129032249</v>
      </c>
      <c r="BK24" s="17">
        <f t="shared" si="19"/>
        <v>1</v>
      </c>
      <c r="BL24" s="16">
        <f t="shared" si="31"/>
        <v>4006.4516129032249</v>
      </c>
      <c r="BM24" s="254">
        <v>132.786</v>
      </c>
      <c r="BN24" s="197">
        <v>24.835999999999999</v>
      </c>
      <c r="BO24" s="197">
        <v>99.682000000000002</v>
      </c>
      <c r="BP24" s="197">
        <v>240.74799999999999</v>
      </c>
      <c r="BQ24" s="230"/>
      <c r="BR24" s="230"/>
      <c r="BS24" s="258"/>
      <c r="BT24" s="199"/>
      <c r="BU24" s="200">
        <v>0.45</v>
      </c>
      <c r="BV24" s="200"/>
      <c r="BW24" s="200"/>
      <c r="BX24" s="200">
        <v>0.72</v>
      </c>
      <c r="BY24" s="208"/>
      <c r="BZ24" s="208"/>
      <c r="CA24" s="201"/>
      <c r="CB24" s="202">
        <v>37.49</v>
      </c>
      <c r="CC24" s="200">
        <v>43.26</v>
      </c>
      <c r="CD24" s="200">
        <v>43.03</v>
      </c>
      <c r="CE24" s="200">
        <v>38.92</v>
      </c>
      <c r="CF24" s="208"/>
      <c r="CG24" s="208"/>
      <c r="CH24" s="209"/>
      <c r="CI24" s="199"/>
      <c r="CJ24" s="197"/>
      <c r="CK24" s="197">
        <v>149.4</v>
      </c>
      <c r="CL24" s="197">
        <v>149.4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132.18846299999998</v>
      </c>
      <c r="CU24" s="29">
        <f t="shared" si="20"/>
        <v>24.835999999999999</v>
      </c>
      <c r="CV24" s="30">
        <f t="shared" si="20"/>
        <v>99.682000000000002</v>
      </c>
      <c r="CW24" s="29">
        <f t="shared" si="20"/>
        <v>239.0146144</v>
      </c>
      <c r="CX24" s="27">
        <f t="shared" si="20"/>
        <v>0</v>
      </c>
      <c r="CY24" s="27">
        <f t="shared" si="20"/>
        <v>0</v>
      </c>
      <c r="CZ24" s="282">
        <f t="shared" si="20"/>
        <v>0</v>
      </c>
      <c r="DA24" s="25">
        <f t="shared" si="21"/>
        <v>0</v>
      </c>
      <c r="DB24" s="26">
        <f t="shared" si="21"/>
        <v>149.4</v>
      </c>
      <c r="DC24" s="277">
        <f t="shared" si="21"/>
        <v>149.4</v>
      </c>
      <c r="DD24" s="280">
        <f t="shared" si="21"/>
        <v>0</v>
      </c>
      <c r="DE24" s="508">
        <f t="shared" si="32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3"/>
        <v>0</v>
      </c>
    </row>
    <row r="25" spans="1:115" ht="16.5" customHeight="1" thickBot="1">
      <c r="A25" s="534">
        <v>19</v>
      </c>
      <c r="B25" s="103">
        <f>'[1]октябрь 20'!K24</f>
        <v>480.01600000000002</v>
      </c>
      <c r="C25" s="104">
        <f t="shared" si="0"/>
        <v>0.54482390170327644</v>
      </c>
      <c r="D25" s="143">
        <f t="shared" si="1"/>
        <v>477.40075809999996</v>
      </c>
      <c r="E25" s="104">
        <f t="shared" si="35"/>
        <v>39.833150478317386</v>
      </c>
      <c r="F25" s="128">
        <f t="shared" si="3"/>
        <v>2.1191722106562141</v>
      </c>
      <c r="G25" s="106"/>
      <c r="H25" s="107">
        <f t="shared" si="4"/>
        <v>1.5867610013450111</v>
      </c>
      <c r="I25" s="103">
        <f>'[1]сентябрь 20'!AE24</f>
        <v>0</v>
      </c>
      <c r="J25" s="103">
        <f>'[1]октябрь 20'!AA24</f>
        <v>10.664</v>
      </c>
      <c r="K25" s="106">
        <v>19.78</v>
      </c>
      <c r="L25" s="103">
        <f>'[1]октябрь 20'!AI24</f>
        <v>119.94</v>
      </c>
      <c r="M25" s="103">
        <f t="shared" si="5"/>
        <v>0.53241120931120356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'[1]октябрь 20'!S24</f>
        <v>297.298</v>
      </c>
      <c r="S25" s="108">
        <f t="shared" si="6"/>
        <v>3.3696829443857768</v>
      </c>
      <c r="T25" s="109">
        <f t="shared" si="7"/>
        <v>287.27999999999997</v>
      </c>
      <c r="U25" s="566">
        <v>13.21</v>
      </c>
      <c r="V25" s="109">
        <f t="shared" si="8"/>
        <v>287.27999999999997</v>
      </c>
      <c r="W25" s="110">
        <f t="shared" si="9"/>
        <v>1.2752300501160794</v>
      </c>
      <c r="X25" s="110">
        <f t="shared" si="26"/>
        <v>1.2752300501160794</v>
      </c>
      <c r="Y25" s="136">
        <v>225.28</v>
      </c>
      <c r="Z25" s="129">
        <v>225.28</v>
      </c>
      <c r="AA25" s="131">
        <v>0.73</v>
      </c>
      <c r="AB25" s="133">
        <v>674</v>
      </c>
      <c r="AC25" s="133">
        <v>1232</v>
      </c>
      <c r="AD25" s="144" t="s">
        <v>181</v>
      </c>
      <c r="AE25" s="131">
        <v>76.06</v>
      </c>
      <c r="AF25" s="133">
        <v>160</v>
      </c>
      <c r="AG25" s="134">
        <v>5</v>
      </c>
      <c r="AH25" s="131">
        <v>8.35</v>
      </c>
      <c r="AI25" s="115">
        <f t="shared" si="10"/>
        <v>37.06547938759838</v>
      </c>
      <c r="AJ25" s="131">
        <v>117.85</v>
      </c>
      <c r="AK25" s="115">
        <f t="shared" si="11"/>
        <v>523.13374201538556</v>
      </c>
      <c r="AL25" s="139">
        <v>29.41</v>
      </c>
      <c r="AM25" s="131"/>
      <c r="AN25" s="136">
        <v>13.53</v>
      </c>
      <c r="AO25" s="466">
        <f t="shared" si="27"/>
        <v>55.232999999999997</v>
      </c>
      <c r="AP25" s="110">
        <f t="shared" si="12"/>
        <v>0.19</v>
      </c>
      <c r="AQ25" s="137" t="s">
        <v>460</v>
      </c>
      <c r="AR25" s="150">
        <v>7.16</v>
      </c>
      <c r="AS25" s="138">
        <v>8.61</v>
      </c>
      <c r="AT25" s="153"/>
      <c r="AU25" s="131">
        <v>5.45</v>
      </c>
      <c r="AV25" s="315">
        <v>290.7</v>
      </c>
      <c r="AW25" s="131">
        <v>3.34</v>
      </c>
      <c r="AX25" s="148"/>
      <c r="AY25" s="131"/>
      <c r="AZ25" s="109">
        <f t="shared" si="34"/>
        <v>0</v>
      </c>
      <c r="BA25" s="109">
        <f t="shared" si="13"/>
        <v>225.27699999999999</v>
      </c>
      <c r="BB25" s="115">
        <f t="shared" si="28"/>
        <v>218.26579613339291</v>
      </c>
      <c r="BC25" s="140">
        <f t="shared" si="14"/>
        <v>4.9754278169014086</v>
      </c>
      <c r="BD25" s="141">
        <f t="shared" ref="BD25:BD37" si="36">BA25*$BD$6</f>
        <v>9.0110799999999998</v>
      </c>
      <c r="BE25" s="128">
        <f t="shared" si="16"/>
        <v>0.90104278583258779</v>
      </c>
      <c r="BF25" s="141">
        <f t="shared" si="17"/>
        <v>13.986507816901408</v>
      </c>
      <c r="BG25" s="535">
        <v>0.89900000000000002</v>
      </c>
      <c r="BH25" s="16">
        <f t="shared" si="29"/>
        <v>3944.8270000000002</v>
      </c>
      <c r="BI25" s="16">
        <f t="shared" si="18"/>
        <v>222.58064516129033</v>
      </c>
      <c r="BJ25" s="16">
        <f t="shared" si="30"/>
        <v>4229.0322580645152</v>
      </c>
      <c r="BK25" s="17">
        <f t="shared" si="19"/>
        <v>1</v>
      </c>
      <c r="BL25" s="16">
        <f t="shared" si="31"/>
        <v>4229.0322580645152</v>
      </c>
      <c r="BM25" s="254">
        <v>32.420999999999999</v>
      </c>
      <c r="BN25" s="197">
        <v>23.978000000000002</v>
      </c>
      <c r="BO25" s="197">
        <v>95.962000000000003</v>
      </c>
      <c r="BP25" s="197">
        <v>327.65499999999997</v>
      </c>
      <c r="BQ25" s="230"/>
      <c r="BR25" s="230"/>
      <c r="BS25" s="258"/>
      <c r="BT25" s="199"/>
      <c r="BU25" s="200">
        <v>0.79</v>
      </c>
      <c r="BV25" s="200"/>
      <c r="BW25" s="200"/>
      <c r="BX25" s="200">
        <v>0.72</v>
      </c>
      <c r="BY25" s="208"/>
      <c r="BZ25" s="208"/>
      <c r="CA25" s="201"/>
      <c r="CB25" s="202">
        <v>38.090000000000003</v>
      </c>
      <c r="CC25" s="200">
        <v>43.75</v>
      </c>
      <c r="CD25" s="200">
        <v>43.21</v>
      </c>
      <c r="CE25" s="200">
        <v>38.729999999999997</v>
      </c>
      <c r="CF25" s="208"/>
      <c r="CG25" s="208"/>
      <c r="CH25" s="201"/>
      <c r="CI25" s="199"/>
      <c r="CJ25" s="197"/>
      <c r="CK25" s="197">
        <v>144</v>
      </c>
      <c r="CL25" s="197">
        <v>143.28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32.164874099999999</v>
      </c>
      <c r="CU25" s="24">
        <f t="shared" si="20"/>
        <v>23.978000000000002</v>
      </c>
      <c r="CV25" s="25">
        <f t="shared" si="20"/>
        <v>95.962000000000003</v>
      </c>
      <c r="CW25" s="24">
        <f t="shared" si="20"/>
        <v>325.295884</v>
      </c>
      <c r="CX25" s="27">
        <f t="shared" si="20"/>
        <v>0</v>
      </c>
      <c r="CY25" s="30">
        <f t="shared" si="20"/>
        <v>0</v>
      </c>
      <c r="CZ25" s="280">
        <f t="shared" si="20"/>
        <v>0</v>
      </c>
      <c r="DA25" s="25">
        <f t="shared" si="21"/>
        <v>0</v>
      </c>
      <c r="DB25" s="26">
        <f t="shared" si="21"/>
        <v>144</v>
      </c>
      <c r="DC25" s="277">
        <f t="shared" si="21"/>
        <v>143.28</v>
      </c>
      <c r="DD25" s="280">
        <f t="shared" si="21"/>
        <v>0</v>
      </c>
      <c r="DE25" s="508">
        <f t="shared" si="32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3"/>
        <v>0</v>
      </c>
    </row>
    <row r="26" spans="1:115" ht="16.5" customHeight="1" thickBot="1">
      <c r="A26" s="534">
        <v>20</v>
      </c>
      <c r="B26" s="103">
        <f>'[1]октябрь 20'!K25</f>
        <v>510.28800000000001</v>
      </c>
      <c r="C26" s="104">
        <f t="shared" si="0"/>
        <v>1.5431591571818266</v>
      </c>
      <c r="D26" s="143">
        <f t="shared" si="1"/>
        <v>502.41344400000003</v>
      </c>
      <c r="E26" s="104">
        <f t="shared" si="35"/>
        <v>39.485457153607371</v>
      </c>
      <c r="F26" s="128">
        <f t="shared" si="3"/>
        <v>2.6567259478610334</v>
      </c>
      <c r="G26" s="106"/>
      <c r="H26" s="107">
        <f t="shared" si="4"/>
        <v>1.9797231452593727</v>
      </c>
      <c r="I26" s="103">
        <f>'[1]сентябрь 20'!AE25</f>
        <v>0</v>
      </c>
      <c r="J26" s="103">
        <f>'[1]октябрь 20'!AA25</f>
        <v>11.901</v>
      </c>
      <c r="K26" s="106">
        <v>20.75</v>
      </c>
      <c r="L26" s="103">
        <f>'[1]октябрь 20'!AI25</f>
        <v>128.02799999999999</v>
      </c>
      <c r="M26" s="103">
        <f t="shared" si="5"/>
        <v>0.67700280260166057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'[1]октябрь 20'!S25</f>
        <v>316.46699999999998</v>
      </c>
      <c r="S26" s="108">
        <f t="shared" si="6"/>
        <v>3.4717679884474384</v>
      </c>
      <c r="T26" s="109">
        <f t="shared" si="7"/>
        <v>305.48</v>
      </c>
      <c r="U26" s="566">
        <v>2.02</v>
      </c>
      <c r="V26" s="109">
        <f t="shared" si="8"/>
        <v>305.48</v>
      </c>
      <c r="W26" s="110">
        <f t="shared" si="9"/>
        <v>1.6153561419279787</v>
      </c>
      <c r="X26" s="110">
        <f t="shared" si="26"/>
        <v>1.6153561419279787</v>
      </c>
      <c r="Y26" s="136">
        <v>189.11</v>
      </c>
      <c r="Z26" s="154">
        <v>189.11</v>
      </c>
      <c r="AA26" s="149">
        <v>0.43</v>
      </c>
      <c r="AB26" s="147">
        <v>682</v>
      </c>
      <c r="AC26" s="147">
        <v>1235</v>
      </c>
      <c r="AD26" s="144" t="s">
        <v>461</v>
      </c>
      <c r="AE26" s="149">
        <v>76.09</v>
      </c>
      <c r="AF26" s="147">
        <v>170</v>
      </c>
      <c r="AG26" s="155">
        <v>5</v>
      </c>
      <c r="AH26" s="149">
        <v>6.7</v>
      </c>
      <c r="AI26" s="115">
        <f t="shared" si="10"/>
        <v>35.429115329702292</v>
      </c>
      <c r="AJ26" s="149">
        <v>136.9</v>
      </c>
      <c r="AK26" s="115">
        <f t="shared" si="11"/>
        <v>723.91729681137974</v>
      </c>
      <c r="AL26" s="156">
        <v>32.520000000000003</v>
      </c>
      <c r="AM26" s="149"/>
      <c r="AN26" s="157">
        <v>12.58</v>
      </c>
      <c r="AO26" s="466">
        <v>101.35</v>
      </c>
      <c r="AP26" s="110">
        <f t="shared" si="12"/>
        <v>0.33901990299381168</v>
      </c>
      <c r="AQ26" s="158" t="s">
        <v>364</v>
      </c>
      <c r="AR26" s="404">
        <v>6.98</v>
      </c>
      <c r="AS26" s="159">
        <v>9.25</v>
      </c>
      <c r="AT26" s="155"/>
      <c r="AU26" s="149">
        <v>6.78</v>
      </c>
      <c r="AV26" s="315">
        <v>298.95</v>
      </c>
      <c r="AW26" s="131">
        <v>4.09</v>
      </c>
      <c r="AX26" s="148"/>
      <c r="AY26" s="149"/>
      <c r="AZ26" s="160">
        <f t="shared" si="34"/>
        <v>0</v>
      </c>
      <c r="BA26" s="109">
        <f t="shared" si="13"/>
        <v>189.10999999999999</v>
      </c>
      <c r="BB26" s="115">
        <f t="shared" si="28"/>
        <v>227.60672102599696</v>
      </c>
      <c r="BC26" s="140">
        <f t="shared" si="14"/>
        <v>7.1901422535211266</v>
      </c>
      <c r="BD26" s="140">
        <f t="shared" si="36"/>
        <v>7.5643999999999991</v>
      </c>
      <c r="BE26" s="161">
        <f t="shared" si="16"/>
        <v>0.72534338729453973</v>
      </c>
      <c r="BF26" s="140">
        <f t="shared" si="17"/>
        <v>14.754542253521127</v>
      </c>
      <c r="BG26" s="537">
        <v>0.88900000000000001</v>
      </c>
      <c r="BH26" s="16">
        <f t="shared" si="29"/>
        <v>4133.9369999999999</v>
      </c>
      <c r="BI26" s="16">
        <f t="shared" si="18"/>
        <v>222.58064516129033</v>
      </c>
      <c r="BJ26" s="16">
        <f t="shared" si="30"/>
        <v>4451.6129032258059</v>
      </c>
      <c r="BK26" s="17">
        <f t="shared" si="19"/>
        <v>1</v>
      </c>
      <c r="BL26" s="16">
        <f t="shared" si="31"/>
        <v>4451.6129032258059</v>
      </c>
      <c r="BM26" s="254"/>
      <c r="BN26" s="197">
        <v>25.5</v>
      </c>
      <c r="BO26" s="197">
        <v>102.52800000000001</v>
      </c>
      <c r="BP26" s="197">
        <v>382.26</v>
      </c>
      <c r="BQ26" s="230"/>
      <c r="BR26" s="230"/>
      <c r="BS26" s="258"/>
      <c r="BT26" s="199"/>
      <c r="BU26" s="200"/>
      <c r="BV26" s="200"/>
      <c r="BW26" s="200"/>
      <c r="BX26" s="200">
        <v>2.06</v>
      </c>
      <c r="BY26" s="208"/>
      <c r="BZ26" s="208"/>
      <c r="CA26" s="201"/>
      <c r="CB26" s="202"/>
      <c r="CC26" s="200">
        <v>43.29</v>
      </c>
      <c r="CD26" s="200">
        <v>43.22</v>
      </c>
      <c r="CE26" s="200">
        <v>38.229999999999997</v>
      </c>
      <c r="CF26" s="208"/>
      <c r="CG26" s="208"/>
      <c r="CH26" s="209"/>
      <c r="CI26" s="199"/>
      <c r="CJ26" s="197"/>
      <c r="CK26" s="197">
        <v>162.4</v>
      </c>
      <c r="CL26" s="197">
        <v>143.08000000000001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25.5</v>
      </c>
      <c r="CV26" s="25">
        <f t="shared" si="20"/>
        <v>102.52800000000001</v>
      </c>
      <c r="CW26" s="24">
        <f t="shared" si="20"/>
        <v>374.38544399999995</v>
      </c>
      <c r="CX26" s="27">
        <f t="shared" si="20"/>
        <v>0</v>
      </c>
      <c r="CY26" s="24">
        <f t="shared" si="20"/>
        <v>0</v>
      </c>
      <c r="CZ26" s="280">
        <f t="shared" si="20"/>
        <v>0</v>
      </c>
      <c r="DA26" s="30">
        <f t="shared" si="21"/>
        <v>0</v>
      </c>
      <c r="DB26" s="26">
        <f t="shared" si="21"/>
        <v>162.4</v>
      </c>
      <c r="DC26" s="277">
        <f t="shared" si="21"/>
        <v>143.08000000000001</v>
      </c>
      <c r="DD26" s="280">
        <f t="shared" si="21"/>
        <v>0</v>
      </c>
      <c r="DE26" s="508">
        <f t="shared" si="32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3"/>
        <v>0</v>
      </c>
    </row>
    <row r="27" spans="1:115" ht="16.5" customHeight="1" thickBot="1">
      <c r="A27" s="534">
        <v>21</v>
      </c>
      <c r="B27" s="103">
        <f>'[1]октябрь 20'!K26</f>
        <v>468.053</v>
      </c>
      <c r="C27" s="104">
        <f t="shared" si="0"/>
        <v>0.86259152275490159</v>
      </c>
      <c r="D27" s="143">
        <f t="shared" si="1"/>
        <v>464.01561450000003</v>
      </c>
      <c r="E27" s="104">
        <f t="shared" si="35"/>
        <v>39.80912283437987</v>
      </c>
      <c r="F27" s="128">
        <f t="shared" si="3"/>
        <v>1.9854885121532198</v>
      </c>
      <c r="G27" s="106"/>
      <c r="H27" s="107">
        <f t="shared" si="4"/>
        <v>1.4849568555883841</v>
      </c>
      <c r="I27" s="103">
        <f>'[1]сентябрь 20'!AE26</f>
        <v>0</v>
      </c>
      <c r="J27" s="103">
        <f>'[1]октябрь 20'!AA26</f>
        <v>10.646000000000001</v>
      </c>
      <c r="K27" s="106">
        <v>27.11</v>
      </c>
      <c r="L27" s="103">
        <f>'[1]октябрь 20'!AI26</f>
        <v>116.976</v>
      </c>
      <c r="M27" s="103">
        <f t="shared" si="5"/>
        <v>0.50053165656483534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'[1]октябрь 20'!S26</f>
        <v>289.80500000000001</v>
      </c>
      <c r="S27" s="108">
        <f t="shared" si="6"/>
        <v>3.1003605872914619</v>
      </c>
      <c r="T27" s="109">
        <f t="shared" si="7"/>
        <v>280.82</v>
      </c>
      <c r="U27" s="566">
        <v>17.75</v>
      </c>
      <c r="V27" s="109">
        <f t="shared" si="8"/>
        <v>280.82</v>
      </c>
      <c r="W27" s="110">
        <f t="shared" si="9"/>
        <v>1.2016080204190351</v>
      </c>
      <c r="X27" s="110">
        <f t="shared" si="26"/>
        <v>1.2016080204190351</v>
      </c>
      <c r="Y27" s="129">
        <v>233.7</v>
      </c>
      <c r="Z27" s="129">
        <v>161.07</v>
      </c>
      <c r="AA27" s="131">
        <v>1</v>
      </c>
      <c r="AB27" s="133">
        <v>657</v>
      </c>
      <c r="AC27" s="133">
        <v>1231</v>
      </c>
      <c r="AD27" s="144" t="s">
        <v>149</v>
      </c>
      <c r="AE27" s="131">
        <v>76.180000000000007</v>
      </c>
      <c r="AF27" s="133">
        <v>156</v>
      </c>
      <c r="AG27" s="134">
        <v>5</v>
      </c>
      <c r="AH27" s="131">
        <v>5.15</v>
      </c>
      <c r="AI27" s="115">
        <f t="shared" si="10"/>
        <v>22.036469286938363</v>
      </c>
      <c r="AJ27" s="131">
        <v>127.4</v>
      </c>
      <c r="AK27" s="115">
        <f t="shared" si="11"/>
        <v>545.13518197202859</v>
      </c>
      <c r="AL27" s="139">
        <v>29.76</v>
      </c>
      <c r="AM27" s="131"/>
      <c r="AN27" s="136">
        <v>11.34</v>
      </c>
      <c r="AO27" s="466">
        <f t="shared" si="27"/>
        <v>56.686500000000002</v>
      </c>
      <c r="AP27" s="110">
        <f t="shared" si="12"/>
        <v>0.19</v>
      </c>
      <c r="AQ27" s="137" t="s">
        <v>374</v>
      </c>
      <c r="AR27" s="150">
        <v>7.22</v>
      </c>
      <c r="AS27" s="138">
        <v>9.14</v>
      </c>
      <c r="AT27" s="134"/>
      <c r="AU27" s="131">
        <v>7.73</v>
      </c>
      <c r="AV27" s="139">
        <v>298.35000000000002</v>
      </c>
      <c r="AW27" s="131">
        <v>3.38</v>
      </c>
      <c r="AX27" s="148"/>
      <c r="AY27" s="131"/>
      <c r="AZ27" s="109">
        <f t="shared" si="34"/>
        <v>0</v>
      </c>
      <c r="BA27" s="109">
        <f t="shared" si="13"/>
        <v>233.70350000000002</v>
      </c>
      <c r="BB27" s="115">
        <f t="shared" si="28"/>
        <v>211.6842171327614</v>
      </c>
      <c r="BC27" s="140">
        <f t="shared" si="14"/>
        <v>7.6287478873239447</v>
      </c>
      <c r="BD27" s="141">
        <f t="shared" si="36"/>
        <v>9.3481400000000008</v>
      </c>
      <c r="BE27" s="128">
        <f t="shared" si="16"/>
        <v>0.96380900883150578</v>
      </c>
      <c r="BF27" s="141">
        <f t="shared" si="17"/>
        <v>16.976887887323947</v>
      </c>
      <c r="BG27" s="535">
        <v>0.89300000000000002</v>
      </c>
      <c r="BH27" s="16">
        <f t="shared" si="29"/>
        <v>4367.6404999999995</v>
      </c>
      <c r="BI27" s="16">
        <f t="shared" si="18"/>
        <v>222.58064516129033</v>
      </c>
      <c r="BJ27" s="16">
        <f t="shared" si="30"/>
        <v>4674.1935483870966</v>
      </c>
      <c r="BK27" s="17">
        <f t="shared" si="19"/>
        <v>1</v>
      </c>
      <c r="BL27" s="16">
        <f t="shared" si="31"/>
        <v>4674.1935483870966</v>
      </c>
      <c r="BM27" s="254"/>
      <c r="BN27" s="197">
        <v>23.423999999999999</v>
      </c>
      <c r="BO27" s="197">
        <v>93.552000000000007</v>
      </c>
      <c r="BP27" s="197">
        <v>351.077</v>
      </c>
      <c r="BQ27" s="230"/>
      <c r="BR27" s="230"/>
      <c r="BS27" s="258"/>
      <c r="BT27" s="199"/>
      <c r="BU27" s="200"/>
      <c r="BV27" s="200"/>
      <c r="BW27" s="200"/>
      <c r="BX27" s="200">
        <v>1.1499999999999999</v>
      </c>
      <c r="BY27" s="208"/>
      <c r="BZ27" s="208"/>
      <c r="CA27" s="201"/>
      <c r="CB27" s="202"/>
      <c r="CC27" s="200">
        <v>44.04</v>
      </c>
      <c r="CD27" s="200">
        <v>43.55</v>
      </c>
      <c r="CE27" s="200">
        <v>38.53</v>
      </c>
      <c r="CF27" s="208"/>
      <c r="CG27" s="208"/>
      <c r="CH27" s="209"/>
      <c r="CI27" s="199"/>
      <c r="CJ27" s="197"/>
      <c r="CK27" s="197">
        <v>171.62</v>
      </c>
      <c r="CL27" s="197">
        <v>109.2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23.423999999999999</v>
      </c>
      <c r="CV27" s="25">
        <f t="shared" si="20"/>
        <v>93.552000000000007</v>
      </c>
      <c r="CW27" s="24">
        <f t="shared" si="20"/>
        <v>347.03961449999997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171.62</v>
      </c>
      <c r="DC27" s="277">
        <f t="shared" si="21"/>
        <v>109.2</v>
      </c>
      <c r="DD27" s="280">
        <f t="shared" si="21"/>
        <v>0</v>
      </c>
      <c r="DE27" s="508">
        <f t="shared" si="32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3"/>
        <v>0</v>
      </c>
    </row>
    <row r="28" spans="1:115" ht="16.5" customHeight="1" thickBot="1">
      <c r="A28" s="534">
        <v>22</v>
      </c>
      <c r="B28" s="103">
        <f>'[1]октябрь 20'!K27</f>
        <v>488.83199999999999</v>
      </c>
      <c r="C28" s="104">
        <f t="shared" si="0"/>
        <v>1.1027676379615083</v>
      </c>
      <c r="D28" s="143">
        <f t="shared" si="1"/>
        <v>483.4413189</v>
      </c>
      <c r="E28" s="104">
        <f t="shared" si="2"/>
        <v>39.732182508510085</v>
      </c>
      <c r="F28" s="128">
        <f t="shared" si="3"/>
        <v>1.9858705470125142</v>
      </c>
      <c r="G28" s="106"/>
      <c r="H28" s="107">
        <f t="shared" si="4"/>
        <v>1.4842325697655074</v>
      </c>
      <c r="I28" s="103">
        <f>'[1]сентябрь 20'!AE27</f>
        <v>0</v>
      </c>
      <c r="J28" s="103">
        <f>'[1]октябрь 20'!AA27</f>
        <v>10.180999999999999</v>
      </c>
      <c r="K28" s="106">
        <v>22.36</v>
      </c>
      <c r="L28" s="103">
        <f>'[1]октябрь 20'!AI27</f>
        <v>122.119</v>
      </c>
      <c r="M28" s="103">
        <f t="shared" si="5"/>
        <v>0.50163797724700698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'[1]октябрь 20'!S27</f>
        <v>298.27699999999999</v>
      </c>
      <c r="S28" s="108">
        <f t="shared" si="6"/>
        <v>3.106843638631207</v>
      </c>
      <c r="T28" s="109">
        <f t="shared" si="7"/>
        <v>289.01</v>
      </c>
      <c r="U28" s="566">
        <v>5.83</v>
      </c>
      <c r="V28" s="109">
        <f t="shared" si="8"/>
        <v>289.01</v>
      </c>
      <c r="W28" s="110">
        <f t="shared" si="9"/>
        <v>1.1871894775109317</v>
      </c>
      <c r="X28" s="110">
        <f t="shared" si="26"/>
        <v>1.1871894775109317</v>
      </c>
      <c r="Y28" s="129">
        <v>243.44</v>
      </c>
      <c r="Z28" s="136">
        <v>97.4</v>
      </c>
      <c r="AA28" s="131">
        <v>1.1499999999999999</v>
      </c>
      <c r="AB28" s="133">
        <v>676</v>
      </c>
      <c r="AC28" s="133">
        <v>1232</v>
      </c>
      <c r="AD28" s="144" t="s">
        <v>203</v>
      </c>
      <c r="AE28" s="131">
        <v>75.680000000000007</v>
      </c>
      <c r="AF28" s="133">
        <v>163</v>
      </c>
      <c r="AG28" s="134">
        <v>5</v>
      </c>
      <c r="AH28" s="131"/>
      <c r="AI28" s="115">
        <f t="shared" si="10"/>
        <v>0</v>
      </c>
      <c r="AJ28" s="131">
        <v>114.05</v>
      </c>
      <c r="AK28" s="115">
        <f t="shared" si="11"/>
        <v>468.49230099346659</v>
      </c>
      <c r="AL28" s="139">
        <v>34.21</v>
      </c>
      <c r="AM28" s="131"/>
      <c r="AN28" s="136">
        <v>11.98</v>
      </c>
      <c r="AO28" s="466">
        <f t="shared" si="27"/>
        <v>59.099500000000006</v>
      </c>
      <c r="AP28" s="110">
        <f t="shared" si="12"/>
        <v>0.19</v>
      </c>
      <c r="AQ28" s="137" t="s">
        <v>386</v>
      </c>
      <c r="AR28" s="150">
        <v>6.89</v>
      </c>
      <c r="AS28" s="138">
        <v>9.18</v>
      </c>
      <c r="AT28" s="134"/>
      <c r="AU28" s="131">
        <v>5.78</v>
      </c>
      <c r="AV28" s="139">
        <v>311.05</v>
      </c>
      <c r="AW28" s="131">
        <v>3.47</v>
      </c>
      <c r="AX28" s="148"/>
      <c r="AY28" s="131"/>
      <c r="AZ28" s="109">
        <f t="shared" si="34"/>
        <v>0</v>
      </c>
      <c r="BA28" s="109">
        <f t="shared" si="13"/>
        <v>243.44050000000001</v>
      </c>
      <c r="BB28" s="115">
        <f t="shared" si="28"/>
        <v>221.57426027912314</v>
      </c>
      <c r="BC28" s="140">
        <f t="shared" si="14"/>
        <v>5.1065485915492959</v>
      </c>
      <c r="BD28" s="141">
        <f t="shared" si="36"/>
        <v>9.7376200000000015</v>
      </c>
      <c r="BE28" s="128">
        <f t="shared" si="16"/>
        <v>0.95915272934806706</v>
      </c>
      <c r="BF28" s="141">
        <f t="shared" si="17"/>
        <v>14.844168591549298</v>
      </c>
      <c r="BG28" s="535">
        <v>0.89600000000000002</v>
      </c>
      <c r="BH28" s="16">
        <f t="shared" si="29"/>
        <v>4611.0809999999992</v>
      </c>
      <c r="BI28" s="16">
        <f t="shared" si="18"/>
        <v>222.58064516129033</v>
      </c>
      <c r="BJ28" s="16">
        <f t="shared" si="30"/>
        <v>4896.7741935483873</v>
      </c>
      <c r="BK28" s="17">
        <f t="shared" si="19"/>
        <v>1</v>
      </c>
      <c r="BL28" s="16">
        <f t="shared" si="31"/>
        <v>4896.7741935483873</v>
      </c>
      <c r="BM28" s="254"/>
      <c r="BN28" s="197">
        <v>24.35</v>
      </c>
      <c r="BO28" s="197">
        <v>97.769000000000005</v>
      </c>
      <c r="BP28" s="197">
        <v>366.71300000000002</v>
      </c>
      <c r="BQ28" s="230"/>
      <c r="BR28" s="230"/>
      <c r="BS28" s="258"/>
      <c r="BT28" s="199"/>
      <c r="BU28" s="200"/>
      <c r="BV28" s="200"/>
      <c r="BW28" s="200"/>
      <c r="BX28" s="200">
        <v>1.47</v>
      </c>
      <c r="BY28" s="208"/>
      <c r="BZ28" s="208"/>
      <c r="CA28" s="201"/>
      <c r="CB28" s="202"/>
      <c r="CC28" s="200">
        <v>43.04</v>
      </c>
      <c r="CD28" s="200">
        <v>43.38</v>
      </c>
      <c r="CE28" s="200">
        <v>38.54</v>
      </c>
      <c r="CF28" s="208"/>
      <c r="CG28" s="208"/>
      <c r="CH28" s="209"/>
      <c r="CI28" s="199"/>
      <c r="CJ28" s="197"/>
      <c r="CK28" s="197">
        <v>174.91</v>
      </c>
      <c r="CL28" s="197">
        <v>114.1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24.35</v>
      </c>
      <c r="CV28" s="30">
        <f t="shared" si="20"/>
        <v>97.769000000000005</v>
      </c>
      <c r="CW28" s="29">
        <f t="shared" si="20"/>
        <v>361.32231890000003</v>
      </c>
      <c r="CX28" s="27">
        <f t="shared" si="20"/>
        <v>0</v>
      </c>
      <c r="CY28" s="24">
        <f t="shared" si="20"/>
        <v>0</v>
      </c>
      <c r="CZ28" s="282">
        <f t="shared" si="20"/>
        <v>0</v>
      </c>
      <c r="DA28" s="25">
        <f t="shared" si="21"/>
        <v>0</v>
      </c>
      <c r="DB28" s="24">
        <f t="shared" si="21"/>
        <v>174.91</v>
      </c>
      <c r="DC28" s="277">
        <f t="shared" si="21"/>
        <v>114.1</v>
      </c>
      <c r="DD28" s="280">
        <f t="shared" si="21"/>
        <v>0</v>
      </c>
      <c r="DE28" s="508">
        <f t="shared" si="32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3"/>
        <v>0</v>
      </c>
    </row>
    <row r="29" spans="1:115" ht="16.5" customHeight="1" thickBot="1">
      <c r="A29" s="534">
        <v>23</v>
      </c>
      <c r="B29" s="103">
        <f>'[1]октябрь 20'!K28</f>
        <v>507.21300000000002</v>
      </c>
      <c r="C29" s="104">
        <f t="shared" si="0"/>
        <v>1.1996190949364467</v>
      </c>
      <c r="D29" s="143">
        <f t="shared" si="1"/>
        <v>501.128376</v>
      </c>
      <c r="E29" s="104">
        <f t="shared" si="2"/>
        <v>39.513291812315529</v>
      </c>
      <c r="F29" s="128">
        <f t="shared" si="3"/>
        <v>2.1015549032106549</v>
      </c>
      <c r="G29" s="106"/>
      <c r="H29" s="107">
        <f t="shared" si="4"/>
        <v>1.5692806052269601</v>
      </c>
      <c r="I29" s="103">
        <f>'[1]сентябрь 20'!AE28</f>
        <v>0</v>
      </c>
      <c r="J29" s="103">
        <f>'[1]октябрь 20'!AA28</f>
        <v>11.896000000000001</v>
      </c>
      <c r="K29" s="106">
        <v>17.75</v>
      </c>
      <c r="L29" s="103">
        <f>'[1]октябрь 20'!AI28</f>
        <v>126.92400000000001</v>
      </c>
      <c r="M29" s="103">
        <f t="shared" si="5"/>
        <v>0.53227429798369508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'[1]октябрь 20'!S28</f>
        <v>308.536</v>
      </c>
      <c r="S29" s="108">
        <f t="shared" si="6"/>
        <v>3.1555474887857482</v>
      </c>
      <c r="T29" s="109">
        <f t="shared" si="7"/>
        <v>298.8</v>
      </c>
      <c r="U29" s="566">
        <v>0.65</v>
      </c>
      <c r="V29" s="109">
        <f t="shared" si="8"/>
        <v>298.8</v>
      </c>
      <c r="W29" s="110">
        <f t="shared" si="9"/>
        <v>1.2530613614251684</v>
      </c>
      <c r="X29" s="110">
        <f t="shared" si="26"/>
        <v>1.2530613614251684</v>
      </c>
      <c r="Y29" s="129">
        <v>186.94</v>
      </c>
      <c r="Z29" s="136">
        <v>186.94</v>
      </c>
      <c r="AA29" s="131">
        <v>0.71</v>
      </c>
      <c r="AB29" s="133">
        <v>679</v>
      </c>
      <c r="AC29" s="133">
        <v>1223</v>
      </c>
      <c r="AD29" s="144" t="s">
        <v>463</v>
      </c>
      <c r="AE29" s="131">
        <v>75.5</v>
      </c>
      <c r="AF29" s="133">
        <v>169</v>
      </c>
      <c r="AG29" s="134">
        <v>5</v>
      </c>
      <c r="AH29" s="131">
        <v>5.55</v>
      </c>
      <c r="AI29" s="115">
        <f t="shared" si="10"/>
        <v>23.274734122857044</v>
      </c>
      <c r="AJ29" s="131">
        <v>132.75</v>
      </c>
      <c r="AK29" s="115">
        <f t="shared" si="11"/>
        <v>556.70647834401314</v>
      </c>
      <c r="AL29" s="139">
        <v>32.299999999999997</v>
      </c>
      <c r="AM29" s="131"/>
      <c r="AN29" s="136">
        <v>13.81</v>
      </c>
      <c r="AO29" s="466">
        <f t="shared" si="27"/>
        <v>58.444000000000003</v>
      </c>
      <c r="AP29" s="110">
        <f t="shared" si="12"/>
        <v>0.19</v>
      </c>
      <c r="AQ29" s="137" t="s">
        <v>464</v>
      </c>
      <c r="AR29" s="150">
        <v>6.48</v>
      </c>
      <c r="AS29" s="138">
        <v>9.4</v>
      </c>
      <c r="AT29" s="134"/>
      <c r="AU29" s="131">
        <v>7.03</v>
      </c>
      <c r="AV29" s="139">
        <v>307.60000000000002</v>
      </c>
      <c r="AW29" s="131">
        <v>3.11</v>
      </c>
      <c r="AX29" s="148"/>
      <c r="AY29" s="131"/>
      <c r="AZ29" s="109">
        <f t="shared" si="34"/>
        <v>0</v>
      </c>
      <c r="BA29" s="109">
        <f t="shared" si="13"/>
        <v>238.45600000000002</v>
      </c>
      <c r="BB29" s="115">
        <f t="shared" si="28"/>
        <v>228.95993805651875</v>
      </c>
      <c r="BC29" s="140">
        <f t="shared" si="14"/>
        <v>7.2292658450704232</v>
      </c>
      <c r="BD29" s="141">
        <f t="shared" si="36"/>
        <v>9.5382400000000001</v>
      </c>
      <c r="BE29" s="128">
        <f t="shared" si="16"/>
        <v>0.90920747868394647</v>
      </c>
      <c r="BF29" s="141">
        <f t="shared" si="17"/>
        <v>16.767505845070424</v>
      </c>
      <c r="BG29" s="535">
        <v>0.89700000000000002</v>
      </c>
      <c r="BH29" s="16">
        <f t="shared" si="29"/>
        <v>4849.5369999999994</v>
      </c>
      <c r="BI29" s="16">
        <f t="shared" si="18"/>
        <v>222.58064516129033</v>
      </c>
      <c r="BJ29" s="16">
        <f t="shared" si="30"/>
        <v>5119.354838709678</v>
      </c>
      <c r="BK29" s="17">
        <f t="shared" si="19"/>
        <v>1</v>
      </c>
      <c r="BL29" s="16">
        <f t="shared" si="31"/>
        <v>5119.354838709678</v>
      </c>
      <c r="BM29" s="254"/>
      <c r="BN29" s="197">
        <v>25.509</v>
      </c>
      <c r="BO29" s="197">
        <v>101.41500000000001</v>
      </c>
      <c r="BP29" s="197">
        <v>380.28899999999999</v>
      </c>
      <c r="BQ29" s="230"/>
      <c r="BR29" s="230"/>
      <c r="BS29" s="258"/>
      <c r="BT29" s="199"/>
      <c r="BU29" s="200"/>
      <c r="BV29" s="200"/>
      <c r="BW29" s="200"/>
      <c r="BX29" s="200">
        <v>1.6</v>
      </c>
      <c r="BY29" s="208"/>
      <c r="BZ29" s="208"/>
      <c r="CA29" s="201"/>
      <c r="CB29" s="202"/>
      <c r="CC29" s="200">
        <v>43.59</v>
      </c>
      <c r="CD29" s="200">
        <v>43.3</v>
      </c>
      <c r="CE29" s="200">
        <v>38.229999999999997</v>
      </c>
      <c r="CF29" s="208"/>
      <c r="CG29" s="208"/>
      <c r="CH29" s="201"/>
      <c r="CI29" s="199"/>
      <c r="CJ29" s="197"/>
      <c r="CK29" s="197">
        <v>180.5</v>
      </c>
      <c r="CL29" s="230">
        <v>118.3</v>
      </c>
      <c r="CM29" s="198"/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25.509</v>
      </c>
      <c r="CV29" s="25">
        <f t="shared" si="20"/>
        <v>101.41500000000001</v>
      </c>
      <c r="CW29" s="24">
        <f t="shared" si="20"/>
        <v>374.20437600000002</v>
      </c>
      <c r="CX29" s="27">
        <f t="shared" si="20"/>
        <v>0</v>
      </c>
      <c r="CY29" s="29">
        <f t="shared" si="20"/>
        <v>0</v>
      </c>
      <c r="CZ29" s="280">
        <f t="shared" si="20"/>
        <v>0</v>
      </c>
      <c r="DA29" s="30">
        <f t="shared" si="21"/>
        <v>0</v>
      </c>
      <c r="DB29" s="29">
        <f t="shared" si="21"/>
        <v>180.5</v>
      </c>
      <c r="DC29" s="277">
        <f t="shared" si="21"/>
        <v>118.3</v>
      </c>
      <c r="DD29" s="280">
        <f t="shared" si="21"/>
        <v>0</v>
      </c>
      <c r="DE29" s="508">
        <f t="shared" si="32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3"/>
        <v>0</v>
      </c>
    </row>
    <row r="30" spans="1:115" ht="16.5" customHeight="1" thickBot="1">
      <c r="A30" s="534">
        <v>24</v>
      </c>
      <c r="B30" s="103">
        <f>'[1]октябрь 20'!K29</f>
        <v>512.74300000000005</v>
      </c>
      <c r="C30" s="104">
        <f t="shared" si="0"/>
        <v>2.6940876033412446</v>
      </c>
      <c r="D30" s="143">
        <f t="shared" si="1"/>
        <v>498.92925440000005</v>
      </c>
      <c r="E30" s="104">
        <f t="shared" si="2"/>
        <v>39.494425686942577</v>
      </c>
      <c r="F30" s="128">
        <f t="shared" si="3"/>
        <v>2.1183122189600971</v>
      </c>
      <c r="G30" s="106"/>
      <c r="H30" s="107">
        <f t="shared" si="4"/>
        <v>1.5750345682000073</v>
      </c>
      <c r="I30" s="103">
        <f>'[1]сентябрь 20'!AE29</f>
        <v>0</v>
      </c>
      <c r="J30" s="103">
        <f>'[1]октябрь 20'!AA29</f>
        <v>11.509</v>
      </c>
      <c r="K30" s="106">
        <v>23.15</v>
      </c>
      <c r="L30" s="103">
        <f>'[1]октябрь 20'!AI29</f>
        <v>127.959</v>
      </c>
      <c r="M30" s="103">
        <f t="shared" si="5"/>
        <v>0.54327765076008949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'[1]октябрь 20'!S29</f>
        <v>312.41699999999997</v>
      </c>
      <c r="S30" s="108">
        <f t="shared" si="6"/>
        <v>3.1198686371100015</v>
      </c>
      <c r="T30" s="109">
        <f t="shared" si="7"/>
        <v>302.67</v>
      </c>
      <c r="U30" s="566">
        <v>19.11</v>
      </c>
      <c r="V30" s="109">
        <f t="shared" si="8"/>
        <v>302.67</v>
      </c>
      <c r="W30" s="110">
        <f t="shared" si="9"/>
        <v>1.2850510441278558</v>
      </c>
      <c r="X30" s="110">
        <f t="shared" si="26"/>
        <v>1.2850510441278558</v>
      </c>
      <c r="Y30" s="154">
        <v>235.53</v>
      </c>
      <c r="Z30" s="157">
        <v>235.53</v>
      </c>
      <c r="AA30" s="149">
        <v>0.67</v>
      </c>
      <c r="AB30" s="147">
        <v>630</v>
      </c>
      <c r="AC30" s="147">
        <v>1231</v>
      </c>
      <c r="AD30" s="144" t="s">
        <v>200</v>
      </c>
      <c r="AE30" s="149">
        <v>76.13</v>
      </c>
      <c r="AF30" s="147">
        <v>171</v>
      </c>
      <c r="AG30" s="155">
        <v>5</v>
      </c>
      <c r="AH30" s="149">
        <v>7.3</v>
      </c>
      <c r="AI30" s="115">
        <f t="shared" si="10"/>
        <v>30.993731199436173</v>
      </c>
      <c r="AJ30" s="131">
        <v>134.80000000000001</v>
      </c>
      <c r="AK30" s="115">
        <f t="shared" si="11"/>
        <v>572.32259803890361</v>
      </c>
      <c r="AL30" s="139">
        <v>31.15</v>
      </c>
      <c r="AM30" s="131"/>
      <c r="AN30" s="157">
        <v>15.71</v>
      </c>
      <c r="AO30" s="466">
        <f t="shared" si="27"/>
        <v>57.978499999999997</v>
      </c>
      <c r="AP30" s="110">
        <f t="shared" si="12"/>
        <v>0.19</v>
      </c>
      <c r="AQ30" s="158" t="s">
        <v>465</v>
      </c>
      <c r="AR30" s="404">
        <v>6.5</v>
      </c>
      <c r="AS30" s="159">
        <v>9.08</v>
      </c>
      <c r="AT30" s="155"/>
      <c r="AU30" s="149">
        <v>8.3000000000000007</v>
      </c>
      <c r="AV30" s="156">
        <v>305.14999999999998</v>
      </c>
      <c r="AW30" s="131">
        <v>4.07</v>
      </c>
      <c r="AX30" s="164"/>
      <c r="AY30" s="149"/>
      <c r="AZ30" s="109">
        <f t="shared" si="34"/>
        <v>0</v>
      </c>
      <c r="BA30" s="109">
        <f t="shared" si="13"/>
        <v>235.53149999999997</v>
      </c>
      <c r="BB30" s="115">
        <f t="shared" si="28"/>
        <v>225.96084286224584</v>
      </c>
      <c r="BC30" s="140">
        <f t="shared" si="14"/>
        <v>8.6670704225352129</v>
      </c>
      <c r="BD30" s="141">
        <f t="shared" si="36"/>
        <v>9.4212599999999984</v>
      </c>
      <c r="BE30" s="128">
        <f t="shared" si="16"/>
        <v>0.90997624586377091</v>
      </c>
      <c r="BF30" s="141">
        <f t="shared" si="17"/>
        <v>18.088330422535211</v>
      </c>
      <c r="BG30" s="537">
        <v>0.89700000000000002</v>
      </c>
      <c r="BH30" s="16">
        <f t="shared" si="29"/>
        <v>5085.0684999999994</v>
      </c>
      <c r="BI30" s="16">
        <f t="shared" si="18"/>
        <v>222.58064516129033</v>
      </c>
      <c r="BJ30" s="16">
        <f t="shared" si="30"/>
        <v>5341.9354838709687</v>
      </c>
      <c r="BK30" s="17">
        <f t="shared" si="19"/>
        <v>1</v>
      </c>
      <c r="BL30" s="16">
        <f t="shared" si="31"/>
        <v>5341.9354838709687</v>
      </c>
      <c r="BM30" s="255"/>
      <c r="BN30" s="210">
        <v>25.495000000000001</v>
      </c>
      <c r="BO30" s="210">
        <v>102.464</v>
      </c>
      <c r="BP30" s="210">
        <v>384.78399999999999</v>
      </c>
      <c r="BQ30" s="233"/>
      <c r="BR30" s="233"/>
      <c r="BS30" s="260"/>
      <c r="BT30" s="212"/>
      <c r="BU30" s="213"/>
      <c r="BV30" s="213"/>
      <c r="BW30" s="213"/>
      <c r="BX30" s="213">
        <v>3.59</v>
      </c>
      <c r="BY30" s="235"/>
      <c r="BZ30" s="235"/>
      <c r="CA30" s="214"/>
      <c r="CB30" s="215"/>
      <c r="CC30" s="213">
        <v>44.17</v>
      </c>
      <c r="CD30" s="216">
        <v>43.53</v>
      </c>
      <c r="CE30" s="213">
        <v>38.11</v>
      </c>
      <c r="CF30" s="235"/>
      <c r="CG30" s="235"/>
      <c r="CH30" s="214"/>
      <c r="CI30" s="212"/>
      <c r="CJ30" s="210"/>
      <c r="CK30" s="210">
        <v>182.97</v>
      </c>
      <c r="CL30" s="233">
        <v>119.7</v>
      </c>
      <c r="CM30" s="198"/>
      <c r="CN30" s="202"/>
      <c r="CO30" s="208"/>
      <c r="CP30" s="208"/>
      <c r="CQ30" s="201"/>
      <c r="CR30" s="201"/>
      <c r="CS30" s="284"/>
      <c r="CT30" s="286">
        <f t="shared" si="20"/>
        <v>0</v>
      </c>
      <c r="CU30" s="24">
        <f t="shared" si="20"/>
        <v>25.495000000000001</v>
      </c>
      <c r="CV30" s="25">
        <f t="shared" si="20"/>
        <v>102.464</v>
      </c>
      <c r="CW30" s="24">
        <f t="shared" si="20"/>
        <v>370.97025439999999</v>
      </c>
      <c r="CX30" s="27">
        <f t="shared" si="20"/>
        <v>0</v>
      </c>
      <c r="CY30" s="24">
        <f t="shared" si="20"/>
        <v>0</v>
      </c>
      <c r="CZ30" s="280">
        <f t="shared" si="20"/>
        <v>0</v>
      </c>
      <c r="DA30" s="25">
        <f t="shared" si="21"/>
        <v>0</v>
      </c>
      <c r="DB30" s="26">
        <f t="shared" si="21"/>
        <v>182.97</v>
      </c>
      <c r="DC30" s="277">
        <f t="shared" si="21"/>
        <v>119.7</v>
      </c>
      <c r="DD30" s="280">
        <f t="shared" si="21"/>
        <v>0</v>
      </c>
      <c r="DE30" s="508">
        <f t="shared" si="32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3"/>
        <v>0</v>
      </c>
    </row>
    <row r="31" spans="1:115" ht="16.5" customHeight="1" thickBot="1">
      <c r="A31" s="534">
        <v>25</v>
      </c>
      <c r="B31" s="103">
        <f>'[1]октябрь 20'!K30</f>
        <v>507.32</v>
      </c>
      <c r="C31" s="104">
        <f t="shared" si="0"/>
        <v>2.2040090278325319</v>
      </c>
      <c r="D31" s="143">
        <f t="shared" si="1"/>
        <v>496.13862139999998</v>
      </c>
      <c r="E31" s="104">
        <f t="shared" si="2"/>
        <v>39.313484447685873</v>
      </c>
      <c r="F31" s="128">
        <f t="shared" si="3"/>
        <v>2.223426038634678</v>
      </c>
      <c r="G31" s="106"/>
      <c r="H31" s="107">
        <f t="shared" si="4"/>
        <v>1.6542759701803564</v>
      </c>
      <c r="I31" s="103">
        <f>'[1]сентябрь 20'!AE30</f>
        <v>0</v>
      </c>
      <c r="J31" s="103">
        <f>'[1]октябрь 20'!AA30</f>
        <v>10.211</v>
      </c>
      <c r="K31" s="106">
        <v>18.48</v>
      </c>
      <c r="L31" s="103">
        <f>'[1]октябрь 20'!AI30</f>
        <v>127.001</v>
      </c>
      <c r="M31" s="103">
        <f t="shared" si="5"/>
        <v>0.56915006845432159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'[1]октябрь 20'!S30</f>
        <v>307.69299999999998</v>
      </c>
      <c r="S31" s="108">
        <f t="shared" si="6"/>
        <v>2.6237190966320267</v>
      </c>
      <c r="T31" s="109">
        <f t="shared" si="7"/>
        <v>299.62</v>
      </c>
      <c r="U31" s="566"/>
      <c r="V31" s="109">
        <f t="shared" si="8"/>
        <v>299.62</v>
      </c>
      <c r="W31" s="110">
        <f t="shared" si="9"/>
        <v>1.3427354391720052</v>
      </c>
      <c r="X31" s="110">
        <f t="shared" si="26"/>
        <v>1.3427354391720052</v>
      </c>
      <c r="Y31" s="136">
        <v>223.14</v>
      </c>
      <c r="Z31" s="136">
        <v>223.14</v>
      </c>
      <c r="AA31" s="131">
        <v>0.56000000000000005</v>
      </c>
      <c r="AB31" s="133">
        <v>685</v>
      </c>
      <c r="AC31" s="133">
        <v>1232</v>
      </c>
      <c r="AD31" s="144" t="s">
        <v>466</v>
      </c>
      <c r="AE31" s="131">
        <v>76.040000000000006</v>
      </c>
      <c r="AF31" s="133">
        <v>169</v>
      </c>
      <c r="AG31" s="134">
        <v>5</v>
      </c>
      <c r="AH31" s="131">
        <v>6.75</v>
      </c>
      <c r="AI31" s="115">
        <f t="shared" si="10"/>
        <v>30.249863875612562</v>
      </c>
      <c r="AJ31" s="131">
        <v>134.75</v>
      </c>
      <c r="AK31" s="115">
        <f t="shared" si="11"/>
        <v>603.87691218352484</v>
      </c>
      <c r="AL31" s="139">
        <v>28.17</v>
      </c>
      <c r="AM31" s="131"/>
      <c r="AN31" s="136">
        <v>14.13</v>
      </c>
      <c r="AO31" s="466">
        <f t="shared" si="27"/>
        <v>54.748499999999993</v>
      </c>
      <c r="AP31" s="110">
        <f t="shared" si="12"/>
        <v>0.19</v>
      </c>
      <c r="AQ31" s="137" t="s">
        <v>467</v>
      </c>
      <c r="AR31" s="150">
        <v>6.6</v>
      </c>
      <c r="AS31" s="138">
        <v>9.0399999999999991</v>
      </c>
      <c r="AT31" s="134"/>
      <c r="AU31" s="131">
        <v>8.25</v>
      </c>
      <c r="AV31" s="139">
        <v>288.14999999999998</v>
      </c>
      <c r="AW31" s="131">
        <v>3.87</v>
      </c>
      <c r="AX31" s="148"/>
      <c r="AY31" s="131"/>
      <c r="AZ31" s="109">
        <f t="shared" si="34"/>
        <v>0</v>
      </c>
      <c r="BA31" s="109">
        <f t="shared" si="13"/>
        <v>223.14150000000001</v>
      </c>
      <c r="BB31" s="115">
        <f t="shared" si="28"/>
        <v>223.93228371007953</v>
      </c>
      <c r="BC31" s="140">
        <f t="shared" si="14"/>
        <v>8.6116637323943657</v>
      </c>
      <c r="BD31" s="141">
        <f t="shared" si="36"/>
        <v>8.9256600000000006</v>
      </c>
      <c r="BE31" s="128">
        <f t="shared" si="16"/>
        <v>0.86991712973466029</v>
      </c>
      <c r="BF31" s="141">
        <f t="shared" si="17"/>
        <v>17.537323732394366</v>
      </c>
      <c r="BG31" s="535">
        <v>0.89600000000000002</v>
      </c>
      <c r="BH31" s="16">
        <f t="shared" si="29"/>
        <v>5308.2099999999991</v>
      </c>
      <c r="BI31" s="16">
        <f t="shared" si="18"/>
        <v>222.58064516129033</v>
      </c>
      <c r="BJ31" s="16">
        <f t="shared" si="30"/>
        <v>5564.5161290322594</v>
      </c>
      <c r="BK31" s="17">
        <f>IF(BA31&lt;&gt;0,1,0)</f>
        <v>1</v>
      </c>
      <c r="BL31" s="16">
        <f t="shared" si="31"/>
        <v>5564.5161290322594</v>
      </c>
      <c r="BM31" s="254"/>
      <c r="BN31" s="197">
        <v>25.491</v>
      </c>
      <c r="BO31" s="197">
        <v>101.51</v>
      </c>
      <c r="BP31" s="197">
        <v>380.31900000000002</v>
      </c>
      <c r="BQ31" s="230"/>
      <c r="BR31" s="230"/>
      <c r="BS31" s="259"/>
      <c r="BT31" s="199"/>
      <c r="BU31" s="200"/>
      <c r="BV31" s="200"/>
      <c r="BW31" s="200"/>
      <c r="BX31" s="200">
        <v>2.94</v>
      </c>
      <c r="BY31" s="208"/>
      <c r="BZ31" s="208"/>
      <c r="CA31" s="201"/>
      <c r="CB31" s="202"/>
      <c r="CC31" s="200">
        <v>43.94</v>
      </c>
      <c r="CD31" s="200">
        <v>43.41</v>
      </c>
      <c r="CE31" s="200">
        <v>37.909999999999997</v>
      </c>
      <c r="CF31" s="208"/>
      <c r="CG31" s="208"/>
      <c r="CH31" s="209"/>
      <c r="CI31" s="199"/>
      <c r="CJ31" s="197">
        <v>170.62</v>
      </c>
      <c r="CK31" s="197">
        <v>10.7</v>
      </c>
      <c r="CL31" s="230">
        <v>118.3</v>
      </c>
      <c r="CM31" s="198"/>
      <c r="CN31" s="202"/>
      <c r="CO31" s="208"/>
      <c r="CP31" s="208"/>
      <c r="CQ31" s="201"/>
      <c r="CR31" s="201"/>
      <c r="CS31" s="284"/>
      <c r="CT31" s="286">
        <f t="shared" si="20"/>
        <v>0</v>
      </c>
      <c r="CU31" s="24">
        <f t="shared" si="20"/>
        <v>25.491</v>
      </c>
      <c r="CV31" s="25">
        <f t="shared" si="20"/>
        <v>101.51</v>
      </c>
      <c r="CW31" s="24">
        <f t="shared" si="20"/>
        <v>369.1376214</v>
      </c>
      <c r="CX31" s="27">
        <f t="shared" si="20"/>
        <v>0</v>
      </c>
      <c r="CY31" s="24">
        <f t="shared" si="20"/>
        <v>0</v>
      </c>
      <c r="CZ31" s="280">
        <f t="shared" si="20"/>
        <v>0</v>
      </c>
      <c r="DA31" s="28">
        <f t="shared" si="21"/>
        <v>170.62</v>
      </c>
      <c r="DB31" s="24">
        <f t="shared" si="21"/>
        <v>10.7</v>
      </c>
      <c r="DC31" s="277">
        <f t="shared" si="21"/>
        <v>118.3</v>
      </c>
      <c r="DD31" s="280">
        <f t="shared" si="21"/>
        <v>0</v>
      </c>
      <c r="DE31" s="508">
        <f t="shared" si="32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3"/>
        <v>0</v>
      </c>
    </row>
    <row r="32" spans="1:115" ht="16.5" customHeight="1" thickBot="1">
      <c r="A32" s="534">
        <v>26</v>
      </c>
      <c r="B32" s="103">
        <f>'[1]октябрь 20'!K31</f>
        <v>500.87099999999998</v>
      </c>
      <c r="C32" s="104">
        <f t="shared" si="0"/>
        <v>1.5830381675121936</v>
      </c>
      <c r="D32" s="143">
        <f t="shared" si="1"/>
        <v>492.94202089999999</v>
      </c>
      <c r="E32" s="104">
        <f t="shared" si="2"/>
        <v>39.864009455528468</v>
      </c>
      <c r="F32" s="128">
        <f t="shared" si="3"/>
        <v>2.1337818737068108</v>
      </c>
      <c r="G32" s="106"/>
      <c r="H32" s="107">
        <f t="shared" si="4"/>
        <v>1.5923089148897489</v>
      </c>
      <c r="I32" s="103">
        <f>'[1]сентябрь 20'!AE31</f>
        <v>0</v>
      </c>
      <c r="J32" s="103">
        <f>'[1]октябрь 20'!AA31</f>
        <v>9.577</v>
      </c>
      <c r="K32" s="106">
        <v>30.52</v>
      </c>
      <c r="L32" s="103">
        <f>'[1]октябрь 20'!AI31</f>
        <v>125.09</v>
      </c>
      <c r="M32" s="103">
        <f t="shared" si="5"/>
        <v>0.54147295881706192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'[1]октябрь 20'!S31</f>
        <v>306.88499999999999</v>
      </c>
      <c r="S32" s="108">
        <f t="shared" si="6"/>
        <v>2.7322938560046861</v>
      </c>
      <c r="T32" s="109">
        <f t="shared" si="7"/>
        <v>298.5</v>
      </c>
      <c r="U32" s="566">
        <v>101.84</v>
      </c>
      <c r="V32" s="109">
        <f t="shared" si="8"/>
        <v>298.5</v>
      </c>
      <c r="W32" s="110">
        <f t="shared" si="9"/>
        <v>1.2921071085369971</v>
      </c>
      <c r="X32" s="110">
        <f t="shared" si="26"/>
        <v>1.2921071085369971</v>
      </c>
      <c r="Y32" s="136">
        <v>231.02</v>
      </c>
      <c r="Z32" s="136">
        <v>231.02</v>
      </c>
      <c r="AA32" s="131">
        <v>0.41</v>
      </c>
      <c r="AB32" s="133">
        <v>682</v>
      </c>
      <c r="AC32" s="133">
        <v>1229</v>
      </c>
      <c r="AD32" s="144" t="s">
        <v>426</v>
      </c>
      <c r="AE32" s="131">
        <v>75.95</v>
      </c>
      <c r="AF32" s="133">
        <v>167</v>
      </c>
      <c r="AG32" s="134">
        <v>5</v>
      </c>
      <c r="AH32" s="131"/>
      <c r="AI32" s="115">
        <f t="shared" si="10"/>
        <v>0</v>
      </c>
      <c r="AJ32" s="131">
        <v>133.1</v>
      </c>
      <c r="AK32" s="115">
        <f t="shared" si="11"/>
        <v>576.1455817295622</v>
      </c>
      <c r="AL32" s="139">
        <v>28.65</v>
      </c>
      <c r="AM32" s="131"/>
      <c r="AN32" s="136">
        <v>13.28</v>
      </c>
      <c r="AO32" s="466">
        <f t="shared" si="27"/>
        <v>55.822000000000003</v>
      </c>
      <c r="AP32" s="110">
        <f t="shared" si="12"/>
        <v>0.19</v>
      </c>
      <c r="AQ32" s="137" t="s">
        <v>468</v>
      </c>
      <c r="AR32" s="150">
        <v>6.92</v>
      </c>
      <c r="AS32" s="138">
        <v>8.93</v>
      </c>
      <c r="AT32" s="134"/>
      <c r="AU32" s="131">
        <v>8.6</v>
      </c>
      <c r="AV32" s="139">
        <v>293.8</v>
      </c>
      <c r="AW32" s="131">
        <v>6.32</v>
      </c>
      <c r="AX32" s="148"/>
      <c r="AY32" s="131"/>
      <c r="AZ32" s="109">
        <f t="shared" si="34"/>
        <v>0</v>
      </c>
      <c r="BA32" s="109">
        <f t="shared" si="13"/>
        <v>231.018</v>
      </c>
      <c r="BB32" s="115">
        <f t="shared" si="28"/>
        <v>225.87246107501545</v>
      </c>
      <c r="BC32" s="140">
        <f t="shared" si="14"/>
        <v>8.8670845070422519</v>
      </c>
      <c r="BD32" s="141">
        <f t="shared" si="36"/>
        <v>9.2407199999999996</v>
      </c>
      <c r="BE32" s="128">
        <f t="shared" si="16"/>
        <v>0.89288757487359027</v>
      </c>
      <c r="BF32" s="141">
        <f t="shared" si="17"/>
        <v>18.107804507042253</v>
      </c>
      <c r="BG32" s="535">
        <v>0.89600000000000002</v>
      </c>
      <c r="BH32" s="16">
        <f t="shared" si="29"/>
        <v>5539.2279999999992</v>
      </c>
      <c r="BI32" s="16">
        <f t="shared" si="18"/>
        <v>222.58064516129033</v>
      </c>
      <c r="BJ32" s="16">
        <f t="shared" si="30"/>
        <v>5787.0967741935501</v>
      </c>
      <c r="BK32" s="17">
        <f>IF(BA32&lt;&gt;0,1,0)</f>
        <v>1</v>
      </c>
      <c r="BL32" s="16">
        <f t="shared" si="31"/>
        <v>5787.0967741935501</v>
      </c>
      <c r="BM32" s="254"/>
      <c r="BN32" s="197">
        <v>24.882000000000001</v>
      </c>
      <c r="BO32" s="197">
        <v>100.208</v>
      </c>
      <c r="BP32" s="197">
        <v>375.78100000000001</v>
      </c>
      <c r="BQ32" s="230"/>
      <c r="BR32" s="230"/>
      <c r="BS32" s="258"/>
      <c r="BT32" s="199"/>
      <c r="BU32" s="200"/>
      <c r="BV32" s="200"/>
      <c r="BW32" s="200"/>
      <c r="BX32" s="200">
        <v>2.11</v>
      </c>
      <c r="BY32" s="208"/>
      <c r="BZ32" s="208"/>
      <c r="CA32" s="201"/>
      <c r="CB32" s="202"/>
      <c r="CC32" s="200">
        <v>44.25</v>
      </c>
      <c r="CD32" s="200">
        <v>43.29</v>
      </c>
      <c r="CE32" s="200">
        <v>38.659999999999997</v>
      </c>
      <c r="CF32" s="208"/>
      <c r="CG32" s="208"/>
      <c r="CH32" s="209"/>
      <c r="CI32" s="199"/>
      <c r="CJ32" s="197">
        <v>181.6</v>
      </c>
      <c r="CK32" s="197"/>
      <c r="CL32" s="230">
        <v>116.9</v>
      </c>
      <c r="CM32" s="198"/>
      <c r="CN32" s="202"/>
      <c r="CO32" s="208"/>
      <c r="CP32" s="208"/>
      <c r="CQ32" s="201"/>
      <c r="CR32" s="201"/>
      <c r="CS32" s="284"/>
      <c r="CT32" s="286">
        <f t="shared" si="20"/>
        <v>0</v>
      </c>
      <c r="CU32" s="24">
        <f t="shared" si="20"/>
        <v>24.882000000000001</v>
      </c>
      <c r="CV32" s="25">
        <f t="shared" si="20"/>
        <v>100.208</v>
      </c>
      <c r="CW32" s="24">
        <f t="shared" si="20"/>
        <v>367.85202090000001</v>
      </c>
      <c r="CX32" s="27">
        <f t="shared" si="20"/>
        <v>0</v>
      </c>
      <c r="CY32" s="24">
        <f t="shared" si="20"/>
        <v>0</v>
      </c>
      <c r="CZ32" s="280">
        <f t="shared" si="20"/>
        <v>0</v>
      </c>
      <c r="DA32" s="25">
        <f t="shared" si="21"/>
        <v>181.6</v>
      </c>
      <c r="DB32" s="24">
        <f t="shared" si="21"/>
        <v>0</v>
      </c>
      <c r="DC32" s="277">
        <f t="shared" si="21"/>
        <v>116.9</v>
      </c>
      <c r="DD32" s="280">
        <f t="shared" si="21"/>
        <v>0</v>
      </c>
      <c r="DE32" s="508">
        <f t="shared" si="32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3"/>
        <v>0</v>
      </c>
    </row>
    <row r="33" spans="1:115" ht="16.5" customHeight="1" thickBot="1">
      <c r="A33" s="534">
        <v>27</v>
      </c>
      <c r="B33" s="103">
        <f>'[1]октябрь 20'!K32</f>
        <v>501.048</v>
      </c>
      <c r="C33" s="104">
        <f t="shared" si="0"/>
        <v>1.3947067346841022</v>
      </c>
      <c r="D33" s="143">
        <f t="shared" si="1"/>
        <v>494.05984979999999</v>
      </c>
      <c r="E33" s="104">
        <f t="shared" si="2"/>
        <v>39.580002794143475</v>
      </c>
      <c r="F33" s="128">
        <f t="shared" si="3"/>
        <v>2.0207153439196719</v>
      </c>
      <c r="G33" s="106"/>
      <c r="H33" s="107">
        <f t="shared" si="4"/>
        <v>1.5080679753371711</v>
      </c>
      <c r="I33" s="103">
        <f>'[1]сентябрь 20'!AE32</f>
        <v>0</v>
      </c>
      <c r="J33" s="103">
        <f>'[1]октябрь 20'!AA32</f>
        <v>9.9339999999999993</v>
      </c>
      <c r="K33" s="106">
        <v>10.1</v>
      </c>
      <c r="L33" s="103">
        <f>'[1]октябрь 20'!AI32</f>
        <v>125.34099999999999</v>
      </c>
      <c r="M33" s="103">
        <f t="shared" si="5"/>
        <v>0.51264736858250082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'[1]октябрь 20'!S32</f>
        <v>310.36700000000002</v>
      </c>
      <c r="S33" s="108">
        <f t="shared" si="6"/>
        <v>2.6571768261445361</v>
      </c>
      <c r="T33" s="109">
        <f t="shared" si="7"/>
        <v>302.12</v>
      </c>
      <c r="U33" s="566">
        <v>24.44</v>
      </c>
      <c r="V33" s="109">
        <f t="shared" si="8"/>
        <v>302.12</v>
      </c>
      <c r="W33" s="110">
        <f t="shared" si="9"/>
        <v>1.2356772564136647</v>
      </c>
      <c r="X33" s="110">
        <f t="shared" si="26"/>
        <v>1.2356772564136647</v>
      </c>
      <c r="Y33" s="136">
        <v>244.5</v>
      </c>
      <c r="Z33" s="136">
        <v>244.5</v>
      </c>
      <c r="AA33" s="131">
        <v>0.57999999999999996</v>
      </c>
      <c r="AB33" s="133">
        <v>690</v>
      </c>
      <c r="AC33" s="133">
        <v>1240</v>
      </c>
      <c r="AD33" s="144" t="s">
        <v>469</v>
      </c>
      <c r="AE33" s="131">
        <v>75.94</v>
      </c>
      <c r="AF33" s="133">
        <v>167</v>
      </c>
      <c r="AG33" s="134">
        <v>5</v>
      </c>
      <c r="AH33" s="131">
        <v>8</v>
      </c>
      <c r="AI33" s="115">
        <f t="shared" si="10"/>
        <v>32.720170962893278</v>
      </c>
      <c r="AJ33" s="131">
        <v>148.1</v>
      </c>
      <c r="AK33" s="115">
        <f t="shared" si="11"/>
        <v>605.73216495056181</v>
      </c>
      <c r="AL33" s="139">
        <v>33.28</v>
      </c>
      <c r="AM33" s="131"/>
      <c r="AN33" s="136">
        <v>13.69</v>
      </c>
      <c r="AO33" s="466">
        <f t="shared" si="27"/>
        <v>59.9925</v>
      </c>
      <c r="AP33" s="110">
        <f t="shared" si="12"/>
        <v>0.19</v>
      </c>
      <c r="AQ33" s="137" t="s">
        <v>470</v>
      </c>
      <c r="AR33" s="150">
        <v>6.79</v>
      </c>
      <c r="AS33" s="138">
        <v>9.33</v>
      </c>
      <c r="AT33" s="134"/>
      <c r="AU33" s="131">
        <v>8.5399999999999991</v>
      </c>
      <c r="AV33" s="139">
        <v>315.75</v>
      </c>
      <c r="AW33" s="131">
        <v>2.4300000000000002</v>
      </c>
      <c r="AX33" s="116"/>
      <c r="AY33" s="131"/>
      <c r="AZ33" s="109">
        <f t="shared" si="34"/>
        <v>0</v>
      </c>
      <c r="BA33" s="109">
        <f t="shared" si="13"/>
        <v>244.4975</v>
      </c>
      <c r="BB33" s="115">
        <f t="shared" si="28"/>
        <v>224.80141132001879</v>
      </c>
      <c r="BC33" s="140">
        <f t="shared" si="14"/>
        <v>9.7975450704225331</v>
      </c>
      <c r="BD33" s="141">
        <f t="shared" si="36"/>
        <v>9.7798999999999996</v>
      </c>
      <c r="BE33" s="128">
        <f t="shared" si="16"/>
        <v>0.94948833393285903</v>
      </c>
      <c r="BF33" s="141">
        <f t="shared" si="17"/>
        <v>19.577445070422534</v>
      </c>
      <c r="BG33" s="535">
        <v>0.89800000000000002</v>
      </c>
      <c r="BH33" s="16">
        <f t="shared" si="29"/>
        <v>5783.7254999999996</v>
      </c>
      <c r="BI33" s="16">
        <f t="shared" si="18"/>
        <v>222.58064516129033</v>
      </c>
      <c r="BJ33" s="16">
        <f t="shared" si="30"/>
        <v>6009.6774193548408</v>
      </c>
      <c r="BK33" s="17">
        <f t="shared" si="19"/>
        <v>1</v>
      </c>
      <c r="BL33" s="16">
        <f t="shared" si="31"/>
        <v>6009.6774193548408</v>
      </c>
      <c r="BM33" s="254"/>
      <c r="BN33" s="197">
        <v>25.178999999999998</v>
      </c>
      <c r="BO33" s="197">
        <v>100.16200000000001</v>
      </c>
      <c r="BP33" s="197">
        <v>375.70699999999999</v>
      </c>
      <c r="BQ33" s="230"/>
      <c r="BR33" s="230"/>
      <c r="BS33" s="258"/>
      <c r="BT33" s="199"/>
      <c r="BU33" s="200"/>
      <c r="BV33" s="200"/>
      <c r="BW33" s="200"/>
      <c r="BX33" s="200">
        <v>1.86</v>
      </c>
      <c r="BY33" s="208"/>
      <c r="BZ33" s="208"/>
      <c r="CA33" s="201"/>
      <c r="CB33" s="202"/>
      <c r="CC33" s="200">
        <v>44.14</v>
      </c>
      <c r="CD33" s="200">
        <v>43.31</v>
      </c>
      <c r="CE33" s="200">
        <v>38.28</v>
      </c>
      <c r="CF33" s="208"/>
      <c r="CG33" s="208"/>
      <c r="CH33" s="209"/>
      <c r="CI33" s="199"/>
      <c r="CJ33" s="197">
        <v>185.22</v>
      </c>
      <c r="CK33" s="197"/>
      <c r="CL33" s="230">
        <v>116.9</v>
      </c>
      <c r="CM33" s="198"/>
      <c r="CN33" s="202"/>
      <c r="CO33" s="208"/>
      <c r="CP33" s="208"/>
      <c r="CQ33" s="209"/>
      <c r="CR33" s="201"/>
      <c r="CS33" s="284"/>
      <c r="CT33" s="286">
        <f t="shared" si="20"/>
        <v>0</v>
      </c>
      <c r="CU33" s="24">
        <f t="shared" si="20"/>
        <v>25.178999999999998</v>
      </c>
      <c r="CV33" s="25">
        <f t="shared" si="20"/>
        <v>100.16200000000001</v>
      </c>
      <c r="CW33" s="24">
        <f t="shared" si="20"/>
        <v>368.71884979999999</v>
      </c>
      <c r="CX33" s="27">
        <f t="shared" si="20"/>
        <v>0</v>
      </c>
      <c r="CY33" s="24">
        <f t="shared" si="20"/>
        <v>0</v>
      </c>
      <c r="CZ33" s="280">
        <f t="shared" si="20"/>
        <v>0</v>
      </c>
      <c r="DA33" s="25">
        <f t="shared" si="21"/>
        <v>185.22</v>
      </c>
      <c r="DB33" s="24">
        <f t="shared" si="21"/>
        <v>0</v>
      </c>
      <c r="DC33" s="277">
        <f t="shared" si="21"/>
        <v>116.9</v>
      </c>
      <c r="DD33" s="280">
        <f t="shared" si="21"/>
        <v>0</v>
      </c>
      <c r="DE33" s="508">
        <f t="shared" si="32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3"/>
        <v>0</v>
      </c>
    </row>
    <row r="34" spans="1:115" ht="16.5" customHeight="1" thickBot="1">
      <c r="A34" s="534">
        <v>28</v>
      </c>
      <c r="B34" s="103">
        <f>'[1]октябрь 20'!K33</f>
        <v>504.01100000000002</v>
      </c>
      <c r="C34" s="104">
        <f t="shared" si="0"/>
        <v>1.1475204906242125</v>
      </c>
      <c r="D34" s="143">
        <f t="shared" si="1"/>
        <v>498.22737050000001</v>
      </c>
      <c r="E34" s="104">
        <f t="shared" si="2"/>
        <v>39.380863949397927</v>
      </c>
      <c r="F34" s="128">
        <f t="shared" si="3"/>
        <v>2.1763211207743818</v>
      </c>
      <c r="G34" s="106"/>
      <c r="H34" s="107">
        <f t="shared" si="4"/>
        <v>1.6259544163962065</v>
      </c>
      <c r="I34" s="103">
        <f>'[1]сентябрь 20'!AE33</f>
        <v>0</v>
      </c>
      <c r="J34" s="103">
        <f>'[1]октябрь 20'!AA33</f>
        <v>11.58</v>
      </c>
      <c r="K34" s="106"/>
      <c r="L34" s="103">
        <f>'[1]октябрь 20'!AI33</f>
        <v>125.996</v>
      </c>
      <c r="M34" s="103">
        <f t="shared" si="5"/>
        <v>0.55036670437817503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'[1]октябрь 20'!S33</f>
        <v>312.30500000000001</v>
      </c>
      <c r="S34" s="108">
        <f t="shared" si="6"/>
        <v>2.3966955380157251</v>
      </c>
      <c r="T34" s="109">
        <f t="shared" si="7"/>
        <v>304.82</v>
      </c>
      <c r="U34" s="566">
        <v>28.91</v>
      </c>
      <c r="V34" s="109">
        <f t="shared" si="8"/>
        <v>304.82</v>
      </c>
      <c r="W34" s="110">
        <f t="shared" si="9"/>
        <v>1.3314928952391767</v>
      </c>
      <c r="X34" s="110">
        <f t="shared" si="26"/>
        <v>1.3314928952391767</v>
      </c>
      <c r="Y34" s="157">
        <v>122.76</v>
      </c>
      <c r="Z34" s="157">
        <v>101.17</v>
      </c>
      <c r="AA34" s="149">
        <v>0.61</v>
      </c>
      <c r="AB34" s="147">
        <v>691</v>
      </c>
      <c r="AC34" s="147">
        <v>1231</v>
      </c>
      <c r="AD34" s="144" t="s">
        <v>446</v>
      </c>
      <c r="AE34" s="149">
        <v>76.09</v>
      </c>
      <c r="AF34" s="147">
        <v>168</v>
      </c>
      <c r="AG34" s="155">
        <v>5</v>
      </c>
      <c r="AH34" s="149">
        <v>6.75</v>
      </c>
      <c r="AI34" s="115">
        <f t="shared" si="10"/>
        <v>29.484866619199668</v>
      </c>
      <c r="AJ34" s="149">
        <v>125.45</v>
      </c>
      <c r="AK34" s="115">
        <f t="shared" si="11"/>
        <v>547.98170627831087</v>
      </c>
      <c r="AL34" s="156">
        <v>31.45</v>
      </c>
      <c r="AM34" s="149"/>
      <c r="AN34" s="157">
        <v>15.39</v>
      </c>
      <c r="AO34" s="466">
        <f t="shared" si="27"/>
        <v>56.259000000000007</v>
      </c>
      <c r="AP34" s="110">
        <f t="shared" si="12"/>
        <v>0.19</v>
      </c>
      <c r="AQ34" s="158" t="s">
        <v>472</v>
      </c>
      <c r="AR34" s="404">
        <v>7.45</v>
      </c>
      <c r="AS34" s="159">
        <v>8.52</v>
      </c>
      <c r="AT34" s="155"/>
      <c r="AU34" s="149">
        <v>7.17</v>
      </c>
      <c r="AV34" s="156">
        <v>296.10000000000002</v>
      </c>
      <c r="AW34" s="131">
        <v>4.4800000000000004</v>
      </c>
      <c r="AX34" s="148"/>
      <c r="AY34" s="149"/>
      <c r="AZ34" s="109">
        <f t="shared" si="34"/>
        <v>0</v>
      </c>
      <c r="BA34" s="109">
        <f t="shared" si="13"/>
        <v>228.93100000000001</v>
      </c>
      <c r="BB34" s="115">
        <f t="shared" si="28"/>
        <v>225.11243275396072</v>
      </c>
      <c r="BC34" s="140">
        <f t="shared" si="14"/>
        <v>6.9677757042253514</v>
      </c>
      <c r="BD34" s="141">
        <f t="shared" si="36"/>
        <v>9.1572399999999998</v>
      </c>
      <c r="BE34" s="128">
        <f t="shared" si="16"/>
        <v>0.88780864102000001</v>
      </c>
      <c r="BF34" s="141">
        <f t="shared" si="17"/>
        <v>16.125015704225351</v>
      </c>
      <c r="BG34" s="538">
        <v>0.89800000000000002</v>
      </c>
      <c r="BH34" s="16">
        <f t="shared" si="29"/>
        <v>6012.6564999999991</v>
      </c>
      <c r="BI34" s="16">
        <f t="shared" si="18"/>
        <v>222.58064516129033</v>
      </c>
      <c r="BJ34" s="16">
        <f t="shared" si="30"/>
        <v>6232.2580645161315</v>
      </c>
      <c r="BK34" s="17">
        <f t="shared" si="19"/>
        <v>1</v>
      </c>
      <c r="BL34" s="16">
        <f t="shared" si="31"/>
        <v>6232.2580645161315</v>
      </c>
      <c r="BM34" s="255"/>
      <c r="BN34" s="210">
        <v>25.155000000000001</v>
      </c>
      <c r="BO34" s="210">
        <v>100.84099999999999</v>
      </c>
      <c r="BP34" s="210">
        <v>378.01499999999999</v>
      </c>
      <c r="BQ34" s="233"/>
      <c r="BR34" s="233"/>
      <c r="BS34" s="260"/>
      <c r="BT34" s="212"/>
      <c r="BU34" s="213"/>
      <c r="BV34" s="213"/>
      <c r="BW34" s="213"/>
      <c r="BX34" s="213">
        <v>1.53</v>
      </c>
      <c r="BY34" s="235"/>
      <c r="BZ34" s="235"/>
      <c r="CA34" s="214"/>
      <c r="CB34" s="215"/>
      <c r="CC34" s="213">
        <v>44.04</v>
      </c>
      <c r="CD34" s="213">
        <v>43.32</v>
      </c>
      <c r="CE34" s="213">
        <v>38.020000000000003</v>
      </c>
      <c r="CF34" s="235"/>
      <c r="CG34" s="235"/>
      <c r="CH34" s="211"/>
      <c r="CI34" s="212"/>
      <c r="CJ34" s="210">
        <v>187.22</v>
      </c>
      <c r="CK34" s="210"/>
      <c r="CL34" s="233">
        <v>117.6</v>
      </c>
      <c r="CM34" s="198"/>
      <c r="CN34" s="202"/>
      <c r="CO34" s="208"/>
      <c r="CP34" s="208"/>
      <c r="CQ34" s="209"/>
      <c r="CR34" s="201"/>
      <c r="CS34" s="284"/>
      <c r="CT34" s="286">
        <f t="shared" si="20"/>
        <v>0</v>
      </c>
      <c r="CU34" s="24">
        <f t="shared" si="20"/>
        <v>25.155000000000001</v>
      </c>
      <c r="CV34" s="25">
        <f t="shared" si="20"/>
        <v>100.84099999999999</v>
      </c>
      <c r="CW34" s="24">
        <f t="shared" si="20"/>
        <v>372.23137049999997</v>
      </c>
      <c r="CX34" s="27">
        <f t="shared" si="20"/>
        <v>0</v>
      </c>
      <c r="CY34" s="24">
        <f t="shared" si="20"/>
        <v>0</v>
      </c>
      <c r="CZ34" s="280">
        <f t="shared" si="20"/>
        <v>0</v>
      </c>
      <c r="DA34" s="30">
        <f t="shared" si="21"/>
        <v>187.22</v>
      </c>
      <c r="DB34" s="29">
        <f t="shared" si="21"/>
        <v>0</v>
      </c>
      <c r="DC34" s="277">
        <f t="shared" si="21"/>
        <v>117.6</v>
      </c>
      <c r="DD34" s="280">
        <f t="shared" si="21"/>
        <v>0</v>
      </c>
      <c r="DE34" s="508">
        <f t="shared" si="32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3"/>
        <v>0</v>
      </c>
    </row>
    <row r="35" spans="1:115" ht="16.5" customHeight="1" thickBot="1">
      <c r="A35" s="534">
        <v>29</v>
      </c>
      <c r="B35" s="103">
        <f>'[1]октябрь 20'!K34</f>
        <v>494.84300000000002</v>
      </c>
      <c r="C35" s="104">
        <f t="shared" si="0"/>
        <v>0.84028008883625704</v>
      </c>
      <c r="D35" s="143">
        <f t="shared" si="1"/>
        <v>490.68493280000001</v>
      </c>
      <c r="E35" s="104">
        <f t="shared" si="2"/>
        <v>39.432945277593085</v>
      </c>
      <c r="F35" s="128">
        <f t="shared" si="3"/>
        <v>2.0399307092375487</v>
      </c>
      <c r="G35" s="106"/>
      <c r="H35" s="107">
        <f t="shared" si="4"/>
        <v>1.5261409029683208</v>
      </c>
      <c r="I35" s="103">
        <f>'[1]сентябрь 20'!AE34</f>
        <v>0</v>
      </c>
      <c r="J35" s="103">
        <f>'[1]октябрь 20'!AA34</f>
        <v>11.481</v>
      </c>
      <c r="K35" s="106">
        <v>23.48</v>
      </c>
      <c r="L35" s="103">
        <f>'[1]октябрь 20'!AI34</f>
        <v>123.587</v>
      </c>
      <c r="M35" s="103">
        <f t="shared" si="5"/>
        <v>0.51378980626922754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'[1]октябрь 20'!S34</f>
        <v>303.226</v>
      </c>
      <c r="S35" s="108">
        <f t="shared" si="6"/>
        <v>2.1060199323276962</v>
      </c>
      <c r="T35" s="109">
        <f t="shared" si="7"/>
        <v>296.84000000000003</v>
      </c>
      <c r="U35" s="566">
        <v>3.45</v>
      </c>
      <c r="V35" s="109">
        <f t="shared" si="8"/>
        <v>296.84000000000003</v>
      </c>
      <c r="W35" s="110">
        <f t="shared" si="9"/>
        <v>1.2340567057454062</v>
      </c>
      <c r="X35" s="110">
        <f t="shared" si="26"/>
        <v>1.2340567057454062</v>
      </c>
      <c r="Y35" s="136">
        <v>240.54</v>
      </c>
      <c r="Z35" s="136">
        <v>96.52</v>
      </c>
      <c r="AA35" s="131">
        <v>1.06</v>
      </c>
      <c r="AB35" s="133">
        <v>672</v>
      </c>
      <c r="AC35" s="133">
        <v>1239</v>
      </c>
      <c r="AD35" s="144" t="s">
        <v>217</v>
      </c>
      <c r="AE35" s="131">
        <v>75.7</v>
      </c>
      <c r="AF35" s="133">
        <v>165</v>
      </c>
      <c r="AG35" s="134">
        <v>5</v>
      </c>
      <c r="AH35" s="166">
        <v>5.3</v>
      </c>
      <c r="AI35" s="115">
        <f t="shared" si="10"/>
        <v>22.03375737923006</v>
      </c>
      <c r="AJ35" s="166">
        <v>122</v>
      </c>
      <c r="AK35" s="115">
        <f t="shared" si="11"/>
        <v>507.19215099359769</v>
      </c>
      <c r="AL35" s="139">
        <v>27.15</v>
      </c>
      <c r="AM35" s="131"/>
      <c r="AN35" s="167">
        <v>12.31</v>
      </c>
      <c r="AO35" s="466">
        <f t="shared" si="27"/>
        <v>57.95</v>
      </c>
      <c r="AP35" s="110">
        <f t="shared" si="12"/>
        <v>0.19</v>
      </c>
      <c r="AQ35" s="168" t="s">
        <v>362</v>
      </c>
      <c r="AR35" s="405">
        <v>7.56</v>
      </c>
      <c r="AS35" s="169">
        <v>9.14</v>
      </c>
      <c r="AT35" s="170"/>
      <c r="AU35" s="166">
        <v>5.44</v>
      </c>
      <c r="AV35" s="171">
        <v>305</v>
      </c>
      <c r="AW35" s="131">
        <v>5.8</v>
      </c>
      <c r="AX35" s="116"/>
      <c r="AY35" s="131"/>
      <c r="AZ35" s="109">
        <f t="shared" si="34"/>
        <v>0</v>
      </c>
      <c r="BA35" s="109">
        <f t="shared" si="13"/>
        <v>240.54000000000002</v>
      </c>
      <c r="BB35" s="115">
        <f t="shared" si="28"/>
        <v>223.14147670382201</v>
      </c>
      <c r="BC35" s="140">
        <f t="shared" si="14"/>
        <v>5.1411830985915499</v>
      </c>
      <c r="BD35" s="141">
        <f t="shared" si="36"/>
        <v>9.6216000000000008</v>
      </c>
      <c r="BE35" s="128">
        <f t="shared" si="16"/>
        <v>0.94106852344050662</v>
      </c>
      <c r="BF35" s="141">
        <f t="shared" si="17"/>
        <v>14.762783098591552</v>
      </c>
      <c r="BG35" s="538">
        <v>0.89900000000000002</v>
      </c>
      <c r="BH35" s="16">
        <f t="shared" si="29"/>
        <v>6253.1964999999991</v>
      </c>
      <c r="BI35" s="16">
        <f t="shared" si="18"/>
        <v>222.58064516129033</v>
      </c>
      <c r="BJ35" s="16">
        <f t="shared" si="30"/>
        <v>6454.8387096774222</v>
      </c>
      <c r="BK35" s="17">
        <f t="shared" si="19"/>
        <v>1</v>
      </c>
      <c r="BL35" s="16">
        <f t="shared" si="31"/>
        <v>6454.8387096774222</v>
      </c>
      <c r="BM35" s="254"/>
      <c r="BN35" s="197">
        <v>24.574999999999999</v>
      </c>
      <c r="BO35" s="197">
        <v>99.012</v>
      </c>
      <c r="BP35" s="197">
        <v>371.25599999999997</v>
      </c>
      <c r="BQ35" s="230"/>
      <c r="BR35" s="230"/>
      <c r="BS35" s="259"/>
      <c r="BT35" s="199"/>
      <c r="BU35" s="200"/>
      <c r="BV35" s="200"/>
      <c r="BW35" s="200"/>
      <c r="BX35" s="200">
        <v>1.1200000000000001</v>
      </c>
      <c r="BY35" s="208"/>
      <c r="BZ35" s="208"/>
      <c r="CA35" s="201"/>
      <c r="CB35" s="202"/>
      <c r="CC35" s="200">
        <v>44.06</v>
      </c>
      <c r="CD35" s="200">
        <v>43.47</v>
      </c>
      <c r="CE35" s="200">
        <v>38.049999999999997</v>
      </c>
      <c r="CF35" s="208"/>
      <c r="CG35" s="208"/>
      <c r="CH35" s="209"/>
      <c r="CI35" s="199"/>
      <c r="CJ35" s="197">
        <v>181.34</v>
      </c>
      <c r="CK35" s="197"/>
      <c r="CL35" s="230">
        <v>115.5</v>
      </c>
      <c r="CM35" s="198"/>
      <c r="CN35" s="202"/>
      <c r="CO35" s="208"/>
      <c r="CP35" s="208"/>
      <c r="CQ35" s="209"/>
      <c r="CR35" s="201"/>
      <c r="CT35" s="286">
        <f t="shared" si="20"/>
        <v>0</v>
      </c>
      <c r="CU35" s="24">
        <f t="shared" si="20"/>
        <v>24.574999999999999</v>
      </c>
      <c r="CV35" s="24">
        <f t="shared" si="20"/>
        <v>99.012</v>
      </c>
      <c r="CW35" s="24">
        <f t="shared" si="20"/>
        <v>367.09793279999991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181.34</v>
      </c>
      <c r="DB35" s="26">
        <f t="shared" si="21"/>
        <v>0</v>
      </c>
      <c r="DC35" s="277">
        <f t="shared" si="21"/>
        <v>115.5</v>
      </c>
      <c r="DD35" s="280">
        <f t="shared" si="21"/>
        <v>0</v>
      </c>
      <c r="DE35" s="508">
        <f t="shared" si="32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3"/>
        <v>0</v>
      </c>
    </row>
    <row r="36" spans="1:115" ht="16.5" customHeight="1" thickBot="1">
      <c r="A36" s="534">
        <v>30</v>
      </c>
      <c r="B36" s="103">
        <f>'[1]октябрь 20'!K35</f>
        <v>356.89400000000001</v>
      </c>
      <c r="C36" s="104">
        <f t="shared" si="0"/>
        <v>0.93741068776723613</v>
      </c>
      <c r="D36" s="143">
        <f t="shared" si="1"/>
        <v>353.54843749999998</v>
      </c>
      <c r="E36" s="104">
        <f t="shared" si="2"/>
        <v>39.418775014430054</v>
      </c>
      <c r="F36" s="128">
        <f t="shared" si="3"/>
        <v>2.1602419475563894</v>
      </c>
      <c r="G36" s="106"/>
      <c r="H36" s="107">
        <f t="shared" si="4"/>
        <v>1.61491516025455</v>
      </c>
      <c r="I36" s="103">
        <f>'[1]сентябрь 20'!AE35</f>
        <v>0</v>
      </c>
      <c r="J36" s="103">
        <f>'[1]октябрь 20'!AA35</f>
        <v>8.2639999999999993</v>
      </c>
      <c r="K36" s="106"/>
      <c r="L36" s="103">
        <f>'[1]октябрь 20'!AI35</f>
        <v>89.248999999999995</v>
      </c>
      <c r="M36" s="103">
        <f t="shared" si="5"/>
        <v>0.54532678730183948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'[1]октябрь 20'!S35</f>
        <v>219.77799999999999</v>
      </c>
      <c r="S36" s="108">
        <f t="shared" si="6"/>
        <v>2.1876620953871773</v>
      </c>
      <c r="T36" s="109">
        <f t="shared" si="7"/>
        <v>214.96999999999997</v>
      </c>
      <c r="U36" s="566">
        <v>2.34</v>
      </c>
      <c r="V36" s="109">
        <f t="shared" si="8"/>
        <v>214.96999999999997</v>
      </c>
      <c r="W36" s="110">
        <f t="shared" si="9"/>
        <v>1.3135037867794197</v>
      </c>
      <c r="X36" s="110">
        <f t="shared" si="26"/>
        <v>1.3135037867794197</v>
      </c>
      <c r="Y36" s="136">
        <v>163.66</v>
      </c>
      <c r="Z36" s="136">
        <v>124.36</v>
      </c>
      <c r="AA36" s="131">
        <v>0.87</v>
      </c>
      <c r="AB36" s="133">
        <v>613</v>
      </c>
      <c r="AC36" s="133">
        <v>1189</v>
      </c>
      <c r="AD36" s="144" t="s">
        <v>473</v>
      </c>
      <c r="AE36" s="131">
        <v>75.87</v>
      </c>
      <c r="AF36" s="133">
        <v>121</v>
      </c>
      <c r="AG36" s="134">
        <v>4</v>
      </c>
      <c r="AH36" s="131">
        <v>3.6</v>
      </c>
      <c r="AI36" s="115">
        <f t="shared" si="10"/>
        <v>21.996621074596042</v>
      </c>
      <c r="AJ36" s="131">
        <v>90.6</v>
      </c>
      <c r="AK36" s="115">
        <f t="shared" si="11"/>
        <v>553.58163037733368</v>
      </c>
      <c r="AL36" s="139">
        <v>22.16</v>
      </c>
      <c r="AM36" s="131"/>
      <c r="AN36" s="136">
        <v>9.5299999999999994</v>
      </c>
      <c r="AO36" s="466">
        <f t="shared" si="27"/>
        <v>40.118500000000004</v>
      </c>
      <c r="AP36" s="110">
        <f t="shared" si="12"/>
        <v>0.19000000000000003</v>
      </c>
      <c r="AQ36" s="137" t="s">
        <v>380</v>
      </c>
      <c r="AR36" s="150">
        <v>7.2</v>
      </c>
      <c r="AS36" s="138">
        <v>9.1</v>
      </c>
      <c r="AT36" s="134"/>
      <c r="AU36" s="131">
        <v>7.27</v>
      </c>
      <c r="AV36" s="139">
        <v>211.15</v>
      </c>
      <c r="AW36" s="131">
        <v>2.16</v>
      </c>
      <c r="AX36" s="116"/>
      <c r="AY36" s="131"/>
      <c r="AZ36" s="109">
        <f t="shared" si="34"/>
        <v>0</v>
      </c>
      <c r="BA36" s="109">
        <f t="shared" si="13"/>
        <v>163.66149999999999</v>
      </c>
      <c r="BB36" s="115">
        <f t="shared" si="28"/>
        <v>160.36005842325397</v>
      </c>
      <c r="BC36" s="140">
        <f t="shared" si="14"/>
        <v>5.102311267605633</v>
      </c>
      <c r="BD36" s="141">
        <f t="shared" si="36"/>
        <v>6.5464599999999997</v>
      </c>
      <c r="BE36" s="128">
        <f t="shared" si="16"/>
        <v>0.89097304468979488</v>
      </c>
      <c r="BF36" s="141">
        <f t="shared" si="17"/>
        <v>11.648771267605632</v>
      </c>
      <c r="BG36" s="538">
        <v>0.89900000000000002</v>
      </c>
      <c r="BH36" s="16">
        <f t="shared" si="29"/>
        <v>6416.8579999999993</v>
      </c>
      <c r="BI36" s="16">
        <f t="shared" si="18"/>
        <v>222.58064516129033</v>
      </c>
      <c r="BJ36" s="16">
        <f t="shared" si="30"/>
        <v>6677.4193548387129</v>
      </c>
      <c r="BK36" s="17">
        <f t="shared" si="19"/>
        <v>1</v>
      </c>
      <c r="BL36" s="16">
        <f t="shared" si="31"/>
        <v>6677.4193548387129</v>
      </c>
      <c r="BM36" s="254"/>
      <c r="BN36" s="197">
        <v>17.698</v>
      </c>
      <c r="BO36" s="197">
        <v>71.551000000000002</v>
      </c>
      <c r="BP36" s="197">
        <v>267.64499999999998</v>
      </c>
      <c r="BQ36" s="230"/>
      <c r="BR36" s="230"/>
      <c r="BS36" s="258"/>
      <c r="BT36" s="199"/>
      <c r="BU36" s="200"/>
      <c r="BV36" s="200"/>
      <c r="BW36" s="200"/>
      <c r="BX36" s="200">
        <v>1.25</v>
      </c>
      <c r="BY36" s="208"/>
      <c r="BZ36" s="208"/>
      <c r="CA36" s="201"/>
      <c r="CB36" s="202"/>
      <c r="CC36" s="200">
        <v>43.99</v>
      </c>
      <c r="CD36" s="200">
        <v>43.67</v>
      </c>
      <c r="CE36" s="200">
        <v>37.979999999999997</v>
      </c>
      <c r="CF36" s="208"/>
      <c r="CG36" s="208"/>
      <c r="CH36" s="209"/>
      <c r="CI36" s="199"/>
      <c r="CJ36" s="197">
        <v>131.66999999999999</v>
      </c>
      <c r="CK36" s="197"/>
      <c r="CL36" s="230">
        <v>83.3</v>
      </c>
      <c r="CM36" s="198"/>
      <c r="CN36" s="202"/>
      <c r="CO36" s="208"/>
      <c r="CP36" s="208"/>
      <c r="CQ36" s="209"/>
      <c r="CR36" s="201"/>
      <c r="CT36" s="286">
        <f t="shared" si="20"/>
        <v>0</v>
      </c>
      <c r="CU36" s="27">
        <f t="shared" si="20"/>
        <v>17.698</v>
      </c>
      <c r="CV36" s="28">
        <f t="shared" si="20"/>
        <v>71.551000000000002</v>
      </c>
      <c r="CW36" s="27">
        <f t="shared" si="20"/>
        <v>264.29943750000001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131.66999999999999</v>
      </c>
      <c r="DB36" s="24">
        <f t="shared" si="21"/>
        <v>0</v>
      </c>
      <c r="DC36" s="277">
        <f t="shared" si="21"/>
        <v>83.3</v>
      </c>
      <c r="DD36" s="280">
        <f t="shared" si="21"/>
        <v>0</v>
      </c>
      <c r="DE36" s="508">
        <f t="shared" si="32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3"/>
        <v>0</v>
      </c>
    </row>
    <row r="37" spans="1:115" ht="16.5" customHeight="1" thickBot="1">
      <c r="A37" s="539">
        <v>31</v>
      </c>
      <c r="B37" s="103">
        <f>'[1]октябрь 20'!K36</f>
        <v>491.96199999999999</v>
      </c>
      <c r="C37" s="541">
        <f t="shared" si="0"/>
        <v>0.9074397412808306</v>
      </c>
      <c r="D37" s="542">
        <f t="shared" si="1"/>
        <v>487.49774130000003</v>
      </c>
      <c r="E37" s="541">
        <f t="shared" si="2"/>
        <v>39.614753924083566</v>
      </c>
      <c r="F37" s="505">
        <f t="shared" si="3"/>
        <v>2.8842606869009582</v>
      </c>
      <c r="G37" s="543"/>
      <c r="H37" s="544">
        <f t="shared" si="4"/>
        <v>2.156447410365637</v>
      </c>
      <c r="I37" s="540">
        <f>'[1]сентябрь 20'!AE36</f>
        <v>0</v>
      </c>
      <c r="J37" s="568">
        <f>'[1]октябрь 20'!AA36</f>
        <v>11.481</v>
      </c>
      <c r="K37" s="543"/>
      <c r="L37" s="505">
        <f>'[1]октябрь 20'!AI36</f>
        <v>123.015</v>
      </c>
      <c r="M37" s="540">
        <f t="shared" si="5"/>
        <v>0.72781327653532113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505">
        <f>'[1]октябрь 20'!S36</f>
        <v>296.65600000000001</v>
      </c>
      <c r="S37" s="546">
        <f t="shared" si="6"/>
        <v>2.1189525915538576</v>
      </c>
      <c r="T37" s="547">
        <f t="shared" si="7"/>
        <v>290.36999999999995</v>
      </c>
      <c r="U37" s="576"/>
      <c r="V37" s="547">
        <f t="shared" si="8"/>
        <v>290.37</v>
      </c>
      <c r="W37" s="549">
        <f t="shared" si="9"/>
        <v>1.7179623713170031</v>
      </c>
      <c r="X37" s="227">
        <f t="shared" si="26"/>
        <v>1.7179623713170031</v>
      </c>
      <c r="Y37" s="550">
        <v>169.02</v>
      </c>
      <c r="Z37" s="550">
        <v>100.7</v>
      </c>
      <c r="AA37" s="548">
        <v>0.88</v>
      </c>
      <c r="AB37" s="551">
        <v>625</v>
      </c>
      <c r="AC37" s="551">
        <v>1211</v>
      </c>
      <c r="AD37" s="552" t="s">
        <v>454</v>
      </c>
      <c r="AE37" s="548">
        <v>75.959999999999994</v>
      </c>
      <c r="AF37" s="551">
        <v>164</v>
      </c>
      <c r="AG37" s="553">
        <v>5</v>
      </c>
      <c r="AH37" s="548">
        <v>6.4</v>
      </c>
      <c r="AI37" s="554">
        <f t="shared" si="10"/>
        <v>37.865341379718373</v>
      </c>
      <c r="AJ37" s="548">
        <v>118.7</v>
      </c>
      <c r="AK37" s="555">
        <f t="shared" si="11"/>
        <v>702.28375340196419</v>
      </c>
      <c r="AL37" s="556">
        <v>33.479999999999997</v>
      </c>
      <c r="AM37" s="548"/>
      <c r="AN37" s="550">
        <v>14.06</v>
      </c>
      <c r="AO37" s="619">
        <v>122.77</v>
      </c>
      <c r="AP37" s="549">
        <f t="shared" si="12"/>
        <v>0.40140591793362757</v>
      </c>
      <c r="AQ37" s="558" t="s">
        <v>474</v>
      </c>
      <c r="AR37" s="559">
        <v>6.91</v>
      </c>
      <c r="AS37" s="560">
        <v>9.15</v>
      </c>
      <c r="AT37" s="553"/>
      <c r="AU37" s="548">
        <v>7</v>
      </c>
      <c r="AV37" s="548">
        <v>305.85000000000002</v>
      </c>
      <c r="AW37" s="548"/>
      <c r="AX37" s="548"/>
      <c r="AY37" s="548"/>
      <c r="AZ37" s="547">
        <f t="shared" si="34"/>
        <v>0</v>
      </c>
      <c r="BA37" s="547">
        <f t="shared" si="13"/>
        <v>169.02000000000004</v>
      </c>
      <c r="BB37" s="554">
        <f t="shared" si="28"/>
        <v>221.95189535949848</v>
      </c>
      <c r="BC37" s="561">
        <f t="shared" si="14"/>
        <v>6.4365492957746469</v>
      </c>
      <c r="BD37" s="555">
        <f t="shared" si="36"/>
        <v>6.7608000000000015</v>
      </c>
      <c r="BE37" s="505">
        <f t="shared" si="16"/>
        <v>0.66480378444619315</v>
      </c>
      <c r="BF37" s="555">
        <f t="shared" si="17"/>
        <v>13.197349295774648</v>
      </c>
      <c r="BG37" s="562">
        <v>0.89100000000000001</v>
      </c>
      <c r="BH37" s="16">
        <f t="shared" si="29"/>
        <v>6585.8779999999997</v>
      </c>
      <c r="BI37" s="16">
        <f t="shared" si="18"/>
        <v>222.58064516129033</v>
      </c>
      <c r="BJ37" s="16">
        <f t="shared" si="30"/>
        <v>6900.0000000000036</v>
      </c>
      <c r="BK37" s="17">
        <f t="shared" si="19"/>
        <v>1</v>
      </c>
      <c r="BL37" s="16">
        <f t="shared" si="31"/>
        <v>6900.0000000000036</v>
      </c>
      <c r="BM37" s="256"/>
      <c r="BN37" s="257">
        <v>24.593</v>
      </c>
      <c r="BO37" s="257">
        <v>98.421999999999997</v>
      </c>
      <c r="BP37" s="257">
        <v>368.947</v>
      </c>
      <c r="BQ37" s="261"/>
      <c r="BR37" s="261"/>
      <c r="BS37" s="262"/>
      <c r="BT37" s="219"/>
      <c r="BU37" s="220"/>
      <c r="BV37" s="220"/>
      <c r="BW37" s="220"/>
      <c r="BX37" s="220">
        <v>1.21</v>
      </c>
      <c r="BY37" s="224"/>
      <c r="BZ37" s="224"/>
      <c r="CA37" s="221"/>
      <c r="CB37" s="222"/>
      <c r="CC37" s="220">
        <v>43.87</v>
      </c>
      <c r="CD37" s="220">
        <v>43.48</v>
      </c>
      <c r="CE37" s="220">
        <v>38.299999999999997</v>
      </c>
      <c r="CF37" s="224"/>
      <c r="CG37" s="224"/>
      <c r="CH37" s="221"/>
      <c r="CI37" s="219"/>
      <c r="CJ37" s="217">
        <v>175.57</v>
      </c>
      <c r="CK37" s="217"/>
      <c r="CL37" s="234">
        <v>114.8</v>
      </c>
      <c r="CM37" s="223"/>
      <c r="CN37" s="222"/>
      <c r="CO37" s="224"/>
      <c r="CP37" s="224"/>
      <c r="CQ37" s="218"/>
      <c r="CR37" s="221"/>
      <c r="CT37" s="287">
        <f t="shared" si="20"/>
        <v>0</v>
      </c>
      <c r="CU37" s="32">
        <f t="shared" si="20"/>
        <v>24.593</v>
      </c>
      <c r="CV37" s="30">
        <f t="shared" si="20"/>
        <v>98.421999999999997</v>
      </c>
      <c r="CW37" s="246">
        <f t="shared" si="20"/>
        <v>364.48274130000004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175.57</v>
      </c>
      <c r="DB37" s="32">
        <f t="shared" si="21"/>
        <v>0</v>
      </c>
      <c r="DC37" s="246">
        <f t="shared" si="21"/>
        <v>114.8</v>
      </c>
      <c r="DD37" s="280">
        <f t="shared" si="21"/>
        <v>0</v>
      </c>
      <c r="DE37" s="563">
        <f t="shared" si="32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3"/>
        <v>0</v>
      </c>
    </row>
    <row r="38" spans="1:115" ht="16.5" customHeight="1" thickBot="1">
      <c r="A38" s="55" t="s">
        <v>58</v>
      </c>
      <c r="B38" s="575">
        <f>SUM(B7:B37)</f>
        <v>14536.488000000001</v>
      </c>
      <c r="C38" s="616"/>
      <c r="D38" s="340">
        <f>SUM(D7:D37)</f>
        <v>14376.279364362625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330.19900000000001</v>
      </c>
      <c r="K38" s="340">
        <f>SUM(K7:K37)</f>
        <v>706.98</v>
      </c>
      <c r="L38" s="340">
        <f>SUM(L7:L37)</f>
        <v>3023.0030000000002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340">
        <f>SUM(R7:R37)</f>
        <v>8990.8930000000037</v>
      </c>
      <c r="S38" s="340"/>
      <c r="T38" s="343">
        <f>SUM(T7:T37)</f>
        <v>8729.7100001999988</v>
      </c>
      <c r="U38" s="340">
        <f>SUM(U7:U37)</f>
        <v>596.23</v>
      </c>
      <c r="V38" s="343">
        <f>SUM(V7:V37)</f>
        <v>8729.7100001999988</v>
      </c>
      <c r="W38" s="346"/>
      <c r="X38" s="344"/>
      <c r="Y38" s="343">
        <f>SUM(Y7:Y37)</f>
        <v>6337.7500000000009</v>
      </c>
      <c r="Z38" s="343">
        <f>SUM(Z7:Z37)</f>
        <v>5462.9500000000007</v>
      </c>
      <c r="AA38" s="345"/>
      <c r="AB38" s="346"/>
      <c r="AC38" s="347"/>
      <c r="AD38" s="348"/>
      <c r="AE38" s="345"/>
      <c r="AF38" s="345"/>
      <c r="AG38" s="347">
        <f>SUM(AG7:AG37)</f>
        <v>148</v>
      </c>
      <c r="AH38" s="343">
        <f>SUM(AH7:AH37)</f>
        <v>153.80000000000001</v>
      </c>
      <c r="AI38" s="351"/>
      <c r="AJ38" s="343">
        <f>SUM(AJ7:AJ37)</f>
        <v>3827.65</v>
      </c>
      <c r="AK38" s="343"/>
      <c r="AL38" s="617">
        <f>SUM(AL7:AL37)</f>
        <v>950.85999999999979</v>
      </c>
      <c r="AM38" s="343">
        <f>SUM(AM7:AM37)</f>
        <v>0</v>
      </c>
      <c r="AN38" s="343">
        <f>SUM(AN7:AN37)</f>
        <v>456.59999999999991</v>
      </c>
      <c r="AO38" s="618">
        <f>SUM(AO7:AO37)</f>
        <v>1845.5520000000001</v>
      </c>
      <c r="AP38" s="530"/>
      <c r="AQ38" s="351"/>
      <c r="AR38" s="343"/>
      <c r="AS38" s="351"/>
      <c r="AT38" s="351"/>
      <c r="AU38" s="352"/>
      <c r="AV38" s="343">
        <f>SUM(AV7:AV37)</f>
        <v>8759.4</v>
      </c>
      <c r="AW38" s="343">
        <f>SUM(AW7:AW37)</f>
        <v>128.63000000000002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6585.8779999999997</v>
      </c>
      <c r="BB38" s="343">
        <f>SUM(BB7:BB37)</f>
        <v>6452.6761649970122</v>
      </c>
      <c r="BC38" s="351">
        <f>SUM(BC7:BC36)</f>
        <v>206.79652957746472</v>
      </c>
      <c r="BD38" s="351">
        <f>SUM(BD7:BD36)</f>
        <v>246.94305999999997</v>
      </c>
      <c r="BE38" s="340"/>
      <c r="BF38" s="351">
        <f>SUM(BF7:BF37)</f>
        <v>466.93693887323946</v>
      </c>
      <c r="BG38" s="353"/>
      <c r="BH38" s="16"/>
      <c r="BI38" s="16">
        <f t="shared" si="18"/>
        <v>0</v>
      </c>
      <c r="BJ38" s="16"/>
      <c r="BK38" s="17">
        <f>SUM(BK7:BK37)</f>
        <v>31</v>
      </c>
      <c r="BL38" s="33"/>
      <c r="BM38" s="228">
        <f t="shared" ref="BM38:BS38" si="37">SUM(BM7:BM37)</f>
        <v>2329.81</v>
      </c>
      <c r="BN38" s="38">
        <f t="shared" si="37"/>
        <v>1384.4910000000002</v>
      </c>
      <c r="BO38" s="38">
        <f t="shared" si="37"/>
        <v>1638.5120001</v>
      </c>
      <c r="BP38" s="38">
        <f t="shared" si="37"/>
        <v>9183.6750000000011</v>
      </c>
      <c r="BQ38" s="38">
        <f t="shared" si="37"/>
        <v>9.9999999999999995E-8</v>
      </c>
      <c r="BR38" s="38">
        <f t="shared" si="37"/>
        <v>9.9999999999999995E-8</v>
      </c>
      <c r="BS38" s="38">
        <f t="shared" si="37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1213.2400001000001</v>
      </c>
      <c r="CK38" s="39">
        <f>SUM(CK7:CK37)</f>
        <v>1972.1000001</v>
      </c>
      <c r="CL38" s="39">
        <f>SUM(CL7:CL37)</f>
        <v>4465.9100000000008</v>
      </c>
      <c r="CM38" s="40">
        <f>SUM(CM7:CM37)</f>
        <v>1078.46</v>
      </c>
      <c r="CN38" s="34"/>
      <c r="CO38" s="35"/>
      <c r="CP38" s="236"/>
      <c r="CQ38" s="36"/>
      <c r="CR38" s="36"/>
      <c r="CT38" s="189">
        <f t="shared" ref="CT38:DE38" si="38">SUM(CT7:CT37)</f>
        <v>2307.5952188000001</v>
      </c>
      <c r="CU38" s="190">
        <f t="shared" si="38"/>
        <v>1384.4909999626243</v>
      </c>
      <c r="CV38" s="191">
        <f t="shared" si="38"/>
        <v>1638.5120001</v>
      </c>
      <c r="CW38" s="192">
        <f t="shared" si="38"/>
        <v>9045.6811455999978</v>
      </c>
      <c r="CX38" s="192">
        <f t="shared" si="38"/>
        <v>9.99999999E-8</v>
      </c>
      <c r="CY38" s="192">
        <f t="shared" si="38"/>
        <v>9.99999999E-8</v>
      </c>
      <c r="CZ38" s="278">
        <f t="shared" si="38"/>
        <v>9.99999999E-8</v>
      </c>
      <c r="DA38" s="278">
        <f t="shared" si="38"/>
        <v>1213.2400001000001</v>
      </c>
      <c r="DB38" s="192">
        <f t="shared" si="38"/>
        <v>1972.1000001</v>
      </c>
      <c r="DC38" s="192">
        <f t="shared" si="38"/>
        <v>4465.909999906281</v>
      </c>
      <c r="DD38" s="498">
        <f t="shared" si="38"/>
        <v>1078.4599999659999</v>
      </c>
      <c r="DE38" s="564">
        <f t="shared" si="38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468.91896774193555</v>
      </c>
      <c r="C39" s="84">
        <f>(BM38*BU39+BN38*BV39+BP38*BX39+BS38*CA39+BO38*BW39+BR38*BZ39+BQ38*BY39)/B38</f>
        <v>1.1021137680392679</v>
      </c>
      <c r="D39" s="82"/>
      <c r="E39" s="354">
        <f>(BM38*CB39+BN38*CC39+BP38*CE39+BS38*CH39+BO38*CD39+BR38*CG39+BQ38*CF39)/B38</f>
        <v>39.130487994073945</v>
      </c>
      <c r="F39" s="355">
        <f>IF(BA38=0,0,D38/BA38)</f>
        <v>2.1828948796747563</v>
      </c>
      <c r="G39" s="354">
        <f>G38/AV2</f>
        <v>0</v>
      </c>
      <c r="H39" s="355">
        <f>IF(BA38=0,0,(CZ38+CW38+CY38+CT38+CX38)/BA38)</f>
        <v>1.7238819736259918</v>
      </c>
      <c r="I39" s="354">
        <f>I38/AV2</f>
        <v>0</v>
      </c>
      <c r="J39" s="572">
        <f>J38/AV2</f>
        <v>10.651580645161291</v>
      </c>
      <c r="K39" s="354">
        <f>K38/AV2</f>
        <v>22.805806451612902</v>
      </c>
      <c r="L39" s="354">
        <f>L38/AV2</f>
        <v>97.516225806451615</v>
      </c>
      <c r="M39" s="355">
        <f>IF($BA$38=0,0,(CV38+CU38)/$BA$38)</f>
        <v>0.45901290610950041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290.02880645161304</v>
      </c>
      <c r="S39" s="354">
        <f>(SUMPRODUCT(R7:R37,S7:S37))/R38</f>
        <v>2.9049728408512916</v>
      </c>
      <c r="T39" s="357"/>
      <c r="U39" s="354">
        <f>U38/AV2</f>
        <v>19.233225806451614</v>
      </c>
      <c r="V39" s="354">
        <f>V38/AV2:AV2</f>
        <v>281.60354839354835</v>
      </c>
      <c r="W39" s="358">
        <f>IF($BA$38=0,0,T38/$BA$38)</f>
        <v>1.3255195435141676</v>
      </c>
      <c r="X39" s="358">
        <f>Q39+W39</f>
        <v>1.3255195435141676</v>
      </c>
      <c r="Y39" s="354">
        <f>Y38/AV2</f>
        <v>204.4435483870968</v>
      </c>
      <c r="Z39" s="354">
        <f>Z38/AV2</f>
        <v>176.22419354838712</v>
      </c>
      <c r="AA39" s="354">
        <f>(SUMPRODUCT(AA7:AA37,BA7:BA37))/BA38</f>
        <v>0.68532690553939835</v>
      </c>
      <c r="AB39" s="359">
        <f>AVERAGE(AB7:AB37)</f>
        <v>653.38709677419354</v>
      </c>
      <c r="AC39" s="359">
        <f>AVERAGE(AC7:AC37)</f>
        <v>1191.5806451612902</v>
      </c>
      <c r="AD39" s="359"/>
      <c r="AE39" s="354">
        <f>(SUMPRODUCT(AE7:AE37,BA7:BA37))/BA38</f>
        <v>76.102640319939127</v>
      </c>
      <c r="AF39" s="360">
        <f>AVERAGE(AF7:AF37)</f>
        <v>156.45161290322579</v>
      </c>
      <c r="AG39" s="360">
        <f>AVERAGE(AG7:AG37)</f>
        <v>4.774193548387097</v>
      </c>
      <c r="AH39" s="354">
        <f>AH38/AV2</f>
        <v>4.9612903225806457</v>
      </c>
      <c r="AI39" s="361">
        <f>IF(BA38=0,0,AH38/BA38*1000)</f>
        <v>23.35299864346106</v>
      </c>
      <c r="AJ39" s="361">
        <f>AJ38/AV2</f>
        <v>123.47258064516129</v>
      </c>
      <c r="AK39" s="361">
        <f>IF(BA38=0,0,AJ38/BA38*1000)</f>
        <v>581.19054133708528</v>
      </c>
      <c r="AL39" s="354">
        <f>AL38/AV2</f>
        <v>30.672903225806444</v>
      </c>
      <c r="AM39" s="359"/>
      <c r="AN39" s="354">
        <f>AN38/AV2</f>
        <v>14.729032258064514</v>
      </c>
      <c r="AO39" s="354">
        <f>AO38/AV2</f>
        <v>59.53393548387097</v>
      </c>
      <c r="AP39" s="346">
        <f>IF(AO39=0,0,AO39/AV39)</f>
        <v>0.210693883142681</v>
      </c>
      <c r="AQ39" s="361">
        <f>SUM(AQ8:AQ38)</f>
        <v>0</v>
      </c>
      <c r="AR39" s="354">
        <f>AVERAGE(AR7:AR37)</f>
        <v>7.1061290322580613</v>
      </c>
      <c r="AS39" s="354">
        <f>AVERAGE(AS7:AS37)</f>
        <v>8.8506451612903252</v>
      </c>
      <c r="AT39" s="362"/>
      <c r="AU39" s="354">
        <f>AVERAGE(AU7:AU37)</f>
        <v>7.1854838709677411</v>
      </c>
      <c r="AV39" s="363">
        <f>AV38/AV2</f>
        <v>282.56129032258065</v>
      </c>
      <c r="AW39" s="363">
        <f>AW38/AV2</f>
        <v>4.1493548387096784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212.44767741935482</v>
      </c>
      <c r="BB39" s="354">
        <f>BB38/AV2</f>
        <v>208.15084403216167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0.8909465252028208</v>
      </c>
      <c r="BF39" s="354">
        <f>BF38/AV2</f>
        <v>15.062481899136756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0.95350183920577225</v>
      </c>
      <c r="BV39" s="42">
        <f t="shared" ref="BV39:CA39" si="39">(SUMPRODUCT(BN7:BN37,BV7:BV37))/BN38</f>
        <v>2.6996202936674914E-9</v>
      </c>
      <c r="BW39" s="42">
        <f t="shared" si="39"/>
        <v>6.1030984206338971E-18</v>
      </c>
      <c r="BX39" s="42">
        <f>(SUMPRODUCT(BP7:BP37,BX7:BX37))/BP38</f>
        <v>1.5025994974778616</v>
      </c>
      <c r="BY39" s="42">
        <f t="shared" si="39"/>
        <v>9.9999999999999982E-8</v>
      </c>
      <c r="BZ39" s="46">
        <f t="shared" si="39"/>
        <v>9.9999999999999982E-8</v>
      </c>
      <c r="CA39" s="240">
        <f t="shared" si="39"/>
        <v>9.9999999999999982E-8</v>
      </c>
      <c r="CB39" s="41">
        <f t="shared" ref="CB39:CH39" si="40">(SUMPRODUCT(BM7:BM37,CB7:CB37))/BM38</f>
        <v>37.190430211047264</v>
      </c>
      <c r="CC39" s="42">
        <f t="shared" si="40"/>
        <v>43.529849453698134</v>
      </c>
      <c r="CD39" s="42">
        <f t="shared" si="40"/>
        <v>43.335457778561569</v>
      </c>
      <c r="CE39" s="42">
        <f t="shared" si="40"/>
        <v>38.209200625022113</v>
      </c>
      <c r="CF39" s="42">
        <f t="shared" si="40"/>
        <v>9.9999999999999982E-8</v>
      </c>
      <c r="CG39" s="46">
        <f t="shared" si="40"/>
        <v>9.9999999999999982E-8</v>
      </c>
      <c r="CH39" s="240">
        <f t="shared" si="40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8.2423922712536335E-18</v>
      </c>
      <c r="CO39" s="46">
        <f>(SUMPRODUCT(CK7:CK37,CO7:CO37))/CK38</f>
        <v>5.070736777796727E-18</v>
      </c>
      <c r="CP39" s="46">
        <f>(SUMPRODUCT(CL7:CL37,CP7:CP37))/CL38</f>
        <v>2.0985644583074891E-9</v>
      </c>
      <c r="CQ39" s="44">
        <f>(SUMPRODUCT(CM7:CM37,CQ7:CQ37))/CM38</f>
        <v>3.1526435843703052E-9</v>
      </c>
      <c r="CR39" s="44" t="e">
        <f>(SUMPRODUCT(O7:O37,CR7:CR37))/O38</f>
        <v>#DIV/0!</v>
      </c>
      <c r="CT39" s="667">
        <f>CT38+CU38</f>
        <v>3692.0862187626244</v>
      </c>
      <c r="CU39" s="667"/>
      <c r="CV39" s="668">
        <f>CV38+CW38+CZ38+CY38+CX38</f>
        <v>10684.193146</v>
      </c>
      <c r="CW39" s="668"/>
      <c r="CX39" s="668"/>
      <c r="CY39" s="668"/>
      <c r="CZ39" s="668"/>
      <c r="DA39" s="669">
        <f>DA38+DB38+DD38+DC38</f>
        <v>8729.7100000722821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37.4</v>
      </c>
      <c r="F40" s="366">
        <v>2.15</v>
      </c>
      <c r="G40" s="366"/>
      <c r="H40" s="366">
        <v>1.8274999999999999</v>
      </c>
      <c r="I40" s="366"/>
      <c r="J40" s="570">
        <v>7.79</v>
      </c>
      <c r="K40" s="366">
        <v>18.296158200000001</v>
      </c>
      <c r="L40" s="366"/>
      <c r="M40" s="366">
        <v>0.32250000000000001</v>
      </c>
      <c r="N40" s="365"/>
      <c r="O40" s="366"/>
      <c r="P40" s="366"/>
      <c r="Q40" s="366"/>
      <c r="R40" s="367"/>
      <c r="S40" s="368"/>
      <c r="T40" s="367"/>
      <c r="U40" s="450">
        <v>25.640999999999998</v>
      </c>
      <c r="V40" s="367"/>
      <c r="W40" s="369">
        <v>1.28</v>
      </c>
      <c r="X40" s="484"/>
      <c r="Y40" s="370">
        <v>6900</v>
      </c>
      <c r="Z40" s="370">
        <v>6900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720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6900</v>
      </c>
      <c r="AW40" s="379">
        <v>82.8</v>
      </c>
      <c r="AX40" s="380"/>
      <c r="AY40" s="381"/>
      <c r="AZ40" s="382"/>
      <c r="BA40" s="365">
        <v>222.58099999999999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14376.279364762624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3.289487967475635E-2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2.9049728408512916</v>
      </c>
      <c r="T41" s="386"/>
      <c r="U41" s="388"/>
      <c r="V41" s="388"/>
      <c r="W41" s="385">
        <f>W39-W40</f>
        <v>4.5519543514167538E-2</v>
      </c>
      <c r="X41" s="385"/>
      <c r="Y41" s="385"/>
      <c r="Z41" s="385"/>
      <c r="AA41" s="385"/>
      <c r="AB41" s="385"/>
      <c r="AC41" s="389">
        <f>AC39-AC40</f>
        <v>-58.419354838709751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1859.3999999999996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222.58064516129033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  <c r="CW43">
        <v>14376.279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0.21069388314268103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59.185135135135134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230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-314.12200000000394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-4.5524927536232456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'[4]октябрь 20'!$G$38</f>
        <v>1845.5520000000001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'[4]октябрь 20'!$C$38</f>
        <v>1845.5499999999997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-2.0000000004074536E-3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393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BM3:BS5"/>
    <mergeCell ref="BU3:CA5"/>
    <mergeCell ref="CB3:CH5"/>
    <mergeCell ref="CJ3:CM5"/>
    <mergeCell ref="CN3:CQ5"/>
    <mergeCell ref="DG5:DK5"/>
    <mergeCell ref="CT39:CU39"/>
    <mergeCell ref="CV39:CZ39"/>
    <mergeCell ref="DA39:DD39"/>
    <mergeCell ref="CR3:CR6"/>
    <mergeCell ref="Y3:Y6"/>
    <mergeCell ref="V4:V6"/>
    <mergeCell ref="W4:W6"/>
    <mergeCell ref="X4:X6"/>
    <mergeCell ref="AH5:AH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Q88"/>
  <sheetViews>
    <sheetView showZeros="0" zoomScale="90" zoomScaleNormal="90" workbookViewId="0">
      <pane xSplit="1" ySplit="6" topLeftCell="BJ19" activePane="bottomRight" state="frozen"/>
      <selection pane="topRight" activeCell="B1" sqref="B1"/>
      <selection pane="bottomLeft" activeCell="A7" sqref="A7"/>
      <selection pane="bottomRight" activeCell="Z45" sqref="Z45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8.140625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57031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7.2851562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21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21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436</v>
      </c>
      <c r="BB2" s="526"/>
      <c r="BC2" s="526"/>
      <c r="BD2" s="526"/>
      <c r="BE2" s="526" t="s">
        <v>107</v>
      </c>
      <c r="BF2" s="324"/>
      <c r="BG2" s="49"/>
      <c r="BO2" s="2"/>
    </row>
    <row r="3" spans="1:121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21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21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21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621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458</v>
      </c>
      <c r="BP6" s="436" t="s">
        <v>99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455</v>
      </c>
      <c r="CD6" s="232" t="s">
        <v>458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525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457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21" ht="16.5" customHeight="1" thickBot="1">
      <c r="A7" s="532">
        <v>1</v>
      </c>
      <c r="B7" s="103">
        <f>BM7+BN7+BO7+BP7+BQ7+BR7+BS7</f>
        <v>224.02300039999997</v>
      </c>
      <c r="C7" s="104">
        <f t="shared" ref="C7:C37" si="0">IF(B7=0,0,(BM7*BU7+BN7*BV7+BP7*BX7+BS7*CA7+BO7*BW7+BR7*BZ7+BQ7*BY7)/B7)</f>
        <v>0.7028339655145518</v>
      </c>
      <c r="D7" s="447">
        <f t="shared" ref="D7:D37" si="1">B7*((100-C7)/100)</f>
        <v>222.44849066262395</v>
      </c>
      <c r="E7" s="104">
        <f t="shared" ref="E7:E37" si="2">IF(B7=0,0,(BM7*CB7+BN7*CC7+BP7*CE7+BS7*CH7+BO7*CD7+BR7*CG7+BQ7*CF7)/B7)</f>
        <v>38.215956775481175</v>
      </c>
      <c r="F7" s="103">
        <f t="shared" ref="F7:F37" si="3">IF(BA7=0,0,D7/BA7)</f>
        <v>2.4105426403192838</v>
      </c>
      <c r="G7" s="106"/>
      <c r="H7" s="107">
        <f t="shared" ref="H7:H37" si="4">IF(BA7=0,0,(CZ7+CW7+CY7+CT7+CX7)/BA7)</f>
        <v>2.005521048097398</v>
      </c>
      <c r="I7" s="103">
        <f>'[1]сентябрь 20'!AE6</f>
        <v>0</v>
      </c>
      <c r="J7" s="103">
        <f>'[1]октябрь 20'!AA6</f>
        <v>2.3809999999999998</v>
      </c>
      <c r="K7" s="106"/>
      <c r="L7" s="103">
        <f>'[1]октябрь 20'!AI6</f>
        <v>37.375999999999998</v>
      </c>
      <c r="M7" s="103">
        <f t="shared" ref="M7:M37" si="5">IF(BA7=0,0,(CV7+CU7)/BA7)</f>
        <v>0.40502159222188633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v>164.95</v>
      </c>
      <c r="S7" s="108">
        <f t="shared" ref="S7:S37" si="6">IF(R7=0,0,(1-(V7/R7))*100)</f>
        <v>2.4431644740830483</v>
      </c>
      <c r="T7" s="109">
        <f>DA7+DB7+DC7+DD7</f>
        <v>160.92000003908001</v>
      </c>
      <c r="U7" s="106">
        <v>27.09</v>
      </c>
      <c r="V7" s="109">
        <f t="shared" ref="V7:V37" si="7">CJ7+CK7+CM7+CL7</f>
        <v>160.9200002</v>
      </c>
      <c r="W7" s="110">
        <f t="shared" ref="W7:W37" si="8">IF(BA7=0,0,T7/BA7)</f>
        <v>1.7437948021984906</v>
      </c>
      <c r="X7" s="110">
        <f>Q7+W7</f>
        <v>1.7437948021984906</v>
      </c>
      <c r="Y7" s="136">
        <v>43.67</v>
      </c>
      <c r="Z7" s="111">
        <v>92.28</v>
      </c>
      <c r="AA7" s="106">
        <v>0.54</v>
      </c>
      <c r="AB7" s="112">
        <v>671</v>
      </c>
      <c r="AC7" s="112">
        <v>1129</v>
      </c>
      <c r="AD7" s="113" t="s">
        <v>443</v>
      </c>
      <c r="AE7" s="106">
        <v>75.099999999999994</v>
      </c>
      <c r="AF7" s="112">
        <v>70</v>
      </c>
      <c r="AG7" s="114">
        <v>2</v>
      </c>
      <c r="AH7" s="106"/>
      <c r="AI7" s="115">
        <f t="shared" ref="AI7:AI37" si="9">IF(BA7=0,0,AH7/BA7*1000)</f>
        <v>0</v>
      </c>
      <c r="AJ7" s="106">
        <v>55.65</v>
      </c>
      <c r="AK7" s="115">
        <f t="shared" ref="AK7:AK37" si="10">IF(BA7=0,0,AJ7/BA7*1000)</f>
        <v>603.04611433494256</v>
      </c>
      <c r="AL7" s="106">
        <v>13.57</v>
      </c>
      <c r="AM7" s="116"/>
      <c r="AN7" s="117">
        <v>12.26</v>
      </c>
      <c r="AO7" s="466">
        <f>AV7*0.19</f>
        <v>22.828500000000002</v>
      </c>
      <c r="AP7" s="110">
        <f t="shared" ref="AP7:AP37" si="11">IF(AO7=0,0,AO7/AV7)</f>
        <v>0.19</v>
      </c>
      <c r="AQ7" s="119" t="s">
        <v>331</v>
      </c>
      <c r="AR7" s="403">
        <v>7.71</v>
      </c>
      <c r="AS7" s="120">
        <v>8.26</v>
      </c>
      <c r="AT7" s="106"/>
      <c r="AU7" s="106">
        <v>8.66</v>
      </c>
      <c r="AV7" s="314">
        <v>120.15</v>
      </c>
      <c r="AW7" s="121">
        <v>7.22</v>
      </c>
      <c r="AX7" s="122"/>
      <c r="AY7" s="123"/>
      <c r="AZ7" s="124"/>
      <c r="BA7" s="109">
        <f t="shared" ref="BA7:BA37" si="12">AV7-AO7-AN7+AY7+AW7</f>
        <v>92.281499999999994</v>
      </c>
      <c r="BB7" s="115">
        <f>IF(AE7=0,0,((D7*0.97)*(E7/100)*0.9)/(AE7/100))</f>
        <v>98.820832252120709</v>
      </c>
      <c r="BC7" s="125">
        <f t="shared" ref="BC7:BC37" si="13">(AJ7*AU7)/100*(55/71)</f>
        <v>3.7332528169014081</v>
      </c>
      <c r="BD7" s="115">
        <f t="shared" ref="BD7:BD23" si="14">BA7*$BD$6</f>
        <v>3.6912599999999998</v>
      </c>
      <c r="BE7" s="103">
        <f t="shared" ref="BE7:BE37" si="15">IF((D7*E7)=0,0,(BA7*AE7)/(D7*E7))</f>
        <v>0.8152304292931225</v>
      </c>
      <c r="BF7" s="115">
        <f t="shared" ref="BF7:BF37" si="16">BC7+BD7</f>
        <v>7.4245128169014079</v>
      </c>
      <c r="BG7" s="533">
        <v>0.81499999999999995</v>
      </c>
      <c r="BH7" s="16">
        <f>BA7</f>
        <v>92.281499999999994</v>
      </c>
      <c r="BI7" s="16">
        <f t="shared" ref="BI7:BI38" si="17">IF(A7&lt;=$BG$43,$AV$43,0)</f>
        <v>222.58064516129033</v>
      </c>
      <c r="BJ7" s="16">
        <f>BI7</f>
        <v>222.58064516129033</v>
      </c>
      <c r="BK7" s="17">
        <f t="shared" ref="BK7:BK37" si="18">IF(BA7&lt;&gt;0,1,0)</f>
        <v>1</v>
      </c>
      <c r="BL7" s="16">
        <f>BI7*BK7</f>
        <v>222.58064516129033</v>
      </c>
      <c r="BM7" s="336">
        <v>57.774999999999999</v>
      </c>
      <c r="BN7" s="336">
        <v>37.375999999999998</v>
      </c>
      <c r="BO7" s="518">
        <v>9.9999999999999995E-8</v>
      </c>
      <c r="BP7" s="266">
        <f>DN7</f>
        <v>128.87200000000001</v>
      </c>
      <c r="BQ7" s="432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1.03</v>
      </c>
      <c r="BV7" s="336">
        <v>9.9999999999999995E-8</v>
      </c>
      <c r="BW7" s="336">
        <v>9.9999999999999995E-8</v>
      </c>
      <c r="BX7" s="336">
        <v>0.76</v>
      </c>
      <c r="BY7" s="336">
        <v>9.9999999999999995E-8</v>
      </c>
      <c r="BZ7" s="336">
        <v>9.9999999999999995E-8</v>
      </c>
      <c r="CA7" s="336">
        <v>9.9999999999999995E-8</v>
      </c>
      <c r="CB7" s="336">
        <v>36.06</v>
      </c>
      <c r="CC7" s="336">
        <v>43.5</v>
      </c>
      <c r="CD7" s="336">
        <v>9.9999999999999995E-8</v>
      </c>
      <c r="CE7" s="336">
        <v>37.65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518">
        <v>9.9999999999999995E-8</v>
      </c>
      <c r="CL7" s="266">
        <f>DQ7</f>
        <v>126.92</v>
      </c>
      <c r="CM7" s="432">
        <v>34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19">BM7*((100-BU7)/100)</f>
        <v>57.179917500000002</v>
      </c>
      <c r="CU7" s="22">
        <f t="shared" si="19"/>
        <v>37.375999962624</v>
      </c>
      <c r="CV7" s="22">
        <f t="shared" si="19"/>
        <v>9.99999999E-8</v>
      </c>
      <c r="CW7" s="27">
        <f t="shared" si="19"/>
        <v>127.89257280000001</v>
      </c>
      <c r="CX7" s="27">
        <f t="shared" si="19"/>
        <v>9.99999999E-8</v>
      </c>
      <c r="CY7" s="276">
        <f t="shared" si="19"/>
        <v>9.99999999E-8</v>
      </c>
      <c r="CZ7" s="279">
        <f t="shared" si="19"/>
        <v>9.99999999E-8</v>
      </c>
      <c r="DA7" s="276">
        <f t="shared" ref="DA7:DD37" si="20">CJ7*((100-CN7)/100)</f>
        <v>9.99999999E-8</v>
      </c>
      <c r="DB7" s="21">
        <f t="shared" si="20"/>
        <v>9.99999999E-8</v>
      </c>
      <c r="DC7" s="21">
        <f t="shared" si="20"/>
        <v>126.91999987308</v>
      </c>
      <c r="DD7" s="279">
        <f t="shared" si="20"/>
        <v>33.999999966000004</v>
      </c>
      <c r="DE7" s="508">
        <f>P7</f>
        <v>0</v>
      </c>
      <c r="DF7" s="247"/>
      <c r="DG7" s="293">
        <f t="shared" ref="DG7:DG37" si="21">I7</f>
        <v>0</v>
      </c>
      <c r="DH7" s="294"/>
      <c r="DI7" s="294"/>
      <c r="DJ7" s="295">
        <f t="shared" ref="DJ7:DJ37" si="22">DG7*((100-DH7)/100)</f>
        <v>0</v>
      </c>
      <c r="DK7" s="296">
        <f>IF(I7=0,0,(DJ7*DI7%)/(AE7/100))</f>
        <v>0</v>
      </c>
      <c r="DM7" s="336">
        <v>108.872</v>
      </c>
      <c r="DN7" s="247">
        <f>DM7+20</f>
        <v>128.87200000000001</v>
      </c>
      <c r="DP7" s="336">
        <v>93.72</v>
      </c>
      <c r="DQ7" s="247">
        <f>DP7+33.2</f>
        <v>126.92</v>
      </c>
    </row>
    <row r="8" spans="1:121" ht="16.5" customHeight="1" thickBot="1">
      <c r="A8" s="534">
        <v>2</v>
      </c>
      <c r="B8" s="103">
        <f t="shared" ref="B8:B37" si="23">BM8+BN8+BO8+BP8+BQ8+BR8+BS8</f>
        <v>503.20599999999996</v>
      </c>
      <c r="C8" s="104">
        <f t="shared" si="0"/>
        <v>0.79140932341824222</v>
      </c>
      <c r="D8" s="447">
        <f t="shared" si="1"/>
        <v>499.22358079999998</v>
      </c>
      <c r="E8" s="104">
        <f t="shared" si="2"/>
        <v>38.013013437836598</v>
      </c>
      <c r="F8" s="128">
        <f t="shared" si="3"/>
        <v>2.218347519362966</v>
      </c>
      <c r="G8" s="106"/>
      <c r="H8" s="107">
        <f t="shared" si="4"/>
        <v>1.8249871393467023</v>
      </c>
      <c r="I8" s="103">
        <f>'[1]сентябрь 20'!AE7</f>
        <v>0</v>
      </c>
      <c r="J8" s="103">
        <f>'[1]октябрь 20'!AA7</f>
        <v>5.1929999999999996</v>
      </c>
      <c r="K8" s="106">
        <v>36.340000000000003</v>
      </c>
      <c r="L8" s="103">
        <f>'[1]октябрь 20'!AI7</f>
        <v>88.522999999999996</v>
      </c>
      <c r="M8" s="103">
        <f t="shared" si="5"/>
        <v>0.39336038001626356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v>330.7</v>
      </c>
      <c r="S8" s="108">
        <f t="shared" si="6"/>
        <v>2.815240399153307</v>
      </c>
      <c r="T8" s="109">
        <f t="shared" ref="T8:T37" si="26">DA8+DB8+DC8+DD8</f>
        <v>321.39</v>
      </c>
      <c r="U8" s="106">
        <v>4.58</v>
      </c>
      <c r="V8" s="109">
        <f t="shared" si="7"/>
        <v>321.39</v>
      </c>
      <c r="W8" s="110">
        <f t="shared" si="8"/>
        <v>1.428127069049026</v>
      </c>
      <c r="X8" s="110">
        <f t="shared" ref="X8:X37" si="27">Q8+W8</f>
        <v>1.428127069049026</v>
      </c>
      <c r="Y8" s="136">
        <v>225.04</v>
      </c>
      <c r="Z8" s="130">
        <v>225.04</v>
      </c>
      <c r="AA8" s="131">
        <v>0.66</v>
      </c>
      <c r="AB8" s="112">
        <v>636</v>
      </c>
      <c r="AC8" s="112">
        <v>1194</v>
      </c>
      <c r="AD8" s="132" t="s">
        <v>444</v>
      </c>
      <c r="AE8" s="131">
        <v>75.69</v>
      </c>
      <c r="AF8" s="133">
        <v>161</v>
      </c>
      <c r="AG8" s="134">
        <v>5</v>
      </c>
      <c r="AH8" s="131">
        <v>6.95</v>
      </c>
      <c r="AI8" s="115">
        <f t="shared" si="9"/>
        <v>30.882986806965778</v>
      </c>
      <c r="AJ8" s="131">
        <v>126.8</v>
      </c>
      <c r="AK8" s="115">
        <f t="shared" si="10"/>
        <v>563.44787440622451</v>
      </c>
      <c r="AL8" s="131">
        <v>39.99</v>
      </c>
      <c r="AM8" s="116"/>
      <c r="AN8" s="135">
        <v>17.690000000000001</v>
      </c>
      <c r="AO8" s="466">
        <f t="shared" ref="AO8:AO36" si="28">AV8*0.19</f>
        <v>55.917000000000002</v>
      </c>
      <c r="AP8" s="110">
        <f t="shared" si="11"/>
        <v>0.19</v>
      </c>
      <c r="AQ8" s="137" t="s">
        <v>445</v>
      </c>
      <c r="AR8" s="150">
        <v>7.66</v>
      </c>
      <c r="AS8" s="138">
        <v>8.24</v>
      </c>
      <c r="AT8" s="131"/>
      <c r="AU8" s="131">
        <v>8.9</v>
      </c>
      <c r="AV8" s="315">
        <v>294.3</v>
      </c>
      <c r="AW8" s="131">
        <v>4.3499999999999996</v>
      </c>
      <c r="AX8" s="116"/>
      <c r="AY8" s="131"/>
      <c r="AZ8" s="109"/>
      <c r="BA8" s="109">
        <f t="shared" si="12"/>
        <v>225.04300000000001</v>
      </c>
      <c r="BB8" s="115">
        <f t="shared" ref="BB8:BB37" si="29">IF(AE8=0,0,((D8*0.97)*(E8/100)*0.9)/(AE8/100))</f>
        <v>218.87851254307066</v>
      </c>
      <c r="BC8" s="140">
        <f t="shared" si="13"/>
        <v>8.7420563380281688</v>
      </c>
      <c r="BD8" s="141">
        <f t="shared" si="14"/>
        <v>9.0017200000000006</v>
      </c>
      <c r="BE8" s="128">
        <f t="shared" si="15"/>
        <v>0.89758714419872665</v>
      </c>
      <c r="BF8" s="141">
        <f t="shared" si="16"/>
        <v>17.743776338028169</v>
      </c>
      <c r="BG8" s="535">
        <v>0.872</v>
      </c>
      <c r="BH8" s="16">
        <f t="shared" ref="BH8:BH37" si="30">BH7+BA8</f>
        <v>317.3245</v>
      </c>
      <c r="BI8" s="16">
        <f t="shared" si="17"/>
        <v>222.58064516129033</v>
      </c>
      <c r="BJ8" s="16">
        <f t="shared" ref="BJ8:BJ37" si="31">BI8+BJ7</f>
        <v>445.16129032258067</v>
      </c>
      <c r="BK8" s="17">
        <f t="shared" si="18"/>
        <v>1</v>
      </c>
      <c r="BL8" s="16">
        <f t="shared" ref="BL8:BL37" si="32">BL7+BI8*BK8</f>
        <v>445.16129032258067</v>
      </c>
      <c r="BM8" s="249">
        <v>137.00899999999999</v>
      </c>
      <c r="BN8" s="195">
        <v>88.522999999999996</v>
      </c>
      <c r="BO8" s="230"/>
      <c r="BP8" s="266">
        <f t="shared" ref="BP8:BP37" si="33">DN8</f>
        <v>277.67399999999998</v>
      </c>
      <c r="BQ8" s="313"/>
      <c r="BR8" s="230"/>
      <c r="BS8" s="250"/>
      <c r="BT8" s="199"/>
      <c r="BU8" s="200">
        <v>0.88</v>
      </c>
      <c r="BV8" s="200"/>
      <c r="BW8" s="200"/>
      <c r="BX8" s="200">
        <v>1</v>
      </c>
      <c r="BY8" s="208"/>
      <c r="BZ8" s="208"/>
      <c r="CA8" s="198"/>
      <c r="CB8" s="202">
        <v>36.729999999999997</v>
      </c>
      <c r="CC8" s="200">
        <v>43.49</v>
      </c>
      <c r="CD8" s="200"/>
      <c r="CE8" s="200">
        <v>36.9</v>
      </c>
      <c r="CF8" s="197"/>
      <c r="CG8" s="197"/>
      <c r="CH8" s="197"/>
      <c r="CI8" s="203"/>
      <c r="CJ8" s="204"/>
      <c r="CK8" s="230"/>
      <c r="CL8" s="266">
        <f t="shared" ref="CL8:CL37" si="34">DQ8</f>
        <v>237.73000000000002</v>
      </c>
      <c r="CM8" s="453">
        <v>83.66</v>
      </c>
      <c r="CN8" s="205"/>
      <c r="CO8" s="206"/>
      <c r="CP8" s="269"/>
      <c r="CQ8" s="207"/>
      <c r="CR8" s="207"/>
      <c r="CS8" s="284"/>
      <c r="CT8" s="286">
        <f t="shared" si="19"/>
        <v>135.80332079999999</v>
      </c>
      <c r="CU8" s="24">
        <f t="shared" si="19"/>
        <v>88.522999999999996</v>
      </c>
      <c r="CV8" s="25">
        <f t="shared" si="19"/>
        <v>0</v>
      </c>
      <c r="CW8" s="24">
        <f t="shared" si="19"/>
        <v>274.89725999999996</v>
      </c>
      <c r="CX8" s="27">
        <f t="shared" si="19"/>
        <v>0</v>
      </c>
      <c r="CY8" s="237">
        <f t="shared" si="19"/>
        <v>0</v>
      </c>
      <c r="CZ8" s="280">
        <f t="shared" si="19"/>
        <v>0</v>
      </c>
      <c r="DA8" s="237">
        <f t="shared" si="20"/>
        <v>0</v>
      </c>
      <c r="DB8" s="26">
        <f t="shared" si="20"/>
        <v>0</v>
      </c>
      <c r="DC8" s="277">
        <f t="shared" si="20"/>
        <v>237.73000000000002</v>
      </c>
      <c r="DD8" s="280">
        <f t="shared" si="20"/>
        <v>83.66</v>
      </c>
      <c r="DE8" s="508">
        <f t="shared" ref="DE8:DE37" si="35">P8</f>
        <v>0</v>
      </c>
      <c r="DF8" s="247"/>
      <c r="DG8" s="293">
        <f t="shared" si="21"/>
        <v>0</v>
      </c>
      <c r="DH8" s="294"/>
      <c r="DI8" s="294"/>
      <c r="DJ8" s="295">
        <f t="shared" si="22"/>
        <v>0</v>
      </c>
      <c r="DK8" s="296">
        <f t="shared" ref="DK8:DK37" si="36">IF(I8=0,0,(DJ8*DI8%)/(AE8/100))</f>
        <v>0</v>
      </c>
      <c r="DM8" s="197">
        <v>257.67399999999998</v>
      </c>
      <c r="DN8" s="247">
        <f t="shared" ref="DN8:DN36" si="37">DM8+20</f>
        <v>277.67399999999998</v>
      </c>
      <c r="DP8" s="197">
        <v>204.53</v>
      </c>
      <c r="DQ8" s="247">
        <f t="shared" ref="DQ8:DQ36" si="38">DP8+33.2</f>
        <v>237.73000000000002</v>
      </c>
    </row>
    <row r="9" spans="1:121" ht="16.5" customHeight="1" thickBot="1">
      <c r="A9" s="534">
        <v>3</v>
      </c>
      <c r="B9" s="103">
        <f t="shared" si="23"/>
        <v>529.92200000000003</v>
      </c>
      <c r="C9" s="104">
        <f t="shared" si="0"/>
        <v>0.93302733232437984</v>
      </c>
      <c r="D9" s="448">
        <f t="shared" si="1"/>
        <v>524.97768289999999</v>
      </c>
      <c r="E9" s="104">
        <f t="shared" si="2"/>
        <v>38.292801638731738</v>
      </c>
      <c r="F9" s="128">
        <f t="shared" si="3"/>
        <v>2.2370890309796736</v>
      </c>
      <c r="G9" s="106"/>
      <c r="H9" s="107">
        <f t="shared" si="4"/>
        <v>1.902231571568586</v>
      </c>
      <c r="I9" s="103">
        <f>'[1]сентябрь 20'!AE8</f>
        <v>0</v>
      </c>
      <c r="J9" s="103">
        <f>'[1]октябрь 20'!AA8</f>
        <v>13.256</v>
      </c>
      <c r="K9" s="106">
        <v>40.47</v>
      </c>
      <c r="L9" s="103">
        <f>'[1]октябрь 20'!AI8</f>
        <v>78.581000000000003</v>
      </c>
      <c r="M9" s="103">
        <f t="shared" si="5"/>
        <v>0.33485745941108791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v>345.9</v>
      </c>
      <c r="S9" s="108">
        <f t="shared" si="6"/>
        <v>2.5787799942179723</v>
      </c>
      <c r="T9" s="109">
        <f t="shared" si="26"/>
        <v>336.98</v>
      </c>
      <c r="U9" s="106">
        <v>23.88</v>
      </c>
      <c r="V9" s="109">
        <f t="shared" si="7"/>
        <v>336.98</v>
      </c>
      <c r="W9" s="110">
        <f t="shared" si="8"/>
        <v>1.4359739208249882</v>
      </c>
      <c r="X9" s="110">
        <f t="shared" si="27"/>
        <v>1.4359739208249882</v>
      </c>
      <c r="Y9" s="136">
        <v>234.67</v>
      </c>
      <c r="Z9" s="130">
        <v>190.99</v>
      </c>
      <c r="AA9" s="131">
        <v>0.64</v>
      </c>
      <c r="AB9" s="112">
        <v>587</v>
      </c>
      <c r="AC9" s="112">
        <v>1194</v>
      </c>
      <c r="AD9" s="144" t="s">
        <v>426</v>
      </c>
      <c r="AE9" s="131">
        <v>75.989999999999995</v>
      </c>
      <c r="AF9" s="133">
        <v>170</v>
      </c>
      <c r="AG9" s="134">
        <v>5</v>
      </c>
      <c r="AH9" s="131">
        <v>8.75</v>
      </c>
      <c r="AI9" s="115">
        <f t="shared" si="9"/>
        <v>37.286402181787189</v>
      </c>
      <c r="AJ9" s="131">
        <v>131.80000000000001</v>
      </c>
      <c r="AK9" s="115">
        <f t="shared" si="10"/>
        <v>561.63974943537733</v>
      </c>
      <c r="AL9" s="131">
        <v>36.729999999999997</v>
      </c>
      <c r="AM9" s="116"/>
      <c r="AN9" s="135">
        <v>16.23</v>
      </c>
      <c r="AO9" s="466">
        <f t="shared" si="28"/>
        <v>57.76</v>
      </c>
      <c r="AP9" s="110">
        <f t="shared" si="11"/>
        <v>0.19</v>
      </c>
      <c r="AQ9" s="137" t="s">
        <v>442</v>
      </c>
      <c r="AR9" s="150">
        <v>7.61</v>
      </c>
      <c r="AS9" s="131">
        <v>8.4600000000000009</v>
      </c>
      <c r="AT9" s="131"/>
      <c r="AU9" s="131">
        <v>7.3</v>
      </c>
      <c r="AV9" s="315">
        <v>304</v>
      </c>
      <c r="AW9" s="131">
        <v>4.66</v>
      </c>
      <c r="AX9" s="116"/>
      <c r="AY9" s="131"/>
      <c r="AZ9" s="109"/>
      <c r="BA9" s="109">
        <f t="shared" si="12"/>
        <v>234.67000000000002</v>
      </c>
      <c r="BB9" s="115">
        <f t="shared" si="29"/>
        <v>230.94883878131691</v>
      </c>
      <c r="BC9" s="140">
        <f t="shared" si="13"/>
        <v>7.4531971830985926</v>
      </c>
      <c r="BD9" s="141">
        <f t="shared" si="14"/>
        <v>9.3868000000000009</v>
      </c>
      <c r="BE9" s="128">
        <f t="shared" si="15"/>
        <v>0.88706620514332357</v>
      </c>
      <c r="BF9" s="141">
        <f t="shared" si="16"/>
        <v>16.839997183098593</v>
      </c>
      <c r="BG9" s="535">
        <v>0.878</v>
      </c>
      <c r="BH9" s="16">
        <f t="shared" si="30"/>
        <v>551.99450000000002</v>
      </c>
      <c r="BI9" s="16">
        <f t="shared" si="17"/>
        <v>222.58064516129033</v>
      </c>
      <c r="BJ9" s="16">
        <f t="shared" si="31"/>
        <v>667.74193548387098</v>
      </c>
      <c r="BK9" s="17">
        <f t="shared" si="18"/>
        <v>1</v>
      </c>
      <c r="BL9" s="16">
        <f t="shared" si="32"/>
        <v>667.74193548387098</v>
      </c>
      <c r="BM9" s="249">
        <v>144.33000000000001</v>
      </c>
      <c r="BN9" s="195">
        <v>78.581000000000003</v>
      </c>
      <c r="BO9" s="230"/>
      <c r="BP9" s="266">
        <f t="shared" si="33"/>
        <v>307.01100000000002</v>
      </c>
      <c r="BQ9" s="313"/>
      <c r="BR9" s="230"/>
      <c r="BS9" s="250"/>
      <c r="BT9" s="199"/>
      <c r="BU9" s="200">
        <v>1.49</v>
      </c>
      <c r="BV9" s="200"/>
      <c r="BW9" s="200"/>
      <c r="BX9" s="200">
        <v>0.91</v>
      </c>
      <c r="BY9" s="208"/>
      <c r="BZ9" s="208">
        <v>3.1</v>
      </c>
      <c r="CA9" s="201"/>
      <c r="CB9" s="202">
        <v>36.369999999999997</v>
      </c>
      <c r="CC9" s="200">
        <v>43.32</v>
      </c>
      <c r="CD9" s="200"/>
      <c r="CE9" s="200">
        <v>37.909999999999997</v>
      </c>
      <c r="CF9" s="200"/>
      <c r="CG9" s="200">
        <v>29.97</v>
      </c>
      <c r="CH9" s="200"/>
      <c r="CI9" s="203"/>
      <c r="CJ9" s="204"/>
      <c r="CK9" s="230"/>
      <c r="CL9" s="266">
        <f t="shared" si="34"/>
        <v>251.98000000000002</v>
      </c>
      <c r="CM9" s="453">
        <v>85</v>
      </c>
      <c r="CN9" s="202"/>
      <c r="CO9" s="208"/>
      <c r="CP9" s="208"/>
      <c r="CQ9" s="201"/>
      <c r="CR9" s="201"/>
      <c r="CS9" s="284"/>
      <c r="CT9" s="286">
        <f t="shared" si="19"/>
        <v>142.17948300000003</v>
      </c>
      <c r="CU9" s="27">
        <f t="shared" si="19"/>
        <v>78.581000000000003</v>
      </c>
      <c r="CV9" s="28">
        <f t="shared" si="19"/>
        <v>0</v>
      </c>
      <c r="CW9" s="27">
        <f t="shared" si="19"/>
        <v>304.21719990000003</v>
      </c>
      <c r="CX9" s="27">
        <f t="shared" si="19"/>
        <v>0</v>
      </c>
      <c r="CY9" s="237">
        <f t="shared" si="19"/>
        <v>0</v>
      </c>
      <c r="CZ9" s="281">
        <f t="shared" si="19"/>
        <v>0</v>
      </c>
      <c r="DA9" s="237">
        <f t="shared" si="20"/>
        <v>0</v>
      </c>
      <c r="DB9" s="26">
        <f t="shared" si="20"/>
        <v>0</v>
      </c>
      <c r="DC9" s="277">
        <f t="shared" si="20"/>
        <v>251.98000000000002</v>
      </c>
      <c r="DD9" s="280">
        <f t="shared" si="20"/>
        <v>85</v>
      </c>
      <c r="DE9" s="508">
        <f t="shared" si="35"/>
        <v>0</v>
      </c>
      <c r="DF9" s="247"/>
      <c r="DG9" s="293">
        <f t="shared" si="21"/>
        <v>0</v>
      </c>
      <c r="DH9" s="294"/>
      <c r="DI9" s="294"/>
      <c r="DJ9" s="295">
        <f t="shared" si="22"/>
        <v>0</v>
      </c>
      <c r="DK9" s="296">
        <f t="shared" si="36"/>
        <v>0</v>
      </c>
      <c r="DM9" s="197">
        <v>287.01100000000002</v>
      </c>
      <c r="DN9" s="247">
        <f t="shared" si="37"/>
        <v>307.01100000000002</v>
      </c>
      <c r="DP9" s="197">
        <v>218.78</v>
      </c>
      <c r="DQ9" s="247">
        <f t="shared" si="38"/>
        <v>251.98000000000002</v>
      </c>
    </row>
    <row r="10" spans="1:121" ht="16.5" customHeight="1" thickBot="1">
      <c r="A10" s="534">
        <v>4</v>
      </c>
      <c r="B10" s="103">
        <f t="shared" si="23"/>
        <v>511.98099999999999</v>
      </c>
      <c r="C10" s="104">
        <f t="shared" si="0"/>
        <v>1.4337904726933226</v>
      </c>
      <c r="D10" s="448">
        <f t="shared" si="1"/>
        <v>504.64026519999999</v>
      </c>
      <c r="E10" s="104">
        <f t="shared" si="2"/>
        <v>37.693179512520977</v>
      </c>
      <c r="F10" s="128">
        <f t="shared" si="3"/>
        <v>2.2138491193128225</v>
      </c>
      <c r="G10" s="106"/>
      <c r="H10" s="107">
        <f t="shared" si="4"/>
        <v>1.8902168714657352</v>
      </c>
      <c r="I10" s="103">
        <f>'[1]сентябрь 20'!AE9</f>
        <v>0</v>
      </c>
      <c r="J10" s="103">
        <f>'[1]октябрь 20'!AA9</f>
        <v>13.942</v>
      </c>
      <c r="K10" s="106">
        <v>37.22</v>
      </c>
      <c r="L10" s="103">
        <f>'[1]октябрь 20'!AI9</f>
        <v>73.771000000000001</v>
      </c>
      <c r="M10" s="103">
        <f t="shared" si="5"/>
        <v>0.32363224784708727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v>334.03</v>
      </c>
      <c r="S10" s="108">
        <f t="shared" si="6"/>
        <v>2.5536628446546583</v>
      </c>
      <c r="T10" s="109">
        <f t="shared" si="26"/>
        <v>325.5</v>
      </c>
      <c r="U10" s="106">
        <v>32.119999999999997</v>
      </c>
      <c r="V10" s="109">
        <f t="shared" si="7"/>
        <v>325.5</v>
      </c>
      <c r="W10" s="110">
        <f t="shared" si="8"/>
        <v>1.4279635178352863</v>
      </c>
      <c r="X10" s="110">
        <f t="shared" si="27"/>
        <v>1.4279635178352863</v>
      </c>
      <c r="Y10" s="136">
        <v>227.95</v>
      </c>
      <c r="Z10" s="130">
        <v>227.95</v>
      </c>
      <c r="AA10" s="131">
        <v>0.54</v>
      </c>
      <c r="AB10" s="112">
        <v>655</v>
      </c>
      <c r="AC10" s="112">
        <v>1193</v>
      </c>
      <c r="AD10" s="144" t="s">
        <v>446</v>
      </c>
      <c r="AE10" s="131">
        <v>76.28</v>
      </c>
      <c r="AF10" s="133">
        <v>164</v>
      </c>
      <c r="AG10" s="134">
        <v>5</v>
      </c>
      <c r="AH10" s="131">
        <v>6.25</v>
      </c>
      <c r="AI10" s="115">
        <f t="shared" si="9"/>
        <v>27.418654336315022</v>
      </c>
      <c r="AJ10" s="131">
        <v>142</v>
      </c>
      <c r="AK10" s="115">
        <f t="shared" si="10"/>
        <v>622.95182652107724</v>
      </c>
      <c r="AL10" s="131">
        <v>40.26</v>
      </c>
      <c r="AM10" s="116"/>
      <c r="AN10" s="135">
        <v>18.82</v>
      </c>
      <c r="AO10" s="466">
        <f t="shared" si="28"/>
        <v>56.753</v>
      </c>
      <c r="AP10" s="110">
        <f t="shared" si="11"/>
        <v>0.19</v>
      </c>
      <c r="AQ10" s="137" t="s">
        <v>442</v>
      </c>
      <c r="AR10" s="150">
        <v>7.29</v>
      </c>
      <c r="AS10" s="138">
        <v>8.56</v>
      </c>
      <c r="AT10" s="131"/>
      <c r="AU10" s="131">
        <v>7.38</v>
      </c>
      <c r="AV10" s="315">
        <v>298.7</v>
      </c>
      <c r="AW10" s="131">
        <v>4.82</v>
      </c>
      <c r="AX10" s="116"/>
      <c r="AY10" s="131"/>
      <c r="AZ10" s="109"/>
      <c r="BA10" s="109">
        <f t="shared" si="12"/>
        <v>227.947</v>
      </c>
      <c r="BB10" s="115">
        <f>IF(AE10=0,0,((D10*0.97)*(E10/100)*0.9)/(AE10/100))</f>
        <v>217.69488856895921</v>
      </c>
      <c r="BC10" s="140">
        <f t="shared" si="13"/>
        <v>8.1179999999999986</v>
      </c>
      <c r="BD10" s="141">
        <f t="shared" si="14"/>
        <v>9.1178799999999995</v>
      </c>
      <c r="BE10" s="128">
        <f t="shared" si="15"/>
        <v>0.91411301527625677</v>
      </c>
      <c r="BF10" s="141">
        <f t="shared" si="16"/>
        <v>17.235879999999998</v>
      </c>
      <c r="BG10" s="535">
        <v>0.88900000000000001</v>
      </c>
      <c r="BH10" s="16">
        <f t="shared" si="30"/>
        <v>779.94150000000002</v>
      </c>
      <c r="BI10" s="16">
        <f t="shared" si="17"/>
        <v>222.58064516129033</v>
      </c>
      <c r="BJ10" s="16">
        <f t="shared" si="31"/>
        <v>890.32258064516134</v>
      </c>
      <c r="BK10" s="17">
        <f t="shared" si="18"/>
        <v>1</v>
      </c>
      <c r="BL10" s="16">
        <f t="shared" si="32"/>
        <v>890.32258064516134</v>
      </c>
      <c r="BM10" s="249">
        <v>139.358</v>
      </c>
      <c r="BN10" s="195">
        <v>73.771000000000001</v>
      </c>
      <c r="BO10" s="230"/>
      <c r="BP10" s="266">
        <f t="shared" si="33"/>
        <v>298.85199999999998</v>
      </c>
      <c r="BQ10" s="244"/>
      <c r="BR10" s="230"/>
      <c r="BS10" s="250"/>
      <c r="BT10" s="199"/>
      <c r="BU10" s="200">
        <v>1</v>
      </c>
      <c r="BV10" s="200"/>
      <c r="BW10" s="200"/>
      <c r="BX10" s="200">
        <v>1.99</v>
      </c>
      <c r="BY10" s="208"/>
      <c r="BZ10" s="208"/>
      <c r="CA10" s="201"/>
      <c r="CB10" s="202">
        <v>36.020000000000003</v>
      </c>
      <c r="CC10" s="200">
        <v>43.5</v>
      </c>
      <c r="CD10" s="200"/>
      <c r="CE10" s="200">
        <v>37.04</v>
      </c>
      <c r="CF10" s="200"/>
      <c r="CG10" s="200"/>
      <c r="CH10" s="200"/>
      <c r="CI10" s="203"/>
      <c r="CJ10" s="204"/>
      <c r="CK10" s="230"/>
      <c r="CL10" s="266">
        <f t="shared" si="34"/>
        <v>243.5</v>
      </c>
      <c r="CM10" s="453">
        <v>82</v>
      </c>
      <c r="CN10" s="202"/>
      <c r="CO10" s="208"/>
      <c r="CP10" s="208"/>
      <c r="CQ10" s="201"/>
      <c r="CR10" s="201"/>
      <c r="CS10" s="284"/>
      <c r="CT10" s="286">
        <f t="shared" si="19"/>
        <v>137.96441999999999</v>
      </c>
      <c r="CU10" s="29">
        <f t="shared" si="19"/>
        <v>73.771000000000001</v>
      </c>
      <c r="CV10" s="30">
        <f t="shared" si="19"/>
        <v>0</v>
      </c>
      <c r="CW10" s="29">
        <f t="shared" si="19"/>
        <v>292.90484520000001</v>
      </c>
      <c r="CX10" s="27">
        <f t="shared" si="19"/>
        <v>0</v>
      </c>
      <c r="CY10" s="24">
        <f t="shared" si="19"/>
        <v>0</v>
      </c>
      <c r="CZ10" s="282">
        <f t="shared" si="19"/>
        <v>0</v>
      </c>
      <c r="DA10" s="237">
        <f t="shared" si="20"/>
        <v>0</v>
      </c>
      <c r="DB10" s="26">
        <f t="shared" si="20"/>
        <v>0</v>
      </c>
      <c r="DC10" s="277">
        <f t="shared" si="20"/>
        <v>243.5</v>
      </c>
      <c r="DD10" s="280">
        <f t="shared" si="20"/>
        <v>82</v>
      </c>
      <c r="DE10" s="508">
        <f t="shared" si="35"/>
        <v>0</v>
      </c>
      <c r="DF10" s="247"/>
      <c r="DG10" s="293">
        <f t="shared" si="21"/>
        <v>0</v>
      </c>
      <c r="DH10" s="294"/>
      <c r="DI10" s="294"/>
      <c r="DJ10" s="295">
        <f t="shared" si="22"/>
        <v>0</v>
      </c>
      <c r="DK10" s="296">
        <f t="shared" si="36"/>
        <v>0</v>
      </c>
      <c r="DM10" s="195">
        <v>278.85199999999998</v>
      </c>
      <c r="DN10" s="247">
        <f t="shared" si="37"/>
        <v>298.85199999999998</v>
      </c>
      <c r="DP10" s="197">
        <v>210.3</v>
      </c>
      <c r="DQ10" s="247">
        <f t="shared" si="38"/>
        <v>243.5</v>
      </c>
    </row>
    <row r="11" spans="1:121" ht="16.5" customHeight="1" thickBot="1">
      <c r="A11" s="534">
        <v>5</v>
      </c>
      <c r="B11" s="103">
        <f t="shared" si="23"/>
        <v>550.98699999999997</v>
      </c>
      <c r="C11" s="104">
        <f t="shared" si="0"/>
        <v>1.0918752529551514</v>
      </c>
      <c r="D11" s="448">
        <f t="shared" si="1"/>
        <v>544.97090930000002</v>
      </c>
      <c r="E11" s="104">
        <f t="shared" si="2"/>
        <v>37.661663723463533</v>
      </c>
      <c r="F11" s="128">
        <f t="shared" si="3"/>
        <v>2.3315011574702935</v>
      </c>
      <c r="G11" s="106"/>
      <c r="H11" s="107">
        <f>IF(BA11=0,0,(CZ11+CW11+CY11+CT11+CX11)/BA11)</f>
        <v>1.990750117329968</v>
      </c>
      <c r="I11" s="103">
        <f>'[1]сентябрь 20'!AE10</f>
        <v>0</v>
      </c>
      <c r="J11" s="103">
        <f>'[1]октябрь 20'!AA10</f>
        <v>14.529</v>
      </c>
      <c r="K11" s="106">
        <v>42.76</v>
      </c>
      <c r="L11" s="103">
        <f>'[1]октябрь 20'!AI10</f>
        <v>79.647999999999996</v>
      </c>
      <c r="M11" s="103">
        <f t="shared" si="5"/>
        <v>0.34075104014032537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v>359.05</v>
      </c>
      <c r="S11" s="108">
        <f t="shared" si="6"/>
        <v>2.48154853084529</v>
      </c>
      <c r="T11" s="109">
        <f t="shared" si="26"/>
        <v>350.14</v>
      </c>
      <c r="U11" s="106">
        <v>15.11</v>
      </c>
      <c r="V11" s="109">
        <f t="shared" si="7"/>
        <v>350.14</v>
      </c>
      <c r="W11" s="110">
        <f t="shared" si="8"/>
        <v>1.4979731970009733</v>
      </c>
      <c r="X11" s="110">
        <f t="shared" si="27"/>
        <v>1.4979731970009733</v>
      </c>
      <c r="Y11" s="136">
        <v>233.74</v>
      </c>
      <c r="Z11" s="130">
        <v>233.74</v>
      </c>
      <c r="AA11" s="131">
        <v>0.43</v>
      </c>
      <c r="AB11" s="112">
        <v>643</v>
      </c>
      <c r="AC11" s="112">
        <v>1171</v>
      </c>
      <c r="AD11" s="144" t="s">
        <v>447</v>
      </c>
      <c r="AE11" s="131">
        <v>75.989999999999995</v>
      </c>
      <c r="AF11" s="133">
        <v>177</v>
      </c>
      <c r="AG11" s="134">
        <v>5</v>
      </c>
      <c r="AH11" s="131">
        <v>2.5499999999999998</v>
      </c>
      <c r="AI11" s="115">
        <f t="shared" si="9"/>
        <v>10.909440944629239</v>
      </c>
      <c r="AJ11" s="131">
        <v>148.80000000000001</v>
      </c>
      <c r="AK11" s="115">
        <f t="shared" si="10"/>
        <v>636.59796571012987</v>
      </c>
      <c r="AL11" s="131">
        <v>29.28</v>
      </c>
      <c r="AM11" s="116"/>
      <c r="AN11" s="135">
        <v>19.02</v>
      </c>
      <c r="AO11" s="466">
        <f t="shared" si="28"/>
        <v>58.377499999999998</v>
      </c>
      <c r="AP11" s="110">
        <f t="shared" si="11"/>
        <v>0.19</v>
      </c>
      <c r="AQ11" s="137" t="s">
        <v>442</v>
      </c>
      <c r="AR11" s="150">
        <v>7.04</v>
      </c>
      <c r="AS11" s="138">
        <v>8.7799999999999994</v>
      </c>
      <c r="AT11" s="131"/>
      <c r="AU11" s="131">
        <v>6.89</v>
      </c>
      <c r="AV11" s="315">
        <v>307.25</v>
      </c>
      <c r="AW11" s="131">
        <v>3.89</v>
      </c>
      <c r="AX11" s="145"/>
      <c r="AY11" s="131"/>
      <c r="AZ11" s="109"/>
      <c r="BA11" s="109">
        <f t="shared" si="12"/>
        <v>233.74249999999998</v>
      </c>
      <c r="BB11" s="115">
        <f t="shared" si="29"/>
        <v>235.79284395625285</v>
      </c>
      <c r="BC11" s="140">
        <f t="shared" si="13"/>
        <v>7.9419380281690133</v>
      </c>
      <c r="BD11" s="141">
        <f t="shared" si="14"/>
        <v>9.3496999999999986</v>
      </c>
      <c r="BE11" s="128">
        <f t="shared" si="15"/>
        <v>0.86540880154047095</v>
      </c>
      <c r="BF11" s="141">
        <f t="shared" si="16"/>
        <v>17.291638028169011</v>
      </c>
      <c r="BG11" s="535">
        <v>0.88300000000000001</v>
      </c>
      <c r="BH11" s="16">
        <f t="shared" si="30"/>
        <v>1013.684</v>
      </c>
      <c r="BI11" s="16">
        <f t="shared" si="17"/>
        <v>222.58064516129033</v>
      </c>
      <c r="BJ11" s="16">
        <f t="shared" si="31"/>
        <v>1112.9032258064517</v>
      </c>
      <c r="BK11" s="17">
        <f t="shared" si="18"/>
        <v>1</v>
      </c>
      <c r="BL11" s="16">
        <f t="shared" si="32"/>
        <v>1112.9032258064517</v>
      </c>
      <c r="BM11" s="249">
        <v>150.42699999999999</v>
      </c>
      <c r="BN11" s="195">
        <v>79.647999999999996</v>
      </c>
      <c r="BO11" s="230"/>
      <c r="BP11" s="266">
        <f t="shared" si="33"/>
        <v>320.91199999999998</v>
      </c>
      <c r="BQ11" s="313"/>
      <c r="BR11" s="230"/>
      <c r="BS11" s="250"/>
      <c r="BT11" s="199"/>
      <c r="BU11" s="200">
        <v>1.29</v>
      </c>
      <c r="BV11" s="200"/>
      <c r="BW11" s="200"/>
      <c r="BX11" s="200">
        <v>1.27</v>
      </c>
      <c r="BY11" s="208"/>
      <c r="BZ11" s="208"/>
      <c r="CA11" s="201"/>
      <c r="CB11" s="202">
        <v>36.049999999999997</v>
      </c>
      <c r="CC11" s="200">
        <v>43.17</v>
      </c>
      <c r="CD11" s="200"/>
      <c r="CE11" s="200">
        <v>37.049999999999997</v>
      </c>
      <c r="CF11" s="200"/>
      <c r="CG11" s="200"/>
      <c r="CH11" s="200"/>
      <c r="CI11" s="203"/>
      <c r="CJ11" s="204"/>
      <c r="CK11" s="230"/>
      <c r="CL11" s="266">
        <f t="shared" si="34"/>
        <v>261.64</v>
      </c>
      <c r="CM11" s="453">
        <v>88.5</v>
      </c>
      <c r="CN11" s="202"/>
      <c r="CO11" s="208"/>
      <c r="CP11" s="208"/>
      <c r="CQ11" s="201"/>
      <c r="CR11" s="201"/>
      <c r="CS11" s="284"/>
      <c r="CT11" s="286">
        <f t="shared" si="19"/>
        <v>148.48649169999999</v>
      </c>
      <c r="CU11" s="24">
        <f t="shared" si="19"/>
        <v>79.647999999999996</v>
      </c>
      <c r="CV11" s="25">
        <f t="shared" si="19"/>
        <v>0</v>
      </c>
      <c r="CW11" s="24">
        <f t="shared" si="19"/>
        <v>316.8364176</v>
      </c>
      <c r="CX11" s="27">
        <f t="shared" si="19"/>
        <v>0</v>
      </c>
      <c r="CY11" s="24">
        <f t="shared" si="19"/>
        <v>0</v>
      </c>
      <c r="CZ11" s="280">
        <f t="shared" si="19"/>
        <v>0</v>
      </c>
      <c r="DA11" s="237">
        <f t="shared" si="20"/>
        <v>0</v>
      </c>
      <c r="DB11" s="26">
        <f t="shared" si="20"/>
        <v>0</v>
      </c>
      <c r="DC11" s="277">
        <f t="shared" si="20"/>
        <v>261.64</v>
      </c>
      <c r="DD11" s="280">
        <f t="shared" si="20"/>
        <v>88.5</v>
      </c>
      <c r="DE11" s="508">
        <f t="shared" si="35"/>
        <v>0</v>
      </c>
      <c r="DF11" s="247"/>
      <c r="DG11" s="293">
        <f t="shared" si="21"/>
        <v>0</v>
      </c>
      <c r="DH11" s="294"/>
      <c r="DI11" s="294"/>
      <c r="DJ11" s="295">
        <f t="shared" si="22"/>
        <v>0</v>
      </c>
      <c r="DK11" s="296">
        <f t="shared" si="36"/>
        <v>0</v>
      </c>
      <c r="DM11" s="197">
        <v>300.91199999999998</v>
      </c>
      <c r="DN11" s="247">
        <f t="shared" si="37"/>
        <v>320.91199999999998</v>
      </c>
      <c r="DP11" s="230">
        <v>228.44</v>
      </c>
      <c r="DQ11" s="247">
        <f t="shared" si="38"/>
        <v>261.64</v>
      </c>
    </row>
    <row r="12" spans="1:121" ht="16.5" customHeight="1" thickBot="1">
      <c r="A12" s="534">
        <v>6</v>
      </c>
      <c r="B12" s="103">
        <f t="shared" si="23"/>
        <v>524.19499999999994</v>
      </c>
      <c r="C12" s="104">
        <f t="shared" si="0"/>
        <v>1.0241602647869592</v>
      </c>
      <c r="D12" s="448">
        <f t="shared" si="1"/>
        <v>518.82640309999999</v>
      </c>
      <c r="E12" s="104">
        <f t="shared" si="2"/>
        <v>38.143692767004652</v>
      </c>
      <c r="F12" s="128">
        <f t="shared" si="3"/>
        <v>2.2745667587319538</v>
      </c>
      <c r="G12" s="106"/>
      <c r="H12" s="107">
        <f t="shared" si="4"/>
        <v>1.9424478103805798</v>
      </c>
      <c r="I12" s="103">
        <f>'[1]сентябрь 20'!AE11</f>
        <v>0</v>
      </c>
      <c r="J12" s="103">
        <f>'[1]октябрь 20'!AA11</f>
        <v>13.444000000000001</v>
      </c>
      <c r="K12" s="106">
        <v>37.520000000000003</v>
      </c>
      <c r="L12" s="103">
        <f>'[1]октябрь 20'!AI11</f>
        <v>75.756</v>
      </c>
      <c r="M12" s="103">
        <f t="shared" si="5"/>
        <v>0.33211894835137373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v>343.76</v>
      </c>
      <c r="S12" s="108">
        <f t="shared" si="6"/>
        <v>2.7170118687456335</v>
      </c>
      <c r="T12" s="109">
        <f t="shared" si="26"/>
        <v>334.42</v>
      </c>
      <c r="U12" s="106">
        <v>20.73</v>
      </c>
      <c r="V12" s="109">
        <f t="shared" si="7"/>
        <v>334.42</v>
      </c>
      <c r="W12" s="110">
        <f t="shared" si="8"/>
        <v>1.466117782191066</v>
      </c>
      <c r="X12" s="110">
        <f t="shared" si="27"/>
        <v>1.466117782191066</v>
      </c>
      <c r="Y12" s="136">
        <v>228.1</v>
      </c>
      <c r="Z12" s="130">
        <v>138.63999999999999</v>
      </c>
      <c r="AA12" s="131">
        <v>0.9</v>
      </c>
      <c r="AB12" s="112">
        <v>631</v>
      </c>
      <c r="AC12" s="133">
        <v>1181</v>
      </c>
      <c r="AD12" s="144" t="s">
        <v>448</v>
      </c>
      <c r="AE12" s="131">
        <v>76.540000000000006</v>
      </c>
      <c r="AF12" s="133">
        <v>168</v>
      </c>
      <c r="AG12" s="134">
        <v>5</v>
      </c>
      <c r="AH12" s="131">
        <v>6.3</v>
      </c>
      <c r="AI12" s="115">
        <f t="shared" si="9"/>
        <v>27.619586232293869</v>
      </c>
      <c r="AJ12" s="131">
        <v>128.25</v>
      </c>
      <c r="AK12" s="115">
        <f t="shared" si="10"/>
        <v>562.25586258598241</v>
      </c>
      <c r="AL12" s="131">
        <v>34.14</v>
      </c>
      <c r="AM12" s="116"/>
      <c r="AN12" s="135">
        <v>21.33</v>
      </c>
      <c r="AO12" s="466">
        <f t="shared" si="28"/>
        <v>57.550999999999995</v>
      </c>
      <c r="AP12" s="110">
        <f t="shared" si="11"/>
        <v>0.19</v>
      </c>
      <c r="AQ12" s="137" t="s">
        <v>449</v>
      </c>
      <c r="AR12" s="150">
        <v>7.4</v>
      </c>
      <c r="AS12" s="138">
        <v>9.16</v>
      </c>
      <c r="AT12" s="131"/>
      <c r="AU12" s="131">
        <v>6.12</v>
      </c>
      <c r="AV12" s="315">
        <v>302.89999999999998</v>
      </c>
      <c r="AW12" s="131">
        <v>4.08</v>
      </c>
      <c r="AX12" s="116"/>
      <c r="AY12" s="131"/>
      <c r="AZ12" s="109"/>
      <c r="BA12" s="109">
        <f t="shared" si="12"/>
        <v>228.09900000000002</v>
      </c>
      <c r="BB12" s="115">
        <f t="shared" si="29"/>
        <v>225.72028539993377</v>
      </c>
      <c r="BC12" s="140">
        <f t="shared" si="13"/>
        <v>6.080133802816901</v>
      </c>
      <c r="BD12" s="141">
        <f t="shared" si="14"/>
        <v>9.1239600000000003</v>
      </c>
      <c r="BE12" s="128">
        <f t="shared" si="15"/>
        <v>0.88219996110309029</v>
      </c>
      <c r="BF12" s="141">
        <f t="shared" si="16"/>
        <v>15.204093802816901</v>
      </c>
      <c r="BG12" s="535">
        <v>0.88300000000000001</v>
      </c>
      <c r="BH12" s="16">
        <f t="shared" si="30"/>
        <v>1241.7829999999999</v>
      </c>
      <c r="BI12" s="16">
        <f t="shared" si="17"/>
        <v>222.58064516129033</v>
      </c>
      <c r="BJ12" s="16">
        <f t="shared" si="31"/>
        <v>1335.483870967742</v>
      </c>
      <c r="BK12" s="17">
        <f t="shared" si="18"/>
        <v>1</v>
      </c>
      <c r="BL12" s="16">
        <f t="shared" si="32"/>
        <v>1335.483870967742</v>
      </c>
      <c r="BM12" s="249">
        <v>142.77699999999999</v>
      </c>
      <c r="BN12" s="195">
        <v>75.756</v>
      </c>
      <c r="BO12" s="264"/>
      <c r="BP12" s="266">
        <f t="shared" si="33"/>
        <v>305.66199999999998</v>
      </c>
      <c r="BQ12" s="313"/>
      <c r="BR12" s="230"/>
      <c r="BS12" s="250"/>
      <c r="BT12" s="199"/>
      <c r="BU12" s="200">
        <v>0.87</v>
      </c>
      <c r="BV12" s="200"/>
      <c r="BW12" s="200"/>
      <c r="BX12" s="200">
        <v>1.35</v>
      </c>
      <c r="BY12" s="208"/>
      <c r="BZ12" s="208"/>
      <c r="CA12" s="201"/>
      <c r="CB12" s="202">
        <v>35.950000000000003</v>
      </c>
      <c r="CC12" s="200">
        <v>43.1</v>
      </c>
      <c r="CD12" s="200"/>
      <c r="CE12" s="200">
        <v>37.94</v>
      </c>
      <c r="CF12" s="200"/>
      <c r="CG12" s="200"/>
      <c r="CH12" s="200"/>
      <c r="CI12" s="203"/>
      <c r="CJ12" s="204"/>
      <c r="CK12" s="230"/>
      <c r="CL12" s="266">
        <f t="shared" si="34"/>
        <v>235.22000000000003</v>
      </c>
      <c r="CM12" s="453">
        <v>99.2</v>
      </c>
      <c r="CN12" s="202"/>
      <c r="CO12" s="202"/>
      <c r="CP12" s="270"/>
      <c r="CQ12" s="201"/>
      <c r="CR12" s="201"/>
      <c r="CS12" s="284"/>
      <c r="CT12" s="286">
        <f t="shared" si="19"/>
        <v>141.53484009999997</v>
      </c>
      <c r="CU12" s="24">
        <f t="shared" si="19"/>
        <v>75.756</v>
      </c>
      <c r="CV12" s="25">
        <f t="shared" si="19"/>
        <v>0</v>
      </c>
      <c r="CW12" s="24">
        <f t="shared" si="19"/>
        <v>301.53556299999997</v>
      </c>
      <c r="CX12" s="27">
        <f t="shared" si="19"/>
        <v>0</v>
      </c>
      <c r="CY12" s="30">
        <f t="shared" si="19"/>
        <v>0</v>
      </c>
      <c r="CZ12" s="280">
        <f t="shared" si="19"/>
        <v>0</v>
      </c>
      <c r="DA12" s="237">
        <f t="shared" si="20"/>
        <v>0</v>
      </c>
      <c r="DB12" s="26">
        <f t="shared" si="20"/>
        <v>0</v>
      </c>
      <c r="DC12" s="277">
        <f t="shared" si="20"/>
        <v>235.22000000000003</v>
      </c>
      <c r="DD12" s="280">
        <f t="shared" si="20"/>
        <v>99.2</v>
      </c>
      <c r="DE12" s="508">
        <f t="shared" si="35"/>
        <v>0</v>
      </c>
      <c r="DF12" s="247"/>
      <c r="DG12" s="293">
        <f t="shared" si="21"/>
        <v>0</v>
      </c>
      <c r="DH12" s="294"/>
      <c r="DI12" s="294"/>
      <c r="DJ12" s="295">
        <f t="shared" si="22"/>
        <v>0</v>
      </c>
      <c r="DK12" s="296">
        <f t="shared" si="36"/>
        <v>0</v>
      </c>
      <c r="DM12" s="197">
        <v>285.66199999999998</v>
      </c>
      <c r="DN12" s="247">
        <f t="shared" si="37"/>
        <v>305.66199999999998</v>
      </c>
      <c r="DP12" s="230">
        <v>202.02</v>
      </c>
      <c r="DQ12" s="247">
        <f t="shared" si="38"/>
        <v>235.22000000000003</v>
      </c>
    </row>
    <row r="13" spans="1:121" ht="16.5" customHeight="1" thickBot="1">
      <c r="A13" s="534">
        <v>7</v>
      </c>
      <c r="B13" s="103">
        <f t="shared" si="23"/>
        <v>458.05099999999999</v>
      </c>
      <c r="C13" s="104">
        <f t="shared" si="0"/>
        <v>1.9095473648130885</v>
      </c>
      <c r="D13" s="448">
        <f t="shared" si="1"/>
        <v>449.3042992</v>
      </c>
      <c r="E13" s="104">
        <f t="shared" si="2"/>
        <v>39.074759950311211</v>
      </c>
      <c r="F13" s="128">
        <f t="shared" si="3"/>
        <v>2.2551474349386402</v>
      </c>
      <c r="G13" s="106"/>
      <c r="H13" s="107">
        <f t="shared" si="4"/>
        <v>1.9253911170226112</v>
      </c>
      <c r="I13" s="103">
        <f>'[1]сентябрь 20'!AE12</f>
        <v>0</v>
      </c>
      <c r="J13" s="103">
        <f>'[1]октябрь 20'!AA12</f>
        <v>11.682</v>
      </c>
      <c r="K13" s="106">
        <v>28.7</v>
      </c>
      <c r="L13" s="103">
        <f>'[1]октябрь 20'!AI12</f>
        <v>65.698999999999998</v>
      </c>
      <c r="M13" s="103">
        <f t="shared" si="5"/>
        <v>0.32975631791602877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v>302.63</v>
      </c>
      <c r="S13" s="108">
        <f t="shared" si="6"/>
        <v>2.6732313385983031</v>
      </c>
      <c r="T13" s="109">
        <f t="shared" si="26"/>
        <v>294.53999999999996</v>
      </c>
      <c r="U13" s="106">
        <v>5.78</v>
      </c>
      <c r="V13" s="109">
        <f t="shared" si="7"/>
        <v>294.53999999999996</v>
      </c>
      <c r="W13" s="110">
        <f t="shared" si="8"/>
        <v>1.4783547067533311</v>
      </c>
      <c r="X13" s="110">
        <f t="shared" si="27"/>
        <v>1.4783547067533311</v>
      </c>
      <c r="Y13" s="136">
        <v>199.24</v>
      </c>
      <c r="Z13" s="130">
        <v>199.24</v>
      </c>
      <c r="AA13" s="131">
        <v>0.61</v>
      </c>
      <c r="AB13" s="146">
        <v>606</v>
      </c>
      <c r="AC13" s="147">
        <v>1151</v>
      </c>
      <c r="AD13" s="144" t="s">
        <v>234</v>
      </c>
      <c r="AE13" s="131">
        <v>76.17</v>
      </c>
      <c r="AF13" s="133">
        <v>146</v>
      </c>
      <c r="AG13" s="134">
        <v>4</v>
      </c>
      <c r="AH13" s="131">
        <v>7.55</v>
      </c>
      <c r="AI13" s="115">
        <f t="shared" si="9"/>
        <v>37.894948176776168</v>
      </c>
      <c r="AJ13" s="131">
        <v>120.1</v>
      </c>
      <c r="AK13" s="115">
        <f t="shared" si="10"/>
        <v>602.80573192461156</v>
      </c>
      <c r="AL13" s="131">
        <v>29.47</v>
      </c>
      <c r="AM13" s="116"/>
      <c r="AN13" s="135">
        <v>12.17</v>
      </c>
      <c r="AO13" s="466">
        <f t="shared" si="28"/>
        <v>47.975000000000001</v>
      </c>
      <c r="AP13" s="110">
        <f t="shared" si="11"/>
        <v>0.19</v>
      </c>
      <c r="AQ13" s="137" t="s">
        <v>347</v>
      </c>
      <c r="AR13" s="150">
        <v>6.92</v>
      </c>
      <c r="AS13" s="138">
        <v>8.52</v>
      </c>
      <c r="AT13" s="131"/>
      <c r="AU13" s="131">
        <v>9.02</v>
      </c>
      <c r="AV13" s="315">
        <v>252.5</v>
      </c>
      <c r="AW13" s="131">
        <v>6.88</v>
      </c>
      <c r="AX13" s="148"/>
      <c r="AY13" s="149"/>
      <c r="AZ13" s="109"/>
      <c r="BA13" s="109">
        <f t="shared" si="12"/>
        <v>199.23500000000001</v>
      </c>
      <c r="BB13" s="115">
        <f t="shared" si="29"/>
        <v>201.2181635305985</v>
      </c>
      <c r="BC13" s="140">
        <f t="shared" si="13"/>
        <v>8.3917760563380277</v>
      </c>
      <c r="BD13" s="141">
        <f t="shared" si="14"/>
        <v>7.9694000000000011</v>
      </c>
      <c r="BE13" s="128">
        <f t="shared" si="15"/>
        <v>0.86439589721009846</v>
      </c>
      <c r="BF13" s="141">
        <f t="shared" si="16"/>
        <v>16.361176056338028</v>
      </c>
      <c r="BG13" s="535">
        <v>0.88</v>
      </c>
      <c r="BH13" s="16">
        <f t="shared" si="30"/>
        <v>1441.018</v>
      </c>
      <c r="BI13" s="16">
        <f t="shared" si="17"/>
        <v>222.58064516129033</v>
      </c>
      <c r="BJ13" s="16">
        <f t="shared" si="31"/>
        <v>1558.0645161290322</v>
      </c>
      <c r="BK13" s="17">
        <f t="shared" si="18"/>
        <v>1</v>
      </c>
      <c r="BL13" s="16">
        <f t="shared" si="32"/>
        <v>1558.0645161290322</v>
      </c>
      <c r="BM13" s="249">
        <v>124.096</v>
      </c>
      <c r="BN13" s="195">
        <v>65.698999999999998</v>
      </c>
      <c r="BO13" s="583"/>
      <c r="BP13" s="266">
        <f t="shared" si="33"/>
        <v>268.25599999999997</v>
      </c>
      <c r="BQ13" s="313"/>
      <c r="BR13" s="230"/>
      <c r="BS13" s="250"/>
      <c r="BT13" s="199"/>
      <c r="BU13" s="200">
        <v>1.99</v>
      </c>
      <c r="BV13" s="200"/>
      <c r="BW13" s="200"/>
      <c r="BX13" s="200">
        <v>2.34</v>
      </c>
      <c r="BY13" s="208"/>
      <c r="BZ13" s="208"/>
      <c r="CA13" s="201"/>
      <c r="CB13" s="202">
        <v>37.76</v>
      </c>
      <c r="CC13" s="200">
        <v>43.17</v>
      </c>
      <c r="CD13" s="202"/>
      <c r="CE13" s="200">
        <v>38.68</v>
      </c>
      <c r="CF13" s="200"/>
      <c r="CG13" s="200"/>
      <c r="CH13" s="200"/>
      <c r="CI13" s="203"/>
      <c r="CJ13" s="204"/>
      <c r="CK13" s="230"/>
      <c r="CL13" s="266">
        <f t="shared" si="34"/>
        <v>192.33999999999997</v>
      </c>
      <c r="CM13" s="454">
        <v>102.2</v>
      </c>
      <c r="CN13" s="202"/>
      <c r="CO13" s="202"/>
      <c r="CP13" s="270"/>
      <c r="CQ13" s="201"/>
      <c r="CR13" s="201"/>
      <c r="CS13" s="284"/>
      <c r="CT13" s="286">
        <f t="shared" si="19"/>
        <v>121.62648960000001</v>
      </c>
      <c r="CU13" s="24">
        <f t="shared" si="19"/>
        <v>65.698999999999998</v>
      </c>
      <c r="CV13" s="25">
        <f t="shared" si="19"/>
        <v>0</v>
      </c>
      <c r="CW13" s="24">
        <f t="shared" si="19"/>
        <v>261.97880959999998</v>
      </c>
      <c r="CX13" s="27">
        <f t="shared" si="19"/>
        <v>0</v>
      </c>
      <c r="CY13" s="24">
        <f t="shared" si="19"/>
        <v>0</v>
      </c>
      <c r="CZ13" s="280">
        <f t="shared" si="19"/>
        <v>0</v>
      </c>
      <c r="DA13" s="237">
        <f t="shared" si="20"/>
        <v>0</v>
      </c>
      <c r="DB13" s="26">
        <f t="shared" si="20"/>
        <v>0</v>
      </c>
      <c r="DC13" s="277">
        <f t="shared" si="20"/>
        <v>192.33999999999997</v>
      </c>
      <c r="DD13" s="280">
        <f t="shared" si="20"/>
        <v>102.2</v>
      </c>
      <c r="DE13" s="508">
        <f t="shared" si="35"/>
        <v>0</v>
      </c>
      <c r="DF13" s="247"/>
      <c r="DG13" s="293">
        <f t="shared" si="21"/>
        <v>0</v>
      </c>
      <c r="DH13" s="294"/>
      <c r="DI13" s="294"/>
      <c r="DJ13" s="295">
        <f t="shared" si="22"/>
        <v>0</v>
      </c>
      <c r="DK13" s="296">
        <f t="shared" si="36"/>
        <v>0</v>
      </c>
      <c r="DM13" s="196">
        <v>248.256</v>
      </c>
      <c r="DN13" s="247">
        <f t="shared" si="37"/>
        <v>268.25599999999997</v>
      </c>
      <c r="DP13" s="264">
        <v>159.13999999999999</v>
      </c>
      <c r="DQ13" s="247">
        <f t="shared" si="38"/>
        <v>192.33999999999997</v>
      </c>
    </row>
    <row r="14" spans="1:121" ht="16.5" customHeight="1" thickBot="1">
      <c r="A14" s="534">
        <v>8</v>
      </c>
      <c r="B14" s="103">
        <f t="shared" si="23"/>
        <v>521.31399999999996</v>
      </c>
      <c r="C14" s="104">
        <f>IF(B14=0,0,(BM14*BU14+BN14*BV14+BP14*BX14+BS14*CA14+BO14*BW14+BR14*BZ14+BQ14*BY14)/B14)</f>
        <v>0.94484869004093519</v>
      </c>
      <c r="D14" s="448">
        <f>B14*((100-C14)/100)</f>
        <v>516.38837149999995</v>
      </c>
      <c r="E14" s="104">
        <f>IF(B14=0,0,(BM14*CB14+BN14*CC14+BP14*CE14+BS14*CH14+BO14*CD14+BR14*CG14+BQ14*CF14)/B14)</f>
        <v>38.901726675285914</v>
      </c>
      <c r="F14" s="128">
        <f>IF(BA14=0,0,D14/BA14)</f>
        <v>2.3091297260194343</v>
      </c>
      <c r="G14" s="106"/>
      <c r="H14" s="107">
        <f>IF(BA14=0,0,(CZ14+CW14+CY14+CT14+CX14)/BA14)</f>
        <v>1.9729479249113491</v>
      </c>
      <c r="I14" s="103">
        <f>'[1]сентябрь 20'!AE13</f>
        <v>0</v>
      </c>
      <c r="J14" s="103">
        <f>'[1]октябрь 20'!AA13</f>
        <v>13.449</v>
      </c>
      <c r="K14" s="106">
        <v>39.130000000000003</v>
      </c>
      <c r="L14" s="103">
        <f>'[1]октябрь 20'!AI13</f>
        <v>75.180000000000007</v>
      </c>
      <c r="M14" s="103">
        <f>IF(BA14=0,0,(CV14+CU14)/BA14)</f>
        <v>0.33618180110808538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v>345.88</v>
      </c>
      <c r="S14" s="108">
        <f>IF(R14=0,0,(1-(V14/R14))*100)</f>
        <v>2.8304614317104071</v>
      </c>
      <c r="T14" s="109">
        <f t="shared" si="26"/>
        <v>336.09000000000003</v>
      </c>
      <c r="U14" s="106"/>
      <c r="V14" s="109">
        <f>CJ14+CK14+CM14+CL14</f>
        <v>336.09000000000003</v>
      </c>
      <c r="W14" s="110">
        <f>IF(BA14=0,0,T14/BA14)</f>
        <v>1.5028909488483162</v>
      </c>
      <c r="X14" s="110">
        <f t="shared" si="27"/>
        <v>1.5028909488483162</v>
      </c>
      <c r="Y14" s="136">
        <v>223.63</v>
      </c>
      <c r="Z14" s="130">
        <v>223.63</v>
      </c>
      <c r="AA14" s="131">
        <v>0.32</v>
      </c>
      <c r="AB14" s="146">
        <v>621</v>
      </c>
      <c r="AC14" s="147">
        <v>1151</v>
      </c>
      <c r="AD14" s="144" t="s">
        <v>450</v>
      </c>
      <c r="AE14" s="131">
        <v>76.36</v>
      </c>
      <c r="AF14" s="133">
        <v>167</v>
      </c>
      <c r="AG14" s="134">
        <v>5</v>
      </c>
      <c r="AH14" s="131"/>
      <c r="AI14" s="115">
        <f t="shared" si="9"/>
        <v>0</v>
      </c>
      <c r="AJ14" s="131">
        <v>145.15</v>
      </c>
      <c r="AK14" s="115">
        <f>IF(BA14=0,0,AJ14/BA14*1000)</f>
        <v>649.06608713538958</v>
      </c>
      <c r="AL14" s="131">
        <v>31.65</v>
      </c>
      <c r="AM14" s="116"/>
      <c r="AN14" s="135">
        <v>20.72</v>
      </c>
      <c r="AO14" s="466">
        <f t="shared" si="28"/>
        <v>56.220999999999997</v>
      </c>
      <c r="AP14" s="110">
        <f>IF(AO14=0,0,AO14/AV14)</f>
        <v>0.19</v>
      </c>
      <c r="AQ14" s="137" t="s">
        <v>442</v>
      </c>
      <c r="AR14" s="150">
        <v>6.72</v>
      </c>
      <c r="AS14" s="138">
        <v>8.39</v>
      </c>
      <c r="AT14" s="131"/>
      <c r="AU14" s="131">
        <v>7.78</v>
      </c>
      <c r="AV14" s="315">
        <v>295.89999999999998</v>
      </c>
      <c r="AW14" s="131">
        <v>4.67</v>
      </c>
      <c r="AX14" s="148"/>
      <c r="AY14" s="149"/>
      <c r="AZ14" s="109"/>
      <c r="BA14" s="109">
        <f>AV14-AO14-AN14+AY14+AW14</f>
        <v>223.62899999999996</v>
      </c>
      <c r="BB14" s="115">
        <f>IF(AE14=0,0,((D14*0.97)*(E14/100)*0.9)/(AE14/100))</f>
        <v>229.66438681269773</v>
      </c>
      <c r="BC14" s="140">
        <f>(AJ14*AU14)/100*(55/71)</f>
        <v>8.7478429577464798</v>
      </c>
      <c r="BD14" s="141">
        <f>BA14*$BD$6</f>
        <v>8.9451599999999996</v>
      </c>
      <c r="BE14" s="128">
        <f>IF((D14*E14)=0,0,(BA14*AE14)/(D14*E14))</f>
        <v>0.85005829466811422</v>
      </c>
      <c r="BF14" s="141">
        <f>BC14+BD14</f>
        <v>17.693002957746479</v>
      </c>
      <c r="BG14" s="535">
        <v>0.876</v>
      </c>
      <c r="BH14" s="16">
        <f>BH13+BA14</f>
        <v>1664.6469999999999</v>
      </c>
      <c r="BI14" s="16">
        <f>IF(A14&lt;=$BG$43,$AV$43,0)</f>
        <v>222.58064516129033</v>
      </c>
      <c r="BJ14" s="16">
        <f>BI14+BJ13</f>
        <v>1780.6451612903224</v>
      </c>
      <c r="BK14" s="17">
        <f>IF(BA14&lt;&gt;0,1,0)</f>
        <v>1</v>
      </c>
      <c r="BL14" s="16">
        <f>BL13+BI14*BK14</f>
        <v>1780.6451612903224</v>
      </c>
      <c r="BM14" s="249">
        <v>141.92699999999999</v>
      </c>
      <c r="BN14" s="195">
        <v>75.180000000000007</v>
      </c>
      <c r="BO14" s="583"/>
      <c r="BP14" s="266">
        <f t="shared" si="33"/>
        <v>304.20699999999999</v>
      </c>
      <c r="BQ14" s="313"/>
      <c r="BR14" s="230"/>
      <c r="BS14" s="250"/>
      <c r="BT14" s="199"/>
      <c r="BU14" s="200">
        <v>1.37</v>
      </c>
      <c r="BV14" s="200"/>
      <c r="BW14" s="200"/>
      <c r="BX14" s="200">
        <v>0.98</v>
      </c>
      <c r="BY14" s="208"/>
      <c r="BZ14" s="208"/>
      <c r="CA14" s="201"/>
      <c r="CB14" s="202">
        <v>37.61</v>
      </c>
      <c r="CC14" s="200">
        <v>43.33</v>
      </c>
      <c r="CD14" s="202"/>
      <c r="CE14" s="200">
        <v>38.409999999999997</v>
      </c>
      <c r="CF14" s="200"/>
      <c r="CG14" s="200"/>
      <c r="CH14" s="200"/>
      <c r="CI14" s="203"/>
      <c r="CJ14" s="204"/>
      <c r="CK14" s="230"/>
      <c r="CL14" s="266">
        <f t="shared" si="34"/>
        <v>219.19</v>
      </c>
      <c r="CM14" s="454">
        <v>116.9</v>
      </c>
      <c r="CN14" s="202"/>
      <c r="CO14" s="202"/>
      <c r="CP14" s="270"/>
      <c r="CQ14" s="201"/>
      <c r="CR14" s="201"/>
      <c r="CS14" s="284"/>
      <c r="CT14" s="286">
        <f t="shared" si="19"/>
        <v>139.98260009999998</v>
      </c>
      <c r="CU14" s="27">
        <f t="shared" si="19"/>
        <v>75.180000000000007</v>
      </c>
      <c r="CV14" s="28">
        <f t="shared" si="19"/>
        <v>0</v>
      </c>
      <c r="CW14" s="27">
        <f t="shared" si="19"/>
        <v>301.22577139999999</v>
      </c>
      <c r="CX14" s="27">
        <f t="shared" si="19"/>
        <v>0</v>
      </c>
      <c r="CY14" s="24">
        <f t="shared" si="19"/>
        <v>0</v>
      </c>
      <c r="CZ14" s="282">
        <f t="shared" si="19"/>
        <v>0</v>
      </c>
      <c r="DA14" s="237">
        <f t="shared" si="20"/>
        <v>0</v>
      </c>
      <c r="DB14" s="26">
        <f t="shared" si="20"/>
        <v>0</v>
      </c>
      <c r="DC14" s="277">
        <f t="shared" si="20"/>
        <v>219.19</v>
      </c>
      <c r="DD14" s="280">
        <f t="shared" si="20"/>
        <v>116.9</v>
      </c>
      <c r="DE14" s="508">
        <f t="shared" si="35"/>
        <v>0</v>
      </c>
      <c r="DF14" s="247"/>
      <c r="DG14" s="293">
        <f t="shared" si="21"/>
        <v>0</v>
      </c>
      <c r="DH14" s="294"/>
      <c r="DI14" s="294"/>
      <c r="DJ14" s="295">
        <f t="shared" si="22"/>
        <v>0</v>
      </c>
      <c r="DK14" s="296">
        <f t="shared" si="36"/>
        <v>0</v>
      </c>
      <c r="DM14" s="196">
        <v>284.20699999999999</v>
      </c>
      <c r="DN14" s="247">
        <f t="shared" si="37"/>
        <v>304.20699999999999</v>
      </c>
      <c r="DP14" s="264">
        <v>185.99</v>
      </c>
      <c r="DQ14" s="247">
        <f t="shared" si="38"/>
        <v>219.19</v>
      </c>
    </row>
    <row r="15" spans="1:121" ht="16.5" customHeight="1" thickBot="1">
      <c r="A15" s="536">
        <v>9</v>
      </c>
      <c r="B15" s="103">
        <f t="shared" si="23"/>
        <v>463.93799999999999</v>
      </c>
      <c r="C15" s="104">
        <f t="shared" si="0"/>
        <v>0.73457308950764977</v>
      </c>
      <c r="D15" s="448">
        <f t="shared" si="1"/>
        <v>460.53003630000001</v>
      </c>
      <c r="E15" s="104">
        <f t="shared" si="2"/>
        <v>39.077029581538916</v>
      </c>
      <c r="F15" s="128">
        <f t="shared" si="3"/>
        <v>2.2223832543123727</v>
      </c>
      <c r="G15" s="106"/>
      <c r="H15" s="107">
        <f t="shared" si="4"/>
        <v>1.9014930077911045</v>
      </c>
      <c r="I15" s="103">
        <f>'[1]сентябрь 20'!AE14</f>
        <v>0</v>
      </c>
      <c r="J15" s="103">
        <f>'[1]октябрь 20'!AA14</f>
        <v>11.879</v>
      </c>
      <c r="K15" s="106">
        <v>20.88</v>
      </c>
      <c r="L15" s="103">
        <f>'[1]октябрь 20'!AI14</f>
        <v>66.495999999999995</v>
      </c>
      <c r="M15" s="103">
        <f t="shared" si="5"/>
        <v>0.32089024652126802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v>315.8</v>
      </c>
      <c r="S15" s="108">
        <f t="shared" si="6"/>
        <v>2.8752374920835932</v>
      </c>
      <c r="T15" s="109">
        <f t="shared" si="26"/>
        <v>306.72000000000003</v>
      </c>
      <c r="U15" s="106">
        <v>20.5</v>
      </c>
      <c r="V15" s="109">
        <f t="shared" si="7"/>
        <v>306.72000000000003</v>
      </c>
      <c r="W15" s="110">
        <f t="shared" si="8"/>
        <v>1.4801410071734142</v>
      </c>
      <c r="X15" s="110">
        <f t="shared" si="27"/>
        <v>1.4801410071734142</v>
      </c>
      <c r="Y15" s="136">
        <v>207.22</v>
      </c>
      <c r="Z15" s="130">
        <v>207.22</v>
      </c>
      <c r="AA15" s="131">
        <v>0.44</v>
      </c>
      <c r="AB15" s="112">
        <v>660</v>
      </c>
      <c r="AC15" s="133">
        <v>1137</v>
      </c>
      <c r="AD15" s="144" t="s">
        <v>163</v>
      </c>
      <c r="AE15" s="131">
        <v>76.27</v>
      </c>
      <c r="AF15" s="133">
        <v>148</v>
      </c>
      <c r="AG15" s="134">
        <v>5</v>
      </c>
      <c r="AH15" s="131">
        <v>4.6500000000000004</v>
      </c>
      <c r="AI15" s="115">
        <f t="shared" si="9"/>
        <v>22.439539917046087</v>
      </c>
      <c r="AJ15" s="131">
        <v>129.35</v>
      </c>
      <c r="AK15" s="115">
        <f t="shared" si="10"/>
        <v>624.20526629460448</v>
      </c>
      <c r="AL15" s="131">
        <v>33.82</v>
      </c>
      <c r="AM15" s="116"/>
      <c r="AN15" s="135">
        <v>15.07</v>
      </c>
      <c r="AO15" s="466">
        <f t="shared" si="28"/>
        <v>51.176500000000004</v>
      </c>
      <c r="AP15" s="110">
        <f t="shared" si="11"/>
        <v>0.19</v>
      </c>
      <c r="AQ15" s="137" t="s">
        <v>451</v>
      </c>
      <c r="AR15" s="150">
        <v>6.66</v>
      </c>
      <c r="AS15" s="138">
        <v>8.1</v>
      </c>
      <c r="AT15" s="131"/>
      <c r="AU15" s="131">
        <v>8.1199999999999992</v>
      </c>
      <c r="AV15" s="315">
        <v>269.35000000000002</v>
      </c>
      <c r="AW15" s="131">
        <v>4.12</v>
      </c>
      <c r="AX15" s="116"/>
      <c r="AY15" s="131"/>
      <c r="AZ15" s="109"/>
      <c r="BA15" s="109">
        <f t="shared" si="12"/>
        <v>207.22350000000003</v>
      </c>
      <c r="BB15" s="115">
        <f t="shared" si="29"/>
        <v>205.98708966197245</v>
      </c>
      <c r="BC15" s="140">
        <f t="shared" si="13"/>
        <v>8.1362971830985895</v>
      </c>
      <c r="BD15" s="141">
        <f t="shared" si="14"/>
        <v>8.288940000000002</v>
      </c>
      <c r="BE15" s="128">
        <f t="shared" si="15"/>
        <v>0.8782400673598979</v>
      </c>
      <c r="BF15" s="141">
        <f t="shared" si="16"/>
        <v>16.425237183098591</v>
      </c>
      <c r="BG15" s="535">
        <v>0.876</v>
      </c>
      <c r="BH15" s="16">
        <f t="shared" si="30"/>
        <v>1871.8705</v>
      </c>
      <c r="BI15" s="16">
        <f t="shared" si="17"/>
        <v>222.58064516129033</v>
      </c>
      <c r="BJ15" s="16">
        <f t="shared" si="31"/>
        <v>2003.2258064516127</v>
      </c>
      <c r="BK15" s="17">
        <f t="shared" si="18"/>
        <v>1</v>
      </c>
      <c r="BL15" s="16">
        <f t="shared" si="32"/>
        <v>2003.2258064516127</v>
      </c>
      <c r="BM15" s="249">
        <v>125.789</v>
      </c>
      <c r="BN15" s="195">
        <v>66.495999999999995</v>
      </c>
      <c r="BO15" s="230"/>
      <c r="BP15" s="266">
        <f t="shared" si="33"/>
        <v>271.65300000000002</v>
      </c>
      <c r="BQ15" s="313"/>
      <c r="BR15" s="195"/>
      <c r="BS15" s="329"/>
      <c r="BT15" s="199"/>
      <c r="BU15" s="200">
        <v>0.96</v>
      </c>
      <c r="BV15" s="200"/>
      <c r="BW15" s="200"/>
      <c r="BX15" s="200">
        <v>0.81</v>
      </c>
      <c r="BY15" s="208"/>
      <c r="BZ15" s="208"/>
      <c r="CA15" s="330"/>
      <c r="CB15" s="202">
        <v>37.770000000000003</v>
      </c>
      <c r="CC15" s="200">
        <v>43.58</v>
      </c>
      <c r="CD15" s="200"/>
      <c r="CE15" s="200">
        <v>38.58</v>
      </c>
      <c r="CF15" s="200"/>
      <c r="CG15" s="200"/>
      <c r="CH15" s="200"/>
      <c r="CI15" s="203"/>
      <c r="CJ15" s="204"/>
      <c r="CK15" s="230"/>
      <c r="CL15" s="266">
        <f t="shared" si="34"/>
        <v>199.12</v>
      </c>
      <c r="CM15" s="454">
        <v>107.6</v>
      </c>
      <c r="CN15" s="202"/>
      <c r="CO15" s="208"/>
      <c r="CP15" s="208"/>
      <c r="CQ15" s="201"/>
      <c r="CR15" s="201"/>
      <c r="CS15" s="284"/>
      <c r="CT15" s="286">
        <f t="shared" si="19"/>
        <v>124.5814256</v>
      </c>
      <c r="CU15" s="29">
        <f t="shared" si="19"/>
        <v>66.495999999999995</v>
      </c>
      <c r="CV15" s="30">
        <f t="shared" si="19"/>
        <v>0</v>
      </c>
      <c r="CW15" s="29">
        <f t="shared" si="19"/>
        <v>269.45261070000004</v>
      </c>
      <c r="CX15" s="27">
        <f t="shared" si="19"/>
        <v>0</v>
      </c>
      <c r="CY15" s="24">
        <f t="shared" si="19"/>
        <v>0</v>
      </c>
      <c r="CZ15" s="283">
        <f t="shared" si="19"/>
        <v>0</v>
      </c>
      <c r="DA15" s="237">
        <f t="shared" si="20"/>
        <v>0</v>
      </c>
      <c r="DB15" s="24">
        <f t="shared" si="20"/>
        <v>0</v>
      </c>
      <c r="DC15" s="277">
        <f t="shared" si="20"/>
        <v>199.12</v>
      </c>
      <c r="DD15" s="280">
        <f t="shared" si="20"/>
        <v>107.6</v>
      </c>
      <c r="DE15" s="508">
        <f t="shared" si="35"/>
        <v>0</v>
      </c>
      <c r="DF15" s="247"/>
      <c r="DG15" s="293">
        <f t="shared" si="21"/>
        <v>0</v>
      </c>
      <c r="DH15" s="294"/>
      <c r="DI15" s="294"/>
      <c r="DJ15" s="295">
        <f t="shared" si="22"/>
        <v>0</v>
      </c>
      <c r="DK15" s="296">
        <f t="shared" si="36"/>
        <v>0</v>
      </c>
      <c r="DM15" s="197">
        <v>251.65299999999999</v>
      </c>
      <c r="DN15" s="247">
        <f t="shared" si="37"/>
        <v>271.65300000000002</v>
      </c>
      <c r="DP15" s="266">
        <v>165.92</v>
      </c>
      <c r="DQ15" s="247">
        <f t="shared" si="38"/>
        <v>199.12</v>
      </c>
    </row>
    <row r="16" spans="1:121" ht="16.5" customHeight="1" thickBot="1">
      <c r="A16" s="534">
        <v>10</v>
      </c>
      <c r="B16" s="103">
        <f t="shared" si="23"/>
        <v>500.04600000000005</v>
      </c>
      <c r="C16" s="104">
        <f t="shared" si="0"/>
        <v>0.63811393351811629</v>
      </c>
      <c r="D16" s="448">
        <f t="shared" si="1"/>
        <v>496.85513680000008</v>
      </c>
      <c r="E16" s="104">
        <f t="shared" si="2"/>
        <v>38.703330093631386</v>
      </c>
      <c r="F16" s="128">
        <f t="shared" si="3"/>
        <v>3.1964432372619664</v>
      </c>
      <c r="G16" s="106"/>
      <c r="H16" s="107">
        <f t="shared" si="4"/>
        <v>2.7333706690684512</v>
      </c>
      <c r="I16" s="103">
        <f>'[1]сентябрь 20'!AE15</f>
        <v>0</v>
      </c>
      <c r="J16" s="103">
        <f>'[1]октябрь 20'!AA15</f>
        <v>11.202999999999999</v>
      </c>
      <c r="K16" s="106">
        <v>45.28</v>
      </c>
      <c r="L16" s="103">
        <f>'[1]октябрь 20'!AI15</f>
        <v>71.98</v>
      </c>
      <c r="M16" s="103">
        <f t="shared" si="5"/>
        <v>0.46307256819351522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v>335.83</v>
      </c>
      <c r="S16" s="108">
        <f t="shared" si="6"/>
        <v>2.7960575291069878</v>
      </c>
      <c r="T16" s="109">
        <f t="shared" si="26"/>
        <v>326.44</v>
      </c>
      <c r="U16" s="566">
        <v>24.74</v>
      </c>
      <c r="V16" s="109">
        <f t="shared" si="7"/>
        <v>326.44</v>
      </c>
      <c r="W16" s="110">
        <f t="shared" si="8"/>
        <v>2.1001029336078232</v>
      </c>
      <c r="X16" s="110">
        <f t="shared" si="27"/>
        <v>2.1001029336078232</v>
      </c>
      <c r="Y16" s="136">
        <v>155.44</v>
      </c>
      <c r="Z16" s="130">
        <v>94.48</v>
      </c>
      <c r="AA16" s="131">
        <v>0.91</v>
      </c>
      <c r="AB16" s="112">
        <v>660</v>
      </c>
      <c r="AC16" s="133">
        <v>1164</v>
      </c>
      <c r="AD16" s="144" t="s">
        <v>252</v>
      </c>
      <c r="AE16" s="131">
        <v>76.69</v>
      </c>
      <c r="AF16" s="133">
        <v>160</v>
      </c>
      <c r="AG16" s="134">
        <v>5</v>
      </c>
      <c r="AH16" s="131"/>
      <c r="AI16" s="115">
        <f t="shared" si="9"/>
        <v>0</v>
      </c>
      <c r="AJ16" s="131">
        <v>116.95</v>
      </c>
      <c r="AK16" s="115">
        <f t="shared" si="10"/>
        <v>752.38033968090588</v>
      </c>
      <c r="AL16" s="139">
        <v>32.700000000000003</v>
      </c>
      <c r="AM16" s="131"/>
      <c r="AN16" s="136">
        <v>12.11</v>
      </c>
      <c r="AO16" s="466">
        <v>126.93</v>
      </c>
      <c r="AP16" s="110">
        <f t="shared" si="11"/>
        <v>0.43950831024930748</v>
      </c>
      <c r="AQ16" s="137" t="s">
        <v>452</v>
      </c>
      <c r="AR16" s="150">
        <v>7.89</v>
      </c>
      <c r="AS16" s="138">
        <v>8.82</v>
      </c>
      <c r="AT16" s="131"/>
      <c r="AU16" s="131">
        <v>6.17</v>
      </c>
      <c r="AV16" s="315">
        <v>288.8</v>
      </c>
      <c r="AW16" s="131">
        <v>5.68</v>
      </c>
      <c r="AX16" s="116"/>
      <c r="AY16" s="131"/>
      <c r="AZ16" s="109"/>
      <c r="BA16" s="109">
        <f t="shared" si="12"/>
        <v>155.44</v>
      </c>
      <c r="BB16" s="115">
        <f t="shared" si="29"/>
        <v>218.903963039697</v>
      </c>
      <c r="BC16" s="140">
        <f t="shared" si="13"/>
        <v>5.5897158450704225</v>
      </c>
      <c r="BD16" s="141">
        <f t="shared" si="14"/>
        <v>6.2176</v>
      </c>
      <c r="BE16" s="128">
        <f t="shared" si="15"/>
        <v>0.61990252764584131</v>
      </c>
      <c r="BF16" s="141">
        <f t="shared" si="16"/>
        <v>11.807315845070423</v>
      </c>
      <c r="BG16" s="535">
        <v>0.84899999999999998</v>
      </c>
      <c r="BH16" s="16">
        <f t="shared" si="30"/>
        <v>2027.3105</v>
      </c>
      <c r="BI16" s="16">
        <f t="shared" si="17"/>
        <v>222.58064516129033</v>
      </c>
      <c r="BJ16" s="16">
        <f t="shared" si="31"/>
        <v>2225.8064516129029</v>
      </c>
      <c r="BK16" s="17">
        <f t="shared" si="18"/>
        <v>1</v>
      </c>
      <c r="BL16" s="16">
        <f t="shared" si="32"/>
        <v>2225.8064516129029</v>
      </c>
      <c r="BM16" s="249">
        <v>135.98500000000001</v>
      </c>
      <c r="BN16" s="195">
        <v>71.98</v>
      </c>
      <c r="BO16" s="195"/>
      <c r="BP16" s="266">
        <f t="shared" si="33"/>
        <v>292.08100000000002</v>
      </c>
      <c r="BQ16" s="313"/>
      <c r="BR16" s="230"/>
      <c r="BS16" s="250"/>
      <c r="BT16" s="199"/>
      <c r="BU16" s="200">
        <v>0.8</v>
      </c>
      <c r="BV16" s="200"/>
      <c r="BW16" s="200"/>
      <c r="BX16" s="200">
        <v>0.72</v>
      </c>
      <c r="BY16" s="208"/>
      <c r="BZ16" s="208"/>
      <c r="CA16" s="201"/>
      <c r="CB16" s="202">
        <v>37.43</v>
      </c>
      <c r="CC16" s="200">
        <v>43.76</v>
      </c>
      <c r="CD16" s="200"/>
      <c r="CE16" s="200">
        <v>38.049999999999997</v>
      </c>
      <c r="CF16" s="200"/>
      <c r="CG16" s="200"/>
      <c r="CH16" s="200"/>
      <c r="CI16" s="203"/>
      <c r="CJ16" s="204"/>
      <c r="CK16" s="230"/>
      <c r="CL16" s="266">
        <f t="shared" si="34"/>
        <v>189.24</v>
      </c>
      <c r="CM16" s="454">
        <v>137.19999999999999</v>
      </c>
      <c r="CN16" s="202"/>
      <c r="CO16" s="208"/>
      <c r="CP16" s="208"/>
      <c r="CQ16" s="201"/>
      <c r="CR16" s="201"/>
      <c r="CS16" s="284"/>
      <c r="CT16" s="286">
        <f t="shared" si="19"/>
        <v>134.89712</v>
      </c>
      <c r="CU16" s="24">
        <f t="shared" si="19"/>
        <v>71.98</v>
      </c>
      <c r="CV16" s="25">
        <f t="shared" si="19"/>
        <v>0</v>
      </c>
      <c r="CW16" s="24">
        <f t="shared" si="19"/>
        <v>289.97801680000003</v>
      </c>
      <c r="CX16" s="27">
        <f t="shared" si="19"/>
        <v>0</v>
      </c>
      <c r="CY16" s="24">
        <f t="shared" si="19"/>
        <v>0</v>
      </c>
      <c r="CZ16" s="280">
        <f t="shared" si="19"/>
        <v>0</v>
      </c>
      <c r="DA16" s="237">
        <f t="shared" si="20"/>
        <v>0</v>
      </c>
      <c r="DB16" s="29">
        <f t="shared" si="20"/>
        <v>0</v>
      </c>
      <c r="DC16" s="277">
        <f t="shared" si="20"/>
        <v>189.24</v>
      </c>
      <c r="DD16" s="280">
        <f t="shared" si="20"/>
        <v>137.19999999999999</v>
      </c>
      <c r="DE16" s="508">
        <f t="shared" si="35"/>
        <v>0</v>
      </c>
      <c r="DF16" s="247"/>
      <c r="DG16" s="293">
        <f t="shared" si="21"/>
        <v>0</v>
      </c>
      <c r="DH16" s="294"/>
      <c r="DI16" s="294"/>
      <c r="DJ16" s="295">
        <f t="shared" si="22"/>
        <v>0</v>
      </c>
      <c r="DK16" s="296">
        <f t="shared" si="36"/>
        <v>0</v>
      </c>
      <c r="DM16" s="197">
        <v>272.08100000000002</v>
      </c>
      <c r="DN16" s="247">
        <f t="shared" si="37"/>
        <v>292.08100000000002</v>
      </c>
      <c r="DP16" s="266">
        <v>156.04</v>
      </c>
      <c r="DQ16" s="247">
        <f t="shared" si="38"/>
        <v>189.24</v>
      </c>
    </row>
    <row r="17" spans="1:121" ht="16.5" customHeight="1" thickBot="1">
      <c r="A17" s="534">
        <v>11</v>
      </c>
      <c r="B17" s="103">
        <f t="shared" si="23"/>
        <v>494.06200000000001</v>
      </c>
      <c r="C17" s="104">
        <f t="shared" si="0"/>
        <v>0.73083285093773653</v>
      </c>
      <c r="D17" s="448">
        <f t="shared" si="1"/>
        <v>490.45123260000003</v>
      </c>
      <c r="E17" s="104">
        <f t="shared" si="2"/>
        <v>39.132985617189746</v>
      </c>
      <c r="F17" s="128">
        <f t="shared" si="3"/>
        <v>2.2901213002458451</v>
      </c>
      <c r="G17" s="106"/>
      <c r="H17" s="107">
        <f t="shared" si="4"/>
        <v>1.9582098043747771</v>
      </c>
      <c r="I17" s="103">
        <f>'[1]сентябрь 20'!AE16</f>
        <v>0</v>
      </c>
      <c r="J17" s="103">
        <f>'[1]октябрь 20'!AA16</f>
        <v>11.458</v>
      </c>
      <c r="K17" s="106">
        <v>30.57</v>
      </c>
      <c r="L17" s="103">
        <f>'[1]октябрь 20'!AI16</f>
        <v>71.081999999999994</v>
      </c>
      <c r="M17" s="103">
        <f t="shared" si="5"/>
        <v>0.33191149587106805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v>333.24</v>
      </c>
      <c r="S17" s="108">
        <f t="shared" si="6"/>
        <v>3.1688872884407693</v>
      </c>
      <c r="T17" s="109">
        <f t="shared" si="26"/>
        <v>322.68</v>
      </c>
      <c r="U17" s="106"/>
      <c r="V17" s="109">
        <f t="shared" si="7"/>
        <v>322.68</v>
      </c>
      <c r="W17" s="110">
        <f t="shared" si="8"/>
        <v>1.5067274624753981</v>
      </c>
      <c r="X17" s="110">
        <f t="shared" si="27"/>
        <v>1.5067274624753981</v>
      </c>
      <c r="Y17" s="136">
        <v>214.16</v>
      </c>
      <c r="Z17" s="130">
        <v>214.16</v>
      </c>
      <c r="AA17" s="131">
        <v>0.63</v>
      </c>
      <c r="AB17" s="112">
        <v>667</v>
      </c>
      <c r="AC17" s="133">
        <v>1152</v>
      </c>
      <c r="AD17" s="144" t="s">
        <v>176</v>
      </c>
      <c r="AE17" s="131">
        <v>76.23</v>
      </c>
      <c r="AF17" s="133">
        <v>158</v>
      </c>
      <c r="AG17" s="134">
        <v>5</v>
      </c>
      <c r="AH17" s="131">
        <v>8.9499999999999993</v>
      </c>
      <c r="AI17" s="115">
        <f t="shared" si="9"/>
        <v>41.791281731606581</v>
      </c>
      <c r="AJ17" s="131">
        <v>128.4</v>
      </c>
      <c r="AK17" s="115">
        <f t="shared" si="10"/>
        <v>599.55313679757387</v>
      </c>
      <c r="AL17" s="139">
        <v>32.89</v>
      </c>
      <c r="AM17" s="131"/>
      <c r="AN17" s="136">
        <v>14.18</v>
      </c>
      <c r="AO17" s="466">
        <f t="shared" si="28"/>
        <v>52.810499999999998</v>
      </c>
      <c r="AP17" s="110">
        <f t="shared" si="11"/>
        <v>0.19</v>
      </c>
      <c r="AQ17" s="137" t="s">
        <v>145</v>
      </c>
      <c r="AR17" s="150">
        <v>7.14</v>
      </c>
      <c r="AS17" s="138">
        <v>8.42</v>
      </c>
      <c r="AT17" s="131"/>
      <c r="AU17" s="131">
        <v>7.34</v>
      </c>
      <c r="AV17" s="315">
        <v>277.95</v>
      </c>
      <c r="AW17" s="131">
        <v>3.2</v>
      </c>
      <c r="AX17" s="116"/>
      <c r="AY17" s="131"/>
      <c r="AZ17" s="109"/>
      <c r="BA17" s="109">
        <f t="shared" si="12"/>
        <v>214.15949999999998</v>
      </c>
      <c r="BB17" s="115">
        <f t="shared" si="29"/>
        <v>219.79972137344413</v>
      </c>
      <c r="BC17" s="140">
        <f t="shared" si="13"/>
        <v>7.300715492957746</v>
      </c>
      <c r="BD17" s="141">
        <f t="shared" si="14"/>
        <v>8.5663799999999988</v>
      </c>
      <c r="BE17" s="128">
        <f t="shared" si="15"/>
        <v>0.85059818243513174</v>
      </c>
      <c r="BF17" s="141">
        <f t="shared" si="16"/>
        <v>15.867095492957745</v>
      </c>
      <c r="BG17" s="535">
        <v>0.84899999999999998</v>
      </c>
      <c r="BH17" s="16">
        <f t="shared" si="30"/>
        <v>2241.4700000000003</v>
      </c>
      <c r="BI17" s="16">
        <f t="shared" si="17"/>
        <v>222.58064516129033</v>
      </c>
      <c r="BJ17" s="16">
        <f t="shared" si="31"/>
        <v>2448.3870967741932</v>
      </c>
      <c r="BK17" s="17">
        <f t="shared" si="18"/>
        <v>1</v>
      </c>
      <c r="BL17" s="16">
        <f t="shared" si="32"/>
        <v>2448.3870967741932</v>
      </c>
      <c r="BM17" s="249">
        <v>134.303</v>
      </c>
      <c r="BN17" s="195">
        <v>71.081999999999994</v>
      </c>
      <c r="BO17" s="195"/>
      <c r="BP17" s="266">
        <f t="shared" si="33"/>
        <v>288.67700000000002</v>
      </c>
      <c r="BQ17" s="313"/>
      <c r="BR17" s="230"/>
      <c r="BS17" s="250"/>
      <c r="BT17" s="199"/>
      <c r="BU17" s="200">
        <v>0.84</v>
      </c>
      <c r="BV17" s="200"/>
      <c r="BW17" s="200"/>
      <c r="BX17" s="200">
        <v>0.86</v>
      </c>
      <c r="BY17" s="208"/>
      <c r="BZ17" s="208"/>
      <c r="CA17" s="201"/>
      <c r="CB17" s="202">
        <v>38.090000000000003</v>
      </c>
      <c r="CC17" s="200">
        <v>43.39</v>
      </c>
      <c r="CD17" s="200"/>
      <c r="CE17" s="200">
        <v>38.57</v>
      </c>
      <c r="CF17" s="208"/>
      <c r="CG17" s="208"/>
      <c r="CH17" s="201"/>
      <c r="CI17" s="199"/>
      <c r="CJ17" s="197"/>
      <c r="CK17" s="244"/>
      <c r="CL17" s="266">
        <f t="shared" si="34"/>
        <v>180.48000000000002</v>
      </c>
      <c r="CM17" s="454">
        <v>142.19999999999999</v>
      </c>
      <c r="CN17" s="231"/>
      <c r="CO17" s="208"/>
      <c r="CP17" s="208"/>
      <c r="CQ17" s="201"/>
      <c r="CR17" s="201"/>
      <c r="CS17" s="284"/>
      <c r="CT17" s="286">
        <f t="shared" si="19"/>
        <v>133.17485479999999</v>
      </c>
      <c r="CU17" s="24">
        <f t="shared" si="19"/>
        <v>71.081999999999994</v>
      </c>
      <c r="CV17" s="25">
        <f t="shared" si="19"/>
        <v>0</v>
      </c>
      <c r="CW17" s="24">
        <f t="shared" si="19"/>
        <v>286.19437780000004</v>
      </c>
      <c r="CX17" s="27">
        <f t="shared" si="19"/>
        <v>0</v>
      </c>
      <c r="CY17" s="27">
        <f t="shared" si="19"/>
        <v>0</v>
      </c>
      <c r="CZ17" s="280">
        <f t="shared" si="19"/>
        <v>0</v>
      </c>
      <c r="DA17" s="25">
        <f t="shared" si="20"/>
        <v>0</v>
      </c>
      <c r="DB17" s="26">
        <f t="shared" si="20"/>
        <v>0</v>
      </c>
      <c r="DC17" s="277">
        <f t="shared" si="20"/>
        <v>180.48000000000002</v>
      </c>
      <c r="DD17" s="280">
        <f t="shared" si="20"/>
        <v>142.19999999999999</v>
      </c>
      <c r="DE17" s="508">
        <f t="shared" si="35"/>
        <v>0</v>
      </c>
      <c r="DF17" s="247"/>
      <c r="DG17" s="293">
        <f t="shared" si="21"/>
        <v>0</v>
      </c>
      <c r="DH17" s="294"/>
      <c r="DI17" s="294"/>
      <c r="DJ17" s="295">
        <f t="shared" si="22"/>
        <v>0</v>
      </c>
      <c r="DK17" s="296">
        <f t="shared" si="36"/>
        <v>0</v>
      </c>
      <c r="DM17" s="197">
        <v>268.67700000000002</v>
      </c>
      <c r="DN17" s="247">
        <f t="shared" si="37"/>
        <v>288.67700000000002</v>
      </c>
      <c r="DP17" s="266">
        <v>147.28</v>
      </c>
      <c r="DQ17" s="247">
        <f t="shared" si="38"/>
        <v>180.48000000000002</v>
      </c>
    </row>
    <row r="18" spans="1:121" ht="16.5" customHeight="1" thickBot="1">
      <c r="A18" s="534">
        <v>12</v>
      </c>
      <c r="B18" s="103">
        <f t="shared" si="23"/>
        <v>517.798</v>
      </c>
      <c r="C18" s="104">
        <f t="shared" si="0"/>
        <v>0.88333510365045842</v>
      </c>
      <c r="D18" s="143">
        <f t="shared" si="1"/>
        <v>513.22410850000006</v>
      </c>
      <c r="E18" s="104">
        <f t="shared" si="2"/>
        <v>39.332799238313015</v>
      </c>
      <c r="F18" s="128">
        <f t="shared" si="3"/>
        <v>2.2927962960481056</v>
      </c>
      <c r="G18" s="106"/>
      <c r="H18" s="107">
        <f t="shared" si="4"/>
        <v>1.9369962227821413</v>
      </c>
      <c r="I18" s="103">
        <f>'[1]сентябрь 20'!AE17</f>
        <v>0</v>
      </c>
      <c r="J18" s="103">
        <f>'[1]октябрь 20'!AA17</f>
        <v>12.207000000000001</v>
      </c>
      <c r="K18" s="106"/>
      <c r="L18" s="103">
        <f>'[1]октябрь 20'!AI17</f>
        <v>79.643000000000001</v>
      </c>
      <c r="M18" s="103">
        <f t="shared" si="5"/>
        <v>0.35580007326596441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v>349.45</v>
      </c>
      <c r="S18" s="108">
        <f t="shared" si="6"/>
        <v>3.5684647302904438</v>
      </c>
      <c r="T18" s="109">
        <f t="shared" si="26"/>
        <v>336.98</v>
      </c>
      <c r="U18" s="566">
        <v>28.92</v>
      </c>
      <c r="V18" s="109">
        <f t="shared" si="7"/>
        <v>336.98</v>
      </c>
      <c r="W18" s="110">
        <f t="shared" si="8"/>
        <v>1.5054368706498336</v>
      </c>
      <c r="X18" s="110">
        <f t="shared" si="27"/>
        <v>1.5054368706498336</v>
      </c>
      <c r="Y18" s="136">
        <v>223.84</v>
      </c>
      <c r="Z18" s="130">
        <v>178.03</v>
      </c>
      <c r="AA18" s="131">
        <v>0.67</v>
      </c>
      <c r="AB18" s="112">
        <v>626</v>
      </c>
      <c r="AC18" s="133">
        <v>1148</v>
      </c>
      <c r="AD18" s="144" t="s">
        <v>181</v>
      </c>
      <c r="AE18" s="131">
        <v>76.78</v>
      </c>
      <c r="AF18" s="133">
        <v>166</v>
      </c>
      <c r="AG18" s="134">
        <v>5</v>
      </c>
      <c r="AH18" s="131">
        <v>7.8</v>
      </c>
      <c r="AI18" s="115">
        <f t="shared" si="9"/>
        <v>34.846007451684677</v>
      </c>
      <c r="AJ18" s="131">
        <v>135.4</v>
      </c>
      <c r="AK18" s="115">
        <f t="shared" si="10"/>
        <v>604.89094986642363</v>
      </c>
      <c r="AL18" s="139">
        <v>33.64</v>
      </c>
      <c r="AM18" s="131"/>
      <c r="AN18" s="136">
        <v>20.43</v>
      </c>
      <c r="AO18" s="466">
        <f t="shared" si="28"/>
        <v>56.467999999999996</v>
      </c>
      <c r="AP18" s="110">
        <f t="shared" si="11"/>
        <v>0.19</v>
      </c>
      <c r="AQ18" s="137" t="s">
        <v>453</v>
      </c>
      <c r="AR18" s="150">
        <v>6.97</v>
      </c>
      <c r="AS18" s="138">
        <v>8.67</v>
      </c>
      <c r="AT18" s="131"/>
      <c r="AU18" s="131">
        <v>7.8</v>
      </c>
      <c r="AV18" s="315">
        <v>297.2</v>
      </c>
      <c r="AW18" s="131">
        <v>3.54</v>
      </c>
      <c r="AX18" s="116"/>
      <c r="AY18" s="131"/>
      <c r="AZ18" s="109">
        <f t="shared" ref="AZ18:AZ37" si="39">IF(BA18=0,0,AY18/BA18*100)</f>
        <v>0</v>
      </c>
      <c r="BA18" s="109">
        <f t="shared" si="12"/>
        <v>223.84199999999998</v>
      </c>
      <c r="BB18" s="115">
        <f>IF(AE18=0,0,((D18*0.97)*(E18/100)*0.9)/(AE18/100))</f>
        <v>229.52396638783935</v>
      </c>
      <c r="BC18" s="140">
        <f t="shared" si="13"/>
        <v>8.1812112676056348</v>
      </c>
      <c r="BD18" s="141">
        <f t="shared" si="14"/>
        <v>8.9536800000000003</v>
      </c>
      <c r="BE18" s="128">
        <f t="shared" si="15"/>
        <v>0.85138850236579644</v>
      </c>
      <c r="BF18" s="141">
        <f t="shared" si="16"/>
        <v>17.134891267605635</v>
      </c>
      <c r="BG18" s="535">
        <v>0.85</v>
      </c>
      <c r="BH18" s="16">
        <f t="shared" si="30"/>
        <v>2465.3120000000004</v>
      </c>
      <c r="BI18" s="16">
        <f t="shared" si="17"/>
        <v>222.58064516129033</v>
      </c>
      <c r="BJ18" s="16">
        <f t="shared" si="31"/>
        <v>2670.9677419354834</v>
      </c>
      <c r="BK18" s="17">
        <f t="shared" si="18"/>
        <v>1</v>
      </c>
      <c r="BL18" s="16">
        <f t="shared" si="32"/>
        <v>2670.9677419354834</v>
      </c>
      <c r="BM18" s="249">
        <v>141.10300000000001</v>
      </c>
      <c r="BN18" s="195">
        <v>79.643000000000001</v>
      </c>
      <c r="BO18" s="195"/>
      <c r="BP18" s="266">
        <f t="shared" si="33"/>
        <v>297.05200000000002</v>
      </c>
      <c r="BQ18" s="313"/>
      <c r="BR18" s="230"/>
      <c r="BS18" s="250"/>
      <c r="BT18" s="199"/>
      <c r="BU18" s="200">
        <v>1.01</v>
      </c>
      <c r="BV18" s="200"/>
      <c r="BW18" s="200"/>
      <c r="BX18" s="200">
        <v>1.06</v>
      </c>
      <c r="BY18" s="208"/>
      <c r="BZ18" s="208"/>
      <c r="CA18" s="201"/>
      <c r="CB18" s="202">
        <v>37.799999999999997</v>
      </c>
      <c r="CC18" s="200">
        <v>43.7</v>
      </c>
      <c r="CD18" s="200"/>
      <c r="CE18" s="200">
        <v>38.89</v>
      </c>
      <c r="CF18" s="208"/>
      <c r="CG18" s="208"/>
      <c r="CH18" s="209"/>
      <c r="CI18" s="199"/>
      <c r="CJ18" s="197"/>
      <c r="CK18" s="230">
        <v>149.4</v>
      </c>
      <c r="CL18" s="266">
        <f t="shared" si="34"/>
        <v>187.57999999999998</v>
      </c>
      <c r="CM18" s="453"/>
      <c r="CN18" s="202"/>
      <c r="CO18" s="208"/>
      <c r="CP18" s="208"/>
      <c r="CQ18" s="201"/>
      <c r="CR18" s="201"/>
      <c r="CS18" s="284"/>
      <c r="CT18" s="286">
        <f t="shared" si="19"/>
        <v>139.6778597</v>
      </c>
      <c r="CU18" s="24">
        <f t="shared" si="19"/>
        <v>79.643000000000001</v>
      </c>
      <c r="CV18" s="25">
        <f t="shared" si="19"/>
        <v>0</v>
      </c>
      <c r="CW18" s="24">
        <f t="shared" si="19"/>
        <v>293.90324880000003</v>
      </c>
      <c r="CX18" s="27">
        <f t="shared" si="19"/>
        <v>0</v>
      </c>
      <c r="CY18" s="30">
        <f t="shared" si="19"/>
        <v>0</v>
      </c>
      <c r="CZ18" s="280">
        <f t="shared" si="19"/>
        <v>0</v>
      </c>
      <c r="DA18" s="30">
        <f t="shared" si="20"/>
        <v>0</v>
      </c>
      <c r="DB18" s="24">
        <f t="shared" si="20"/>
        <v>149.4</v>
      </c>
      <c r="DC18" s="277">
        <f t="shared" si="20"/>
        <v>187.57999999999998</v>
      </c>
      <c r="DD18" s="280">
        <f t="shared" si="20"/>
        <v>0</v>
      </c>
      <c r="DE18" s="508">
        <f t="shared" si="35"/>
        <v>0</v>
      </c>
      <c r="DF18" s="247"/>
      <c r="DG18" s="293">
        <f t="shared" si="21"/>
        <v>0</v>
      </c>
      <c r="DH18" s="294"/>
      <c r="DI18" s="294"/>
      <c r="DJ18" s="295">
        <f t="shared" si="22"/>
        <v>0</v>
      </c>
      <c r="DK18" s="296">
        <f t="shared" si="36"/>
        <v>0</v>
      </c>
      <c r="DM18" s="197">
        <v>277.05200000000002</v>
      </c>
      <c r="DN18" s="247">
        <f t="shared" si="37"/>
        <v>297.05200000000002</v>
      </c>
      <c r="DP18" s="289">
        <v>154.38</v>
      </c>
      <c r="DQ18" s="247">
        <f t="shared" si="38"/>
        <v>187.57999999999998</v>
      </c>
    </row>
    <row r="19" spans="1:121" ht="16.5" customHeight="1" thickBot="1">
      <c r="A19" s="534">
        <v>13</v>
      </c>
      <c r="B19" s="103">
        <f t="shared" si="23"/>
        <v>475.99199999999996</v>
      </c>
      <c r="C19" s="104">
        <f t="shared" si="0"/>
        <v>0.78087625422275997</v>
      </c>
      <c r="D19" s="143">
        <f t="shared" si="1"/>
        <v>472.27509149999997</v>
      </c>
      <c r="E19" s="104">
        <f>IF(B19=0,0,(BM19*CB19+BN19*CC19+BP19*CE19+BS19*CH19+BO19*CD19+BR19*CG19+BQ19*CF19)/B19)</f>
        <v>38.499081203045428</v>
      </c>
      <c r="F19" s="128">
        <f t="shared" si="3"/>
        <v>2.2475430222791184</v>
      </c>
      <c r="G19" s="106"/>
      <c r="H19" s="107">
        <f t="shared" si="4"/>
        <v>1.8858279846475625</v>
      </c>
      <c r="I19" s="103">
        <f>'[1]сентябрь 20'!AE18</f>
        <v>0</v>
      </c>
      <c r="J19" s="103">
        <f>'[1]октябрь 20'!AA18</f>
        <v>10.647</v>
      </c>
      <c r="K19" s="106">
        <v>35.58</v>
      </c>
      <c r="L19" s="103">
        <f>'[1]октябрь 20'!AI18</f>
        <v>76.007000000000005</v>
      </c>
      <c r="M19" s="103">
        <f t="shared" si="5"/>
        <v>0.36171503763155582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v>320.5</v>
      </c>
      <c r="S19" s="108">
        <f t="shared" si="6"/>
        <v>3.2605304212168451</v>
      </c>
      <c r="T19" s="109">
        <f t="shared" si="26"/>
        <v>310.05</v>
      </c>
      <c r="U19" s="566">
        <v>4.47</v>
      </c>
      <c r="V19" s="109">
        <f t="shared" si="7"/>
        <v>310.05</v>
      </c>
      <c r="W19" s="110">
        <f t="shared" si="8"/>
        <v>1.4755186682498176</v>
      </c>
      <c r="X19" s="110">
        <f t="shared" si="27"/>
        <v>1.4755186682498176</v>
      </c>
      <c r="Y19" s="136">
        <v>168.3</v>
      </c>
      <c r="Z19" s="130">
        <v>116.16</v>
      </c>
      <c r="AA19" s="131">
        <v>0.86</v>
      </c>
      <c r="AB19" s="112">
        <v>663</v>
      </c>
      <c r="AC19" s="133">
        <v>1092</v>
      </c>
      <c r="AD19" s="144" t="s">
        <v>454</v>
      </c>
      <c r="AE19" s="131">
        <v>75.72</v>
      </c>
      <c r="AF19" s="133">
        <v>152</v>
      </c>
      <c r="AG19" s="134">
        <v>5</v>
      </c>
      <c r="AH19" s="131">
        <v>4.7</v>
      </c>
      <c r="AI19" s="115">
        <f t="shared" si="9"/>
        <v>22.367159299384433</v>
      </c>
      <c r="AJ19" s="131">
        <v>110.4</v>
      </c>
      <c r="AK19" s="115">
        <f t="shared" si="10"/>
        <v>525.39029503234917</v>
      </c>
      <c r="AL19" s="139">
        <v>28.23</v>
      </c>
      <c r="AM19" s="131"/>
      <c r="AN19" s="136">
        <v>14.44</v>
      </c>
      <c r="AO19" s="466">
        <f t="shared" si="28"/>
        <v>51.480499999999999</v>
      </c>
      <c r="AP19" s="110">
        <f t="shared" si="11"/>
        <v>0.19</v>
      </c>
      <c r="AQ19" s="137" t="s">
        <v>172</v>
      </c>
      <c r="AR19" s="150">
        <v>6.72</v>
      </c>
      <c r="AS19" s="138">
        <v>8.32</v>
      </c>
      <c r="AT19" s="134"/>
      <c r="AU19" s="131">
        <v>7.35</v>
      </c>
      <c r="AV19" s="315">
        <v>270.95</v>
      </c>
      <c r="AW19" s="131">
        <v>5.0999999999999996</v>
      </c>
      <c r="AX19" s="116"/>
      <c r="AY19" s="131"/>
      <c r="AZ19" s="109">
        <f t="shared" si="39"/>
        <v>0</v>
      </c>
      <c r="BA19" s="109">
        <f t="shared" si="12"/>
        <v>210.12949999999998</v>
      </c>
      <c r="BB19" s="115">
        <f t="shared" si="29"/>
        <v>209.62788096155921</v>
      </c>
      <c r="BC19" s="140">
        <f t="shared" si="13"/>
        <v>6.2858028169014082</v>
      </c>
      <c r="BD19" s="141">
        <f t="shared" si="14"/>
        <v>8.4051799999999997</v>
      </c>
      <c r="BE19" s="128">
        <f t="shared" si="15"/>
        <v>0.87508900370766562</v>
      </c>
      <c r="BF19" s="141">
        <f t="shared" si="16"/>
        <v>14.690982816901407</v>
      </c>
      <c r="BG19" s="535">
        <v>0.85199999999999998</v>
      </c>
      <c r="BH19" s="16">
        <f t="shared" si="30"/>
        <v>2675.4415000000004</v>
      </c>
      <c r="BI19" s="16">
        <f t="shared" si="17"/>
        <v>222.58064516129033</v>
      </c>
      <c r="BJ19" s="16">
        <f t="shared" si="31"/>
        <v>2893.5483870967737</v>
      </c>
      <c r="BK19" s="17">
        <f t="shared" si="18"/>
        <v>1</v>
      </c>
      <c r="BL19" s="16">
        <f t="shared" si="32"/>
        <v>2893.5483870967737</v>
      </c>
      <c r="BM19" s="254">
        <v>129.17599999999999</v>
      </c>
      <c r="BN19" s="197">
        <v>76.007000000000005</v>
      </c>
      <c r="BO19" s="230"/>
      <c r="BP19" s="266">
        <f t="shared" si="33"/>
        <v>270.80899999999997</v>
      </c>
      <c r="BQ19" s="313"/>
      <c r="BR19" s="230"/>
      <c r="BS19" s="258"/>
      <c r="BT19" s="199"/>
      <c r="BU19" s="200">
        <v>0.76</v>
      </c>
      <c r="BV19" s="200"/>
      <c r="BW19" s="200"/>
      <c r="BX19" s="200">
        <v>1.01</v>
      </c>
      <c r="BY19" s="208"/>
      <c r="BZ19" s="208"/>
      <c r="CA19" s="201"/>
      <c r="CB19" s="202">
        <v>37.22</v>
      </c>
      <c r="CC19" s="200">
        <v>43.52</v>
      </c>
      <c r="CD19" s="200"/>
      <c r="CE19" s="200">
        <v>37.700000000000003</v>
      </c>
      <c r="CF19" s="208"/>
      <c r="CG19" s="208"/>
      <c r="CH19" s="209"/>
      <c r="CI19" s="199"/>
      <c r="CJ19" s="197"/>
      <c r="CK19" s="230">
        <v>136.80000000000001</v>
      </c>
      <c r="CL19" s="266">
        <f t="shared" si="34"/>
        <v>173.25</v>
      </c>
      <c r="CM19" s="453"/>
      <c r="CN19" s="202"/>
      <c r="CO19" s="208"/>
      <c r="CP19" s="208"/>
      <c r="CQ19" s="201"/>
      <c r="CR19" s="201"/>
      <c r="CS19" s="284"/>
      <c r="CT19" s="286">
        <f t="shared" si="19"/>
        <v>128.19426239999999</v>
      </c>
      <c r="CU19" s="24">
        <f t="shared" si="19"/>
        <v>76.007000000000005</v>
      </c>
      <c r="CV19" s="25">
        <f t="shared" si="19"/>
        <v>0</v>
      </c>
      <c r="CW19" s="24">
        <f t="shared" si="19"/>
        <v>268.07382909999995</v>
      </c>
      <c r="CX19" s="27">
        <f t="shared" si="19"/>
        <v>0</v>
      </c>
      <c r="CY19" s="24">
        <f t="shared" si="19"/>
        <v>0</v>
      </c>
      <c r="CZ19" s="280">
        <f t="shared" si="19"/>
        <v>0</v>
      </c>
      <c r="DA19" s="237">
        <f t="shared" si="20"/>
        <v>0</v>
      </c>
      <c r="DB19" s="24">
        <f t="shared" si="20"/>
        <v>136.80000000000001</v>
      </c>
      <c r="DC19" s="277">
        <f t="shared" si="20"/>
        <v>173.25</v>
      </c>
      <c r="DD19" s="280">
        <f t="shared" si="20"/>
        <v>0</v>
      </c>
      <c r="DE19" s="508">
        <f t="shared" si="35"/>
        <v>0</v>
      </c>
      <c r="DG19" s="293">
        <f t="shared" si="21"/>
        <v>0</v>
      </c>
      <c r="DH19" s="294"/>
      <c r="DI19" s="294"/>
      <c r="DJ19" s="295">
        <f t="shared" si="22"/>
        <v>0</v>
      </c>
      <c r="DK19" s="296">
        <f t="shared" si="36"/>
        <v>0</v>
      </c>
      <c r="DM19" s="197">
        <v>250.809</v>
      </c>
      <c r="DN19" s="247">
        <f t="shared" si="37"/>
        <v>270.80899999999997</v>
      </c>
      <c r="DP19" s="197">
        <v>140.05000000000001</v>
      </c>
      <c r="DQ19" s="247">
        <f t="shared" si="38"/>
        <v>173.25</v>
      </c>
    </row>
    <row r="20" spans="1:121" ht="16.5" customHeight="1" thickBot="1">
      <c r="A20" s="534">
        <v>14</v>
      </c>
      <c r="B20" s="103">
        <f t="shared" si="23"/>
        <v>299.03399999999999</v>
      </c>
      <c r="C20" s="104">
        <f t="shared" si="0"/>
        <v>0.64918805219473374</v>
      </c>
      <c r="D20" s="143">
        <f t="shared" si="1"/>
        <v>297.09270700000002</v>
      </c>
      <c r="E20" s="104">
        <f t="shared" ref="E20:E27" si="40">IF(B20=0,0,(BM20*CB20+BN20*CC20+BP20*CE20+BS20*CH20+BO20*CD20+BR20*CG20+BQ20*CF20)/B20)</f>
        <v>39.211885772186442</v>
      </c>
      <c r="F20" s="128">
        <f t="shared" si="3"/>
        <v>2.590499295900528</v>
      </c>
      <c r="G20" s="106"/>
      <c r="H20" s="107">
        <f t="shared" si="4"/>
        <v>2.1851123899708331</v>
      </c>
      <c r="I20" s="103">
        <f>'[1]сентябрь 20'!AE19</f>
        <v>0</v>
      </c>
      <c r="J20" s="103">
        <f>'[1]октябрь 20'!AA19</f>
        <v>6.5819999999999999</v>
      </c>
      <c r="K20" s="106">
        <v>18.48</v>
      </c>
      <c r="L20" s="103">
        <f>'[1]октябрь 20'!AI19</f>
        <v>46.491999999999997</v>
      </c>
      <c r="M20" s="103">
        <f t="shared" si="5"/>
        <v>0.40538690592969467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v>213.18</v>
      </c>
      <c r="S20" s="108">
        <f t="shared" si="6"/>
        <v>3.2789192231916786</v>
      </c>
      <c r="T20" s="109">
        <f t="shared" si="26"/>
        <v>206.19</v>
      </c>
      <c r="U20" s="566">
        <v>1.75</v>
      </c>
      <c r="V20" s="109">
        <f t="shared" si="7"/>
        <v>206.19</v>
      </c>
      <c r="W20" s="110">
        <f t="shared" si="8"/>
        <v>1.7978733144120222</v>
      </c>
      <c r="X20" s="110">
        <f t="shared" si="27"/>
        <v>1.7978733144120222</v>
      </c>
      <c r="Y20" s="136">
        <v>114.69</v>
      </c>
      <c r="Z20" s="130">
        <v>114.69</v>
      </c>
      <c r="AA20" s="131">
        <v>0.6</v>
      </c>
      <c r="AB20" s="112">
        <v>643</v>
      </c>
      <c r="AC20" s="133">
        <v>1049</v>
      </c>
      <c r="AD20" s="151" t="s">
        <v>222</v>
      </c>
      <c r="AE20" s="131">
        <v>76.98</v>
      </c>
      <c r="AF20" s="133">
        <v>94</v>
      </c>
      <c r="AG20" s="134">
        <v>3</v>
      </c>
      <c r="AH20" s="131"/>
      <c r="AI20" s="115">
        <f t="shared" si="9"/>
        <v>0</v>
      </c>
      <c r="AJ20" s="131">
        <v>66.8</v>
      </c>
      <c r="AK20" s="115">
        <f t="shared" si="10"/>
        <v>582.46247346002758</v>
      </c>
      <c r="AL20" s="139">
        <v>16.53</v>
      </c>
      <c r="AM20" s="131"/>
      <c r="AN20" s="136">
        <v>11.18</v>
      </c>
      <c r="AO20" s="466">
        <f t="shared" si="28"/>
        <v>28.794500000000003</v>
      </c>
      <c r="AP20" s="110">
        <f t="shared" si="11"/>
        <v>0.19</v>
      </c>
      <c r="AQ20" s="137" t="s">
        <v>364</v>
      </c>
      <c r="AR20" s="150">
        <v>6.91</v>
      </c>
      <c r="AS20" s="138">
        <v>9.06</v>
      </c>
      <c r="AT20" s="131"/>
      <c r="AU20" s="131">
        <v>6.96</v>
      </c>
      <c r="AV20" s="315">
        <v>151.55000000000001</v>
      </c>
      <c r="AW20" s="131">
        <v>3.11</v>
      </c>
      <c r="AX20" s="148"/>
      <c r="AY20" s="131"/>
      <c r="AZ20" s="109">
        <f t="shared" si="39"/>
        <v>0</v>
      </c>
      <c r="BA20" s="109">
        <f t="shared" si="12"/>
        <v>114.6855</v>
      </c>
      <c r="BB20" s="115">
        <f t="shared" si="29"/>
        <v>132.11315275036608</v>
      </c>
      <c r="BC20" s="140">
        <f t="shared" si="13"/>
        <v>3.6015549295774645</v>
      </c>
      <c r="BD20" s="141">
        <f t="shared" si="14"/>
        <v>4.5874200000000007</v>
      </c>
      <c r="BE20" s="128">
        <f t="shared" si="15"/>
        <v>0.75783856047385545</v>
      </c>
      <c r="BF20" s="141">
        <f t="shared" si="16"/>
        <v>8.1889749295774656</v>
      </c>
      <c r="BG20" s="535">
        <v>0.84699999999999998</v>
      </c>
      <c r="BH20" s="16">
        <f t="shared" si="30"/>
        <v>2790.1270000000004</v>
      </c>
      <c r="BI20" s="16">
        <f t="shared" si="17"/>
        <v>222.58064516129033</v>
      </c>
      <c r="BJ20" s="16">
        <f t="shared" si="31"/>
        <v>3116.1290322580639</v>
      </c>
      <c r="BK20" s="17">
        <f t="shared" si="18"/>
        <v>1</v>
      </c>
      <c r="BL20" s="16">
        <f t="shared" si="32"/>
        <v>3116.1290322580639</v>
      </c>
      <c r="BM20" s="254">
        <v>79.043000000000006</v>
      </c>
      <c r="BN20" s="197">
        <v>46.491999999999997</v>
      </c>
      <c r="BO20" s="230"/>
      <c r="BP20" s="266">
        <f t="shared" si="33"/>
        <v>173.499</v>
      </c>
      <c r="BQ20" s="313"/>
      <c r="BR20" s="230"/>
      <c r="BS20" s="259"/>
      <c r="BT20" s="199"/>
      <c r="BU20" s="200">
        <v>0.7</v>
      </c>
      <c r="BV20" s="200"/>
      <c r="BW20" s="200"/>
      <c r="BX20" s="200">
        <v>0.8</v>
      </c>
      <c r="BY20" s="208"/>
      <c r="BZ20" s="208"/>
      <c r="CA20" s="201"/>
      <c r="CB20" s="202">
        <v>37.21</v>
      </c>
      <c r="CC20" s="200">
        <v>43.63</v>
      </c>
      <c r="CD20" s="200"/>
      <c r="CE20" s="200">
        <v>38.94</v>
      </c>
      <c r="CF20" s="208"/>
      <c r="CG20" s="208"/>
      <c r="CH20" s="209"/>
      <c r="CI20" s="199"/>
      <c r="CJ20" s="197"/>
      <c r="CK20" s="230">
        <v>83.7</v>
      </c>
      <c r="CL20" s="266">
        <f t="shared" si="34"/>
        <v>122.49000000000001</v>
      </c>
      <c r="CM20" s="453"/>
      <c r="CN20" s="202"/>
      <c r="CO20" s="208"/>
      <c r="CP20" s="208"/>
      <c r="CQ20" s="201"/>
      <c r="CR20" s="201"/>
      <c r="CS20" s="284"/>
      <c r="CT20" s="286">
        <f t="shared" si="19"/>
        <v>78.489699000000002</v>
      </c>
      <c r="CU20" s="24">
        <f t="shared" si="19"/>
        <v>46.491999999999997</v>
      </c>
      <c r="CV20" s="25">
        <f t="shared" si="19"/>
        <v>0</v>
      </c>
      <c r="CW20" s="24">
        <f t="shared" si="19"/>
        <v>172.111008</v>
      </c>
      <c r="CX20" s="27">
        <f t="shared" si="19"/>
        <v>0</v>
      </c>
      <c r="CY20" s="30">
        <f t="shared" si="19"/>
        <v>0</v>
      </c>
      <c r="CZ20" s="280">
        <f t="shared" si="19"/>
        <v>0</v>
      </c>
      <c r="DA20" s="237">
        <f t="shared" si="20"/>
        <v>0</v>
      </c>
      <c r="DB20" s="29">
        <f t="shared" si="20"/>
        <v>83.7</v>
      </c>
      <c r="DC20" s="277">
        <f t="shared" si="20"/>
        <v>122.49000000000001</v>
      </c>
      <c r="DD20" s="280">
        <f t="shared" si="20"/>
        <v>0</v>
      </c>
      <c r="DE20" s="508">
        <f t="shared" si="35"/>
        <v>0</v>
      </c>
      <c r="DG20" s="293">
        <f t="shared" si="21"/>
        <v>0</v>
      </c>
      <c r="DH20" s="294"/>
      <c r="DI20" s="294"/>
      <c r="DJ20" s="295">
        <f t="shared" si="22"/>
        <v>0</v>
      </c>
      <c r="DK20" s="296">
        <f t="shared" si="36"/>
        <v>0</v>
      </c>
      <c r="DM20" s="197">
        <v>153.499</v>
      </c>
      <c r="DN20" s="247">
        <f t="shared" si="37"/>
        <v>173.499</v>
      </c>
      <c r="DP20" s="197">
        <v>89.29</v>
      </c>
      <c r="DQ20" s="247">
        <f t="shared" si="38"/>
        <v>122.49000000000001</v>
      </c>
    </row>
    <row r="21" spans="1:121" ht="16.5" customHeight="1" thickBot="1">
      <c r="A21" s="534">
        <v>15</v>
      </c>
      <c r="B21" s="103">
        <f t="shared" si="23"/>
        <v>485.19299999999998</v>
      </c>
      <c r="C21" s="104">
        <f t="shared" si="0"/>
        <v>0.63059384616018777</v>
      </c>
      <c r="D21" s="143">
        <f t="shared" si="1"/>
        <v>482.13340280000006</v>
      </c>
      <c r="E21" s="104">
        <f t="shared" si="40"/>
        <v>39.175832297662993</v>
      </c>
      <c r="F21" s="128">
        <f t="shared" si="3"/>
        <v>2.1802179741340333</v>
      </c>
      <c r="G21" s="106"/>
      <c r="H21" s="107">
        <f t="shared" si="4"/>
        <v>1.7439287455910284</v>
      </c>
      <c r="I21" s="103">
        <f>'[1]сентябрь 20'!AE20</f>
        <v>0</v>
      </c>
      <c r="J21" s="103">
        <f>'[1]октябрь 20'!AA20</f>
        <v>9.8550000000000004</v>
      </c>
      <c r="K21" s="106">
        <v>19.899999999999999</v>
      </c>
      <c r="L21" s="103">
        <f>'[1]октябрь 20'!AI20</f>
        <v>96.480999999999995</v>
      </c>
      <c r="M21" s="103">
        <f t="shared" si="5"/>
        <v>0.4362892285430045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v>326.14999999999998</v>
      </c>
      <c r="S21" s="108">
        <f t="shared" si="6"/>
        <v>3.3297562471255482</v>
      </c>
      <c r="T21" s="109">
        <f t="shared" si="26"/>
        <v>315.29000000000002</v>
      </c>
      <c r="U21" s="566">
        <v>122.89</v>
      </c>
      <c r="V21" s="109">
        <f t="shared" si="7"/>
        <v>315.29000000000002</v>
      </c>
      <c r="W21" s="110">
        <f t="shared" si="8"/>
        <v>1.4257483946821021</v>
      </c>
      <c r="X21" s="110">
        <f t="shared" si="27"/>
        <v>1.4257483946821021</v>
      </c>
      <c r="Y21" s="136">
        <v>221.14</v>
      </c>
      <c r="Z21" s="130">
        <v>179.84</v>
      </c>
      <c r="AA21" s="131">
        <v>0.81</v>
      </c>
      <c r="AB21" s="112">
        <v>645</v>
      </c>
      <c r="AC21" s="133">
        <v>1182</v>
      </c>
      <c r="AD21" s="151" t="s">
        <v>109</v>
      </c>
      <c r="AE21" s="131">
        <v>76.260000000000005</v>
      </c>
      <c r="AF21" s="133">
        <v>155</v>
      </c>
      <c r="AG21" s="134">
        <v>5</v>
      </c>
      <c r="AH21" s="131">
        <v>7.4</v>
      </c>
      <c r="AI21" s="115">
        <f t="shared" si="9"/>
        <v>33.462964637786023</v>
      </c>
      <c r="AJ21" s="131">
        <v>129.94999999999999</v>
      </c>
      <c r="AK21" s="115">
        <f t="shared" si="10"/>
        <v>587.63679117301263</v>
      </c>
      <c r="AL21" s="139">
        <v>27.48</v>
      </c>
      <c r="AM21" s="131"/>
      <c r="AN21" s="136">
        <v>12.18</v>
      </c>
      <c r="AO21" s="466">
        <f t="shared" si="28"/>
        <v>53.96</v>
      </c>
      <c r="AP21" s="110">
        <f t="shared" si="11"/>
        <v>0.19</v>
      </c>
      <c r="AQ21" s="137" t="s">
        <v>367</v>
      </c>
      <c r="AR21" s="150">
        <v>7.26</v>
      </c>
      <c r="AS21" s="138">
        <v>8.94</v>
      </c>
      <c r="AT21" s="131"/>
      <c r="AU21" s="131">
        <v>6.16</v>
      </c>
      <c r="AV21" s="315">
        <v>284</v>
      </c>
      <c r="AW21" s="131">
        <v>3.28</v>
      </c>
      <c r="AX21" s="116"/>
      <c r="AY21" s="131"/>
      <c r="AZ21" s="109">
        <f t="shared" si="39"/>
        <v>0</v>
      </c>
      <c r="BA21" s="109">
        <f t="shared" si="12"/>
        <v>221.14</v>
      </c>
      <c r="BB21" s="115">
        <f t="shared" si="29"/>
        <v>216.22350133593906</v>
      </c>
      <c r="BC21" s="140">
        <f t="shared" si="13"/>
        <v>6.2009943661971834</v>
      </c>
      <c r="BD21" s="141">
        <f t="shared" si="14"/>
        <v>8.8455999999999992</v>
      </c>
      <c r="BE21" s="128">
        <f t="shared" si="15"/>
        <v>0.89285030908854213</v>
      </c>
      <c r="BF21" s="141">
        <f t="shared" si="16"/>
        <v>15.046594366197183</v>
      </c>
      <c r="BG21" s="535">
        <v>0.85</v>
      </c>
      <c r="BH21" s="16">
        <f t="shared" si="30"/>
        <v>3011.2670000000003</v>
      </c>
      <c r="BI21" s="16">
        <f t="shared" si="17"/>
        <v>222.58064516129033</v>
      </c>
      <c r="BJ21" s="16">
        <f t="shared" si="31"/>
        <v>3338.7096774193542</v>
      </c>
      <c r="BK21" s="17">
        <f t="shared" si="18"/>
        <v>1</v>
      </c>
      <c r="BL21" s="16">
        <f t="shared" si="32"/>
        <v>3338.7096774193542</v>
      </c>
      <c r="BM21" s="254">
        <v>127.1</v>
      </c>
      <c r="BN21" s="197">
        <v>14.004</v>
      </c>
      <c r="BO21" s="230">
        <v>82.477000000000004</v>
      </c>
      <c r="BP21" s="266">
        <f t="shared" si="33"/>
        <v>261.61199999999997</v>
      </c>
      <c r="BQ21" s="313"/>
      <c r="BR21" s="230"/>
      <c r="BS21" s="259"/>
      <c r="BT21" s="199"/>
      <c r="BU21" s="200">
        <v>0.74</v>
      </c>
      <c r="BV21" s="200"/>
      <c r="BW21" s="200"/>
      <c r="BX21" s="200">
        <v>0.81</v>
      </c>
      <c r="BY21" s="208"/>
      <c r="BZ21" s="208"/>
      <c r="CA21" s="201"/>
      <c r="CB21" s="202">
        <v>37.6</v>
      </c>
      <c r="CC21" s="200">
        <v>43.28</v>
      </c>
      <c r="CD21" s="200">
        <v>43.4</v>
      </c>
      <c r="CE21" s="200">
        <v>38.39</v>
      </c>
      <c r="CF21" s="208"/>
      <c r="CG21" s="208"/>
      <c r="CH21" s="209"/>
      <c r="CI21" s="199"/>
      <c r="CJ21" s="197"/>
      <c r="CK21" s="230">
        <v>139.5</v>
      </c>
      <c r="CL21" s="266">
        <f t="shared" si="34"/>
        <v>175.79000000000002</v>
      </c>
      <c r="CM21" s="453"/>
      <c r="CN21" s="202"/>
      <c r="CO21" s="208"/>
      <c r="CP21" s="208"/>
      <c r="CQ21" s="201"/>
      <c r="CR21" s="201"/>
      <c r="CS21" s="284"/>
      <c r="CT21" s="286">
        <f t="shared" si="19"/>
        <v>126.15946</v>
      </c>
      <c r="CU21" s="27">
        <f t="shared" si="19"/>
        <v>14.004</v>
      </c>
      <c r="CV21" s="28">
        <f t="shared" si="19"/>
        <v>82.477000000000004</v>
      </c>
      <c r="CW21" s="27">
        <f t="shared" si="19"/>
        <v>259.49294279999998</v>
      </c>
      <c r="CX21" s="27">
        <f t="shared" si="19"/>
        <v>0</v>
      </c>
      <c r="CY21" s="24">
        <f t="shared" si="19"/>
        <v>0</v>
      </c>
      <c r="CZ21" s="281">
        <f t="shared" si="19"/>
        <v>0</v>
      </c>
      <c r="DA21" s="237">
        <f t="shared" si="20"/>
        <v>0</v>
      </c>
      <c r="DB21" s="24">
        <f t="shared" si="20"/>
        <v>139.5</v>
      </c>
      <c r="DC21" s="277">
        <f t="shared" si="20"/>
        <v>175.79000000000002</v>
      </c>
      <c r="DD21" s="280">
        <f t="shared" si="20"/>
        <v>0</v>
      </c>
      <c r="DE21" s="508">
        <f t="shared" si="35"/>
        <v>0</v>
      </c>
      <c r="DG21" s="293">
        <f t="shared" si="21"/>
        <v>0</v>
      </c>
      <c r="DH21" s="294"/>
      <c r="DI21" s="294"/>
      <c r="DJ21" s="295">
        <f t="shared" si="22"/>
        <v>0</v>
      </c>
      <c r="DK21" s="296">
        <f t="shared" si="36"/>
        <v>0</v>
      </c>
      <c r="DM21" s="197">
        <v>241.61199999999999</v>
      </c>
      <c r="DN21" s="247">
        <f t="shared" si="37"/>
        <v>261.61199999999997</v>
      </c>
      <c r="DP21" s="197">
        <v>142.59</v>
      </c>
      <c r="DQ21" s="247">
        <f t="shared" si="38"/>
        <v>175.79000000000002</v>
      </c>
    </row>
    <row r="22" spans="1:121" ht="16.5" customHeight="1" thickBot="1">
      <c r="A22" s="534">
        <v>16</v>
      </c>
      <c r="B22" s="103">
        <f t="shared" si="23"/>
        <v>494.54300000000001</v>
      </c>
      <c r="C22" s="104">
        <f t="shared" si="0"/>
        <v>1.6817887423338311</v>
      </c>
      <c r="D22" s="143">
        <f t="shared" si="1"/>
        <v>486.22583149999997</v>
      </c>
      <c r="E22" s="104">
        <f>IF(B22=0,0,(BM22*CB22+BN22*CC22+BP22*CE22+BS22*CH22+BO22*CD22+BR22*CG22+BQ22*CF22)/B22)</f>
        <v>39.350532734261733</v>
      </c>
      <c r="F22" s="128">
        <f t="shared" si="3"/>
        <v>2.0361471521836538</v>
      </c>
      <c r="G22" s="106"/>
      <c r="H22" s="107">
        <f t="shared" si="4"/>
        <v>1.5565892012881235</v>
      </c>
      <c r="I22" s="103">
        <f>'[1]сентябрь 20'!AE21</f>
        <v>0</v>
      </c>
      <c r="J22" s="103">
        <f>'[1]октябрь 20'!AA21</f>
        <v>9.6039999999999992</v>
      </c>
      <c r="K22" s="106">
        <v>29.81</v>
      </c>
      <c r="L22" s="103">
        <f>'[1]октябрь 20'!AI21</f>
        <v>114.517</v>
      </c>
      <c r="M22" s="103">
        <f t="shared" si="5"/>
        <v>0.47955795089553055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v>329.37</v>
      </c>
      <c r="S22" s="108">
        <f t="shared" si="6"/>
        <v>3.3063120502778043</v>
      </c>
      <c r="T22" s="109">
        <f t="shared" si="26"/>
        <v>318.48</v>
      </c>
      <c r="U22" s="566">
        <v>4.5199999999999996</v>
      </c>
      <c r="V22" s="109">
        <f t="shared" si="7"/>
        <v>318.48</v>
      </c>
      <c r="W22" s="110">
        <f t="shared" si="8"/>
        <v>1.3336850965464393</v>
      </c>
      <c r="X22" s="110">
        <f t="shared" si="27"/>
        <v>1.3336850965464393</v>
      </c>
      <c r="Y22" s="136">
        <v>238.8</v>
      </c>
      <c r="Z22" s="129">
        <v>140.63999999999999</v>
      </c>
      <c r="AA22" s="131">
        <v>0.95</v>
      </c>
      <c r="AB22" s="112">
        <v>647</v>
      </c>
      <c r="AC22" s="152">
        <v>1232</v>
      </c>
      <c r="AD22" s="144" t="s">
        <v>187</v>
      </c>
      <c r="AE22" s="131">
        <v>76.64</v>
      </c>
      <c r="AF22" s="133">
        <v>158</v>
      </c>
      <c r="AG22" s="134">
        <v>5</v>
      </c>
      <c r="AH22" s="131">
        <v>5.15</v>
      </c>
      <c r="AI22" s="115">
        <f t="shared" si="9"/>
        <v>21.566435089218043</v>
      </c>
      <c r="AJ22" s="131">
        <v>116.95</v>
      </c>
      <c r="AK22" s="115">
        <f t="shared" si="10"/>
        <v>489.74652110369902</v>
      </c>
      <c r="AL22" s="139">
        <v>33.979999999999997</v>
      </c>
      <c r="AM22" s="131"/>
      <c r="AN22" s="136">
        <v>17.62</v>
      </c>
      <c r="AO22" s="466">
        <f t="shared" si="28"/>
        <v>59.222999999999999</v>
      </c>
      <c r="AP22" s="110">
        <f t="shared" si="11"/>
        <v>0.19</v>
      </c>
      <c r="AQ22" s="137" t="s">
        <v>459</v>
      </c>
      <c r="AR22" s="150">
        <v>7.6</v>
      </c>
      <c r="AS22" s="138">
        <v>9.5299999999999994</v>
      </c>
      <c r="AT22" s="134"/>
      <c r="AU22" s="131">
        <v>5.15</v>
      </c>
      <c r="AV22" s="315">
        <v>311.7</v>
      </c>
      <c r="AW22" s="131">
        <v>3.94</v>
      </c>
      <c r="AX22" s="116"/>
      <c r="AY22" s="131"/>
      <c r="AZ22" s="109">
        <f t="shared" si="39"/>
        <v>0</v>
      </c>
      <c r="BA22" s="109">
        <f t="shared" si="12"/>
        <v>238.79699999999997</v>
      </c>
      <c r="BB22" s="115">
        <f t="shared" si="29"/>
        <v>217.94524165385519</v>
      </c>
      <c r="BC22" s="140">
        <f t="shared" si="13"/>
        <v>4.6656461267605627</v>
      </c>
      <c r="BD22" s="141">
        <f t="shared" si="14"/>
        <v>9.5518799999999988</v>
      </c>
      <c r="BE22" s="128">
        <f t="shared" si="15"/>
        <v>0.9565236635498362</v>
      </c>
      <c r="BF22" s="141">
        <f t="shared" si="16"/>
        <v>14.217526126760561</v>
      </c>
      <c r="BG22" s="535">
        <v>0.85699999999999998</v>
      </c>
      <c r="BH22" s="16">
        <f t="shared" si="30"/>
        <v>3250.0640000000003</v>
      </c>
      <c r="BI22" s="16">
        <f t="shared" si="17"/>
        <v>222.58064516129033</v>
      </c>
      <c r="BJ22" s="16">
        <f t="shared" si="31"/>
        <v>3561.2903225806444</v>
      </c>
      <c r="BK22" s="17">
        <f t="shared" si="18"/>
        <v>1</v>
      </c>
      <c r="BL22" s="16">
        <f t="shared" si="32"/>
        <v>3561.2903225806444</v>
      </c>
      <c r="BM22" s="254">
        <v>126.413</v>
      </c>
      <c r="BN22" s="197">
        <v>19.597000000000001</v>
      </c>
      <c r="BO22" s="230">
        <v>94.92</v>
      </c>
      <c r="BP22" s="266">
        <f t="shared" si="33"/>
        <v>253.613</v>
      </c>
      <c r="BQ22" s="313"/>
      <c r="BR22" s="230"/>
      <c r="BS22" s="258"/>
      <c r="BT22" s="199"/>
      <c r="BU22" s="200">
        <v>0.34</v>
      </c>
      <c r="BV22" s="200"/>
      <c r="BW22" s="200"/>
      <c r="BX22" s="200">
        <v>3.11</v>
      </c>
      <c r="BY22" s="208"/>
      <c r="BZ22" s="208"/>
      <c r="CA22" s="201"/>
      <c r="CB22" s="202">
        <v>37.78</v>
      </c>
      <c r="CC22" s="200">
        <v>43.59</v>
      </c>
      <c r="CD22" s="200">
        <v>43.16</v>
      </c>
      <c r="CE22" s="200">
        <v>38.380000000000003</v>
      </c>
      <c r="CF22" s="208"/>
      <c r="CG22" s="208"/>
      <c r="CH22" s="201"/>
      <c r="CI22" s="199"/>
      <c r="CJ22" s="197"/>
      <c r="CK22" s="230">
        <v>142.19999999999999</v>
      </c>
      <c r="CL22" s="266">
        <f t="shared" si="34"/>
        <v>176.28000000000003</v>
      </c>
      <c r="CM22" s="453"/>
      <c r="CN22" s="202"/>
      <c r="CO22" s="200"/>
      <c r="CP22" s="208"/>
      <c r="CQ22" s="201"/>
      <c r="CR22" s="201"/>
      <c r="CS22" s="284"/>
      <c r="CT22" s="286">
        <f t="shared" si="19"/>
        <v>125.98319579999999</v>
      </c>
      <c r="CU22" s="29">
        <f t="shared" si="19"/>
        <v>19.597000000000001</v>
      </c>
      <c r="CV22" s="30">
        <f t="shared" si="19"/>
        <v>94.92</v>
      </c>
      <c r="CW22" s="29">
        <f t="shared" si="19"/>
        <v>245.7256357</v>
      </c>
      <c r="CX22" s="27">
        <f t="shared" si="19"/>
        <v>0</v>
      </c>
      <c r="CY22" s="24">
        <f t="shared" si="19"/>
        <v>0</v>
      </c>
      <c r="CZ22" s="282">
        <f t="shared" si="19"/>
        <v>0</v>
      </c>
      <c r="DA22" s="237">
        <f t="shared" si="20"/>
        <v>0</v>
      </c>
      <c r="DB22" s="24">
        <f t="shared" si="20"/>
        <v>142.19999999999999</v>
      </c>
      <c r="DC22" s="277">
        <f t="shared" si="20"/>
        <v>176.28000000000003</v>
      </c>
      <c r="DD22" s="280">
        <f t="shared" si="20"/>
        <v>0</v>
      </c>
      <c r="DE22" s="508">
        <f t="shared" si="35"/>
        <v>0</v>
      </c>
      <c r="DG22" s="293">
        <f t="shared" si="21"/>
        <v>0</v>
      </c>
      <c r="DH22" s="294"/>
      <c r="DI22" s="294"/>
      <c r="DJ22" s="295">
        <f t="shared" si="22"/>
        <v>0</v>
      </c>
      <c r="DK22" s="296">
        <f t="shared" si="36"/>
        <v>0</v>
      </c>
      <c r="DM22" s="197">
        <v>233.613</v>
      </c>
      <c r="DN22" s="247">
        <f t="shared" si="37"/>
        <v>253.613</v>
      </c>
      <c r="DP22" s="197">
        <v>143.08000000000001</v>
      </c>
      <c r="DQ22" s="247">
        <f t="shared" si="38"/>
        <v>176.28000000000003</v>
      </c>
    </row>
    <row r="23" spans="1:121" ht="16.5" customHeight="1" thickBot="1">
      <c r="A23" s="534">
        <v>17</v>
      </c>
      <c r="B23" s="103">
        <f t="shared" si="23"/>
        <v>500.05700000000002</v>
      </c>
      <c r="C23" s="104">
        <f t="shared" si="0"/>
        <v>0.73791635753524087</v>
      </c>
      <c r="D23" s="143">
        <f t="shared" si="1"/>
        <v>496.36699760000005</v>
      </c>
      <c r="E23" s="104">
        <f t="shared" si="40"/>
        <v>39.764385060103152</v>
      </c>
      <c r="F23" s="128">
        <f t="shared" si="3"/>
        <v>2.1943285725969202</v>
      </c>
      <c r="G23" s="106"/>
      <c r="H23" s="107">
        <f t="shared" si="4"/>
        <v>1.6637113656005957</v>
      </c>
      <c r="I23" s="103">
        <f>'[1]сентябрь 20'!AE22</f>
        <v>0</v>
      </c>
      <c r="J23" s="103">
        <f>'[1]октябрь 20'!AA22</f>
        <v>9.6010000000000009</v>
      </c>
      <c r="K23" s="106"/>
      <c r="L23" s="103">
        <f>'[1]октябрь 20'!AI22</f>
        <v>120.02800000000001</v>
      </c>
      <c r="M23" s="103">
        <f t="shared" si="5"/>
        <v>0.5306172069963242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v>333.25</v>
      </c>
      <c r="S23" s="108">
        <f t="shared" si="6"/>
        <v>3.6159039759940059</v>
      </c>
      <c r="T23" s="109">
        <f t="shared" si="26"/>
        <v>321.2</v>
      </c>
      <c r="U23" s="566">
        <v>14.65</v>
      </c>
      <c r="V23" s="109">
        <f t="shared" si="7"/>
        <v>321.2</v>
      </c>
      <c r="W23" s="110">
        <f t="shared" si="8"/>
        <v>1.4199540681109351</v>
      </c>
      <c r="X23" s="110">
        <f t="shared" si="27"/>
        <v>1.4199540681109351</v>
      </c>
      <c r="Y23" s="136">
        <v>226.2</v>
      </c>
      <c r="Z23" s="129">
        <v>226.2</v>
      </c>
      <c r="AA23" s="131">
        <v>0.56000000000000005</v>
      </c>
      <c r="AB23" s="112">
        <v>674</v>
      </c>
      <c r="AC23" s="133">
        <v>1227</v>
      </c>
      <c r="AD23" s="144" t="s">
        <v>149</v>
      </c>
      <c r="AE23" s="131">
        <v>76.06</v>
      </c>
      <c r="AF23" s="133">
        <v>160</v>
      </c>
      <c r="AG23" s="134">
        <v>5</v>
      </c>
      <c r="AH23" s="131"/>
      <c r="AI23" s="115">
        <f t="shared" si="9"/>
        <v>0</v>
      </c>
      <c r="AJ23" s="131">
        <v>134.4</v>
      </c>
      <c r="AK23" s="115">
        <f t="shared" si="10"/>
        <v>594.15263622076486</v>
      </c>
      <c r="AL23" s="139">
        <v>29.79</v>
      </c>
      <c r="AM23" s="131"/>
      <c r="AN23" s="136">
        <v>14.65</v>
      </c>
      <c r="AO23" s="466">
        <f t="shared" si="28"/>
        <v>55.375499999999995</v>
      </c>
      <c r="AP23" s="110">
        <f t="shared" si="11"/>
        <v>0.19</v>
      </c>
      <c r="AQ23" s="137" t="s">
        <v>361</v>
      </c>
      <c r="AR23" s="150">
        <v>7.18</v>
      </c>
      <c r="AS23" s="138">
        <v>9.27</v>
      </c>
      <c r="AT23" s="134"/>
      <c r="AU23" s="131">
        <v>6.39</v>
      </c>
      <c r="AV23" s="315">
        <v>291.45</v>
      </c>
      <c r="AW23" s="131">
        <v>4.78</v>
      </c>
      <c r="AX23" s="116"/>
      <c r="AY23" s="131"/>
      <c r="AZ23" s="109">
        <f t="shared" si="39"/>
        <v>0</v>
      </c>
      <c r="BA23" s="109">
        <f t="shared" si="12"/>
        <v>226.2045</v>
      </c>
      <c r="BB23" s="115">
        <f t="shared" si="29"/>
        <v>226.54531835241386</v>
      </c>
      <c r="BC23" s="140">
        <f t="shared" si="13"/>
        <v>6.6528</v>
      </c>
      <c r="BD23" s="141">
        <f t="shared" si="14"/>
        <v>9.0481800000000003</v>
      </c>
      <c r="BE23" s="128">
        <f t="shared" si="15"/>
        <v>0.87168664502175042</v>
      </c>
      <c r="BF23" s="141">
        <f t="shared" si="16"/>
        <v>15.700980000000001</v>
      </c>
      <c r="BG23" s="535">
        <v>0.85799999999999998</v>
      </c>
      <c r="BH23" s="16">
        <f t="shared" si="30"/>
        <v>3476.2685000000001</v>
      </c>
      <c r="BI23" s="16">
        <f t="shared" si="17"/>
        <v>222.58064516129033</v>
      </c>
      <c r="BJ23" s="16">
        <f t="shared" si="31"/>
        <v>3783.8709677419347</v>
      </c>
      <c r="BK23" s="17">
        <f t="shared" si="18"/>
        <v>1</v>
      </c>
      <c r="BL23" s="16">
        <f t="shared" si="32"/>
        <v>3783.8709677419347</v>
      </c>
      <c r="BM23" s="254">
        <v>127.992</v>
      </c>
      <c r="BN23" s="197">
        <v>23.991</v>
      </c>
      <c r="BO23" s="230">
        <v>96.037000000000006</v>
      </c>
      <c r="BP23" s="266">
        <f t="shared" si="33"/>
        <v>252.03700000000001</v>
      </c>
      <c r="BQ23" s="313"/>
      <c r="BR23" s="230"/>
      <c r="BS23" s="258"/>
      <c r="BT23" s="199"/>
      <c r="BU23" s="200">
        <v>0.52</v>
      </c>
      <c r="BV23" s="200"/>
      <c r="BW23" s="200"/>
      <c r="BX23" s="200">
        <v>1.2</v>
      </c>
      <c r="BY23" s="208"/>
      <c r="BZ23" s="208"/>
      <c r="CA23" s="201"/>
      <c r="CB23" s="202">
        <v>38.090000000000003</v>
      </c>
      <c r="CC23" s="200">
        <v>43.6</v>
      </c>
      <c r="CD23" s="200">
        <v>43.07</v>
      </c>
      <c r="CE23" s="200">
        <v>38.99</v>
      </c>
      <c r="CF23" s="208"/>
      <c r="CG23" s="208"/>
      <c r="CH23" s="209"/>
      <c r="CI23" s="199"/>
      <c r="CJ23" s="197"/>
      <c r="CK23" s="230">
        <v>144</v>
      </c>
      <c r="CL23" s="266">
        <f t="shared" si="34"/>
        <v>177.2</v>
      </c>
      <c r="CM23" s="453"/>
      <c r="CN23" s="202"/>
      <c r="CO23" s="208"/>
      <c r="CP23" s="208"/>
      <c r="CQ23" s="201"/>
      <c r="CR23" s="201"/>
      <c r="CS23" s="284"/>
      <c r="CT23" s="286">
        <f t="shared" si="19"/>
        <v>127.32644160000001</v>
      </c>
      <c r="CU23" s="24">
        <f t="shared" si="19"/>
        <v>23.991</v>
      </c>
      <c r="CV23" s="25">
        <f t="shared" si="19"/>
        <v>96.037000000000006</v>
      </c>
      <c r="CW23" s="24">
        <f t="shared" si="19"/>
        <v>249.01255599999999</v>
      </c>
      <c r="CX23" s="27">
        <f t="shared" si="19"/>
        <v>0</v>
      </c>
      <c r="CY23" s="24">
        <f t="shared" si="19"/>
        <v>0</v>
      </c>
      <c r="CZ23" s="280">
        <f t="shared" si="19"/>
        <v>0</v>
      </c>
      <c r="DA23" s="237">
        <f t="shared" si="20"/>
        <v>0</v>
      </c>
      <c r="DB23" s="29">
        <f t="shared" si="20"/>
        <v>144</v>
      </c>
      <c r="DC23" s="277">
        <f t="shared" si="20"/>
        <v>177.2</v>
      </c>
      <c r="DD23" s="280">
        <f t="shared" si="20"/>
        <v>0</v>
      </c>
      <c r="DE23" s="508">
        <f t="shared" si="35"/>
        <v>0</v>
      </c>
      <c r="DG23" s="293">
        <f t="shared" si="21"/>
        <v>0</v>
      </c>
      <c r="DH23" s="294"/>
      <c r="DI23" s="294"/>
      <c r="DJ23" s="295">
        <f t="shared" si="22"/>
        <v>0</v>
      </c>
      <c r="DK23" s="296">
        <f t="shared" si="36"/>
        <v>0</v>
      </c>
      <c r="DM23" s="197">
        <v>232.03700000000001</v>
      </c>
      <c r="DN23" s="247">
        <f t="shared" si="37"/>
        <v>252.03700000000001</v>
      </c>
      <c r="DP23" s="197">
        <v>144</v>
      </c>
      <c r="DQ23" s="247">
        <f t="shared" si="38"/>
        <v>177.2</v>
      </c>
    </row>
    <row r="24" spans="1:121" ht="16.5" customHeight="1" thickBot="1">
      <c r="A24" s="534">
        <v>18</v>
      </c>
      <c r="B24" s="103">
        <f t="shared" si="23"/>
        <v>518.05200000000002</v>
      </c>
      <c r="C24" s="104">
        <f t="shared" si="0"/>
        <v>0.47773632762734236</v>
      </c>
      <c r="D24" s="143">
        <f t="shared" si="1"/>
        <v>515.57707740000001</v>
      </c>
      <c r="E24" s="104">
        <f t="shared" si="40"/>
        <v>39.552363700941221</v>
      </c>
      <c r="F24" s="128">
        <f t="shared" si="3"/>
        <v>2.1192613388194337</v>
      </c>
      <c r="G24" s="106"/>
      <c r="H24" s="107">
        <f t="shared" si="4"/>
        <v>1.607434504473213</v>
      </c>
      <c r="I24" s="103">
        <f>'[1]сентябрь 20'!AE23</f>
        <v>0</v>
      </c>
      <c r="J24" s="103">
        <f>'[1]октябрь 20'!AA23</f>
        <v>9.9619999999999997</v>
      </c>
      <c r="K24" s="106">
        <v>30.86</v>
      </c>
      <c r="L24" s="103">
        <f>'[1]октябрь 20'!AI23</f>
        <v>124.518</v>
      </c>
      <c r="M24" s="103">
        <f t="shared" si="5"/>
        <v>0.51182683434622034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v>343.42</v>
      </c>
      <c r="S24" s="108">
        <f t="shared" si="6"/>
        <v>3.3253741773921153</v>
      </c>
      <c r="T24" s="109">
        <f t="shared" si="26"/>
        <v>332</v>
      </c>
      <c r="U24" s="106">
        <v>24.95</v>
      </c>
      <c r="V24" s="109">
        <f t="shared" si="7"/>
        <v>332</v>
      </c>
      <c r="W24" s="110">
        <f t="shared" si="8"/>
        <v>1.3646742559545217</v>
      </c>
      <c r="X24" s="110">
        <f t="shared" si="27"/>
        <v>1.3646742559545217</v>
      </c>
      <c r="Y24" s="136">
        <v>243.28</v>
      </c>
      <c r="Z24" s="129">
        <v>243.28</v>
      </c>
      <c r="AA24" s="131">
        <v>0.45</v>
      </c>
      <c r="AB24" s="133">
        <v>664</v>
      </c>
      <c r="AC24" s="133">
        <v>1237</v>
      </c>
      <c r="AD24" s="144" t="s">
        <v>174</v>
      </c>
      <c r="AE24" s="131">
        <v>76.239999999999995</v>
      </c>
      <c r="AF24" s="133">
        <v>166</v>
      </c>
      <c r="AG24" s="134">
        <v>5</v>
      </c>
      <c r="AH24" s="131">
        <v>6.95</v>
      </c>
      <c r="AI24" s="115">
        <f t="shared" si="9"/>
        <v>28.567729153264843</v>
      </c>
      <c r="AJ24" s="131">
        <v>124.05</v>
      </c>
      <c r="AK24" s="115">
        <f t="shared" si="10"/>
        <v>509.90313690107956</v>
      </c>
      <c r="AL24" s="139">
        <v>33.020000000000003</v>
      </c>
      <c r="AM24" s="131"/>
      <c r="AN24" s="136">
        <v>15.16</v>
      </c>
      <c r="AO24" s="466">
        <f t="shared" si="28"/>
        <v>59.498499999999993</v>
      </c>
      <c r="AP24" s="110">
        <f t="shared" si="11"/>
        <v>0.19</v>
      </c>
      <c r="AQ24" s="137" t="s">
        <v>367</v>
      </c>
      <c r="AR24" s="150">
        <v>6.95</v>
      </c>
      <c r="AS24" s="138">
        <v>9</v>
      </c>
      <c r="AT24" s="134"/>
      <c r="AU24" s="131">
        <v>5.92</v>
      </c>
      <c r="AV24" s="315">
        <v>313.14999999999998</v>
      </c>
      <c r="AW24" s="131">
        <v>4.79</v>
      </c>
      <c r="AX24" s="116"/>
      <c r="AY24" s="131"/>
      <c r="AZ24" s="109">
        <f t="shared" si="39"/>
        <v>0</v>
      </c>
      <c r="BA24" s="109">
        <f t="shared" si="12"/>
        <v>243.28149999999999</v>
      </c>
      <c r="BB24" s="115">
        <f t="shared" si="29"/>
        <v>233.50565302835253</v>
      </c>
      <c r="BC24" s="140">
        <f t="shared" si="13"/>
        <v>5.6888281690140836</v>
      </c>
      <c r="BD24" s="141"/>
      <c r="BE24" s="128">
        <f t="shared" si="15"/>
        <v>0.90954864152351811</v>
      </c>
      <c r="BF24" s="141">
        <f t="shared" si="16"/>
        <v>5.6888281690140836</v>
      </c>
      <c r="BG24" s="535">
        <v>0.86099999999999999</v>
      </c>
      <c r="BH24" s="16">
        <f t="shared" si="30"/>
        <v>3719.55</v>
      </c>
      <c r="BI24" s="16">
        <f t="shared" si="17"/>
        <v>222.58064516129033</v>
      </c>
      <c r="BJ24" s="16">
        <f t="shared" si="31"/>
        <v>4006.4516129032249</v>
      </c>
      <c r="BK24" s="17">
        <f t="shared" si="18"/>
        <v>1</v>
      </c>
      <c r="BL24" s="16">
        <f t="shared" si="32"/>
        <v>4006.4516129032249</v>
      </c>
      <c r="BM24" s="254">
        <v>132.786</v>
      </c>
      <c r="BN24" s="197">
        <v>24.835999999999999</v>
      </c>
      <c r="BO24" s="230">
        <v>99.682000000000002</v>
      </c>
      <c r="BP24" s="266">
        <f t="shared" si="33"/>
        <v>260.74799999999999</v>
      </c>
      <c r="BQ24" s="313"/>
      <c r="BR24" s="230"/>
      <c r="BS24" s="258"/>
      <c r="BT24" s="199"/>
      <c r="BU24" s="200">
        <v>0.45</v>
      </c>
      <c r="BV24" s="200"/>
      <c r="BW24" s="200"/>
      <c r="BX24" s="200">
        <v>0.72</v>
      </c>
      <c r="BY24" s="208"/>
      <c r="BZ24" s="208"/>
      <c r="CA24" s="201"/>
      <c r="CB24" s="202">
        <v>37.49</v>
      </c>
      <c r="CC24" s="200">
        <v>43.26</v>
      </c>
      <c r="CD24" s="200">
        <v>43.03</v>
      </c>
      <c r="CE24" s="200">
        <v>38.92</v>
      </c>
      <c r="CF24" s="208"/>
      <c r="CG24" s="208"/>
      <c r="CH24" s="209"/>
      <c r="CI24" s="199"/>
      <c r="CJ24" s="197"/>
      <c r="CK24" s="230">
        <v>149.4</v>
      </c>
      <c r="CL24" s="266">
        <f t="shared" si="34"/>
        <v>182.60000000000002</v>
      </c>
      <c r="CM24" s="453"/>
      <c r="CN24" s="202"/>
      <c r="CO24" s="208"/>
      <c r="CP24" s="208"/>
      <c r="CQ24" s="201"/>
      <c r="CR24" s="201"/>
      <c r="CS24" s="284"/>
      <c r="CT24" s="286">
        <f t="shared" si="19"/>
        <v>132.18846299999998</v>
      </c>
      <c r="CU24" s="29">
        <f t="shared" si="19"/>
        <v>24.835999999999999</v>
      </c>
      <c r="CV24" s="30">
        <f t="shared" si="19"/>
        <v>99.682000000000002</v>
      </c>
      <c r="CW24" s="29">
        <f t="shared" si="19"/>
        <v>258.87061440000002</v>
      </c>
      <c r="CX24" s="27">
        <f t="shared" si="19"/>
        <v>0</v>
      </c>
      <c r="CY24" s="27">
        <f t="shared" si="19"/>
        <v>0</v>
      </c>
      <c r="CZ24" s="282">
        <f t="shared" si="19"/>
        <v>0</v>
      </c>
      <c r="DA24" s="25">
        <f t="shared" si="20"/>
        <v>0</v>
      </c>
      <c r="DB24" s="26">
        <f t="shared" si="20"/>
        <v>149.4</v>
      </c>
      <c r="DC24" s="277">
        <f t="shared" si="20"/>
        <v>182.60000000000002</v>
      </c>
      <c r="DD24" s="280">
        <f t="shared" si="20"/>
        <v>0</v>
      </c>
      <c r="DE24" s="508">
        <f t="shared" si="35"/>
        <v>0</v>
      </c>
      <c r="DG24" s="293">
        <f t="shared" si="21"/>
        <v>0</v>
      </c>
      <c r="DH24" s="294"/>
      <c r="DI24" s="294"/>
      <c r="DJ24" s="295">
        <f t="shared" si="22"/>
        <v>0</v>
      </c>
      <c r="DK24" s="296">
        <f t="shared" si="36"/>
        <v>0</v>
      </c>
      <c r="DM24" s="197">
        <v>240.74799999999999</v>
      </c>
      <c r="DN24" s="247">
        <f t="shared" si="37"/>
        <v>260.74799999999999</v>
      </c>
      <c r="DP24" s="197">
        <v>149.4</v>
      </c>
      <c r="DQ24" s="247">
        <f t="shared" si="38"/>
        <v>182.60000000000002</v>
      </c>
    </row>
    <row r="25" spans="1:121" ht="16.5" customHeight="1" thickBot="1">
      <c r="A25" s="534">
        <v>19</v>
      </c>
      <c r="B25" s="103">
        <f t="shared" si="23"/>
        <v>500.01599999999996</v>
      </c>
      <c r="C25" s="104">
        <f t="shared" si="0"/>
        <v>0.55183072141691458</v>
      </c>
      <c r="D25" s="143">
        <f t="shared" si="1"/>
        <v>497.2567580999999</v>
      </c>
      <c r="E25" s="104">
        <f t="shared" si="40"/>
        <v>39.789025871172122</v>
      </c>
      <c r="F25" s="128">
        <f t="shared" si="3"/>
        <v>2.2073125889460528</v>
      </c>
      <c r="G25" s="106"/>
      <c r="H25" s="107">
        <f t="shared" si="4"/>
        <v>1.6749013796348498</v>
      </c>
      <c r="I25" s="103">
        <f>'[1]сентябрь 20'!AE24</f>
        <v>0</v>
      </c>
      <c r="J25" s="103">
        <f>'[1]октябрь 20'!AA24</f>
        <v>10.664</v>
      </c>
      <c r="K25" s="106">
        <v>19.78</v>
      </c>
      <c r="L25" s="103">
        <f>'[1]октябрь 20'!AI24</f>
        <v>119.94</v>
      </c>
      <c r="M25" s="103">
        <f t="shared" si="5"/>
        <v>0.53241120931120356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v>331.65</v>
      </c>
      <c r="S25" s="108">
        <f t="shared" si="6"/>
        <v>3.3680084426352952</v>
      </c>
      <c r="T25" s="109">
        <f t="shared" si="26"/>
        <v>320.48</v>
      </c>
      <c r="U25" s="566">
        <v>13.21</v>
      </c>
      <c r="V25" s="109">
        <f t="shared" si="7"/>
        <v>320.48</v>
      </c>
      <c r="W25" s="110">
        <f t="shared" si="8"/>
        <v>1.4226041717529976</v>
      </c>
      <c r="X25" s="110">
        <f t="shared" si="27"/>
        <v>1.4226041717529976</v>
      </c>
      <c r="Y25" s="136">
        <v>225.28</v>
      </c>
      <c r="Z25" s="129">
        <v>225.28</v>
      </c>
      <c r="AA25" s="131">
        <v>0.73</v>
      </c>
      <c r="AB25" s="133">
        <v>674</v>
      </c>
      <c r="AC25" s="133">
        <v>1232</v>
      </c>
      <c r="AD25" s="144" t="s">
        <v>181</v>
      </c>
      <c r="AE25" s="131">
        <v>76.06</v>
      </c>
      <c r="AF25" s="133">
        <v>160</v>
      </c>
      <c r="AG25" s="134">
        <v>5</v>
      </c>
      <c r="AH25" s="131">
        <v>8.35</v>
      </c>
      <c r="AI25" s="115">
        <f t="shared" si="9"/>
        <v>37.06547938759838</v>
      </c>
      <c r="AJ25" s="131">
        <v>117.85</v>
      </c>
      <c r="AK25" s="115">
        <f t="shared" si="10"/>
        <v>523.13374201538556</v>
      </c>
      <c r="AL25" s="139">
        <v>29.41</v>
      </c>
      <c r="AM25" s="131"/>
      <c r="AN25" s="136">
        <v>13.53</v>
      </c>
      <c r="AO25" s="466">
        <f t="shared" si="28"/>
        <v>55.232999999999997</v>
      </c>
      <c r="AP25" s="110">
        <f t="shared" si="11"/>
        <v>0.19</v>
      </c>
      <c r="AQ25" s="137" t="s">
        <v>460</v>
      </c>
      <c r="AR25" s="150">
        <v>7.16</v>
      </c>
      <c r="AS25" s="138">
        <v>8.61</v>
      </c>
      <c r="AT25" s="153"/>
      <c r="AU25" s="131">
        <v>5.45</v>
      </c>
      <c r="AV25" s="315">
        <v>290.7</v>
      </c>
      <c r="AW25" s="131">
        <v>3.34</v>
      </c>
      <c r="AX25" s="148"/>
      <c r="AY25" s="131"/>
      <c r="AZ25" s="109">
        <f t="shared" si="39"/>
        <v>0</v>
      </c>
      <c r="BA25" s="109">
        <f t="shared" si="12"/>
        <v>225.27699999999999</v>
      </c>
      <c r="BB25" s="115">
        <f t="shared" si="29"/>
        <v>227.09204624045165</v>
      </c>
      <c r="BC25" s="140">
        <f t="shared" si="13"/>
        <v>4.9754278169014086</v>
      </c>
      <c r="BD25" s="141">
        <f t="shared" ref="BD25:BD37" si="41">BA25*$BD$6</f>
        <v>9.0110799999999998</v>
      </c>
      <c r="BE25" s="128">
        <f t="shared" si="15"/>
        <v>0.86602249729065117</v>
      </c>
      <c r="BF25" s="141">
        <f t="shared" si="16"/>
        <v>13.986507816901408</v>
      </c>
      <c r="BG25" s="535">
        <v>0.86199999999999999</v>
      </c>
      <c r="BH25" s="16">
        <f t="shared" si="30"/>
        <v>3944.8270000000002</v>
      </c>
      <c r="BI25" s="16">
        <f t="shared" si="17"/>
        <v>222.58064516129033</v>
      </c>
      <c r="BJ25" s="16">
        <f t="shared" si="31"/>
        <v>4229.0322580645152</v>
      </c>
      <c r="BK25" s="17">
        <f t="shared" si="18"/>
        <v>1</v>
      </c>
      <c r="BL25" s="16">
        <f t="shared" si="32"/>
        <v>4229.0322580645152</v>
      </c>
      <c r="BM25" s="254">
        <v>32.420999999999999</v>
      </c>
      <c r="BN25" s="197">
        <v>23.978000000000002</v>
      </c>
      <c r="BO25" s="230">
        <v>95.962000000000003</v>
      </c>
      <c r="BP25" s="266">
        <f t="shared" si="33"/>
        <v>347.65499999999997</v>
      </c>
      <c r="BQ25" s="313"/>
      <c r="BR25" s="230"/>
      <c r="BS25" s="258"/>
      <c r="BT25" s="199"/>
      <c r="BU25" s="200">
        <v>0.79</v>
      </c>
      <c r="BV25" s="200"/>
      <c r="BW25" s="200"/>
      <c r="BX25" s="200">
        <v>0.72</v>
      </c>
      <c r="BY25" s="208"/>
      <c r="BZ25" s="208"/>
      <c r="CA25" s="201"/>
      <c r="CB25" s="202">
        <v>38.090000000000003</v>
      </c>
      <c r="CC25" s="200">
        <v>43.75</v>
      </c>
      <c r="CD25" s="200">
        <v>43.21</v>
      </c>
      <c r="CE25" s="200">
        <v>38.729999999999997</v>
      </c>
      <c r="CF25" s="208"/>
      <c r="CG25" s="208"/>
      <c r="CH25" s="201"/>
      <c r="CI25" s="199"/>
      <c r="CJ25" s="197"/>
      <c r="CK25" s="230">
        <v>144</v>
      </c>
      <c r="CL25" s="266">
        <f t="shared" si="34"/>
        <v>176.48000000000002</v>
      </c>
      <c r="CM25" s="453"/>
      <c r="CN25" s="202"/>
      <c r="CO25" s="208"/>
      <c r="CP25" s="208"/>
      <c r="CQ25" s="201"/>
      <c r="CR25" s="201"/>
      <c r="CS25" s="284"/>
      <c r="CT25" s="286">
        <f t="shared" si="19"/>
        <v>32.164874099999999</v>
      </c>
      <c r="CU25" s="24">
        <f t="shared" si="19"/>
        <v>23.978000000000002</v>
      </c>
      <c r="CV25" s="25">
        <f t="shared" si="19"/>
        <v>95.962000000000003</v>
      </c>
      <c r="CW25" s="24">
        <f t="shared" si="19"/>
        <v>345.151884</v>
      </c>
      <c r="CX25" s="27">
        <f t="shared" si="19"/>
        <v>0</v>
      </c>
      <c r="CY25" s="30">
        <f t="shared" si="19"/>
        <v>0</v>
      </c>
      <c r="CZ25" s="280">
        <f t="shared" si="19"/>
        <v>0</v>
      </c>
      <c r="DA25" s="25">
        <f t="shared" si="20"/>
        <v>0</v>
      </c>
      <c r="DB25" s="26">
        <f t="shared" si="20"/>
        <v>144</v>
      </c>
      <c r="DC25" s="277">
        <f t="shared" si="20"/>
        <v>176.48000000000002</v>
      </c>
      <c r="DD25" s="280">
        <f t="shared" si="20"/>
        <v>0</v>
      </c>
      <c r="DE25" s="508">
        <f t="shared" si="35"/>
        <v>0</v>
      </c>
      <c r="DG25" s="293">
        <f t="shared" si="21"/>
        <v>0</v>
      </c>
      <c r="DH25" s="294"/>
      <c r="DI25" s="294"/>
      <c r="DJ25" s="295">
        <f t="shared" si="22"/>
        <v>0</v>
      </c>
      <c r="DK25" s="296">
        <f t="shared" si="36"/>
        <v>0</v>
      </c>
      <c r="DM25" s="197">
        <v>327.65499999999997</v>
      </c>
      <c r="DN25" s="247">
        <f t="shared" si="37"/>
        <v>347.65499999999997</v>
      </c>
      <c r="DP25" s="197">
        <v>143.28</v>
      </c>
      <c r="DQ25" s="247">
        <f t="shared" si="38"/>
        <v>176.48000000000002</v>
      </c>
    </row>
    <row r="26" spans="1:121" ht="16.5" customHeight="1" thickBot="1">
      <c r="A26" s="534">
        <v>20</v>
      </c>
      <c r="B26" s="103">
        <f t="shared" si="23"/>
        <v>530.28800000000001</v>
      </c>
      <c r="C26" s="104">
        <f t="shared" si="0"/>
        <v>1.5626519928793412</v>
      </c>
      <c r="D26" s="143">
        <f t="shared" si="1"/>
        <v>522.00144399999999</v>
      </c>
      <c r="E26" s="104">
        <f t="shared" si="40"/>
        <v>39.438107141779561</v>
      </c>
      <c r="F26" s="128">
        <f t="shared" si="3"/>
        <v>2.7603058748876319</v>
      </c>
      <c r="G26" s="106"/>
      <c r="H26" s="107">
        <f t="shared" si="4"/>
        <v>2.0833030722859713</v>
      </c>
      <c r="I26" s="103">
        <f>'[1]сентябрь 20'!AE25</f>
        <v>0</v>
      </c>
      <c r="J26" s="103">
        <f>'[1]октябрь 20'!AA25</f>
        <v>11.901</v>
      </c>
      <c r="K26" s="106">
        <v>20.75</v>
      </c>
      <c r="L26" s="103">
        <f>'[1]октябрь 20'!AI25</f>
        <v>128.02799999999999</v>
      </c>
      <c r="M26" s="103">
        <f t="shared" si="5"/>
        <v>0.67700280260166057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v>350.85</v>
      </c>
      <c r="S26" s="108">
        <f t="shared" si="6"/>
        <v>3.4687188257089829</v>
      </c>
      <c r="T26" s="109">
        <f t="shared" si="26"/>
        <v>338.68000000000006</v>
      </c>
      <c r="U26" s="566">
        <v>2.02</v>
      </c>
      <c r="V26" s="109">
        <f t="shared" si="7"/>
        <v>338.68000000000006</v>
      </c>
      <c r="W26" s="110">
        <f t="shared" si="8"/>
        <v>1.7909153402781455</v>
      </c>
      <c r="X26" s="110">
        <f t="shared" si="27"/>
        <v>1.7909153402781455</v>
      </c>
      <c r="Y26" s="136">
        <v>189.11</v>
      </c>
      <c r="Z26" s="154">
        <v>189.11</v>
      </c>
      <c r="AA26" s="149">
        <v>0.43</v>
      </c>
      <c r="AB26" s="147">
        <v>682</v>
      </c>
      <c r="AC26" s="147">
        <v>1235</v>
      </c>
      <c r="AD26" s="144" t="s">
        <v>461</v>
      </c>
      <c r="AE26" s="149">
        <v>76.09</v>
      </c>
      <c r="AF26" s="147">
        <v>170</v>
      </c>
      <c r="AG26" s="155">
        <v>5</v>
      </c>
      <c r="AH26" s="149">
        <v>6.7</v>
      </c>
      <c r="AI26" s="115">
        <f t="shared" si="9"/>
        <v>35.429115329702292</v>
      </c>
      <c r="AJ26" s="149">
        <v>136.9</v>
      </c>
      <c r="AK26" s="115">
        <f t="shared" si="10"/>
        <v>723.91729681137974</v>
      </c>
      <c r="AL26" s="156">
        <v>32.520000000000003</v>
      </c>
      <c r="AM26" s="149"/>
      <c r="AN26" s="157">
        <v>12.58</v>
      </c>
      <c r="AO26" s="466">
        <v>101.35</v>
      </c>
      <c r="AP26" s="110">
        <f t="shared" si="11"/>
        <v>0.33901990299381168</v>
      </c>
      <c r="AQ26" s="158" t="s">
        <v>364</v>
      </c>
      <c r="AR26" s="404">
        <v>6.98</v>
      </c>
      <c r="AS26" s="159">
        <v>9.25</v>
      </c>
      <c r="AT26" s="155"/>
      <c r="AU26" s="149">
        <v>6.78</v>
      </c>
      <c r="AV26" s="315">
        <v>298.95</v>
      </c>
      <c r="AW26" s="131">
        <v>4.09</v>
      </c>
      <c r="AX26" s="148"/>
      <c r="AY26" s="149"/>
      <c r="AZ26" s="160">
        <f t="shared" si="39"/>
        <v>0</v>
      </c>
      <c r="BA26" s="109">
        <f t="shared" si="12"/>
        <v>189.10999999999999</v>
      </c>
      <c r="BB26" s="115">
        <f t="shared" si="29"/>
        <v>236.19702680119485</v>
      </c>
      <c r="BC26" s="140">
        <f t="shared" si="13"/>
        <v>7.1901422535211266</v>
      </c>
      <c r="BD26" s="140">
        <f t="shared" si="41"/>
        <v>7.5643999999999991</v>
      </c>
      <c r="BE26" s="161">
        <f t="shared" si="15"/>
        <v>0.69896320134019929</v>
      </c>
      <c r="BF26" s="140">
        <f t="shared" si="16"/>
        <v>14.754542253521127</v>
      </c>
      <c r="BG26" s="537">
        <v>0.85299999999999998</v>
      </c>
      <c r="BH26" s="16">
        <f t="shared" si="30"/>
        <v>4133.9369999999999</v>
      </c>
      <c r="BI26" s="16">
        <f t="shared" si="17"/>
        <v>222.58064516129033</v>
      </c>
      <c r="BJ26" s="16">
        <f t="shared" si="31"/>
        <v>4451.6129032258059</v>
      </c>
      <c r="BK26" s="17">
        <f t="shared" si="18"/>
        <v>1</v>
      </c>
      <c r="BL26" s="16">
        <f t="shared" si="32"/>
        <v>4451.6129032258059</v>
      </c>
      <c r="BM26" s="254"/>
      <c r="BN26" s="197">
        <v>25.5</v>
      </c>
      <c r="BO26" s="230">
        <v>102.52800000000001</v>
      </c>
      <c r="BP26" s="266">
        <f t="shared" si="33"/>
        <v>402.26</v>
      </c>
      <c r="BQ26" s="313"/>
      <c r="BR26" s="230"/>
      <c r="BS26" s="258"/>
      <c r="BT26" s="199"/>
      <c r="BU26" s="200"/>
      <c r="BV26" s="200"/>
      <c r="BW26" s="200"/>
      <c r="BX26" s="200">
        <v>2.06</v>
      </c>
      <c r="BY26" s="208"/>
      <c r="BZ26" s="208"/>
      <c r="CA26" s="201"/>
      <c r="CB26" s="202"/>
      <c r="CC26" s="200">
        <v>43.29</v>
      </c>
      <c r="CD26" s="200">
        <v>43.22</v>
      </c>
      <c r="CE26" s="200">
        <v>38.229999999999997</v>
      </c>
      <c r="CF26" s="208"/>
      <c r="CG26" s="208"/>
      <c r="CH26" s="209"/>
      <c r="CI26" s="199"/>
      <c r="CJ26" s="197"/>
      <c r="CK26" s="230">
        <v>162.4</v>
      </c>
      <c r="CL26" s="266">
        <f t="shared" si="34"/>
        <v>176.28000000000003</v>
      </c>
      <c r="CM26" s="453"/>
      <c r="CN26" s="202"/>
      <c r="CO26" s="208"/>
      <c r="CP26" s="208"/>
      <c r="CQ26" s="201"/>
      <c r="CR26" s="201"/>
      <c r="CS26" s="284"/>
      <c r="CT26" s="286">
        <f t="shared" si="19"/>
        <v>0</v>
      </c>
      <c r="CU26" s="24">
        <f t="shared" si="19"/>
        <v>25.5</v>
      </c>
      <c r="CV26" s="25">
        <f t="shared" si="19"/>
        <v>102.52800000000001</v>
      </c>
      <c r="CW26" s="24">
        <f t="shared" si="19"/>
        <v>393.97344399999997</v>
      </c>
      <c r="CX26" s="27">
        <f t="shared" si="19"/>
        <v>0</v>
      </c>
      <c r="CY26" s="24">
        <f t="shared" si="19"/>
        <v>0</v>
      </c>
      <c r="CZ26" s="280">
        <f t="shared" si="19"/>
        <v>0</v>
      </c>
      <c r="DA26" s="30">
        <f t="shared" si="20"/>
        <v>0</v>
      </c>
      <c r="DB26" s="26">
        <f t="shared" si="20"/>
        <v>162.4</v>
      </c>
      <c r="DC26" s="277">
        <f t="shared" si="20"/>
        <v>176.28000000000003</v>
      </c>
      <c r="DD26" s="280">
        <f t="shared" si="20"/>
        <v>0</v>
      </c>
      <c r="DE26" s="508">
        <f t="shared" si="35"/>
        <v>0</v>
      </c>
      <c r="DG26" s="293">
        <f t="shared" si="21"/>
        <v>0</v>
      </c>
      <c r="DH26" s="294"/>
      <c r="DI26" s="294"/>
      <c r="DJ26" s="295">
        <f t="shared" si="22"/>
        <v>0</v>
      </c>
      <c r="DK26" s="296">
        <f t="shared" si="36"/>
        <v>0</v>
      </c>
      <c r="DM26" s="197">
        <v>382.26</v>
      </c>
      <c r="DN26" s="247">
        <f t="shared" si="37"/>
        <v>402.26</v>
      </c>
      <c r="DP26" s="197">
        <v>143.08000000000001</v>
      </c>
      <c r="DQ26" s="247">
        <f t="shared" si="38"/>
        <v>176.28000000000003</v>
      </c>
    </row>
    <row r="27" spans="1:121" ht="16.5" customHeight="1" thickBot="1">
      <c r="A27" s="534">
        <v>21</v>
      </c>
      <c r="B27" s="103">
        <f t="shared" si="23"/>
        <v>488.053</v>
      </c>
      <c r="C27" s="104">
        <f t="shared" si="0"/>
        <v>0.87436927956594879</v>
      </c>
      <c r="D27" s="143">
        <f t="shared" si="1"/>
        <v>483.78561449999995</v>
      </c>
      <c r="E27" s="104">
        <f t="shared" si="40"/>
        <v>39.756705460267639</v>
      </c>
      <c r="F27" s="128">
        <f t="shared" si="3"/>
        <v>2.070082880658612</v>
      </c>
      <c r="G27" s="106"/>
      <c r="H27" s="107">
        <f t="shared" si="4"/>
        <v>1.5695512240937766</v>
      </c>
      <c r="I27" s="103">
        <f>'[1]сентябрь 20'!AE26</f>
        <v>0</v>
      </c>
      <c r="J27" s="103">
        <f>'[1]октябрь 20'!AA26</f>
        <v>10.646000000000001</v>
      </c>
      <c r="K27" s="106">
        <v>27.11</v>
      </c>
      <c r="L27" s="103">
        <f>'[1]октябрь 20'!AI26</f>
        <v>116.976</v>
      </c>
      <c r="M27" s="103">
        <f t="shared" si="5"/>
        <v>0.50053165656483534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v>324.08</v>
      </c>
      <c r="S27" s="108">
        <f t="shared" si="6"/>
        <v>3.1041718094297677</v>
      </c>
      <c r="T27" s="109">
        <f t="shared" si="26"/>
        <v>314.02</v>
      </c>
      <c r="U27" s="566">
        <v>17.75</v>
      </c>
      <c r="V27" s="109">
        <f t="shared" si="7"/>
        <v>314.02</v>
      </c>
      <c r="W27" s="110">
        <f t="shared" si="8"/>
        <v>1.3436683661134727</v>
      </c>
      <c r="X27" s="110">
        <f t="shared" si="27"/>
        <v>1.3436683661134727</v>
      </c>
      <c r="Y27" s="129">
        <v>233.7</v>
      </c>
      <c r="Z27" s="129">
        <v>161.07</v>
      </c>
      <c r="AA27" s="131">
        <v>1</v>
      </c>
      <c r="AB27" s="133">
        <v>657</v>
      </c>
      <c r="AC27" s="133">
        <v>1231</v>
      </c>
      <c r="AD27" s="144" t="s">
        <v>149</v>
      </c>
      <c r="AE27" s="131">
        <v>76.180000000000007</v>
      </c>
      <c r="AF27" s="133">
        <v>156</v>
      </c>
      <c r="AG27" s="134">
        <v>5</v>
      </c>
      <c r="AH27" s="131">
        <v>5.15</v>
      </c>
      <c r="AI27" s="115">
        <f t="shared" si="9"/>
        <v>22.036469286938363</v>
      </c>
      <c r="AJ27" s="131">
        <v>127.4</v>
      </c>
      <c r="AK27" s="115">
        <f t="shared" si="10"/>
        <v>545.13518197202859</v>
      </c>
      <c r="AL27" s="139">
        <v>29.76</v>
      </c>
      <c r="AM27" s="131"/>
      <c r="AN27" s="136">
        <v>11.34</v>
      </c>
      <c r="AO27" s="466">
        <f t="shared" si="28"/>
        <v>56.686500000000002</v>
      </c>
      <c r="AP27" s="110">
        <f t="shared" si="11"/>
        <v>0.19</v>
      </c>
      <c r="AQ27" s="137" t="s">
        <v>374</v>
      </c>
      <c r="AR27" s="150">
        <v>7.22</v>
      </c>
      <c r="AS27" s="138">
        <v>9.14</v>
      </c>
      <c r="AT27" s="134"/>
      <c r="AU27" s="131">
        <v>7.73</v>
      </c>
      <c r="AV27" s="139">
        <v>298.35000000000002</v>
      </c>
      <c r="AW27" s="131">
        <v>3.38</v>
      </c>
      <c r="AX27" s="148"/>
      <c r="AY27" s="131"/>
      <c r="AZ27" s="109">
        <f t="shared" si="39"/>
        <v>0</v>
      </c>
      <c r="BA27" s="109">
        <f t="shared" si="12"/>
        <v>233.70350000000002</v>
      </c>
      <c r="BB27" s="115">
        <f t="shared" si="29"/>
        <v>220.41269971815456</v>
      </c>
      <c r="BC27" s="140">
        <f t="shared" si="13"/>
        <v>7.6287478873239447</v>
      </c>
      <c r="BD27" s="141">
        <f t="shared" si="41"/>
        <v>9.3481400000000008</v>
      </c>
      <c r="BE27" s="128">
        <f t="shared" si="15"/>
        <v>0.92564156131152098</v>
      </c>
      <c r="BF27" s="141">
        <f t="shared" si="16"/>
        <v>16.976887887323947</v>
      </c>
      <c r="BG27" s="535">
        <v>0.85599999999999998</v>
      </c>
      <c r="BH27" s="16">
        <f t="shared" si="30"/>
        <v>4367.6404999999995</v>
      </c>
      <c r="BI27" s="16">
        <f t="shared" si="17"/>
        <v>222.58064516129033</v>
      </c>
      <c r="BJ27" s="16">
        <f t="shared" si="31"/>
        <v>4674.1935483870966</v>
      </c>
      <c r="BK27" s="17">
        <f t="shared" si="18"/>
        <v>1</v>
      </c>
      <c r="BL27" s="16">
        <f t="shared" si="32"/>
        <v>4674.1935483870966</v>
      </c>
      <c r="BM27" s="254"/>
      <c r="BN27" s="197">
        <v>23.423999999999999</v>
      </c>
      <c r="BO27" s="230">
        <v>93.552000000000007</v>
      </c>
      <c r="BP27" s="266">
        <f t="shared" si="33"/>
        <v>371.077</v>
      </c>
      <c r="BQ27" s="313"/>
      <c r="BR27" s="230"/>
      <c r="BS27" s="258"/>
      <c r="BT27" s="199"/>
      <c r="BU27" s="200"/>
      <c r="BV27" s="200"/>
      <c r="BW27" s="200"/>
      <c r="BX27" s="200">
        <v>1.1499999999999999</v>
      </c>
      <c r="BY27" s="208"/>
      <c r="BZ27" s="208"/>
      <c r="CA27" s="201"/>
      <c r="CB27" s="202"/>
      <c r="CC27" s="200">
        <v>44.04</v>
      </c>
      <c r="CD27" s="200">
        <v>43.55</v>
      </c>
      <c r="CE27" s="200">
        <v>38.53</v>
      </c>
      <c r="CF27" s="208"/>
      <c r="CG27" s="208"/>
      <c r="CH27" s="209"/>
      <c r="CI27" s="199"/>
      <c r="CJ27" s="197"/>
      <c r="CK27" s="230">
        <v>171.62</v>
      </c>
      <c r="CL27" s="266">
        <f t="shared" si="34"/>
        <v>142.4</v>
      </c>
      <c r="CM27" s="453"/>
      <c r="CN27" s="202"/>
      <c r="CO27" s="208"/>
      <c r="CP27" s="208"/>
      <c r="CQ27" s="201"/>
      <c r="CR27" s="201"/>
      <c r="CS27" s="284"/>
      <c r="CT27" s="286">
        <f t="shared" si="19"/>
        <v>0</v>
      </c>
      <c r="CU27" s="24">
        <f t="shared" si="19"/>
        <v>23.423999999999999</v>
      </c>
      <c r="CV27" s="25">
        <f t="shared" si="19"/>
        <v>93.552000000000007</v>
      </c>
      <c r="CW27" s="24">
        <f t="shared" si="19"/>
        <v>366.80961449999995</v>
      </c>
      <c r="CX27" s="27">
        <f t="shared" si="19"/>
        <v>0</v>
      </c>
      <c r="CY27" s="29">
        <f t="shared" si="19"/>
        <v>0</v>
      </c>
      <c r="CZ27" s="280">
        <f t="shared" si="19"/>
        <v>0</v>
      </c>
      <c r="DA27" s="237">
        <f t="shared" si="20"/>
        <v>0</v>
      </c>
      <c r="DB27" s="26">
        <f t="shared" si="20"/>
        <v>171.62</v>
      </c>
      <c r="DC27" s="277">
        <f t="shared" si="20"/>
        <v>142.4</v>
      </c>
      <c r="DD27" s="280">
        <f t="shared" si="20"/>
        <v>0</v>
      </c>
      <c r="DE27" s="508">
        <f t="shared" si="35"/>
        <v>0</v>
      </c>
      <c r="DG27" s="293">
        <f t="shared" si="21"/>
        <v>0</v>
      </c>
      <c r="DH27" s="294"/>
      <c r="DI27" s="294"/>
      <c r="DJ27" s="295">
        <f t="shared" si="22"/>
        <v>0</v>
      </c>
      <c r="DK27" s="296">
        <f t="shared" si="36"/>
        <v>0</v>
      </c>
      <c r="DM27" s="197">
        <v>351.077</v>
      </c>
      <c r="DN27" s="247">
        <f t="shared" si="37"/>
        <v>371.077</v>
      </c>
      <c r="DP27" s="197">
        <v>109.2</v>
      </c>
      <c r="DQ27" s="247">
        <f t="shared" si="38"/>
        <v>142.4</v>
      </c>
    </row>
    <row r="28" spans="1:121" ht="16.5" customHeight="1" thickBot="1">
      <c r="A28" s="534">
        <v>22</v>
      </c>
      <c r="B28" s="103">
        <f t="shared" si="23"/>
        <v>508.83199999999999</v>
      </c>
      <c r="C28" s="104">
        <f t="shared" si="0"/>
        <v>1.1172019644990883</v>
      </c>
      <c r="D28" s="143">
        <f t="shared" si="1"/>
        <v>503.14731889999996</v>
      </c>
      <c r="E28" s="104">
        <f t="shared" si="2"/>
        <v>39.685322935664423</v>
      </c>
      <c r="F28" s="128">
        <f t="shared" si="3"/>
        <v>2.0668184583091143</v>
      </c>
      <c r="G28" s="106"/>
      <c r="H28" s="107">
        <f t="shared" si="4"/>
        <v>1.5651804810621077</v>
      </c>
      <c r="I28" s="103">
        <f>'[1]сентябрь 20'!AE27</f>
        <v>0</v>
      </c>
      <c r="J28" s="103">
        <f>'[1]октябрь 20'!AA27</f>
        <v>10.180999999999999</v>
      </c>
      <c r="K28" s="106">
        <v>22.36</v>
      </c>
      <c r="L28" s="103">
        <f>'[1]октябрь 20'!AI27</f>
        <v>122.119</v>
      </c>
      <c r="M28" s="103">
        <f t="shared" si="5"/>
        <v>0.50163797724700698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v>332.56</v>
      </c>
      <c r="S28" s="108">
        <f t="shared" si="6"/>
        <v>3.1122203512148117</v>
      </c>
      <c r="T28" s="109">
        <f t="shared" si="26"/>
        <v>322.21000000000004</v>
      </c>
      <c r="U28" s="566">
        <v>5.83</v>
      </c>
      <c r="V28" s="109">
        <f t="shared" si="7"/>
        <v>322.21000000000004</v>
      </c>
      <c r="W28" s="110">
        <f t="shared" si="8"/>
        <v>1.3235677711802269</v>
      </c>
      <c r="X28" s="110">
        <f t="shared" si="27"/>
        <v>1.3235677711802269</v>
      </c>
      <c r="Y28" s="129">
        <v>243.44</v>
      </c>
      <c r="Z28" s="136">
        <v>97.4</v>
      </c>
      <c r="AA28" s="131">
        <v>1.1499999999999999</v>
      </c>
      <c r="AB28" s="133">
        <v>676</v>
      </c>
      <c r="AC28" s="133">
        <v>1232</v>
      </c>
      <c r="AD28" s="144" t="s">
        <v>203</v>
      </c>
      <c r="AE28" s="131">
        <v>75.680000000000007</v>
      </c>
      <c r="AF28" s="133">
        <v>163</v>
      </c>
      <c r="AG28" s="134">
        <v>5</v>
      </c>
      <c r="AH28" s="131"/>
      <c r="AI28" s="115">
        <f t="shared" si="9"/>
        <v>0</v>
      </c>
      <c r="AJ28" s="131">
        <v>114.05</v>
      </c>
      <c r="AK28" s="115">
        <f t="shared" si="10"/>
        <v>468.49230099346659</v>
      </c>
      <c r="AL28" s="139">
        <v>34.21</v>
      </c>
      <c r="AM28" s="131"/>
      <c r="AN28" s="136">
        <v>11.98</v>
      </c>
      <c r="AO28" s="466">
        <f t="shared" si="28"/>
        <v>59.099500000000006</v>
      </c>
      <c r="AP28" s="110">
        <f t="shared" si="11"/>
        <v>0.19</v>
      </c>
      <c r="AQ28" s="137" t="s">
        <v>386</v>
      </c>
      <c r="AR28" s="150">
        <v>6.89</v>
      </c>
      <c r="AS28" s="138">
        <v>9.18</v>
      </c>
      <c r="AT28" s="134"/>
      <c r="AU28" s="131">
        <v>5.78</v>
      </c>
      <c r="AV28" s="139">
        <v>311.05</v>
      </c>
      <c r="AW28" s="131">
        <v>3.47</v>
      </c>
      <c r="AX28" s="148"/>
      <c r="AY28" s="131"/>
      <c r="AZ28" s="109">
        <f t="shared" si="39"/>
        <v>0</v>
      </c>
      <c r="BA28" s="109">
        <f t="shared" si="12"/>
        <v>243.44050000000001</v>
      </c>
      <c r="BB28" s="115">
        <f t="shared" si="29"/>
        <v>230.3340807048848</v>
      </c>
      <c r="BC28" s="140">
        <f t="shared" si="13"/>
        <v>5.1065485915492959</v>
      </c>
      <c r="BD28" s="141">
        <f t="shared" si="41"/>
        <v>9.7376200000000015</v>
      </c>
      <c r="BE28" s="128">
        <f t="shared" si="15"/>
        <v>0.92267525435063846</v>
      </c>
      <c r="BF28" s="141">
        <f t="shared" si="16"/>
        <v>14.844168591549298</v>
      </c>
      <c r="BG28" s="535">
        <v>0.86</v>
      </c>
      <c r="BH28" s="16">
        <f t="shared" si="30"/>
        <v>4611.0809999999992</v>
      </c>
      <c r="BI28" s="16">
        <f t="shared" si="17"/>
        <v>222.58064516129033</v>
      </c>
      <c r="BJ28" s="16">
        <f t="shared" si="31"/>
        <v>4896.7741935483873</v>
      </c>
      <c r="BK28" s="17">
        <f t="shared" si="18"/>
        <v>1</v>
      </c>
      <c r="BL28" s="16">
        <f t="shared" si="32"/>
        <v>4896.7741935483873</v>
      </c>
      <c r="BM28" s="254"/>
      <c r="BN28" s="197">
        <v>24.35</v>
      </c>
      <c r="BO28" s="230">
        <v>97.769000000000005</v>
      </c>
      <c r="BP28" s="266">
        <f t="shared" si="33"/>
        <v>386.71300000000002</v>
      </c>
      <c r="BQ28" s="313"/>
      <c r="BR28" s="230"/>
      <c r="BS28" s="258"/>
      <c r="BT28" s="199"/>
      <c r="BU28" s="200"/>
      <c r="BV28" s="200"/>
      <c r="BW28" s="200"/>
      <c r="BX28" s="200">
        <v>1.47</v>
      </c>
      <c r="BY28" s="208"/>
      <c r="BZ28" s="208"/>
      <c r="CA28" s="201"/>
      <c r="CB28" s="202"/>
      <c r="CC28" s="200">
        <v>43.04</v>
      </c>
      <c r="CD28" s="200">
        <v>43.38</v>
      </c>
      <c r="CE28" s="200">
        <v>38.54</v>
      </c>
      <c r="CF28" s="208"/>
      <c r="CG28" s="208"/>
      <c r="CH28" s="209"/>
      <c r="CI28" s="199"/>
      <c r="CJ28" s="197"/>
      <c r="CK28" s="230">
        <v>174.91</v>
      </c>
      <c r="CL28" s="266">
        <f t="shared" si="34"/>
        <v>147.30000000000001</v>
      </c>
      <c r="CM28" s="453"/>
      <c r="CN28" s="202"/>
      <c r="CO28" s="208"/>
      <c r="CP28" s="208"/>
      <c r="CQ28" s="201"/>
      <c r="CR28" s="201"/>
      <c r="CS28" s="284"/>
      <c r="CT28" s="286">
        <f t="shared" si="19"/>
        <v>0</v>
      </c>
      <c r="CU28" s="29">
        <f t="shared" si="19"/>
        <v>24.35</v>
      </c>
      <c r="CV28" s="30">
        <f t="shared" si="19"/>
        <v>97.769000000000005</v>
      </c>
      <c r="CW28" s="29">
        <f t="shared" si="19"/>
        <v>381.02831890000004</v>
      </c>
      <c r="CX28" s="27">
        <f t="shared" si="19"/>
        <v>0</v>
      </c>
      <c r="CY28" s="24">
        <f t="shared" si="19"/>
        <v>0</v>
      </c>
      <c r="CZ28" s="282">
        <f t="shared" si="19"/>
        <v>0</v>
      </c>
      <c r="DA28" s="25">
        <f t="shared" si="20"/>
        <v>0</v>
      </c>
      <c r="DB28" s="24">
        <f t="shared" si="20"/>
        <v>174.91</v>
      </c>
      <c r="DC28" s="277">
        <f t="shared" si="20"/>
        <v>147.30000000000001</v>
      </c>
      <c r="DD28" s="280">
        <f t="shared" si="20"/>
        <v>0</v>
      </c>
      <c r="DE28" s="508">
        <f t="shared" si="35"/>
        <v>0</v>
      </c>
      <c r="DG28" s="293">
        <f>I28</f>
        <v>0</v>
      </c>
      <c r="DH28" s="297"/>
      <c r="DI28" s="294"/>
      <c r="DJ28" s="295">
        <f t="shared" si="22"/>
        <v>0</v>
      </c>
      <c r="DK28" s="296">
        <f t="shared" si="36"/>
        <v>0</v>
      </c>
      <c r="DM28" s="197">
        <v>366.71300000000002</v>
      </c>
      <c r="DN28" s="247">
        <f t="shared" si="37"/>
        <v>386.71300000000002</v>
      </c>
      <c r="DP28" s="197">
        <v>114.1</v>
      </c>
      <c r="DQ28" s="247">
        <f t="shared" si="38"/>
        <v>147.30000000000001</v>
      </c>
    </row>
    <row r="29" spans="1:121" ht="16.5" customHeight="1" thickBot="1">
      <c r="A29" s="534">
        <v>23</v>
      </c>
      <c r="B29" s="103">
        <f t="shared" si="23"/>
        <v>527.21299999999997</v>
      </c>
      <c r="C29" s="104">
        <f t="shared" si="0"/>
        <v>1.2148076773524175</v>
      </c>
      <c r="D29" s="143">
        <f t="shared" si="1"/>
        <v>520.80837599999995</v>
      </c>
      <c r="E29" s="104">
        <f t="shared" si="2"/>
        <v>39.464609711824252</v>
      </c>
      <c r="F29" s="128">
        <f t="shared" si="3"/>
        <v>2.1840858523165694</v>
      </c>
      <c r="G29" s="106"/>
      <c r="H29" s="107">
        <f t="shared" si="4"/>
        <v>1.6518115543328749</v>
      </c>
      <c r="I29" s="103">
        <f>'[1]сентябрь 20'!AE28</f>
        <v>0</v>
      </c>
      <c r="J29" s="103">
        <f>'[1]октябрь 20'!AA28</f>
        <v>11.896000000000001</v>
      </c>
      <c r="K29" s="106">
        <v>17.75</v>
      </c>
      <c r="L29" s="103">
        <f>'[1]октябрь 20'!AI28</f>
        <v>126.92400000000001</v>
      </c>
      <c r="M29" s="103">
        <f t="shared" si="5"/>
        <v>0.53227429798369508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v>342.83</v>
      </c>
      <c r="S29" s="108">
        <f t="shared" si="6"/>
        <v>3.1590000875069246</v>
      </c>
      <c r="T29" s="109">
        <f t="shared" si="26"/>
        <v>332</v>
      </c>
      <c r="U29" s="566">
        <v>0.65</v>
      </c>
      <c r="V29" s="109">
        <f t="shared" si="7"/>
        <v>332</v>
      </c>
      <c r="W29" s="110">
        <f t="shared" si="8"/>
        <v>1.3922904015835205</v>
      </c>
      <c r="X29" s="110">
        <f t="shared" si="27"/>
        <v>1.3922904015835205</v>
      </c>
      <c r="Y29" s="129">
        <v>186.94</v>
      </c>
      <c r="Z29" s="136">
        <v>186.94</v>
      </c>
      <c r="AA29" s="131">
        <v>0.71</v>
      </c>
      <c r="AB29" s="133">
        <v>679</v>
      </c>
      <c r="AC29" s="133">
        <v>1223</v>
      </c>
      <c r="AD29" s="144" t="s">
        <v>463</v>
      </c>
      <c r="AE29" s="131">
        <v>75.5</v>
      </c>
      <c r="AF29" s="133">
        <v>169</v>
      </c>
      <c r="AG29" s="134">
        <v>5</v>
      </c>
      <c r="AH29" s="131">
        <v>5.55</v>
      </c>
      <c r="AI29" s="115">
        <f t="shared" si="9"/>
        <v>23.274734122857044</v>
      </c>
      <c r="AJ29" s="131">
        <v>132.75</v>
      </c>
      <c r="AK29" s="115">
        <f t="shared" si="10"/>
        <v>556.70647834401314</v>
      </c>
      <c r="AL29" s="139">
        <v>32.299999999999997</v>
      </c>
      <c r="AM29" s="131"/>
      <c r="AN29" s="136">
        <v>13.81</v>
      </c>
      <c r="AO29" s="466">
        <f t="shared" si="28"/>
        <v>58.444000000000003</v>
      </c>
      <c r="AP29" s="110">
        <f t="shared" si="11"/>
        <v>0.19</v>
      </c>
      <c r="AQ29" s="137" t="s">
        <v>464</v>
      </c>
      <c r="AR29" s="150">
        <v>6.48</v>
      </c>
      <c r="AS29" s="138">
        <v>9.4</v>
      </c>
      <c r="AT29" s="134"/>
      <c r="AU29" s="131">
        <v>7.03</v>
      </c>
      <c r="AV29" s="139">
        <v>307.60000000000002</v>
      </c>
      <c r="AW29" s="131">
        <v>3.11</v>
      </c>
      <c r="AX29" s="148"/>
      <c r="AY29" s="131"/>
      <c r="AZ29" s="109">
        <f t="shared" si="39"/>
        <v>0</v>
      </c>
      <c r="BA29" s="109">
        <f t="shared" si="12"/>
        <v>238.45600000000002</v>
      </c>
      <c r="BB29" s="115">
        <f t="shared" si="29"/>
        <v>237.65834282405177</v>
      </c>
      <c r="BC29" s="140">
        <f t="shared" si="13"/>
        <v>7.2292658450704232</v>
      </c>
      <c r="BD29" s="141">
        <f t="shared" si="41"/>
        <v>9.5382400000000001</v>
      </c>
      <c r="BE29" s="128">
        <f t="shared" si="15"/>
        <v>0.87593006635630011</v>
      </c>
      <c r="BF29" s="141">
        <f t="shared" si="16"/>
        <v>16.767505845070424</v>
      </c>
      <c r="BG29" s="535">
        <v>0.86</v>
      </c>
      <c r="BH29" s="16">
        <f t="shared" si="30"/>
        <v>4849.5369999999994</v>
      </c>
      <c r="BI29" s="16">
        <f t="shared" si="17"/>
        <v>222.58064516129033</v>
      </c>
      <c r="BJ29" s="16">
        <f t="shared" si="31"/>
        <v>5119.354838709678</v>
      </c>
      <c r="BK29" s="17">
        <f t="shared" si="18"/>
        <v>1</v>
      </c>
      <c r="BL29" s="16">
        <f t="shared" si="32"/>
        <v>5119.354838709678</v>
      </c>
      <c r="BM29" s="254"/>
      <c r="BN29" s="197">
        <v>25.509</v>
      </c>
      <c r="BO29" s="230">
        <v>101.41500000000001</v>
      </c>
      <c r="BP29" s="266">
        <f t="shared" si="33"/>
        <v>400.28899999999999</v>
      </c>
      <c r="BQ29" s="313"/>
      <c r="BR29" s="230"/>
      <c r="BS29" s="258"/>
      <c r="BT29" s="199"/>
      <c r="BU29" s="200"/>
      <c r="BV29" s="200"/>
      <c r="BW29" s="200"/>
      <c r="BX29" s="200">
        <v>1.6</v>
      </c>
      <c r="BY29" s="208"/>
      <c r="BZ29" s="208"/>
      <c r="CA29" s="201"/>
      <c r="CB29" s="202"/>
      <c r="CC29" s="200">
        <v>43.59</v>
      </c>
      <c r="CD29" s="200">
        <v>43.3</v>
      </c>
      <c r="CE29" s="200">
        <v>38.229999999999997</v>
      </c>
      <c r="CF29" s="208"/>
      <c r="CG29" s="208"/>
      <c r="CH29" s="201"/>
      <c r="CI29" s="199"/>
      <c r="CJ29" s="197"/>
      <c r="CK29" s="230">
        <v>180.5</v>
      </c>
      <c r="CL29" s="266">
        <f t="shared" si="34"/>
        <v>151.5</v>
      </c>
      <c r="CM29" s="453"/>
      <c r="CN29" s="202"/>
      <c r="CO29" s="208"/>
      <c r="CP29" s="208"/>
      <c r="CQ29" s="201"/>
      <c r="CR29" s="201"/>
      <c r="CS29" s="284"/>
      <c r="CT29" s="286">
        <f t="shared" si="19"/>
        <v>0</v>
      </c>
      <c r="CU29" s="24">
        <f t="shared" si="19"/>
        <v>25.509</v>
      </c>
      <c r="CV29" s="25">
        <f t="shared" si="19"/>
        <v>101.41500000000001</v>
      </c>
      <c r="CW29" s="24">
        <f t="shared" si="19"/>
        <v>393.88437600000003</v>
      </c>
      <c r="CX29" s="27">
        <f t="shared" si="19"/>
        <v>0</v>
      </c>
      <c r="CY29" s="29">
        <f t="shared" si="19"/>
        <v>0</v>
      </c>
      <c r="CZ29" s="280">
        <f t="shared" si="19"/>
        <v>0</v>
      </c>
      <c r="DA29" s="30">
        <f t="shared" si="20"/>
        <v>0</v>
      </c>
      <c r="DB29" s="29">
        <f t="shared" si="20"/>
        <v>180.5</v>
      </c>
      <c r="DC29" s="277">
        <f t="shared" si="20"/>
        <v>151.5</v>
      </c>
      <c r="DD29" s="280">
        <f t="shared" si="20"/>
        <v>0</v>
      </c>
      <c r="DE29" s="508">
        <f t="shared" si="35"/>
        <v>0</v>
      </c>
      <c r="DG29" s="293">
        <f t="shared" si="21"/>
        <v>0</v>
      </c>
      <c r="DH29" s="294"/>
      <c r="DI29" s="294"/>
      <c r="DJ29" s="295">
        <f t="shared" si="22"/>
        <v>0</v>
      </c>
      <c r="DK29" s="296">
        <f t="shared" si="36"/>
        <v>0</v>
      </c>
      <c r="DM29" s="197">
        <v>380.28899999999999</v>
      </c>
      <c r="DN29" s="247">
        <f t="shared" si="37"/>
        <v>400.28899999999999</v>
      </c>
      <c r="DP29" s="230">
        <v>118.3</v>
      </c>
      <c r="DQ29" s="247">
        <f t="shared" si="38"/>
        <v>151.5</v>
      </c>
    </row>
    <row r="30" spans="1:121" ht="16.5" customHeight="1" thickBot="1">
      <c r="A30" s="534">
        <v>24</v>
      </c>
      <c r="B30" s="103">
        <f t="shared" si="23"/>
        <v>532.74299999999994</v>
      </c>
      <c r="C30" s="104">
        <f t="shared" si="0"/>
        <v>2.7277215467871003</v>
      </c>
      <c r="D30" s="143">
        <f t="shared" si="1"/>
        <v>518.21125439999992</v>
      </c>
      <c r="E30" s="104">
        <f t="shared" si="2"/>
        <v>39.44245219552392</v>
      </c>
      <c r="F30" s="128">
        <f t="shared" si="3"/>
        <v>2.2001781264926348</v>
      </c>
      <c r="G30" s="106"/>
      <c r="H30" s="107">
        <f t="shared" si="4"/>
        <v>1.6569004757325454</v>
      </c>
      <c r="I30" s="103">
        <f>'[1]сентябрь 20'!AE29</f>
        <v>0</v>
      </c>
      <c r="J30" s="103">
        <f>'[1]октябрь 20'!AA29</f>
        <v>11.509</v>
      </c>
      <c r="K30" s="106">
        <v>23.15</v>
      </c>
      <c r="L30" s="103">
        <f>'[1]октябрь 20'!AI29</f>
        <v>127.959</v>
      </c>
      <c r="M30" s="103">
        <f t="shared" si="5"/>
        <v>0.54327765076008949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v>346.7</v>
      </c>
      <c r="S30" s="108">
        <f t="shared" si="6"/>
        <v>3.1237381021055666</v>
      </c>
      <c r="T30" s="109">
        <f t="shared" si="26"/>
        <v>335.87</v>
      </c>
      <c r="U30" s="566">
        <v>19.11</v>
      </c>
      <c r="V30" s="109">
        <f t="shared" si="7"/>
        <v>335.87</v>
      </c>
      <c r="W30" s="110">
        <f t="shared" si="8"/>
        <v>1.4260088353362503</v>
      </c>
      <c r="X30" s="110">
        <f t="shared" si="27"/>
        <v>1.4260088353362503</v>
      </c>
      <c r="Y30" s="154">
        <v>235.53</v>
      </c>
      <c r="Z30" s="157">
        <v>235.53</v>
      </c>
      <c r="AA30" s="149">
        <v>0.67</v>
      </c>
      <c r="AB30" s="147">
        <v>630</v>
      </c>
      <c r="AC30" s="147">
        <v>1231</v>
      </c>
      <c r="AD30" s="144" t="s">
        <v>200</v>
      </c>
      <c r="AE30" s="149">
        <v>76.13</v>
      </c>
      <c r="AF30" s="147">
        <v>171</v>
      </c>
      <c r="AG30" s="155">
        <v>5</v>
      </c>
      <c r="AH30" s="149">
        <v>7.3</v>
      </c>
      <c r="AI30" s="115">
        <f t="shared" si="9"/>
        <v>30.993731199436173</v>
      </c>
      <c r="AJ30" s="131">
        <v>134.80000000000001</v>
      </c>
      <c r="AK30" s="115">
        <f t="shared" si="10"/>
        <v>572.32259803890361</v>
      </c>
      <c r="AL30" s="139">
        <v>31.15</v>
      </c>
      <c r="AM30" s="131"/>
      <c r="AN30" s="157">
        <v>15.71</v>
      </c>
      <c r="AO30" s="466">
        <f t="shared" si="28"/>
        <v>57.978499999999997</v>
      </c>
      <c r="AP30" s="110">
        <f t="shared" si="11"/>
        <v>0.19</v>
      </c>
      <c r="AQ30" s="158" t="s">
        <v>465</v>
      </c>
      <c r="AR30" s="404">
        <v>6.5</v>
      </c>
      <c r="AS30" s="159">
        <v>9.08</v>
      </c>
      <c r="AT30" s="155"/>
      <c r="AU30" s="149">
        <v>8.3000000000000007</v>
      </c>
      <c r="AV30" s="156">
        <v>305.14999999999998</v>
      </c>
      <c r="AW30" s="131">
        <v>4.07</v>
      </c>
      <c r="AX30" s="164"/>
      <c r="AY30" s="149"/>
      <c r="AZ30" s="109">
        <f t="shared" si="39"/>
        <v>0</v>
      </c>
      <c r="BA30" s="109">
        <f t="shared" si="12"/>
        <v>235.53149999999997</v>
      </c>
      <c r="BB30" s="115">
        <f t="shared" si="29"/>
        <v>234.38464803612192</v>
      </c>
      <c r="BC30" s="140">
        <f t="shared" si="13"/>
        <v>8.6670704225352129</v>
      </c>
      <c r="BD30" s="141">
        <f t="shared" si="41"/>
        <v>9.4212599999999984</v>
      </c>
      <c r="BE30" s="128">
        <f t="shared" si="15"/>
        <v>0.8772716183540793</v>
      </c>
      <c r="BF30" s="141">
        <f t="shared" si="16"/>
        <v>18.088330422535211</v>
      </c>
      <c r="BG30" s="537">
        <v>0.86099999999999999</v>
      </c>
      <c r="BH30" s="16">
        <f t="shared" si="30"/>
        <v>5085.0684999999994</v>
      </c>
      <c r="BI30" s="16">
        <f t="shared" si="17"/>
        <v>222.58064516129033</v>
      </c>
      <c r="BJ30" s="16">
        <f t="shared" si="31"/>
        <v>5341.9354838709687</v>
      </c>
      <c r="BK30" s="17">
        <f t="shared" si="18"/>
        <v>1</v>
      </c>
      <c r="BL30" s="16">
        <f t="shared" si="32"/>
        <v>5341.9354838709687</v>
      </c>
      <c r="BM30" s="255"/>
      <c r="BN30" s="210">
        <v>25.495000000000001</v>
      </c>
      <c r="BO30" s="233">
        <v>102.464</v>
      </c>
      <c r="BP30" s="266">
        <f t="shared" si="33"/>
        <v>404.78399999999999</v>
      </c>
      <c r="BQ30" s="516"/>
      <c r="BR30" s="233"/>
      <c r="BS30" s="260"/>
      <c r="BT30" s="212"/>
      <c r="BU30" s="213"/>
      <c r="BV30" s="213"/>
      <c r="BW30" s="213"/>
      <c r="BX30" s="213">
        <v>3.59</v>
      </c>
      <c r="BY30" s="235"/>
      <c r="BZ30" s="235"/>
      <c r="CA30" s="214"/>
      <c r="CB30" s="215"/>
      <c r="CC30" s="213">
        <v>44.17</v>
      </c>
      <c r="CD30" s="216">
        <v>43.53</v>
      </c>
      <c r="CE30" s="213">
        <v>38.11</v>
      </c>
      <c r="CF30" s="235"/>
      <c r="CG30" s="235"/>
      <c r="CH30" s="214"/>
      <c r="CI30" s="212"/>
      <c r="CJ30" s="210"/>
      <c r="CK30" s="233">
        <v>182.97</v>
      </c>
      <c r="CL30" s="266">
        <f t="shared" si="34"/>
        <v>152.9</v>
      </c>
      <c r="CM30" s="453"/>
      <c r="CN30" s="202"/>
      <c r="CO30" s="208"/>
      <c r="CP30" s="208"/>
      <c r="CQ30" s="201"/>
      <c r="CR30" s="201"/>
      <c r="CS30" s="284"/>
      <c r="CT30" s="286">
        <f t="shared" si="19"/>
        <v>0</v>
      </c>
      <c r="CU30" s="24">
        <f t="shared" si="19"/>
        <v>25.495000000000001</v>
      </c>
      <c r="CV30" s="25">
        <f t="shared" si="19"/>
        <v>102.464</v>
      </c>
      <c r="CW30" s="24">
        <f t="shared" si="19"/>
        <v>390.25225439999997</v>
      </c>
      <c r="CX30" s="27">
        <f t="shared" si="19"/>
        <v>0</v>
      </c>
      <c r="CY30" s="24">
        <f t="shared" si="19"/>
        <v>0</v>
      </c>
      <c r="CZ30" s="280">
        <f t="shared" si="19"/>
        <v>0</v>
      </c>
      <c r="DA30" s="25">
        <f t="shared" si="20"/>
        <v>0</v>
      </c>
      <c r="DB30" s="26">
        <f t="shared" si="20"/>
        <v>182.97</v>
      </c>
      <c r="DC30" s="277">
        <f t="shared" si="20"/>
        <v>152.9</v>
      </c>
      <c r="DD30" s="280">
        <f t="shared" si="20"/>
        <v>0</v>
      </c>
      <c r="DE30" s="508">
        <f t="shared" si="35"/>
        <v>0</v>
      </c>
      <c r="DG30" s="293">
        <f t="shared" si="21"/>
        <v>0</v>
      </c>
      <c r="DH30" s="294"/>
      <c r="DI30" s="294"/>
      <c r="DJ30" s="295">
        <f t="shared" si="22"/>
        <v>0</v>
      </c>
      <c r="DK30" s="296">
        <f t="shared" si="36"/>
        <v>0</v>
      </c>
      <c r="DM30" s="210">
        <v>384.78399999999999</v>
      </c>
      <c r="DN30" s="247">
        <f t="shared" si="37"/>
        <v>404.78399999999999</v>
      </c>
      <c r="DP30" s="233">
        <v>119.7</v>
      </c>
      <c r="DQ30" s="247">
        <f t="shared" si="38"/>
        <v>152.9</v>
      </c>
    </row>
    <row r="31" spans="1:121" ht="16.5" customHeight="1" thickBot="1">
      <c r="A31" s="534">
        <v>25</v>
      </c>
      <c r="B31" s="103">
        <f t="shared" si="23"/>
        <v>527.32000000000005</v>
      </c>
      <c r="C31" s="104">
        <f t="shared" si="0"/>
        <v>2.231923424106804</v>
      </c>
      <c r="D31" s="143">
        <f t="shared" si="1"/>
        <v>515.55062140000007</v>
      </c>
      <c r="E31" s="104">
        <f t="shared" si="2"/>
        <v>39.260253603125228</v>
      </c>
      <c r="F31" s="128">
        <f t="shared" si="3"/>
        <v>2.3104201656796248</v>
      </c>
      <c r="G31" s="106"/>
      <c r="H31" s="107">
        <f t="shared" si="4"/>
        <v>1.7412700972253032</v>
      </c>
      <c r="I31" s="103">
        <f>'[1]сентябрь 20'!AE30</f>
        <v>0</v>
      </c>
      <c r="J31" s="103">
        <f>'[1]октябрь 20'!AA30</f>
        <v>10.211</v>
      </c>
      <c r="K31" s="106">
        <v>18.48</v>
      </c>
      <c r="L31" s="103">
        <f>'[1]октябрь 20'!AI30</f>
        <v>127.001</v>
      </c>
      <c r="M31" s="103">
        <f t="shared" si="5"/>
        <v>0.56915006845432159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v>341.76</v>
      </c>
      <c r="S31" s="108">
        <f t="shared" si="6"/>
        <v>2.6158707865168496</v>
      </c>
      <c r="T31" s="109">
        <f t="shared" si="26"/>
        <v>332.82</v>
      </c>
      <c r="U31" s="566"/>
      <c r="V31" s="109">
        <f t="shared" si="7"/>
        <v>332.82</v>
      </c>
      <c r="W31" s="110">
        <f t="shared" si="8"/>
        <v>1.4915199548268698</v>
      </c>
      <c r="X31" s="110">
        <f t="shared" si="27"/>
        <v>1.4915199548268698</v>
      </c>
      <c r="Y31" s="136">
        <v>223.14</v>
      </c>
      <c r="Z31" s="136">
        <v>223.14</v>
      </c>
      <c r="AA31" s="131">
        <v>0.56000000000000005</v>
      </c>
      <c r="AB31" s="133">
        <v>685</v>
      </c>
      <c r="AC31" s="133">
        <v>1232</v>
      </c>
      <c r="AD31" s="144" t="s">
        <v>466</v>
      </c>
      <c r="AE31" s="131">
        <v>76.040000000000006</v>
      </c>
      <c r="AF31" s="133">
        <v>169</v>
      </c>
      <c r="AG31" s="134">
        <v>5</v>
      </c>
      <c r="AH31" s="131">
        <v>6.75</v>
      </c>
      <c r="AI31" s="115">
        <f t="shared" si="9"/>
        <v>30.249863875612562</v>
      </c>
      <c r="AJ31" s="131">
        <v>134.75</v>
      </c>
      <c r="AK31" s="115">
        <f t="shared" si="10"/>
        <v>603.87691218352484</v>
      </c>
      <c r="AL31" s="139">
        <v>28.17</v>
      </c>
      <c r="AM31" s="131"/>
      <c r="AN31" s="136">
        <v>14.13</v>
      </c>
      <c r="AO31" s="466">
        <f t="shared" si="28"/>
        <v>54.748499999999993</v>
      </c>
      <c r="AP31" s="110">
        <f t="shared" si="11"/>
        <v>0.19</v>
      </c>
      <c r="AQ31" s="137" t="s">
        <v>467</v>
      </c>
      <c r="AR31" s="150">
        <v>6.6</v>
      </c>
      <c r="AS31" s="138">
        <v>9.0399999999999991</v>
      </c>
      <c r="AT31" s="134"/>
      <c r="AU31" s="131">
        <v>8.25</v>
      </c>
      <c r="AV31" s="139">
        <v>288.14999999999998</v>
      </c>
      <c r="AW31" s="131">
        <v>3.87</v>
      </c>
      <c r="AX31" s="148"/>
      <c r="AY31" s="131"/>
      <c r="AZ31" s="109">
        <f t="shared" si="39"/>
        <v>0</v>
      </c>
      <c r="BA31" s="109">
        <f t="shared" si="12"/>
        <v>223.14150000000001</v>
      </c>
      <c r="BB31" s="115">
        <f t="shared" si="29"/>
        <v>232.37882466403701</v>
      </c>
      <c r="BC31" s="140">
        <f t="shared" si="13"/>
        <v>8.6116637323943657</v>
      </c>
      <c r="BD31" s="141">
        <f t="shared" si="41"/>
        <v>8.9256600000000006</v>
      </c>
      <c r="BE31" s="128">
        <f t="shared" si="15"/>
        <v>0.83829724925081639</v>
      </c>
      <c r="BF31" s="141">
        <f t="shared" si="16"/>
        <v>17.537323732394366</v>
      </c>
      <c r="BG31" s="535">
        <v>0.86</v>
      </c>
      <c r="BH31" s="16">
        <f t="shared" si="30"/>
        <v>5308.2099999999991</v>
      </c>
      <c r="BI31" s="16">
        <f t="shared" si="17"/>
        <v>222.58064516129033</v>
      </c>
      <c r="BJ31" s="16">
        <f t="shared" si="31"/>
        <v>5564.5161290322594</v>
      </c>
      <c r="BK31" s="17">
        <f>IF(BA31&lt;&gt;0,1,0)</f>
        <v>1</v>
      </c>
      <c r="BL31" s="16">
        <f t="shared" si="32"/>
        <v>5564.5161290322594</v>
      </c>
      <c r="BM31" s="254"/>
      <c r="BN31" s="197">
        <v>25.491</v>
      </c>
      <c r="BO31" s="230">
        <v>101.51</v>
      </c>
      <c r="BP31" s="266">
        <f t="shared" si="33"/>
        <v>400.31900000000002</v>
      </c>
      <c r="BQ31" s="313"/>
      <c r="BR31" s="230"/>
      <c r="BS31" s="259"/>
      <c r="BT31" s="199"/>
      <c r="BU31" s="200"/>
      <c r="BV31" s="200"/>
      <c r="BW31" s="200"/>
      <c r="BX31" s="200">
        <v>2.94</v>
      </c>
      <c r="BY31" s="208"/>
      <c r="BZ31" s="208"/>
      <c r="CA31" s="201"/>
      <c r="CB31" s="202"/>
      <c r="CC31" s="200">
        <v>43.94</v>
      </c>
      <c r="CD31" s="200">
        <v>43.41</v>
      </c>
      <c r="CE31" s="200">
        <v>37.909999999999997</v>
      </c>
      <c r="CF31" s="208"/>
      <c r="CG31" s="208"/>
      <c r="CH31" s="209"/>
      <c r="CI31" s="199"/>
      <c r="CJ31" s="197">
        <v>170.62</v>
      </c>
      <c r="CK31" s="230">
        <v>10.7</v>
      </c>
      <c r="CL31" s="266">
        <f t="shared" si="34"/>
        <v>151.5</v>
      </c>
      <c r="CM31" s="453"/>
      <c r="CN31" s="202"/>
      <c r="CO31" s="208"/>
      <c r="CP31" s="208"/>
      <c r="CQ31" s="201"/>
      <c r="CR31" s="201"/>
      <c r="CS31" s="284"/>
      <c r="CT31" s="286">
        <f t="shared" si="19"/>
        <v>0</v>
      </c>
      <c r="CU31" s="24">
        <f t="shared" si="19"/>
        <v>25.491</v>
      </c>
      <c r="CV31" s="25">
        <f t="shared" si="19"/>
        <v>101.51</v>
      </c>
      <c r="CW31" s="24">
        <f t="shared" si="19"/>
        <v>388.54962140000004</v>
      </c>
      <c r="CX31" s="27">
        <f t="shared" si="19"/>
        <v>0</v>
      </c>
      <c r="CY31" s="24">
        <f t="shared" si="19"/>
        <v>0</v>
      </c>
      <c r="CZ31" s="280">
        <f t="shared" si="19"/>
        <v>0</v>
      </c>
      <c r="DA31" s="28">
        <f t="shared" si="20"/>
        <v>170.62</v>
      </c>
      <c r="DB31" s="24">
        <f t="shared" si="20"/>
        <v>10.7</v>
      </c>
      <c r="DC31" s="277">
        <f t="shared" si="20"/>
        <v>151.5</v>
      </c>
      <c r="DD31" s="280">
        <f t="shared" si="20"/>
        <v>0</v>
      </c>
      <c r="DE31" s="508">
        <f t="shared" si="35"/>
        <v>0</v>
      </c>
      <c r="DG31" s="293">
        <f t="shared" si="21"/>
        <v>0</v>
      </c>
      <c r="DH31" s="294"/>
      <c r="DI31" s="294"/>
      <c r="DJ31" s="295">
        <f t="shared" si="22"/>
        <v>0</v>
      </c>
      <c r="DK31" s="296">
        <f t="shared" si="36"/>
        <v>0</v>
      </c>
      <c r="DM31" s="197">
        <v>380.31900000000002</v>
      </c>
      <c r="DN31" s="247">
        <f t="shared" si="37"/>
        <v>400.31900000000002</v>
      </c>
      <c r="DP31" s="230">
        <v>118.3</v>
      </c>
      <c r="DQ31" s="247">
        <f t="shared" si="38"/>
        <v>151.5</v>
      </c>
    </row>
    <row r="32" spans="1:121" ht="16.5" customHeight="1" thickBot="1">
      <c r="A32" s="534">
        <v>26</v>
      </c>
      <c r="B32" s="103">
        <f t="shared" si="23"/>
        <v>520.87099999999998</v>
      </c>
      <c r="C32" s="104">
        <f t="shared" si="0"/>
        <v>1.603272038566171</v>
      </c>
      <c r="D32" s="143">
        <f t="shared" si="1"/>
        <v>512.52002089999996</v>
      </c>
      <c r="E32" s="104">
        <f t="shared" si="2"/>
        <v>39.817778835834595</v>
      </c>
      <c r="F32" s="128">
        <f t="shared" si="3"/>
        <v>2.2185285168255287</v>
      </c>
      <c r="G32" s="106"/>
      <c r="H32" s="107">
        <f t="shared" si="4"/>
        <v>1.6770555580084667</v>
      </c>
      <c r="I32" s="103">
        <f>'[1]сентябрь 20'!AE31</f>
        <v>0</v>
      </c>
      <c r="J32" s="103">
        <f>'[1]октябрь 20'!AA31</f>
        <v>9.577</v>
      </c>
      <c r="K32" s="106">
        <v>30.52</v>
      </c>
      <c r="L32" s="103">
        <f>'[1]октябрь 20'!AI31</f>
        <v>125.09</v>
      </c>
      <c r="M32" s="103">
        <f t="shared" si="5"/>
        <v>0.54147295881706192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v>341</v>
      </c>
      <c r="S32" s="108">
        <f t="shared" si="6"/>
        <v>2.7272727272727115</v>
      </c>
      <c r="T32" s="109">
        <f t="shared" si="26"/>
        <v>331.70000000000005</v>
      </c>
      <c r="U32" s="566">
        <v>101.84</v>
      </c>
      <c r="V32" s="109">
        <f t="shared" si="7"/>
        <v>331.70000000000005</v>
      </c>
      <c r="W32" s="110">
        <f t="shared" si="8"/>
        <v>1.4358188539421173</v>
      </c>
      <c r="X32" s="110">
        <f t="shared" si="27"/>
        <v>1.4358188539421173</v>
      </c>
      <c r="Y32" s="136">
        <v>231.02</v>
      </c>
      <c r="Z32" s="136">
        <v>231.02</v>
      </c>
      <c r="AA32" s="131">
        <v>0.41</v>
      </c>
      <c r="AB32" s="133">
        <v>682</v>
      </c>
      <c r="AC32" s="133">
        <v>1229</v>
      </c>
      <c r="AD32" s="144" t="s">
        <v>426</v>
      </c>
      <c r="AE32" s="131">
        <v>75.95</v>
      </c>
      <c r="AF32" s="133">
        <v>167</v>
      </c>
      <c r="AG32" s="134">
        <v>5</v>
      </c>
      <c r="AH32" s="131"/>
      <c r="AI32" s="115">
        <f t="shared" si="9"/>
        <v>0</v>
      </c>
      <c r="AJ32" s="131">
        <v>133.1</v>
      </c>
      <c r="AK32" s="115">
        <f t="shared" si="10"/>
        <v>576.1455817295622</v>
      </c>
      <c r="AL32" s="139">
        <v>28.65</v>
      </c>
      <c r="AM32" s="131"/>
      <c r="AN32" s="136">
        <v>13.28</v>
      </c>
      <c r="AO32" s="466">
        <f t="shared" si="28"/>
        <v>55.822000000000003</v>
      </c>
      <c r="AP32" s="110">
        <f t="shared" si="11"/>
        <v>0.19</v>
      </c>
      <c r="AQ32" s="137" t="s">
        <v>468</v>
      </c>
      <c r="AR32" s="150">
        <v>6.92</v>
      </c>
      <c r="AS32" s="138">
        <v>8.93</v>
      </c>
      <c r="AT32" s="134"/>
      <c r="AU32" s="131">
        <v>8.6</v>
      </c>
      <c r="AV32" s="139">
        <v>293.8</v>
      </c>
      <c r="AW32" s="131">
        <v>6.32</v>
      </c>
      <c r="AX32" s="148"/>
      <c r="AY32" s="131"/>
      <c r="AZ32" s="109">
        <f t="shared" si="39"/>
        <v>0</v>
      </c>
      <c r="BA32" s="109">
        <f t="shared" si="12"/>
        <v>231.018</v>
      </c>
      <c r="BB32" s="115">
        <f t="shared" si="29"/>
        <v>234.57100616602452</v>
      </c>
      <c r="BC32" s="140">
        <f t="shared" si="13"/>
        <v>8.8670845070422519</v>
      </c>
      <c r="BD32" s="141">
        <f t="shared" si="41"/>
        <v>9.2407199999999996</v>
      </c>
      <c r="BE32" s="128">
        <f t="shared" si="15"/>
        <v>0.85977682108442655</v>
      </c>
      <c r="BF32" s="141">
        <f t="shared" si="16"/>
        <v>18.107804507042253</v>
      </c>
      <c r="BG32" s="535">
        <v>0.86</v>
      </c>
      <c r="BH32" s="16">
        <f t="shared" si="30"/>
        <v>5539.2279999999992</v>
      </c>
      <c r="BI32" s="16">
        <f t="shared" si="17"/>
        <v>222.58064516129033</v>
      </c>
      <c r="BJ32" s="16">
        <f t="shared" si="31"/>
        <v>5787.0967741935501</v>
      </c>
      <c r="BK32" s="17">
        <f>IF(BA32&lt;&gt;0,1,0)</f>
        <v>1</v>
      </c>
      <c r="BL32" s="16">
        <f t="shared" si="32"/>
        <v>5787.0967741935501</v>
      </c>
      <c r="BM32" s="254"/>
      <c r="BN32" s="197">
        <v>24.882000000000001</v>
      </c>
      <c r="BO32" s="230">
        <v>100.208</v>
      </c>
      <c r="BP32" s="266">
        <f t="shared" si="33"/>
        <v>395.78100000000001</v>
      </c>
      <c r="BQ32" s="313"/>
      <c r="BR32" s="230"/>
      <c r="BS32" s="258"/>
      <c r="BT32" s="199"/>
      <c r="BU32" s="200"/>
      <c r="BV32" s="200"/>
      <c r="BW32" s="200"/>
      <c r="BX32" s="200">
        <v>2.11</v>
      </c>
      <c r="BY32" s="208"/>
      <c r="BZ32" s="208"/>
      <c r="CA32" s="201"/>
      <c r="CB32" s="202"/>
      <c r="CC32" s="200">
        <v>44.25</v>
      </c>
      <c r="CD32" s="200">
        <v>43.29</v>
      </c>
      <c r="CE32" s="200">
        <v>38.659999999999997</v>
      </c>
      <c r="CF32" s="208"/>
      <c r="CG32" s="208"/>
      <c r="CH32" s="209"/>
      <c r="CI32" s="199"/>
      <c r="CJ32" s="197">
        <v>181.6</v>
      </c>
      <c r="CK32" s="230"/>
      <c r="CL32" s="266">
        <f t="shared" si="34"/>
        <v>150.10000000000002</v>
      </c>
      <c r="CM32" s="453"/>
      <c r="CN32" s="202"/>
      <c r="CO32" s="208"/>
      <c r="CP32" s="208"/>
      <c r="CQ32" s="201"/>
      <c r="CR32" s="201"/>
      <c r="CS32" s="284"/>
      <c r="CT32" s="286">
        <f t="shared" si="19"/>
        <v>0</v>
      </c>
      <c r="CU32" s="24">
        <f t="shared" si="19"/>
        <v>24.882000000000001</v>
      </c>
      <c r="CV32" s="25">
        <f t="shared" si="19"/>
        <v>100.208</v>
      </c>
      <c r="CW32" s="24">
        <f t="shared" si="19"/>
        <v>387.43002089999999</v>
      </c>
      <c r="CX32" s="27">
        <f t="shared" si="19"/>
        <v>0</v>
      </c>
      <c r="CY32" s="24">
        <f t="shared" si="19"/>
        <v>0</v>
      </c>
      <c r="CZ32" s="280">
        <f t="shared" si="19"/>
        <v>0</v>
      </c>
      <c r="DA32" s="25">
        <f t="shared" si="20"/>
        <v>181.6</v>
      </c>
      <c r="DB32" s="24">
        <f t="shared" si="20"/>
        <v>0</v>
      </c>
      <c r="DC32" s="277">
        <f t="shared" si="20"/>
        <v>150.10000000000002</v>
      </c>
      <c r="DD32" s="280">
        <f t="shared" si="20"/>
        <v>0</v>
      </c>
      <c r="DE32" s="508">
        <f t="shared" si="35"/>
        <v>0</v>
      </c>
      <c r="DG32" s="293">
        <f t="shared" si="21"/>
        <v>0</v>
      </c>
      <c r="DH32" s="294"/>
      <c r="DI32" s="294"/>
      <c r="DJ32" s="295">
        <f t="shared" si="22"/>
        <v>0</v>
      </c>
      <c r="DK32" s="296">
        <f t="shared" si="36"/>
        <v>0</v>
      </c>
      <c r="DM32" s="197">
        <v>375.78100000000001</v>
      </c>
      <c r="DN32" s="247">
        <f t="shared" si="37"/>
        <v>395.78100000000001</v>
      </c>
      <c r="DP32" s="230">
        <v>116.9</v>
      </c>
      <c r="DQ32" s="247">
        <f t="shared" si="38"/>
        <v>150.10000000000002</v>
      </c>
    </row>
    <row r="33" spans="1:121" ht="16.5" customHeight="1" thickBot="1">
      <c r="A33" s="534">
        <v>27</v>
      </c>
      <c r="B33" s="103">
        <f t="shared" si="23"/>
        <v>521.048</v>
      </c>
      <c r="C33" s="104">
        <f t="shared" si="0"/>
        <v>1.4125666349357451</v>
      </c>
      <c r="D33" s="143">
        <f t="shared" si="1"/>
        <v>513.68784979999998</v>
      </c>
      <c r="E33" s="104">
        <f t="shared" si="2"/>
        <v>39.530103253443059</v>
      </c>
      <c r="F33" s="128">
        <f t="shared" si="3"/>
        <v>2.1009942833771307</v>
      </c>
      <c r="G33" s="106"/>
      <c r="H33" s="107">
        <f t="shared" si="4"/>
        <v>1.5883469147946299</v>
      </c>
      <c r="I33" s="103">
        <f>'[1]сентябрь 20'!AE32</f>
        <v>0</v>
      </c>
      <c r="J33" s="103">
        <f>'[1]октябрь 20'!AA32</f>
        <v>9.9339999999999993</v>
      </c>
      <c r="K33" s="106">
        <v>10.1</v>
      </c>
      <c r="L33" s="103">
        <f>'[1]октябрь 20'!AI32</f>
        <v>125.34099999999999</v>
      </c>
      <c r="M33" s="103">
        <f t="shared" si="5"/>
        <v>0.51264736858250082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v>344.5</v>
      </c>
      <c r="S33" s="108">
        <f t="shared" si="6"/>
        <v>2.6647314949201584</v>
      </c>
      <c r="T33" s="109">
        <f t="shared" si="26"/>
        <v>335.32000000000005</v>
      </c>
      <c r="U33" s="566">
        <v>24.44</v>
      </c>
      <c r="V33" s="109">
        <f t="shared" si="7"/>
        <v>335.32000000000005</v>
      </c>
      <c r="W33" s="110">
        <f t="shared" si="8"/>
        <v>1.3714659659096722</v>
      </c>
      <c r="X33" s="110">
        <f t="shared" si="27"/>
        <v>1.3714659659096722</v>
      </c>
      <c r="Y33" s="136">
        <v>244.5</v>
      </c>
      <c r="Z33" s="136">
        <v>244.5</v>
      </c>
      <c r="AA33" s="131">
        <v>0.57999999999999996</v>
      </c>
      <c r="AB33" s="133">
        <v>690</v>
      </c>
      <c r="AC33" s="133">
        <v>1240</v>
      </c>
      <c r="AD33" s="144" t="s">
        <v>469</v>
      </c>
      <c r="AE33" s="131">
        <v>75.94</v>
      </c>
      <c r="AF33" s="133">
        <v>167</v>
      </c>
      <c r="AG33" s="134">
        <v>5</v>
      </c>
      <c r="AH33" s="131">
        <v>8</v>
      </c>
      <c r="AI33" s="115">
        <f t="shared" si="9"/>
        <v>32.720170962893278</v>
      </c>
      <c r="AJ33" s="131">
        <v>148.1</v>
      </c>
      <c r="AK33" s="115">
        <f t="shared" si="10"/>
        <v>605.73216495056181</v>
      </c>
      <c r="AL33" s="139">
        <v>33.28</v>
      </c>
      <c r="AM33" s="131"/>
      <c r="AN33" s="136">
        <v>13.69</v>
      </c>
      <c r="AO33" s="466">
        <f t="shared" si="28"/>
        <v>59.9925</v>
      </c>
      <c r="AP33" s="110">
        <f t="shared" si="11"/>
        <v>0.19</v>
      </c>
      <c r="AQ33" s="137" t="s">
        <v>470</v>
      </c>
      <c r="AR33" s="150">
        <v>6.79</v>
      </c>
      <c r="AS33" s="138">
        <v>9.33</v>
      </c>
      <c r="AT33" s="134"/>
      <c r="AU33" s="131">
        <v>8.5399999999999991</v>
      </c>
      <c r="AV33" s="139">
        <v>315.75</v>
      </c>
      <c r="AW33" s="131">
        <v>2.4300000000000002</v>
      </c>
      <c r="AX33" s="116"/>
      <c r="AY33" s="131"/>
      <c r="AZ33" s="109">
        <f t="shared" si="39"/>
        <v>0</v>
      </c>
      <c r="BA33" s="109">
        <f t="shared" si="12"/>
        <v>244.4975</v>
      </c>
      <c r="BB33" s="115">
        <f t="shared" si="29"/>
        <v>233.4376449475736</v>
      </c>
      <c r="BC33" s="140">
        <f t="shared" si="13"/>
        <v>9.7975450704225331</v>
      </c>
      <c r="BD33" s="141">
        <f t="shared" si="41"/>
        <v>9.7798999999999996</v>
      </c>
      <c r="BE33" s="128">
        <f t="shared" si="15"/>
        <v>0.91436116718850835</v>
      </c>
      <c r="BF33" s="141">
        <f t="shared" si="16"/>
        <v>19.577445070422534</v>
      </c>
      <c r="BG33" s="535">
        <v>0.86199999999999999</v>
      </c>
      <c r="BH33" s="16">
        <f t="shared" si="30"/>
        <v>5783.7254999999996</v>
      </c>
      <c r="BI33" s="16">
        <f t="shared" si="17"/>
        <v>222.58064516129033</v>
      </c>
      <c r="BJ33" s="16">
        <f t="shared" si="31"/>
        <v>6009.6774193548408</v>
      </c>
      <c r="BK33" s="17">
        <f t="shared" si="18"/>
        <v>1</v>
      </c>
      <c r="BL33" s="16">
        <f t="shared" si="32"/>
        <v>6009.6774193548408</v>
      </c>
      <c r="BM33" s="254"/>
      <c r="BN33" s="197">
        <v>25.178999999999998</v>
      </c>
      <c r="BO33" s="230">
        <v>100.16200000000001</v>
      </c>
      <c r="BP33" s="266">
        <f t="shared" si="33"/>
        <v>395.70699999999999</v>
      </c>
      <c r="BQ33" s="313"/>
      <c r="BR33" s="230"/>
      <c r="BS33" s="258"/>
      <c r="BT33" s="199"/>
      <c r="BU33" s="200"/>
      <c r="BV33" s="200"/>
      <c r="BW33" s="200"/>
      <c r="BX33" s="200">
        <v>1.86</v>
      </c>
      <c r="BY33" s="208"/>
      <c r="BZ33" s="208"/>
      <c r="CA33" s="201"/>
      <c r="CB33" s="202"/>
      <c r="CC33" s="200">
        <v>44.14</v>
      </c>
      <c r="CD33" s="200">
        <v>43.31</v>
      </c>
      <c r="CE33" s="200">
        <v>38.28</v>
      </c>
      <c r="CF33" s="208"/>
      <c r="CG33" s="208"/>
      <c r="CH33" s="209"/>
      <c r="CI33" s="199"/>
      <c r="CJ33" s="197">
        <v>185.22</v>
      </c>
      <c r="CK33" s="230"/>
      <c r="CL33" s="266">
        <f t="shared" si="34"/>
        <v>150.10000000000002</v>
      </c>
      <c r="CM33" s="453"/>
      <c r="CN33" s="202"/>
      <c r="CO33" s="208"/>
      <c r="CP33" s="208"/>
      <c r="CQ33" s="209"/>
      <c r="CR33" s="201"/>
      <c r="CS33" s="284"/>
      <c r="CT33" s="286">
        <f t="shared" si="19"/>
        <v>0</v>
      </c>
      <c r="CU33" s="24">
        <f t="shared" si="19"/>
        <v>25.178999999999998</v>
      </c>
      <c r="CV33" s="25">
        <f t="shared" si="19"/>
        <v>100.16200000000001</v>
      </c>
      <c r="CW33" s="24">
        <f t="shared" si="19"/>
        <v>388.34684980000003</v>
      </c>
      <c r="CX33" s="27">
        <f t="shared" si="19"/>
        <v>0</v>
      </c>
      <c r="CY33" s="24">
        <f t="shared" si="19"/>
        <v>0</v>
      </c>
      <c r="CZ33" s="280">
        <f t="shared" si="19"/>
        <v>0</v>
      </c>
      <c r="DA33" s="25">
        <f t="shared" si="20"/>
        <v>185.22</v>
      </c>
      <c r="DB33" s="24">
        <f t="shared" si="20"/>
        <v>0</v>
      </c>
      <c r="DC33" s="277">
        <f t="shared" si="20"/>
        <v>150.10000000000002</v>
      </c>
      <c r="DD33" s="280">
        <f t="shared" si="20"/>
        <v>0</v>
      </c>
      <c r="DE33" s="508">
        <f t="shared" si="35"/>
        <v>0</v>
      </c>
      <c r="DG33" s="293">
        <f t="shared" si="21"/>
        <v>0</v>
      </c>
      <c r="DH33" s="294"/>
      <c r="DI33" s="294"/>
      <c r="DJ33" s="295">
        <f t="shared" si="22"/>
        <v>0</v>
      </c>
      <c r="DK33" s="296">
        <f t="shared" si="36"/>
        <v>0</v>
      </c>
      <c r="DM33" s="197">
        <v>375.70699999999999</v>
      </c>
      <c r="DN33" s="247">
        <f t="shared" si="37"/>
        <v>395.70699999999999</v>
      </c>
      <c r="DP33" s="230">
        <v>116.9</v>
      </c>
      <c r="DQ33" s="247">
        <f t="shared" si="38"/>
        <v>150.10000000000002</v>
      </c>
    </row>
    <row r="34" spans="1:121" ht="16.5" customHeight="1" thickBot="1">
      <c r="A34" s="534">
        <v>28</v>
      </c>
      <c r="B34" s="103">
        <f t="shared" si="23"/>
        <v>524.01099999999997</v>
      </c>
      <c r="C34" s="104">
        <f t="shared" si="0"/>
        <v>1.1621186387308664</v>
      </c>
      <c r="D34" s="143">
        <f t="shared" si="1"/>
        <v>517.92137049999997</v>
      </c>
      <c r="E34" s="104">
        <f t="shared" si="2"/>
        <v>39.328923667632935</v>
      </c>
      <c r="F34" s="128">
        <f t="shared" si="3"/>
        <v>2.262347041248236</v>
      </c>
      <c r="G34" s="106"/>
      <c r="H34" s="107">
        <f t="shared" si="4"/>
        <v>1.7119803368700612</v>
      </c>
      <c r="I34" s="103">
        <f>'[1]сентябрь 20'!AE33</f>
        <v>0</v>
      </c>
      <c r="J34" s="103">
        <f>'[1]октябрь 20'!AA33</f>
        <v>11.58</v>
      </c>
      <c r="K34" s="106"/>
      <c r="L34" s="103">
        <f>'[1]октябрь 20'!AI33</f>
        <v>125.996</v>
      </c>
      <c r="M34" s="103">
        <f t="shared" si="5"/>
        <v>0.55036670437817503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v>346.32</v>
      </c>
      <c r="S34" s="108">
        <f t="shared" si="6"/>
        <v>2.3966273966274043</v>
      </c>
      <c r="T34" s="109">
        <f t="shared" si="26"/>
        <v>338.02</v>
      </c>
      <c r="U34" s="566">
        <v>28.91</v>
      </c>
      <c r="V34" s="109">
        <f t="shared" si="7"/>
        <v>338.02</v>
      </c>
      <c r="W34" s="110">
        <f t="shared" si="8"/>
        <v>1.4765147577217588</v>
      </c>
      <c r="X34" s="110">
        <f t="shared" si="27"/>
        <v>1.4765147577217588</v>
      </c>
      <c r="Y34" s="157">
        <v>122.76</v>
      </c>
      <c r="Z34" s="157">
        <v>101.17</v>
      </c>
      <c r="AA34" s="149">
        <v>0.61</v>
      </c>
      <c r="AB34" s="147">
        <v>691</v>
      </c>
      <c r="AC34" s="147">
        <v>1231</v>
      </c>
      <c r="AD34" s="144" t="s">
        <v>446</v>
      </c>
      <c r="AE34" s="149">
        <v>76.09</v>
      </c>
      <c r="AF34" s="147">
        <v>168</v>
      </c>
      <c r="AG34" s="155">
        <v>5</v>
      </c>
      <c r="AH34" s="149">
        <v>6.75</v>
      </c>
      <c r="AI34" s="115">
        <f t="shared" si="9"/>
        <v>29.484866619199668</v>
      </c>
      <c r="AJ34" s="149">
        <v>125.45</v>
      </c>
      <c r="AK34" s="115">
        <f t="shared" si="10"/>
        <v>547.98170627831087</v>
      </c>
      <c r="AL34" s="156">
        <v>31.45</v>
      </c>
      <c r="AM34" s="149"/>
      <c r="AN34" s="157">
        <v>15.39</v>
      </c>
      <c r="AO34" s="466">
        <f t="shared" si="28"/>
        <v>56.259000000000007</v>
      </c>
      <c r="AP34" s="110">
        <f t="shared" si="11"/>
        <v>0.19</v>
      </c>
      <c r="AQ34" s="158" t="s">
        <v>472</v>
      </c>
      <c r="AR34" s="404">
        <v>7.45</v>
      </c>
      <c r="AS34" s="159">
        <v>8.52</v>
      </c>
      <c r="AT34" s="155"/>
      <c r="AU34" s="149">
        <v>7.17</v>
      </c>
      <c r="AV34" s="156">
        <v>296.10000000000002</v>
      </c>
      <c r="AW34" s="131">
        <v>4.4800000000000004</v>
      </c>
      <c r="AX34" s="148"/>
      <c r="AY34" s="149"/>
      <c r="AZ34" s="109">
        <f t="shared" si="39"/>
        <v>0</v>
      </c>
      <c r="BA34" s="109">
        <f t="shared" si="12"/>
        <v>228.93100000000001</v>
      </c>
      <c r="BB34" s="115">
        <f t="shared" si="29"/>
        <v>233.70206611064637</v>
      </c>
      <c r="BC34" s="140">
        <f t="shared" si="13"/>
        <v>6.9677757042253514</v>
      </c>
      <c r="BD34" s="141">
        <f t="shared" si="41"/>
        <v>9.1572399999999998</v>
      </c>
      <c r="BE34" s="128">
        <f t="shared" si="15"/>
        <v>0.85517756144003343</v>
      </c>
      <c r="BF34" s="141">
        <f t="shared" si="16"/>
        <v>16.125015704225351</v>
      </c>
      <c r="BG34" s="538">
        <v>0.86199999999999999</v>
      </c>
      <c r="BH34" s="16">
        <f t="shared" si="30"/>
        <v>6012.6564999999991</v>
      </c>
      <c r="BI34" s="16">
        <f t="shared" si="17"/>
        <v>222.58064516129033</v>
      </c>
      <c r="BJ34" s="16">
        <f t="shared" si="31"/>
        <v>6232.2580645161315</v>
      </c>
      <c r="BK34" s="17">
        <f t="shared" si="18"/>
        <v>1</v>
      </c>
      <c r="BL34" s="16">
        <f t="shared" si="32"/>
        <v>6232.2580645161315</v>
      </c>
      <c r="BM34" s="255"/>
      <c r="BN34" s="210">
        <v>25.155000000000001</v>
      </c>
      <c r="BO34" s="233">
        <v>100.84099999999999</v>
      </c>
      <c r="BP34" s="266">
        <f t="shared" si="33"/>
        <v>398.01499999999999</v>
      </c>
      <c r="BQ34" s="516"/>
      <c r="BR34" s="233"/>
      <c r="BS34" s="260"/>
      <c r="BT34" s="212"/>
      <c r="BU34" s="213"/>
      <c r="BV34" s="213"/>
      <c r="BW34" s="213"/>
      <c r="BX34" s="213">
        <v>1.53</v>
      </c>
      <c r="BY34" s="235"/>
      <c r="BZ34" s="235"/>
      <c r="CA34" s="214"/>
      <c r="CB34" s="215"/>
      <c r="CC34" s="213">
        <v>44.04</v>
      </c>
      <c r="CD34" s="213">
        <v>43.32</v>
      </c>
      <c r="CE34" s="213">
        <v>38.020000000000003</v>
      </c>
      <c r="CF34" s="235"/>
      <c r="CG34" s="235"/>
      <c r="CH34" s="211"/>
      <c r="CI34" s="212"/>
      <c r="CJ34" s="210">
        <v>187.22</v>
      </c>
      <c r="CK34" s="233"/>
      <c r="CL34" s="266">
        <f t="shared" si="34"/>
        <v>150.80000000000001</v>
      </c>
      <c r="CM34" s="453"/>
      <c r="CN34" s="202"/>
      <c r="CO34" s="208"/>
      <c r="CP34" s="208"/>
      <c r="CQ34" s="209"/>
      <c r="CR34" s="201"/>
      <c r="CS34" s="284"/>
      <c r="CT34" s="286">
        <f t="shared" si="19"/>
        <v>0</v>
      </c>
      <c r="CU34" s="24">
        <f t="shared" si="19"/>
        <v>25.155000000000001</v>
      </c>
      <c r="CV34" s="25">
        <f t="shared" si="19"/>
        <v>100.84099999999999</v>
      </c>
      <c r="CW34" s="24">
        <f t="shared" si="19"/>
        <v>391.92537049999999</v>
      </c>
      <c r="CX34" s="27">
        <f t="shared" si="19"/>
        <v>0</v>
      </c>
      <c r="CY34" s="24">
        <f t="shared" si="19"/>
        <v>0</v>
      </c>
      <c r="CZ34" s="280">
        <f t="shared" si="19"/>
        <v>0</v>
      </c>
      <c r="DA34" s="30">
        <f t="shared" si="20"/>
        <v>187.22</v>
      </c>
      <c r="DB34" s="29">
        <f t="shared" si="20"/>
        <v>0</v>
      </c>
      <c r="DC34" s="277">
        <f t="shared" si="20"/>
        <v>150.80000000000001</v>
      </c>
      <c r="DD34" s="280">
        <f t="shared" si="20"/>
        <v>0</v>
      </c>
      <c r="DE34" s="508">
        <f t="shared" si="35"/>
        <v>0</v>
      </c>
      <c r="DG34" s="293">
        <f t="shared" si="21"/>
        <v>0</v>
      </c>
      <c r="DH34" s="294"/>
      <c r="DI34" s="294"/>
      <c r="DJ34" s="295">
        <f t="shared" si="22"/>
        <v>0</v>
      </c>
      <c r="DK34" s="296">
        <f t="shared" si="36"/>
        <v>0</v>
      </c>
      <c r="DM34" s="210">
        <v>378.01499999999999</v>
      </c>
      <c r="DN34" s="247">
        <f t="shared" si="37"/>
        <v>398.01499999999999</v>
      </c>
      <c r="DP34" s="233">
        <v>117.6</v>
      </c>
      <c r="DQ34" s="247">
        <f t="shared" si="38"/>
        <v>150.80000000000001</v>
      </c>
    </row>
    <row r="35" spans="1:121" ht="16.5" customHeight="1" thickBot="1">
      <c r="A35" s="534">
        <v>29</v>
      </c>
      <c r="B35" s="103">
        <f t="shared" si="23"/>
        <v>514.84299999999996</v>
      </c>
      <c r="C35" s="104">
        <f t="shared" si="0"/>
        <v>0.85114631062285018</v>
      </c>
      <c r="D35" s="143">
        <f t="shared" si="1"/>
        <v>510.46093279999997</v>
      </c>
      <c r="E35" s="104">
        <f t="shared" si="2"/>
        <v>39.379222287182692</v>
      </c>
      <c r="F35" s="128">
        <f t="shared" si="3"/>
        <v>2.1221457254510683</v>
      </c>
      <c r="G35" s="106"/>
      <c r="H35" s="107">
        <f t="shared" si="4"/>
        <v>1.6083559191818404</v>
      </c>
      <c r="I35" s="103">
        <f>'[1]сентябрь 20'!AE34</f>
        <v>0</v>
      </c>
      <c r="J35" s="103">
        <f>'[1]октябрь 20'!AA34</f>
        <v>11.481</v>
      </c>
      <c r="K35" s="106">
        <v>23.48</v>
      </c>
      <c r="L35" s="103">
        <f>'[1]октябрь 20'!AI34</f>
        <v>123.587</v>
      </c>
      <c r="M35" s="103">
        <f t="shared" si="5"/>
        <v>0.51378980626922754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v>337.15</v>
      </c>
      <c r="S35" s="108">
        <f t="shared" si="6"/>
        <v>2.1088536259825097</v>
      </c>
      <c r="T35" s="109">
        <f t="shared" si="26"/>
        <v>330.03999999999996</v>
      </c>
      <c r="U35" s="566">
        <v>3.45</v>
      </c>
      <c r="V35" s="109">
        <f t="shared" si="7"/>
        <v>330.03999999999996</v>
      </c>
      <c r="W35" s="110">
        <f t="shared" si="8"/>
        <v>1.3720794878190734</v>
      </c>
      <c r="X35" s="110">
        <f t="shared" si="27"/>
        <v>1.3720794878190734</v>
      </c>
      <c r="Y35" s="136">
        <v>240.54</v>
      </c>
      <c r="Z35" s="136">
        <v>96.52</v>
      </c>
      <c r="AA35" s="131">
        <v>1.06</v>
      </c>
      <c r="AB35" s="133">
        <v>672</v>
      </c>
      <c r="AC35" s="133">
        <v>1239</v>
      </c>
      <c r="AD35" s="144" t="s">
        <v>217</v>
      </c>
      <c r="AE35" s="131">
        <v>75.7</v>
      </c>
      <c r="AF35" s="133">
        <v>165</v>
      </c>
      <c r="AG35" s="134">
        <v>5</v>
      </c>
      <c r="AH35" s="166">
        <v>5.3</v>
      </c>
      <c r="AI35" s="115">
        <f t="shared" si="9"/>
        <v>22.03375737923006</v>
      </c>
      <c r="AJ35" s="166">
        <v>122</v>
      </c>
      <c r="AK35" s="115">
        <f t="shared" si="10"/>
        <v>507.19215099359769</v>
      </c>
      <c r="AL35" s="139">
        <v>27.15</v>
      </c>
      <c r="AM35" s="131"/>
      <c r="AN35" s="167">
        <v>12.31</v>
      </c>
      <c r="AO35" s="466">
        <f t="shared" si="28"/>
        <v>57.95</v>
      </c>
      <c r="AP35" s="110">
        <f t="shared" si="11"/>
        <v>0.19</v>
      </c>
      <c r="AQ35" s="168" t="s">
        <v>362</v>
      </c>
      <c r="AR35" s="405">
        <v>7.56</v>
      </c>
      <c r="AS35" s="169">
        <v>9.14</v>
      </c>
      <c r="AT35" s="170"/>
      <c r="AU35" s="166">
        <v>5.44</v>
      </c>
      <c r="AV35" s="171">
        <v>305</v>
      </c>
      <c r="AW35" s="131">
        <v>5.8</v>
      </c>
      <c r="AX35" s="116"/>
      <c r="AY35" s="131"/>
      <c r="AZ35" s="109">
        <f t="shared" si="39"/>
        <v>0</v>
      </c>
      <c r="BA35" s="109">
        <f t="shared" si="12"/>
        <v>240.54000000000002</v>
      </c>
      <c r="BB35" s="115">
        <f t="shared" si="29"/>
        <v>231.81845594271849</v>
      </c>
      <c r="BC35" s="140">
        <f t="shared" si="13"/>
        <v>5.1411830985915499</v>
      </c>
      <c r="BD35" s="141">
        <f t="shared" si="41"/>
        <v>9.6216000000000008</v>
      </c>
      <c r="BE35" s="128">
        <f t="shared" si="15"/>
        <v>0.90584427001743173</v>
      </c>
      <c r="BF35" s="141">
        <f t="shared" si="16"/>
        <v>14.762783098591552</v>
      </c>
      <c r="BG35" s="538">
        <v>0.86399999999999999</v>
      </c>
      <c r="BH35" s="16">
        <f t="shared" si="30"/>
        <v>6253.1964999999991</v>
      </c>
      <c r="BI35" s="16">
        <f t="shared" si="17"/>
        <v>222.58064516129033</v>
      </c>
      <c r="BJ35" s="16">
        <f t="shared" si="31"/>
        <v>6454.8387096774222</v>
      </c>
      <c r="BK35" s="17">
        <f t="shared" si="18"/>
        <v>1</v>
      </c>
      <c r="BL35" s="16">
        <f t="shared" si="32"/>
        <v>6454.8387096774222</v>
      </c>
      <c r="BM35" s="254"/>
      <c r="BN35" s="197">
        <v>24.574999999999999</v>
      </c>
      <c r="BO35" s="230">
        <v>99.012</v>
      </c>
      <c r="BP35" s="266">
        <f t="shared" si="33"/>
        <v>391.25599999999997</v>
      </c>
      <c r="BQ35" s="313"/>
      <c r="BR35" s="230"/>
      <c r="BS35" s="259"/>
      <c r="BT35" s="199"/>
      <c r="BU35" s="200"/>
      <c r="BV35" s="200"/>
      <c r="BW35" s="200"/>
      <c r="BX35" s="200">
        <v>1.1200000000000001</v>
      </c>
      <c r="BY35" s="208"/>
      <c r="BZ35" s="208"/>
      <c r="CA35" s="201"/>
      <c r="CB35" s="202"/>
      <c r="CC35" s="200">
        <v>44.06</v>
      </c>
      <c r="CD35" s="200">
        <v>43.47</v>
      </c>
      <c r="CE35" s="200">
        <v>38.049999999999997</v>
      </c>
      <c r="CF35" s="208"/>
      <c r="CG35" s="208"/>
      <c r="CH35" s="209"/>
      <c r="CI35" s="199"/>
      <c r="CJ35" s="197">
        <v>181.34</v>
      </c>
      <c r="CK35" s="230"/>
      <c r="CL35" s="266">
        <f t="shared" si="34"/>
        <v>148.69999999999999</v>
      </c>
      <c r="CM35" s="453"/>
      <c r="CN35" s="202"/>
      <c r="CO35" s="208"/>
      <c r="CP35" s="208"/>
      <c r="CQ35" s="209"/>
      <c r="CR35" s="201"/>
      <c r="CT35" s="286">
        <f t="shared" si="19"/>
        <v>0</v>
      </c>
      <c r="CU35" s="24">
        <f t="shared" si="19"/>
        <v>24.574999999999999</v>
      </c>
      <c r="CV35" s="24">
        <f t="shared" si="19"/>
        <v>99.012</v>
      </c>
      <c r="CW35" s="24">
        <f t="shared" si="19"/>
        <v>386.87393279999992</v>
      </c>
      <c r="CX35" s="27">
        <f t="shared" si="19"/>
        <v>0</v>
      </c>
      <c r="CY35" s="27">
        <f t="shared" si="19"/>
        <v>0</v>
      </c>
      <c r="CZ35" s="280">
        <f t="shared" si="19"/>
        <v>0</v>
      </c>
      <c r="DA35" s="237">
        <f t="shared" si="20"/>
        <v>181.34</v>
      </c>
      <c r="DB35" s="26">
        <f t="shared" si="20"/>
        <v>0</v>
      </c>
      <c r="DC35" s="277">
        <f t="shared" si="20"/>
        <v>148.69999999999999</v>
      </c>
      <c r="DD35" s="280">
        <f t="shared" si="20"/>
        <v>0</v>
      </c>
      <c r="DE35" s="508">
        <f t="shared" si="35"/>
        <v>0</v>
      </c>
      <c r="DG35" s="293">
        <f t="shared" si="21"/>
        <v>0</v>
      </c>
      <c r="DH35" s="294"/>
      <c r="DI35" s="294"/>
      <c r="DJ35" s="295">
        <f t="shared" si="22"/>
        <v>0</v>
      </c>
      <c r="DK35" s="296">
        <f t="shared" si="36"/>
        <v>0</v>
      </c>
      <c r="DM35" s="197">
        <v>371.25599999999997</v>
      </c>
      <c r="DN35" s="247">
        <f t="shared" si="37"/>
        <v>391.25599999999997</v>
      </c>
      <c r="DP35" s="230">
        <v>115.5</v>
      </c>
      <c r="DQ35" s="247">
        <f t="shared" si="38"/>
        <v>148.69999999999999</v>
      </c>
    </row>
    <row r="36" spans="1:121" ht="16.5" customHeight="1" thickBot="1">
      <c r="A36" s="534">
        <v>30</v>
      </c>
      <c r="B36" s="103">
        <f t="shared" si="23"/>
        <v>376.89400000000001</v>
      </c>
      <c r="C36" s="104">
        <f t="shared" si="0"/>
        <v>0.95399833905554343</v>
      </c>
      <c r="D36" s="143">
        <f t="shared" si="1"/>
        <v>373.29843750000003</v>
      </c>
      <c r="E36" s="104">
        <f t="shared" si="2"/>
        <v>39.342425960614918</v>
      </c>
      <c r="F36" s="128">
        <f t="shared" si="3"/>
        <v>2.2809178548406317</v>
      </c>
      <c r="G36" s="106"/>
      <c r="H36" s="107">
        <f t="shared" si="4"/>
        <v>1.7355910675387922</v>
      </c>
      <c r="I36" s="103">
        <f>'[1]сентябрь 20'!AE35</f>
        <v>0</v>
      </c>
      <c r="J36" s="103">
        <f>'[1]октябрь 20'!AA35</f>
        <v>8.2639999999999993</v>
      </c>
      <c r="K36" s="106"/>
      <c r="L36" s="103">
        <f>'[1]октябрь 20'!AI35</f>
        <v>89.248999999999995</v>
      </c>
      <c r="M36" s="103">
        <f t="shared" si="5"/>
        <v>0.54532678730183948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v>253.72</v>
      </c>
      <c r="S36" s="108">
        <f t="shared" si="6"/>
        <v>2.1874507330916004</v>
      </c>
      <c r="T36" s="109">
        <f t="shared" si="26"/>
        <v>248.17</v>
      </c>
      <c r="U36" s="566">
        <v>2.34</v>
      </c>
      <c r="V36" s="109">
        <f t="shared" si="7"/>
        <v>248.17</v>
      </c>
      <c r="W36" s="110">
        <f t="shared" si="8"/>
        <v>1.516361514467361</v>
      </c>
      <c r="X36" s="110">
        <f t="shared" si="27"/>
        <v>1.516361514467361</v>
      </c>
      <c r="Y36" s="136">
        <v>163.66</v>
      </c>
      <c r="Z36" s="136">
        <v>124.36</v>
      </c>
      <c r="AA36" s="131">
        <v>0.87</v>
      </c>
      <c r="AB36" s="133">
        <v>613</v>
      </c>
      <c r="AC36" s="133">
        <v>1189</v>
      </c>
      <c r="AD36" s="144" t="s">
        <v>473</v>
      </c>
      <c r="AE36" s="131">
        <v>75.87</v>
      </c>
      <c r="AF36" s="133">
        <v>121</v>
      </c>
      <c r="AG36" s="134">
        <v>4</v>
      </c>
      <c r="AH36" s="131">
        <v>3.6</v>
      </c>
      <c r="AI36" s="115">
        <f t="shared" si="9"/>
        <v>21.996621074596042</v>
      </c>
      <c r="AJ36" s="131">
        <v>90.6</v>
      </c>
      <c r="AK36" s="115">
        <f t="shared" si="10"/>
        <v>553.58163037733368</v>
      </c>
      <c r="AL36" s="139">
        <v>22.16</v>
      </c>
      <c r="AM36" s="131"/>
      <c r="AN36" s="136">
        <v>9.5299999999999994</v>
      </c>
      <c r="AO36" s="466">
        <f t="shared" si="28"/>
        <v>40.118500000000004</v>
      </c>
      <c r="AP36" s="110">
        <f t="shared" si="11"/>
        <v>0.19000000000000003</v>
      </c>
      <c r="AQ36" s="137" t="s">
        <v>380</v>
      </c>
      <c r="AR36" s="150">
        <v>7.2</v>
      </c>
      <c r="AS36" s="138">
        <v>9.1</v>
      </c>
      <c r="AT36" s="134"/>
      <c r="AU36" s="131">
        <v>7.27</v>
      </c>
      <c r="AV36" s="139">
        <v>211.15</v>
      </c>
      <c r="AW36" s="131">
        <v>2.16</v>
      </c>
      <c r="AX36" s="116"/>
      <c r="AY36" s="131"/>
      <c r="AZ36" s="109">
        <f t="shared" si="39"/>
        <v>0</v>
      </c>
      <c r="BA36" s="109">
        <f t="shared" si="12"/>
        <v>163.66149999999999</v>
      </c>
      <c r="BB36" s="115">
        <f t="shared" si="29"/>
        <v>168.99017976750031</v>
      </c>
      <c r="BC36" s="140">
        <f t="shared" si="13"/>
        <v>5.102311267605633</v>
      </c>
      <c r="BD36" s="141">
        <f t="shared" si="41"/>
        <v>6.5464599999999997</v>
      </c>
      <c r="BE36" s="128">
        <f t="shared" si="15"/>
        <v>0.84547214339065135</v>
      </c>
      <c r="BF36" s="141">
        <f t="shared" si="16"/>
        <v>11.648771267605632</v>
      </c>
      <c r="BG36" s="538">
        <v>0.86299999999999999</v>
      </c>
      <c r="BH36" s="16">
        <f t="shared" si="30"/>
        <v>6416.8579999999993</v>
      </c>
      <c r="BI36" s="16">
        <f t="shared" si="17"/>
        <v>222.58064516129033</v>
      </c>
      <c r="BJ36" s="16">
        <f t="shared" si="31"/>
        <v>6677.4193548387129</v>
      </c>
      <c r="BK36" s="17">
        <f t="shared" si="18"/>
        <v>1</v>
      </c>
      <c r="BL36" s="16">
        <f t="shared" si="32"/>
        <v>6677.4193548387129</v>
      </c>
      <c r="BM36" s="254"/>
      <c r="BN36" s="197">
        <v>17.698</v>
      </c>
      <c r="BO36" s="230">
        <v>71.551000000000002</v>
      </c>
      <c r="BP36" s="266">
        <f t="shared" si="33"/>
        <v>287.64499999999998</v>
      </c>
      <c r="BQ36" s="313"/>
      <c r="BR36" s="230"/>
      <c r="BS36" s="258"/>
      <c r="BT36" s="199"/>
      <c r="BU36" s="200"/>
      <c r="BV36" s="200"/>
      <c r="BW36" s="200"/>
      <c r="BX36" s="200">
        <v>1.25</v>
      </c>
      <c r="BY36" s="208"/>
      <c r="BZ36" s="208"/>
      <c r="CA36" s="201"/>
      <c r="CB36" s="202"/>
      <c r="CC36" s="200">
        <v>43.99</v>
      </c>
      <c r="CD36" s="200">
        <v>43.67</v>
      </c>
      <c r="CE36" s="200">
        <v>37.979999999999997</v>
      </c>
      <c r="CF36" s="208"/>
      <c r="CG36" s="208"/>
      <c r="CH36" s="209"/>
      <c r="CI36" s="199"/>
      <c r="CJ36" s="197">
        <v>131.66999999999999</v>
      </c>
      <c r="CK36" s="230"/>
      <c r="CL36" s="266">
        <f t="shared" si="34"/>
        <v>116.5</v>
      </c>
      <c r="CM36" s="453"/>
      <c r="CN36" s="202"/>
      <c r="CO36" s="208"/>
      <c r="CP36" s="208"/>
      <c r="CQ36" s="209"/>
      <c r="CR36" s="201"/>
      <c r="CT36" s="286">
        <f t="shared" si="19"/>
        <v>0</v>
      </c>
      <c r="CU36" s="27">
        <f t="shared" si="19"/>
        <v>17.698</v>
      </c>
      <c r="CV36" s="28">
        <f t="shared" si="19"/>
        <v>71.551000000000002</v>
      </c>
      <c r="CW36" s="27">
        <f t="shared" si="19"/>
        <v>284.04943750000001</v>
      </c>
      <c r="CX36" s="27">
        <f t="shared" si="19"/>
        <v>0</v>
      </c>
      <c r="CY36" s="29">
        <f t="shared" si="19"/>
        <v>0</v>
      </c>
      <c r="CZ36" s="281">
        <f t="shared" si="19"/>
        <v>0</v>
      </c>
      <c r="DA36" s="25">
        <f t="shared" si="20"/>
        <v>131.66999999999999</v>
      </c>
      <c r="DB36" s="24">
        <f t="shared" si="20"/>
        <v>0</v>
      </c>
      <c r="DC36" s="277">
        <f t="shared" si="20"/>
        <v>116.5</v>
      </c>
      <c r="DD36" s="280">
        <f t="shared" si="20"/>
        <v>0</v>
      </c>
      <c r="DE36" s="508">
        <f t="shared" si="35"/>
        <v>0</v>
      </c>
      <c r="DG36" s="293">
        <f t="shared" si="21"/>
        <v>0</v>
      </c>
      <c r="DH36" s="294"/>
      <c r="DI36" s="294"/>
      <c r="DJ36" s="295">
        <f t="shared" si="22"/>
        <v>0</v>
      </c>
      <c r="DK36" s="296">
        <f t="shared" si="36"/>
        <v>0</v>
      </c>
      <c r="DM36" s="197">
        <v>267.64499999999998</v>
      </c>
      <c r="DN36" s="247">
        <f t="shared" si="37"/>
        <v>287.64499999999998</v>
      </c>
      <c r="DP36" s="230">
        <v>83.3</v>
      </c>
      <c r="DQ36" s="247">
        <f t="shared" si="38"/>
        <v>116.5</v>
      </c>
    </row>
    <row r="37" spans="1:121" ht="16.5" customHeight="1" thickBot="1">
      <c r="A37" s="539">
        <v>31</v>
      </c>
      <c r="B37" s="103">
        <f t="shared" si="23"/>
        <v>506.90100000000001</v>
      </c>
      <c r="C37" s="541">
        <f t="shared" si="0"/>
        <v>0.91635656666686394</v>
      </c>
      <c r="D37" s="542">
        <f t="shared" si="1"/>
        <v>502.2559794</v>
      </c>
      <c r="E37" s="541">
        <f t="shared" si="2"/>
        <v>39.576006498310321</v>
      </c>
      <c r="F37" s="505">
        <f t="shared" si="3"/>
        <v>2.9715772062477805</v>
      </c>
      <c r="G37" s="543"/>
      <c r="H37" s="544">
        <f t="shared" si="4"/>
        <v>2.2437639297124599</v>
      </c>
      <c r="I37" s="540">
        <f>'[1]сентябрь 20'!AE36</f>
        <v>0</v>
      </c>
      <c r="J37" s="568">
        <f>'[1]октябрь 20'!AA36</f>
        <v>11.481</v>
      </c>
      <c r="K37" s="543"/>
      <c r="L37" s="505">
        <f>'[1]октябрь 20'!AI36</f>
        <v>123.015</v>
      </c>
      <c r="M37" s="540">
        <f t="shared" si="5"/>
        <v>0.72781327653532113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505">
        <v>330.78</v>
      </c>
      <c r="S37" s="546">
        <f t="shared" si="6"/>
        <v>2.1201402745026798</v>
      </c>
      <c r="T37" s="109">
        <f t="shared" si="26"/>
        <v>323.767</v>
      </c>
      <c r="U37" s="576"/>
      <c r="V37" s="547">
        <f t="shared" si="7"/>
        <v>323.767</v>
      </c>
      <c r="W37" s="549">
        <f t="shared" si="8"/>
        <v>1.915554372263637</v>
      </c>
      <c r="X37" s="227">
        <f t="shared" si="27"/>
        <v>1.915554372263637</v>
      </c>
      <c r="Y37" s="550">
        <v>169.02</v>
      </c>
      <c r="Z37" s="550">
        <v>100.7</v>
      </c>
      <c r="AA37" s="548">
        <v>0.88</v>
      </c>
      <c r="AB37" s="551">
        <v>625</v>
      </c>
      <c r="AC37" s="551">
        <v>1211</v>
      </c>
      <c r="AD37" s="552" t="s">
        <v>454</v>
      </c>
      <c r="AE37" s="548">
        <v>75.959999999999994</v>
      </c>
      <c r="AF37" s="551">
        <v>164</v>
      </c>
      <c r="AG37" s="553">
        <v>5</v>
      </c>
      <c r="AH37" s="548">
        <v>6.4</v>
      </c>
      <c r="AI37" s="554">
        <f t="shared" si="9"/>
        <v>37.865341379718373</v>
      </c>
      <c r="AJ37" s="548">
        <v>118.7</v>
      </c>
      <c r="AK37" s="555">
        <f t="shared" si="10"/>
        <v>702.28375340196419</v>
      </c>
      <c r="AL37" s="556">
        <v>33.479999999999997</v>
      </c>
      <c r="AM37" s="548"/>
      <c r="AN37" s="550">
        <v>14.06</v>
      </c>
      <c r="AO37" s="619">
        <v>122.77</v>
      </c>
      <c r="AP37" s="549">
        <f t="shared" si="11"/>
        <v>0.40140591793362757</v>
      </c>
      <c r="AQ37" s="558" t="s">
        <v>474</v>
      </c>
      <c r="AR37" s="559">
        <v>6.91</v>
      </c>
      <c r="AS37" s="560">
        <v>9.15</v>
      </c>
      <c r="AT37" s="553"/>
      <c r="AU37" s="548">
        <v>7</v>
      </c>
      <c r="AV37" s="548">
        <v>305.85000000000002</v>
      </c>
      <c r="AW37" s="548"/>
      <c r="AX37" s="548"/>
      <c r="AY37" s="548"/>
      <c r="AZ37" s="547">
        <f t="shared" si="39"/>
        <v>0</v>
      </c>
      <c r="BA37" s="547">
        <f t="shared" si="12"/>
        <v>169.02000000000004</v>
      </c>
      <c r="BB37" s="554">
        <f t="shared" si="29"/>
        <v>228.44748018262004</v>
      </c>
      <c r="BC37" s="561">
        <f t="shared" si="13"/>
        <v>6.4365492957746469</v>
      </c>
      <c r="BD37" s="555">
        <f t="shared" si="41"/>
        <v>6.7608000000000015</v>
      </c>
      <c r="BE37" s="505">
        <f t="shared" si="15"/>
        <v>0.64590101795846289</v>
      </c>
      <c r="BF37" s="555">
        <f t="shared" si="16"/>
        <v>13.197349295774648</v>
      </c>
      <c r="BG37" s="562">
        <v>0.85599999999999998</v>
      </c>
      <c r="BH37" s="16">
        <f t="shared" si="30"/>
        <v>6585.8779999999997</v>
      </c>
      <c r="BI37" s="16">
        <f t="shared" si="17"/>
        <v>222.58064516129033</v>
      </c>
      <c r="BJ37" s="16">
        <f t="shared" si="31"/>
        <v>6900.0000000000036</v>
      </c>
      <c r="BK37" s="17">
        <f t="shared" si="18"/>
        <v>1</v>
      </c>
      <c r="BL37" s="16">
        <f t="shared" si="32"/>
        <v>6900.0000000000036</v>
      </c>
      <c r="BM37" s="256"/>
      <c r="BN37" s="257">
        <v>24.593</v>
      </c>
      <c r="BO37" s="261">
        <v>98.421999999999997</v>
      </c>
      <c r="BP37" s="266">
        <f t="shared" si="33"/>
        <v>383.88600000000002</v>
      </c>
      <c r="BQ37" s="622"/>
      <c r="BR37" s="261"/>
      <c r="BS37" s="262"/>
      <c r="BT37" s="219"/>
      <c r="BU37" s="220"/>
      <c r="BV37" s="220"/>
      <c r="BW37" s="220"/>
      <c r="BX37" s="220">
        <v>1.21</v>
      </c>
      <c r="BY37" s="224"/>
      <c r="BZ37" s="224"/>
      <c r="CA37" s="221"/>
      <c r="CB37" s="222"/>
      <c r="CC37" s="220">
        <v>43.87</v>
      </c>
      <c r="CD37" s="220">
        <v>43.48</v>
      </c>
      <c r="CE37" s="220">
        <v>38.299999999999997</v>
      </c>
      <c r="CF37" s="224"/>
      <c r="CG37" s="224"/>
      <c r="CH37" s="221"/>
      <c r="CI37" s="219"/>
      <c r="CJ37" s="217">
        <v>175.57</v>
      </c>
      <c r="CK37" s="234"/>
      <c r="CL37" s="266">
        <f t="shared" si="34"/>
        <v>148.197</v>
      </c>
      <c r="CM37" s="524"/>
      <c r="CN37" s="222"/>
      <c r="CO37" s="224"/>
      <c r="CP37" s="224"/>
      <c r="CQ37" s="218"/>
      <c r="CR37" s="221"/>
      <c r="CT37" s="287">
        <f t="shared" si="19"/>
        <v>0</v>
      </c>
      <c r="CU37" s="32">
        <f t="shared" si="19"/>
        <v>24.593</v>
      </c>
      <c r="CV37" s="30">
        <f t="shared" si="19"/>
        <v>98.421999999999997</v>
      </c>
      <c r="CW37" s="246">
        <f t="shared" si="19"/>
        <v>379.24097940000007</v>
      </c>
      <c r="CX37" s="27">
        <f t="shared" si="19"/>
        <v>0</v>
      </c>
      <c r="CY37" s="26">
        <f t="shared" si="19"/>
        <v>0</v>
      </c>
      <c r="CZ37" s="282">
        <f t="shared" si="19"/>
        <v>0</v>
      </c>
      <c r="DA37" s="30">
        <f t="shared" si="20"/>
        <v>175.57</v>
      </c>
      <c r="DB37" s="32">
        <f t="shared" si="20"/>
        <v>0</v>
      </c>
      <c r="DC37" s="246">
        <f t="shared" si="20"/>
        <v>148.197</v>
      </c>
      <c r="DD37" s="280">
        <f t="shared" si="20"/>
        <v>0</v>
      </c>
      <c r="DE37" s="563">
        <f t="shared" si="35"/>
        <v>0</v>
      </c>
      <c r="DG37" s="293">
        <f t="shared" si="21"/>
        <v>0</v>
      </c>
      <c r="DH37" s="298"/>
      <c r="DI37" s="298"/>
      <c r="DJ37" s="295">
        <f t="shared" si="22"/>
        <v>0</v>
      </c>
      <c r="DK37" s="296">
        <f t="shared" si="36"/>
        <v>0</v>
      </c>
      <c r="DM37" s="257">
        <v>368.947</v>
      </c>
      <c r="DN37" s="247">
        <f>DM37+14.939</f>
        <v>383.88600000000002</v>
      </c>
      <c r="DP37" s="234">
        <v>114.8</v>
      </c>
      <c r="DQ37" s="247">
        <f>DP37+33.397</f>
        <v>148.197</v>
      </c>
    </row>
    <row r="38" spans="1:121" ht="16.5" customHeight="1" thickBot="1">
      <c r="A38" s="55" t="s">
        <v>58</v>
      </c>
      <c r="B38" s="575">
        <f>SUM(B7:B37)</f>
        <v>15151.427000400001</v>
      </c>
      <c r="C38" s="616"/>
      <c r="D38" s="340">
        <f>SUM(D7:D37)</f>
        <v>14982.417602862623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330.19900000000001</v>
      </c>
      <c r="K38" s="340">
        <f>SUM(K7:K37)</f>
        <v>706.98</v>
      </c>
      <c r="L38" s="340">
        <f>SUM(L7:L37)</f>
        <v>3023.0030000000002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340">
        <f>SUM(R7:R37)</f>
        <v>10050.99</v>
      </c>
      <c r="S38" s="340"/>
      <c r="T38" s="343">
        <f>SUM(T7:T37)</f>
        <v>9759.107000039081</v>
      </c>
      <c r="U38" s="340">
        <f>SUM(U7:U37)</f>
        <v>596.23</v>
      </c>
      <c r="V38" s="343">
        <f>SUM(V7:V37)</f>
        <v>9759.1070002000033</v>
      </c>
      <c r="W38" s="346"/>
      <c r="X38" s="344"/>
      <c r="Y38" s="343">
        <f>SUM(Y7:Y37)</f>
        <v>6337.7500000000009</v>
      </c>
      <c r="Z38" s="343">
        <f>SUM(Z7:Z37)</f>
        <v>5462.9500000000007</v>
      </c>
      <c r="AA38" s="345"/>
      <c r="AB38" s="346"/>
      <c r="AC38" s="347"/>
      <c r="AD38" s="348"/>
      <c r="AE38" s="345"/>
      <c r="AF38" s="345"/>
      <c r="AG38" s="347">
        <f>SUM(AG7:AG37)</f>
        <v>148</v>
      </c>
      <c r="AH38" s="343">
        <f>SUM(AH7:AH37)</f>
        <v>153.80000000000001</v>
      </c>
      <c r="AI38" s="351"/>
      <c r="AJ38" s="343">
        <f>SUM(AJ7:AJ37)</f>
        <v>3827.65</v>
      </c>
      <c r="AK38" s="343"/>
      <c r="AL38" s="617">
        <f>SUM(AL7:AL37)</f>
        <v>950.85999999999979</v>
      </c>
      <c r="AM38" s="343">
        <f>SUM(AM7:AM37)</f>
        <v>0</v>
      </c>
      <c r="AN38" s="343">
        <f>SUM(AN7:AN37)</f>
        <v>456.59999999999991</v>
      </c>
      <c r="AO38" s="618">
        <f>SUM(AO7:AO37)</f>
        <v>1845.5520000000001</v>
      </c>
      <c r="AP38" s="530"/>
      <c r="AQ38" s="351"/>
      <c r="AR38" s="343"/>
      <c r="AS38" s="351"/>
      <c r="AT38" s="351"/>
      <c r="AU38" s="352"/>
      <c r="AV38" s="343">
        <f>SUM(AV7:AV37)</f>
        <v>8759.4</v>
      </c>
      <c r="AW38" s="343">
        <f>SUM(AW7:AW37)</f>
        <v>128.63000000000002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6585.8779999999997</v>
      </c>
      <c r="BB38" s="343">
        <f>SUM(BB7:BB37)</f>
        <v>6718.3387424963694</v>
      </c>
      <c r="BC38" s="351">
        <f>SUM(BC7:BC36)</f>
        <v>206.79652957746472</v>
      </c>
      <c r="BD38" s="351">
        <f>SUM(BD7:BD36)</f>
        <v>246.94305999999997</v>
      </c>
      <c r="BE38" s="340"/>
      <c r="BF38" s="351">
        <f>SUM(BF7:BF37)</f>
        <v>466.93693887323946</v>
      </c>
      <c r="BG38" s="353"/>
      <c r="BH38" s="16"/>
      <c r="BI38" s="16">
        <f t="shared" si="17"/>
        <v>0</v>
      </c>
      <c r="BJ38" s="16"/>
      <c r="BK38" s="17">
        <f>SUM(BK7:BK37)</f>
        <v>31</v>
      </c>
      <c r="BL38" s="33"/>
      <c r="BM38" s="228">
        <f t="shared" ref="BM38:BS38" si="42">SUM(BM7:BM37)</f>
        <v>2329.81</v>
      </c>
      <c r="BN38" s="38">
        <f t="shared" si="42"/>
        <v>1384.4910000000002</v>
      </c>
      <c r="BO38" s="38">
        <f t="shared" si="42"/>
        <v>1638.5120001</v>
      </c>
      <c r="BP38" s="38">
        <f t="shared" si="42"/>
        <v>9798.6139999999996</v>
      </c>
      <c r="BQ38" s="38">
        <f t="shared" si="42"/>
        <v>9.9999999999999995E-8</v>
      </c>
      <c r="BR38" s="38">
        <f t="shared" si="42"/>
        <v>9.9999999999999995E-8</v>
      </c>
      <c r="BS38" s="38">
        <f t="shared" si="42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1213.2400001000001</v>
      </c>
      <c r="CK38" s="39">
        <f>SUM(CK7:CK37)</f>
        <v>1972.1000001</v>
      </c>
      <c r="CL38" s="39">
        <f>SUM(CL7:CL37)</f>
        <v>5495.3070000000007</v>
      </c>
      <c r="CM38" s="40">
        <f>SUM(CM7:CM37)</f>
        <v>1078.46</v>
      </c>
      <c r="CN38" s="34"/>
      <c r="CO38" s="35"/>
      <c r="CP38" s="236"/>
      <c r="CQ38" s="36"/>
      <c r="CR38" s="36"/>
      <c r="CT38" s="189">
        <f t="shared" ref="CT38:DE38" si="43">SUM(CT7:CT37)</f>
        <v>2307.5952188000001</v>
      </c>
      <c r="CU38" s="190">
        <f t="shared" si="43"/>
        <v>1384.4909999626243</v>
      </c>
      <c r="CV38" s="191">
        <f t="shared" si="43"/>
        <v>1638.5120001</v>
      </c>
      <c r="CW38" s="192">
        <f t="shared" si="43"/>
        <v>9651.8193836999981</v>
      </c>
      <c r="CX38" s="192">
        <f t="shared" si="43"/>
        <v>9.99999999E-8</v>
      </c>
      <c r="CY38" s="192">
        <f t="shared" si="43"/>
        <v>9.99999999E-8</v>
      </c>
      <c r="CZ38" s="278">
        <f t="shared" si="43"/>
        <v>9.99999999E-8</v>
      </c>
      <c r="DA38" s="278">
        <f t="shared" si="43"/>
        <v>1213.2400001000001</v>
      </c>
      <c r="DB38" s="192">
        <f t="shared" si="43"/>
        <v>1972.1000001</v>
      </c>
      <c r="DC38" s="192">
        <f t="shared" si="43"/>
        <v>5495.3069998730807</v>
      </c>
      <c r="DD38" s="498">
        <f t="shared" si="43"/>
        <v>1078.4599999659999</v>
      </c>
      <c r="DE38" s="564">
        <f t="shared" si="43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21" ht="16.5" customHeight="1" thickBot="1">
      <c r="A39" s="56" t="s">
        <v>59</v>
      </c>
      <c r="B39" s="84">
        <f>B38/AV2</f>
        <v>488.75570969032259</v>
      </c>
      <c r="C39" s="84">
        <f>(BM38*BU39+BN38*BV39+BP38*BX39+BS38*CA39+BO38*BW39+BR38*BZ39+BQ38*BY39)/B38</f>
        <v>1.1154685135130447</v>
      </c>
      <c r="D39" s="82"/>
      <c r="E39" s="354">
        <f>(BM38*CB39+BN38*CC39+BP38*CE39+BS38*CH39+BO38*CD39+BR38*CG39+BQ38*CF39)/B38</f>
        <v>39.093164811760815</v>
      </c>
      <c r="F39" s="355">
        <f>IF(BA38=0,0,D38/BA38)</f>
        <v>2.2749309359910135</v>
      </c>
      <c r="G39" s="354">
        <f>G38/AV2</f>
        <v>0</v>
      </c>
      <c r="H39" s="355">
        <f>IF(BA38=0,0,(CZ38+CW38+CY38+CT38+CX38)/BA38)</f>
        <v>1.8159180298815132</v>
      </c>
      <c r="I39" s="354">
        <f>I38/AV2</f>
        <v>0</v>
      </c>
      <c r="J39" s="572">
        <f>J38/AV2</f>
        <v>10.651580645161291</v>
      </c>
      <c r="K39" s="354">
        <f>K38/AV2</f>
        <v>22.805806451612902</v>
      </c>
      <c r="L39" s="354">
        <f>L38/AV2</f>
        <v>97.516225806451615</v>
      </c>
      <c r="M39" s="355">
        <f>IF($BA$38=0,0,(CV38+CU38)/$BA$38)</f>
        <v>0.45901290610950041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324.22548387096771</v>
      </c>
      <c r="S39" s="354">
        <f>(SUMPRODUCT(R7:R37,S7:S37))/R38</f>
        <v>2.9040223878443783</v>
      </c>
      <c r="T39" s="357"/>
      <c r="U39" s="354">
        <f>U38/AV2</f>
        <v>19.233225806451614</v>
      </c>
      <c r="V39" s="354">
        <f>V38/AV2:AV2</f>
        <v>314.80990323225819</v>
      </c>
      <c r="W39" s="358">
        <f>IF($BA$38=0,0,T38/$BA$38)</f>
        <v>1.4818232284350061</v>
      </c>
      <c r="X39" s="358">
        <f>Q39+W39</f>
        <v>1.4818232284350061</v>
      </c>
      <c r="Y39" s="354">
        <f>Y38/AV2</f>
        <v>204.4435483870968</v>
      </c>
      <c r="Z39" s="354">
        <f>Z38/AV2</f>
        <v>176.22419354838712</v>
      </c>
      <c r="AA39" s="354">
        <f>(SUMPRODUCT(AA7:AA37,BA7:BA37))/BA38</f>
        <v>0.68532690553939835</v>
      </c>
      <c r="AB39" s="359">
        <f>AVERAGE(AB7:AB37)</f>
        <v>653.38709677419354</v>
      </c>
      <c r="AC39" s="359">
        <f>AVERAGE(AC7:AC37)</f>
        <v>1191.5806451612902</v>
      </c>
      <c r="AD39" s="359"/>
      <c r="AE39" s="354">
        <f>(SUMPRODUCT(AE7:AE37,BA7:BA37))/BA38</f>
        <v>76.102640319939127</v>
      </c>
      <c r="AF39" s="360">
        <f>AVERAGE(AF7:AF37)</f>
        <v>156.45161290322579</v>
      </c>
      <c r="AG39" s="360">
        <f>AVERAGE(AG7:AG37)</f>
        <v>4.774193548387097</v>
      </c>
      <c r="AH39" s="354">
        <f>AH38/AV2</f>
        <v>4.9612903225806457</v>
      </c>
      <c r="AI39" s="361">
        <f>IF(BA38=0,0,AH38/BA38*1000)</f>
        <v>23.35299864346106</v>
      </c>
      <c r="AJ39" s="361">
        <f>AJ38/AV2</f>
        <v>123.47258064516129</v>
      </c>
      <c r="AK39" s="361">
        <f>IF(BA38=0,0,AJ38/BA38*1000)</f>
        <v>581.19054133708528</v>
      </c>
      <c r="AL39" s="354">
        <f>AL38/AV2</f>
        <v>30.672903225806444</v>
      </c>
      <c r="AM39" s="359"/>
      <c r="AN39" s="354">
        <f>AN38/AV2</f>
        <v>14.729032258064514</v>
      </c>
      <c r="AO39" s="354">
        <f>AO38/AV2</f>
        <v>59.53393548387097</v>
      </c>
      <c r="AP39" s="346">
        <f>IF(AO39=0,0,AO39/AV39)</f>
        <v>0.210693883142681</v>
      </c>
      <c r="AQ39" s="361">
        <f>SUM(AQ8:AQ38)</f>
        <v>0</v>
      </c>
      <c r="AR39" s="354">
        <f>AVERAGE(AR7:AR37)</f>
        <v>7.1061290322580613</v>
      </c>
      <c r="AS39" s="354">
        <f>AVERAGE(AS7:AS37)</f>
        <v>8.8506451612903252</v>
      </c>
      <c r="AT39" s="362"/>
      <c r="AU39" s="354">
        <f>AVERAGE(AU7:AU37)</f>
        <v>7.1854838709677411</v>
      </c>
      <c r="AV39" s="363">
        <f>AV38/AV2</f>
        <v>282.56129032258065</v>
      </c>
      <c r="AW39" s="363">
        <f>AW38/AV2</f>
        <v>4.1493548387096784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212.44767741935482</v>
      </c>
      <c r="BB39" s="354">
        <f>BB38/AV2</f>
        <v>216.72060459665707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0.8557180198426112</v>
      </c>
      <c r="BF39" s="354">
        <f>BF38/AV2</f>
        <v>15.062481899136756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0.95350183920577225</v>
      </c>
      <c r="BV39" s="42">
        <f t="shared" ref="BV39:CA39" si="44">(SUMPRODUCT(BN7:BN37,BV7:BV37))/BN38</f>
        <v>2.6996202936674914E-9</v>
      </c>
      <c r="BW39" s="42">
        <f t="shared" si="44"/>
        <v>6.1030984206338971E-18</v>
      </c>
      <c r="BX39" s="42">
        <f>(SUMPRODUCT(BP7:BP37,BX7:BX37))/BP38</f>
        <v>1.4981161243824892</v>
      </c>
      <c r="BY39" s="42">
        <f t="shared" si="44"/>
        <v>9.9999999999999982E-8</v>
      </c>
      <c r="BZ39" s="46">
        <f t="shared" si="44"/>
        <v>9.9999999999999982E-8</v>
      </c>
      <c r="CA39" s="240">
        <f t="shared" si="44"/>
        <v>9.9999999999999982E-8</v>
      </c>
      <c r="CB39" s="41">
        <f t="shared" ref="CB39:CH39" si="45">(SUMPRODUCT(BM7:BM37,CB7:CB37))/BM38</f>
        <v>37.190430211047264</v>
      </c>
      <c r="CC39" s="42">
        <f t="shared" si="45"/>
        <v>43.529849453698134</v>
      </c>
      <c r="CD39" s="42">
        <f t="shared" si="45"/>
        <v>43.335457778561569</v>
      </c>
      <c r="CE39" s="42">
        <f t="shared" si="45"/>
        <v>38.209306362103867</v>
      </c>
      <c r="CF39" s="42">
        <f t="shared" si="45"/>
        <v>9.9999999999999982E-8</v>
      </c>
      <c r="CG39" s="46">
        <f t="shared" si="45"/>
        <v>9.9999999999999982E-8</v>
      </c>
      <c r="CH39" s="240">
        <f t="shared" si="45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8.2423922712536335E-18</v>
      </c>
      <c r="CO39" s="46">
        <f>(SUMPRODUCT(CK7:CK37,CO7:CO37))/CK38</f>
        <v>5.070736777796727E-18</v>
      </c>
      <c r="CP39" s="46">
        <f>(SUMPRODUCT(CL7:CL37,CP7:CP37))/CL38</f>
        <v>2.3096070883755901E-9</v>
      </c>
      <c r="CQ39" s="44">
        <f>(SUMPRODUCT(CM7:CM37,CQ7:CQ37))/CM38</f>
        <v>3.1526435843703052E-9</v>
      </c>
      <c r="CR39" s="44" t="e">
        <f>(SUMPRODUCT(O7:O37,CR7:CR37))/O38</f>
        <v>#DIV/0!</v>
      </c>
      <c r="CT39" s="667">
        <f>CT38+CU38</f>
        <v>3692.0862187626244</v>
      </c>
      <c r="CU39" s="667"/>
      <c r="CV39" s="668">
        <f>CV38+CW38+CZ38+CY38+CX38</f>
        <v>11290.3313841</v>
      </c>
      <c r="CW39" s="668"/>
      <c r="CX39" s="668"/>
      <c r="CY39" s="668"/>
      <c r="CZ39" s="668"/>
      <c r="DA39" s="669">
        <f>DA38+DB38+DD38+DC38</f>
        <v>9759.107000039081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21" ht="16.5" customHeight="1" thickBot="1">
      <c r="A40" s="57" t="s">
        <v>60</v>
      </c>
      <c r="B40" s="85"/>
      <c r="C40" s="86"/>
      <c r="D40" s="87"/>
      <c r="E40" s="365">
        <v>37.4</v>
      </c>
      <c r="F40" s="366">
        <v>2.15</v>
      </c>
      <c r="G40" s="366"/>
      <c r="H40" s="366">
        <v>1.8274999999999999</v>
      </c>
      <c r="I40" s="366"/>
      <c r="J40" s="570">
        <v>7.79</v>
      </c>
      <c r="K40" s="366">
        <v>18.296158200000001</v>
      </c>
      <c r="L40" s="366"/>
      <c r="M40" s="366">
        <v>0.32250000000000001</v>
      </c>
      <c r="N40" s="365"/>
      <c r="O40" s="366"/>
      <c r="P40" s="366"/>
      <c r="Q40" s="366"/>
      <c r="R40" s="367"/>
      <c r="S40" s="368"/>
      <c r="T40" s="367"/>
      <c r="U40" s="450">
        <v>25.640999999999998</v>
      </c>
      <c r="V40" s="367"/>
      <c r="W40" s="369">
        <v>1.28</v>
      </c>
      <c r="X40" s="484"/>
      <c r="Y40" s="370">
        <v>6900</v>
      </c>
      <c r="Z40" s="370">
        <v>6900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720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6900</v>
      </c>
      <c r="AW40" s="379">
        <v>82.8</v>
      </c>
      <c r="AX40" s="380"/>
      <c r="AY40" s="381"/>
      <c r="AZ40" s="382"/>
      <c r="BA40" s="365">
        <v>222.58099999999999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14982.417602862624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21" ht="16.5" customHeight="1" thickBot="1">
      <c r="A41" s="58" t="s">
        <v>61</v>
      </c>
      <c r="B41" s="88"/>
      <c r="C41" s="88"/>
      <c r="D41" s="88"/>
      <c r="E41" s="384"/>
      <c r="F41" s="385">
        <f>F39-F40</f>
        <v>0.12493093599101357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2.9040223878443783</v>
      </c>
      <c r="T41" s="386"/>
      <c r="U41" s="388"/>
      <c r="V41" s="388"/>
      <c r="W41" s="385">
        <f>W39-W40</f>
        <v>0.20182322843500611</v>
      </c>
      <c r="X41" s="385"/>
      <c r="Y41" s="385"/>
      <c r="Z41" s="385"/>
      <c r="AA41" s="385"/>
      <c r="AB41" s="385"/>
      <c r="AC41" s="389">
        <f>AC39-AC40</f>
        <v>-58.419354838709751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1859.3999999999996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21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21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222.58064516129033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21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0.21069388314268103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21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59.185135135135134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21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230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21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21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-314.12200000000394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-4.5524927536232456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'[4]октябрь 20'!$G$38</f>
        <v>1845.5520000000001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'[4]октябрь 20'!$C$38</f>
        <v>1845.5499999999997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-2.0000000004074536E-3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393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2" zoomScaleNormal="92" workbookViewId="0">
      <pane xSplit="1" ySplit="6" topLeftCell="CP25" activePane="bottomRight" state="frozen"/>
      <selection pane="topRight" activeCell="B1" sqref="B1"/>
      <selection pane="bottomLeft" activeCell="A7" sqref="A7"/>
      <selection pane="bottomRight" activeCell="F39" sqref="F39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8.140625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7.8554687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0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471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623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479</v>
      </c>
      <c r="BP6" s="396" t="s">
        <v>99</v>
      </c>
      <c r="BQ6" s="232" t="s">
        <v>296</v>
      </c>
      <c r="BR6" s="310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310" t="s">
        <v>98</v>
      </c>
      <c r="CA6" s="398" t="s">
        <v>96</v>
      </c>
      <c r="CB6" s="226" t="s">
        <v>384</v>
      </c>
      <c r="CC6" s="481" t="s">
        <v>455</v>
      </c>
      <c r="CD6" s="232" t="s">
        <v>479</v>
      </c>
      <c r="CE6" s="396" t="s">
        <v>99</v>
      </c>
      <c r="CF6" s="232" t="s">
        <v>296</v>
      </c>
      <c r="CG6" s="310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481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'[1]ноябрь 20'!K6</f>
        <v>492.00299999999999</v>
      </c>
      <c r="C7" s="104">
        <f t="shared" ref="C7:C37" si="0">IF(B7=0,0,(BM7*BU7+BN7*BV7+BP7*BX7+BS7*CA7+BO7*BW7+BR7*BZ7+BQ7*BY7)/B7)</f>
        <v>2.8351363961160803</v>
      </c>
      <c r="D7" s="447">
        <f t="shared" ref="D7:D37" si="1">B7*((100-C7)/100)</f>
        <v>478.05404387701697</v>
      </c>
      <c r="E7" s="104">
        <f t="shared" ref="E7:E37" si="2">IF(B7=0,0,(BM7*CB7+BN7*CC7+BP7*CE7+BS7*CH7+BO7*CD7+BR7*CG7+BQ7*CF7)/B7)</f>
        <v>39.643296016487703</v>
      </c>
      <c r="F7" s="103">
        <f t="shared" ref="F7:F37" si="3">IF(BA7=0,0,D7/BA7)</f>
        <v>2.0281449402953498</v>
      </c>
      <c r="G7" s="106"/>
      <c r="H7" s="107">
        <f t="shared" ref="H7:H37" si="4">IF(BA7=0,0,(CZ7+CW7+CY7+CT7+CX7)/BA7)</f>
        <v>1.5063893954435537</v>
      </c>
      <c r="I7" s="103">
        <f>'[1]сентябрь 20'!AE6</f>
        <v>0</v>
      </c>
      <c r="J7" s="103">
        <f>'[1]ноябрь 20'!AA6</f>
        <v>11.483000000000001</v>
      </c>
      <c r="K7" s="106">
        <v>31.33</v>
      </c>
      <c r="L7" s="103">
        <f>'[1]ноябрь 20'!AI6</f>
        <v>122.983</v>
      </c>
      <c r="M7" s="103">
        <f t="shared" ref="M7:M37" si="5">IF(BA7=0,0,(CV7+CU7)/BA7)</f>
        <v>0.52175554654879719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'[1]ноябрь 20'!S6</f>
        <v>295.69900000000001</v>
      </c>
      <c r="S7" s="108">
        <f t="shared" ref="S7:S37" si="6">IF(R7=0,0,(1-(V7/R7))*100)</f>
        <v>2.3331157021160065</v>
      </c>
      <c r="T7" s="109">
        <f t="shared" ref="T7:T37" si="7">R7*((100-S7)/100)</f>
        <v>288.8000002</v>
      </c>
      <c r="U7" s="106"/>
      <c r="V7" s="109">
        <f t="shared" ref="V7:V37" si="8">CJ7+CK7+CM7+CL7</f>
        <v>288.8000002</v>
      </c>
      <c r="W7" s="110">
        <f t="shared" ref="W7:W37" si="9">IF(BA7=0,0,T7/BA7)</f>
        <v>1.2252343990496795</v>
      </c>
      <c r="X7" s="110">
        <f>Q7+W7</f>
        <v>1.2252343990496795</v>
      </c>
      <c r="Y7" s="136">
        <v>235.71</v>
      </c>
      <c r="Z7" s="111">
        <v>195.54</v>
      </c>
      <c r="AA7" s="106">
        <v>0.67</v>
      </c>
      <c r="AB7" s="112">
        <v>659</v>
      </c>
      <c r="AC7" s="112">
        <v>1217</v>
      </c>
      <c r="AD7" s="113" t="s">
        <v>454</v>
      </c>
      <c r="AE7" s="106">
        <v>76.040000000000006</v>
      </c>
      <c r="AF7" s="112">
        <v>164</v>
      </c>
      <c r="AG7" s="114">
        <v>5</v>
      </c>
      <c r="AH7" s="106">
        <v>6.5</v>
      </c>
      <c r="AI7" s="115">
        <f t="shared" ref="AI7:AI37" si="10">IF(BA7=0,0,AH7/BA7*1000)</f>
        <v>27.576258962284157</v>
      </c>
      <c r="AJ7" s="106">
        <v>135.65</v>
      </c>
      <c r="AK7" s="115">
        <f t="shared" ref="AK7:AK37" si="11">IF(BA7=0,0,AJ7/BA7*1000)</f>
        <v>575.49531203597633</v>
      </c>
      <c r="AL7" s="106">
        <v>28.4</v>
      </c>
      <c r="AM7" s="116"/>
      <c r="AN7" s="117">
        <v>9.1</v>
      </c>
      <c r="AO7" s="466">
        <v>54.03</v>
      </c>
      <c r="AP7" s="110">
        <f t="shared" ref="AP7:AP37" si="12">IF(AO7=0,0,AO7/AV7)</f>
        <v>0.18512934726743188</v>
      </c>
      <c r="AQ7" s="119" t="s">
        <v>475</v>
      </c>
      <c r="AR7" s="403">
        <v>7.01</v>
      </c>
      <c r="AS7" s="120">
        <v>9.19</v>
      </c>
      <c r="AT7" s="106"/>
      <c r="AU7" s="106">
        <v>7.6</v>
      </c>
      <c r="AV7" s="314">
        <v>291.85000000000002</v>
      </c>
      <c r="AW7" s="121">
        <v>6.99</v>
      </c>
      <c r="AX7" s="122"/>
      <c r="AY7" s="123"/>
      <c r="AZ7" s="124"/>
      <c r="BA7" s="109">
        <f t="shared" ref="BA7:BA37" si="13">AV7-AO7-AN7+AY7+AW7</f>
        <v>235.71000000000004</v>
      </c>
      <c r="BB7" s="115">
        <f>IF(AE7=0,0,((D7*0.97)*(E7/100)*0.9)/(AE7/100))</f>
        <v>217.57995726837245</v>
      </c>
      <c r="BC7" s="125">
        <f t="shared" ref="BC7:BC37" si="14">(AJ7*AU7)/100*(55/71)</f>
        <v>7.9861549295774648</v>
      </c>
      <c r="BD7" s="115">
        <f t="shared" ref="BD7:BD13" si="15">BA7*$BD$6</f>
        <v>9.4284000000000017</v>
      </c>
      <c r="BE7" s="103">
        <f t="shared" ref="BE7:BE37" si="16">IF((D7*E7)=0,0,(BA7*AE7)/(D7*E7))</f>
        <v>0.94574349854379514</v>
      </c>
      <c r="BF7" s="115">
        <f t="shared" ref="BF7:BF37" si="17">BC7+BD7</f>
        <v>17.414554929577466</v>
      </c>
      <c r="BG7" s="533">
        <v>0.94599999999999995</v>
      </c>
      <c r="BH7" s="16">
        <f>BA7</f>
        <v>235.71000000000004</v>
      </c>
      <c r="BI7" s="16">
        <f t="shared" ref="BI7:BI38" si="18">IF(A7&lt;=$BG$43,$AV$43,0)</f>
        <v>222.33333333333334</v>
      </c>
      <c r="BJ7" s="16">
        <f>BI7</f>
        <v>222.33333333333334</v>
      </c>
      <c r="BK7" s="17">
        <f t="shared" ref="BK7:BK37" si="19">IF(BA7&lt;&gt;0,1,0)</f>
        <v>1</v>
      </c>
      <c r="BL7" s="16">
        <f>BI7*BK7</f>
        <v>222.33333333333334</v>
      </c>
      <c r="BM7" s="336">
        <v>9.9999999999999995E-8</v>
      </c>
      <c r="BN7" s="336">
        <v>24.587</v>
      </c>
      <c r="BO7" s="336">
        <v>98.396000000000001</v>
      </c>
      <c r="BP7" s="336">
        <v>369.02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3.78</v>
      </c>
      <c r="BY7" s="336">
        <v>9.9999999999999995E-8</v>
      </c>
      <c r="BZ7" s="336">
        <v>9.9999999999999995E-8</v>
      </c>
      <c r="CA7" s="336">
        <v>9.9999999999999995E-8</v>
      </c>
      <c r="CB7" s="336">
        <v>9.9999999999999995E-8</v>
      </c>
      <c r="CC7" s="336">
        <v>44.03</v>
      </c>
      <c r="CD7" s="336">
        <v>43.66</v>
      </c>
      <c r="CE7" s="336">
        <v>38.28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114.8</v>
      </c>
      <c r="CM7" s="336">
        <v>174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9.99999999E-8</v>
      </c>
      <c r="CU7" s="22">
        <f t="shared" si="20"/>
        <v>24.586999975413001</v>
      </c>
      <c r="CV7" s="22">
        <f t="shared" si="20"/>
        <v>98.395999901604</v>
      </c>
      <c r="CW7" s="27">
        <f t="shared" si="20"/>
        <v>355.07104399999997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114.79999988519999</v>
      </c>
      <c r="DD7" s="279">
        <f t="shared" si="21"/>
        <v>173.99999982599999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'[1]ноябрь 20'!K7</f>
        <v>519.79899999999998</v>
      </c>
      <c r="C8" s="104">
        <f t="shared" si="0"/>
        <v>1.566353071090941</v>
      </c>
      <c r="D8" s="447">
        <f t="shared" si="1"/>
        <v>511.65711239999996</v>
      </c>
      <c r="E8" s="104">
        <f t="shared" si="2"/>
        <v>39.704642140519702</v>
      </c>
      <c r="F8" s="128">
        <f t="shared" si="3"/>
        <v>2.3658256457206268</v>
      </c>
      <c r="G8" s="106"/>
      <c r="H8" s="107">
        <f t="shared" si="4"/>
        <v>1.7636385647570167</v>
      </c>
      <c r="I8" s="103">
        <f>'[1]сентябрь 20'!AE7</f>
        <v>0</v>
      </c>
      <c r="J8" s="103">
        <f>'[1]ноябрь 20'!AA7</f>
        <v>12.169</v>
      </c>
      <c r="K8" s="106"/>
      <c r="L8" s="103">
        <f>'[1]ноябрь 20'!AI7</f>
        <v>130.23500000000001</v>
      </c>
      <c r="M8" s="103">
        <f t="shared" si="5"/>
        <v>0.60218708096361029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'[1]ноябрь 20'!S7</f>
        <v>315.2</v>
      </c>
      <c r="S8" s="108">
        <f t="shared" si="6"/>
        <v>2.4524111675126803</v>
      </c>
      <c r="T8" s="109">
        <f t="shared" si="7"/>
        <v>307.47000000000003</v>
      </c>
      <c r="U8" s="106">
        <v>108.86</v>
      </c>
      <c r="V8" s="109">
        <f t="shared" si="8"/>
        <v>307.47000000000003</v>
      </c>
      <c r="W8" s="110">
        <f t="shared" si="9"/>
        <v>1.4216951033430436</v>
      </c>
      <c r="X8" s="110">
        <f t="shared" ref="X8:X37" si="26">Q8+W8</f>
        <v>1.4216951033430436</v>
      </c>
      <c r="Y8" s="136">
        <v>216.27</v>
      </c>
      <c r="Z8" s="130">
        <v>216.27</v>
      </c>
      <c r="AA8" s="131">
        <v>0.28999999999999998</v>
      </c>
      <c r="AB8" s="112">
        <v>597</v>
      </c>
      <c r="AC8" s="112">
        <v>1199</v>
      </c>
      <c r="AD8" s="132" t="s">
        <v>252</v>
      </c>
      <c r="AE8" s="131">
        <v>75.31</v>
      </c>
      <c r="AF8" s="133">
        <v>173</v>
      </c>
      <c r="AG8" s="134">
        <v>5</v>
      </c>
      <c r="AH8" s="131">
        <v>6.4</v>
      </c>
      <c r="AI8" s="115">
        <f t="shared" si="10"/>
        <v>29.59263883109077</v>
      </c>
      <c r="AJ8" s="131">
        <v>155.94999999999999</v>
      </c>
      <c r="AK8" s="115">
        <f t="shared" si="11"/>
        <v>721.08937901696959</v>
      </c>
      <c r="AL8" s="131">
        <v>25.53</v>
      </c>
      <c r="AM8" s="116"/>
      <c r="AN8" s="135">
        <v>15.21</v>
      </c>
      <c r="AO8" s="466">
        <v>66.42</v>
      </c>
      <c r="AP8" s="110">
        <f t="shared" si="12"/>
        <v>0.22553480475382004</v>
      </c>
      <c r="AQ8" s="137" t="s">
        <v>465</v>
      </c>
      <c r="AR8" s="150">
        <v>6.68</v>
      </c>
      <c r="AS8" s="138">
        <v>8.75</v>
      </c>
      <c r="AT8" s="131"/>
      <c r="AU8" s="131">
        <v>9.18</v>
      </c>
      <c r="AV8" s="315">
        <v>294.5</v>
      </c>
      <c r="AW8" s="131">
        <v>3.4</v>
      </c>
      <c r="AX8" s="116"/>
      <c r="AY8" s="131"/>
      <c r="AZ8" s="109"/>
      <c r="BA8" s="109">
        <f t="shared" si="13"/>
        <v>216.26999999999998</v>
      </c>
      <c r="BB8" s="115">
        <f t="shared" ref="BB8:BB37" si="27">IF(AE8=0,0,((D8*0.97)*(E8/100)*0.9)/(AE8/100))</f>
        <v>235.49511224391142</v>
      </c>
      <c r="BC8" s="140">
        <f t="shared" si="14"/>
        <v>11.090021830985913</v>
      </c>
      <c r="BD8" s="141">
        <f t="shared" si="15"/>
        <v>8.6508000000000003</v>
      </c>
      <c r="BE8" s="128">
        <f t="shared" si="16"/>
        <v>0.80173090728290208</v>
      </c>
      <c r="BF8" s="141">
        <f t="shared" si="17"/>
        <v>19.740821830985915</v>
      </c>
      <c r="BG8" s="535">
        <v>0.871</v>
      </c>
      <c r="BH8" s="16">
        <f t="shared" ref="BH8:BH37" si="28">BH7+BA8</f>
        <v>451.98</v>
      </c>
      <c r="BI8" s="16">
        <f t="shared" si="18"/>
        <v>222.33333333333334</v>
      </c>
      <c r="BJ8" s="16">
        <f t="shared" ref="BJ8:BJ37" si="29">BI8+BJ7</f>
        <v>444.66666666666669</v>
      </c>
      <c r="BK8" s="17">
        <f t="shared" si="19"/>
        <v>1</v>
      </c>
      <c r="BL8" s="16">
        <f t="shared" ref="BL8:BL37" si="30">BL7+BI8*BK8</f>
        <v>444.66666666666669</v>
      </c>
      <c r="BM8" s="249"/>
      <c r="BN8" s="195">
        <v>26.056999999999999</v>
      </c>
      <c r="BO8" s="197">
        <v>104.178</v>
      </c>
      <c r="BP8" s="197">
        <v>389.56400000000002</v>
      </c>
      <c r="BQ8" s="230"/>
      <c r="BR8" s="230"/>
      <c r="BS8" s="250"/>
      <c r="BT8" s="199"/>
      <c r="BU8" s="200"/>
      <c r="BV8" s="200"/>
      <c r="BW8" s="200"/>
      <c r="BX8" s="200">
        <v>2.09</v>
      </c>
      <c r="BY8" s="208"/>
      <c r="BZ8" s="208"/>
      <c r="CA8" s="198"/>
      <c r="CB8" s="202"/>
      <c r="CC8" s="200">
        <v>43.46</v>
      </c>
      <c r="CD8" s="200">
        <v>43.27</v>
      </c>
      <c r="CE8" s="200">
        <v>38.5</v>
      </c>
      <c r="CF8" s="197"/>
      <c r="CG8" s="197"/>
      <c r="CH8" s="197"/>
      <c r="CI8" s="203"/>
      <c r="CJ8" s="204"/>
      <c r="CK8" s="197"/>
      <c r="CL8" s="197">
        <v>122.15</v>
      </c>
      <c r="CM8" s="198">
        <v>185.32</v>
      </c>
      <c r="CN8" s="205"/>
      <c r="CO8" s="206"/>
      <c r="CP8" s="269"/>
      <c r="CQ8" s="207"/>
      <c r="CR8" s="207"/>
      <c r="CS8" s="284"/>
      <c r="CT8" s="286">
        <f t="shared" si="20"/>
        <v>0</v>
      </c>
      <c r="CU8" s="24">
        <f t="shared" si="20"/>
        <v>26.056999999999999</v>
      </c>
      <c r="CV8" s="25">
        <f t="shared" si="20"/>
        <v>104.178</v>
      </c>
      <c r="CW8" s="24">
        <f t="shared" si="20"/>
        <v>381.4221124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122.15</v>
      </c>
      <c r="DD8" s="280">
        <f t="shared" si="21"/>
        <v>185.32</v>
      </c>
      <c r="DE8" s="508">
        <f t="shared" ref="DE8:DE37" si="31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2">IF(I8=0,0,(DJ8*DI8%)/(AE8/100))</f>
        <v>0</v>
      </c>
      <c r="DM8" s="402"/>
    </row>
    <row r="9" spans="1:117" ht="16.5" customHeight="1" thickBot="1">
      <c r="A9" s="534">
        <v>3</v>
      </c>
      <c r="B9" s="103">
        <f>'[1]ноябрь 20'!K8</f>
        <v>515.92600000000004</v>
      </c>
      <c r="C9" s="104">
        <f t="shared" si="0"/>
        <v>0.99026224691137876</v>
      </c>
      <c r="D9" s="448">
        <f t="shared" si="1"/>
        <v>510.81697959999997</v>
      </c>
      <c r="E9" s="104">
        <f t="shared" si="2"/>
        <v>39.525906389676038</v>
      </c>
      <c r="F9" s="128">
        <f t="shared" si="3"/>
        <v>2.2742397025956103</v>
      </c>
      <c r="G9" s="106"/>
      <c r="H9" s="107">
        <f t="shared" si="4"/>
        <v>1.7004495774898718</v>
      </c>
      <c r="I9" s="103">
        <f>'[1]сентябрь 20'!AE8</f>
        <v>0</v>
      </c>
      <c r="J9" s="103">
        <f>'[1]ноябрь 20'!AA8</f>
        <v>10.317</v>
      </c>
      <c r="K9" s="106"/>
      <c r="L9" s="103">
        <f>'[1]ноябрь 20'!AI8</f>
        <v>128.87899999999999</v>
      </c>
      <c r="M9" s="103">
        <f t="shared" si="5"/>
        <v>0.57379012510573901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'[1]ноябрь 20'!S8</f>
        <v>320.85899999999998</v>
      </c>
      <c r="S9" s="108">
        <f t="shared" si="6"/>
        <v>3.0789225173674328</v>
      </c>
      <c r="T9" s="109">
        <f t="shared" si="7"/>
        <v>310.98</v>
      </c>
      <c r="U9" s="106">
        <v>67.33</v>
      </c>
      <c r="V9" s="109">
        <f t="shared" si="8"/>
        <v>310.98</v>
      </c>
      <c r="W9" s="110">
        <f t="shared" si="9"/>
        <v>1.3845331908641647</v>
      </c>
      <c r="X9" s="110">
        <f t="shared" si="26"/>
        <v>1.3845331908641647</v>
      </c>
      <c r="Y9" s="136">
        <v>149.85</v>
      </c>
      <c r="Z9" s="130">
        <v>224.61</v>
      </c>
      <c r="AA9" s="131">
        <v>0.39</v>
      </c>
      <c r="AB9" s="112">
        <v>576</v>
      </c>
      <c r="AC9" s="112">
        <v>1214</v>
      </c>
      <c r="AD9" s="144" t="s">
        <v>426</v>
      </c>
      <c r="AE9" s="131">
        <v>75.83</v>
      </c>
      <c r="AF9" s="133">
        <v>172</v>
      </c>
      <c r="AG9" s="134">
        <v>5</v>
      </c>
      <c r="AH9" s="131">
        <v>6.95</v>
      </c>
      <c r="AI9" s="115">
        <f t="shared" si="10"/>
        <v>30.94252259471974</v>
      </c>
      <c r="AJ9" s="131">
        <v>143.5</v>
      </c>
      <c r="AK9" s="115">
        <f t="shared" si="11"/>
        <v>638.88517875428533</v>
      </c>
      <c r="AL9" s="131">
        <v>34.11</v>
      </c>
      <c r="AM9" s="116"/>
      <c r="AN9" s="135">
        <v>14.29</v>
      </c>
      <c r="AO9" s="466">
        <v>61.01</v>
      </c>
      <c r="AP9" s="110">
        <f t="shared" si="12"/>
        <v>0.20601046766841127</v>
      </c>
      <c r="AQ9" s="137" t="s">
        <v>331</v>
      </c>
      <c r="AR9" s="150">
        <v>7.01</v>
      </c>
      <c r="AS9" s="131">
        <v>8.3800000000000008</v>
      </c>
      <c r="AT9" s="131"/>
      <c r="AU9" s="131">
        <v>8.18</v>
      </c>
      <c r="AV9" s="315">
        <v>296.14999999999998</v>
      </c>
      <c r="AW9" s="131">
        <v>3.76</v>
      </c>
      <c r="AX9" s="116"/>
      <c r="AY9" s="131"/>
      <c r="AZ9" s="109"/>
      <c r="BA9" s="109">
        <f t="shared" si="13"/>
        <v>224.60999999999999</v>
      </c>
      <c r="BB9" s="115">
        <f t="shared" si="27"/>
        <v>232.44507576091212</v>
      </c>
      <c r="BC9" s="140">
        <f t="shared" si="14"/>
        <v>9.0930492957746463</v>
      </c>
      <c r="BD9" s="141">
        <f t="shared" si="15"/>
        <v>8.9843999999999991</v>
      </c>
      <c r="BE9" s="128">
        <f t="shared" si="16"/>
        <v>0.84357360274514137</v>
      </c>
      <c r="BF9" s="141">
        <f t="shared" si="17"/>
        <v>18.077449295774645</v>
      </c>
      <c r="BG9" s="535">
        <v>0.86199999999999999</v>
      </c>
      <c r="BH9" s="16">
        <f t="shared" si="28"/>
        <v>676.59</v>
      </c>
      <c r="BI9" s="16">
        <f t="shared" si="18"/>
        <v>222.33333333333334</v>
      </c>
      <c r="BJ9" s="16">
        <f t="shared" si="29"/>
        <v>667</v>
      </c>
      <c r="BK9" s="17">
        <f t="shared" si="19"/>
        <v>1</v>
      </c>
      <c r="BL9" s="16">
        <f t="shared" si="30"/>
        <v>667</v>
      </c>
      <c r="BM9" s="249"/>
      <c r="BN9" s="195">
        <v>25.777000000000001</v>
      </c>
      <c r="BO9" s="197">
        <v>103.102</v>
      </c>
      <c r="BP9" s="197">
        <v>387.04700000000003</v>
      </c>
      <c r="BQ9" s="230"/>
      <c r="BR9" s="230"/>
      <c r="BS9" s="250"/>
      <c r="BT9" s="199"/>
      <c r="BU9" s="200"/>
      <c r="BV9" s="200"/>
      <c r="BW9" s="200"/>
      <c r="BX9" s="200">
        <v>1.32</v>
      </c>
      <c r="BY9" s="208"/>
      <c r="BZ9" s="208"/>
      <c r="CA9" s="201"/>
      <c r="CB9" s="202"/>
      <c r="CC9" s="200">
        <v>43.89</v>
      </c>
      <c r="CD9" s="200">
        <v>43.6</v>
      </c>
      <c r="CE9" s="200">
        <v>38.15</v>
      </c>
      <c r="CF9" s="200"/>
      <c r="CG9" s="200"/>
      <c r="CH9" s="200"/>
      <c r="CI9" s="203"/>
      <c r="CJ9" s="204"/>
      <c r="CK9" s="197"/>
      <c r="CL9" s="197">
        <v>124.84</v>
      </c>
      <c r="CM9" s="198">
        <v>186.14</v>
      </c>
      <c r="CN9" s="202"/>
      <c r="CO9" s="208"/>
      <c r="CP9" s="208"/>
      <c r="CQ9" s="201"/>
      <c r="CR9" s="201"/>
      <c r="CS9" s="284"/>
      <c r="CT9" s="286">
        <f t="shared" si="20"/>
        <v>0</v>
      </c>
      <c r="CU9" s="27">
        <f t="shared" si="20"/>
        <v>25.777000000000001</v>
      </c>
      <c r="CV9" s="28">
        <f t="shared" si="20"/>
        <v>103.102</v>
      </c>
      <c r="CW9" s="27">
        <f t="shared" si="20"/>
        <v>381.93797960000006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124.84</v>
      </c>
      <c r="DD9" s="280">
        <f t="shared" si="21"/>
        <v>186.14</v>
      </c>
      <c r="DE9" s="508">
        <f t="shared" si="31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2"/>
        <v>0</v>
      </c>
      <c r="DM9" s="402"/>
    </row>
    <row r="10" spans="1:117" ht="16.5" customHeight="1" thickBot="1">
      <c r="A10" s="534">
        <v>4</v>
      </c>
      <c r="B10" s="103">
        <f>'[1]ноябрь 20'!K9</f>
        <v>515.99900000000002</v>
      </c>
      <c r="C10" s="104">
        <f t="shared" si="0"/>
        <v>1.1251213665142761</v>
      </c>
      <c r="D10" s="448">
        <f t="shared" si="1"/>
        <v>510.19338499999998</v>
      </c>
      <c r="E10" s="104">
        <f t="shared" si="2"/>
        <v>39.297511448665603</v>
      </c>
      <c r="F10" s="128">
        <f t="shared" si="3"/>
        <v>2.1510809722573572</v>
      </c>
      <c r="G10" s="106"/>
      <c r="H10" s="107">
        <f t="shared" si="4"/>
        <v>1.6073673370435955</v>
      </c>
      <c r="I10" s="103">
        <f>'[1]сентябрь 20'!AE9</f>
        <v>0</v>
      </c>
      <c r="J10" s="103">
        <f>'[1]ноябрь 20'!AA9</f>
        <v>9.8450000000000006</v>
      </c>
      <c r="K10" s="106">
        <v>37.880000000000003</v>
      </c>
      <c r="L10" s="103">
        <f>'[1]ноябрь 20'!AI9</f>
        <v>128.958</v>
      </c>
      <c r="M10" s="103">
        <f t="shared" si="5"/>
        <v>0.5437136352137617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'[1]ноябрь 20'!S9</f>
        <v>325.78300000000002</v>
      </c>
      <c r="S10" s="108">
        <f t="shared" si="6"/>
        <v>3.5984075289379747</v>
      </c>
      <c r="T10" s="109">
        <f t="shared" si="7"/>
        <v>314.06000000000006</v>
      </c>
      <c r="U10" s="106"/>
      <c r="V10" s="109">
        <f t="shared" si="8"/>
        <v>314.06</v>
      </c>
      <c r="W10" s="110">
        <f t="shared" si="9"/>
        <v>1.3241420018551313</v>
      </c>
      <c r="X10" s="110">
        <f t="shared" si="26"/>
        <v>1.3241420018551313</v>
      </c>
      <c r="Y10" s="136">
        <v>199.65</v>
      </c>
      <c r="Z10" s="130">
        <v>237.18</v>
      </c>
      <c r="AA10" s="131">
        <v>0.38</v>
      </c>
      <c r="AB10" s="112">
        <v>647</v>
      </c>
      <c r="AC10" s="112">
        <v>1226</v>
      </c>
      <c r="AD10" s="144" t="s">
        <v>476</v>
      </c>
      <c r="AE10" s="131">
        <v>75.69</v>
      </c>
      <c r="AF10" s="133">
        <v>172</v>
      </c>
      <c r="AG10" s="134">
        <v>5</v>
      </c>
      <c r="AH10" s="131">
        <v>9.6</v>
      </c>
      <c r="AI10" s="115">
        <f t="shared" si="10"/>
        <v>40.47558816089046</v>
      </c>
      <c r="AJ10" s="131">
        <v>147.69999999999999</v>
      </c>
      <c r="AK10" s="115">
        <f t="shared" si="11"/>
        <v>622.73378868370014</v>
      </c>
      <c r="AL10" s="131">
        <v>36.43</v>
      </c>
      <c r="AM10" s="116"/>
      <c r="AN10" s="135">
        <v>12.63</v>
      </c>
      <c r="AO10" s="466">
        <v>64.36</v>
      </c>
      <c r="AP10" s="110">
        <f t="shared" si="12"/>
        <v>0.20771340971437791</v>
      </c>
      <c r="AQ10" s="137" t="s">
        <v>477</v>
      </c>
      <c r="AR10" s="150">
        <v>7.97</v>
      </c>
      <c r="AS10" s="138">
        <v>9.14</v>
      </c>
      <c r="AT10" s="131"/>
      <c r="AU10" s="131">
        <v>7.34</v>
      </c>
      <c r="AV10" s="315">
        <v>309.85000000000002</v>
      </c>
      <c r="AW10" s="131">
        <v>4.32</v>
      </c>
      <c r="AX10" s="116"/>
      <c r="AY10" s="131"/>
      <c r="AZ10" s="109"/>
      <c r="BA10" s="109">
        <f t="shared" si="13"/>
        <v>237.18</v>
      </c>
      <c r="BB10" s="115">
        <f>IF(AE10=0,0,((D10*0.97)*(E10/100)*0.9)/(AE10/100))</f>
        <v>231.24673574826193</v>
      </c>
      <c r="BC10" s="140">
        <f t="shared" si="14"/>
        <v>8.3980971830985904</v>
      </c>
      <c r="BD10" s="141">
        <f t="shared" si="15"/>
        <v>9.4871999999999996</v>
      </c>
      <c r="BE10" s="128">
        <f t="shared" si="16"/>
        <v>0.89539919052265482</v>
      </c>
      <c r="BF10" s="141">
        <f t="shared" si="17"/>
        <v>17.88529718309859</v>
      </c>
      <c r="BG10" s="535">
        <v>0.87</v>
      </c>
      <c r="BH10" s="16">
        <f t="shared" si="28"/>
        <v>913.77</v>
      </c>
      <c r="BI10" s="16">
        <f t="shared" si="18"/>
        <v>222.33333333333334</v>
      </c>
      <c r="BJ10" s="16">
        <f t="shared" si="29"/>
        <v>889.33333333333337</v>
      </c>
      <c r="BK10" s="17">
        <f t="shared" si="19"/>
        <v>1</v>
      </c>
      <c r="BL10" s="16">
        <f t="shared" si="30"/>
        <v>889.33333333333337</v>
      </c>
      <c r="BM10" s="249"/>
      <c r="BN10" s="195">
        <v>25.78</v>
      </c>
      <c r="BO10" s="197">
        <v>103.178</v>
      </c>
      <c r="BP10" s="195">
        <v>387.041</v>
      </c>
      <c r="BQ10" s="195"/>
      <c r="BR10" s="230"/>
      <c r="BS10" s="250"/>
      <c r="BT10" s="199"/>
      <c r="BU10" s="200"/>
      <c r="BV10" s="200"/>
      <c r="BW10" s="200"/>
      <c r="BX10" s="200">
        <v>1.5</v>
      </c>
      <c r="BY10" s="208"/>
      <c r="BZ10" s="208"/>
      <c r="CA10" s="201"/>
      <c r="CB10" s="202"/>
      <c r="CC10" s="200">
        <v>44.01</v>
      </c>
      <c r="CD10" s="200">
        <v>43.7</v>
      </c>
      <c r="CE10" s="200">
        <v>37.81</v>
      </c>
      <c r="CF10" s="200"/>
      <c r="CG10" s="200"/>
      <c r="CH10" s="200"/>
      <c r="CI10" s="203"/>
      <c r="CJ10" s="204"/>
      <c r="CK10" s="197"/>
      <c r="CL10" s="197">
        <v>120.4</v>
      </c>
      <c r="CM10" s="198">
        <v>193.66</v>
      </c>
      <c r="CN10" s="202"/>
      <c r="CO10" s="208"/>
      <c r="CP10" s="208"/>
      <c r="CQ10" s="201"/>
      <c r="CR10" s="201"/>
      <c r="CS10" s="284"/>
      <c r="CT10" s="286">
        <f t="shared" si="20"/>
        <v>0</v>
      </c>
      <c r="CU10" s="29">
        <f t="shared" si="20"/>
        <v>25.78</v>
      </c>
      <c r="CV10" s="30">
        <f t="shared" si="20"/>
        <v>103.178</v>
      </c>
      <c r="CW10" s="29">
        <f t="shared" si="20"/>
        <v>381.23538500000001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120.4</v>
      </c>
      <c r="DD10" s="280">
        <f t="shared" si="21"/>
        <v>193.66</v>
      </c>
      <c r="DE10" s="508">
        <f t="shared" si="31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2"/>
        <v>0</v>
      </c>
      <c r="DM10" s="402"/>
    </row>
    <row r="11" spans="1:117" ht="16.5" customHeight="1" thickBot="1">
      <c r="A11" s="534">
        <v>5</v>
      </c>
      <c r="B11" s="103">
        <f>'[1]ноябрь 20'!K10</f>
        <v>506.95400000000001</v>
      </c>
      <c r="C11" s="104">
        <f t="shared" si="0"/>
        <v>0.54753383936215116</v>
      </c>
      <c r="D11" s="448">
        <f t="shared" si="1"/>
        <v>504.17825530000005</v>
      </c>
      <c r="E11" s="104">
        <f t="shared" si="2"/>
        <v>40.602749046264549</v>
      </c>
      <c r="F11" s="128">
        <f t="shared" si="3"/>
        <v>1.9886335159547199</v>
      </c>
      <c r="G11" s="106"/>
      <c r="H11" s="107">
        <f>IF(BA11=0,0,(CZ11+CW11+CY11+CT11+CX11)/BA11)</f>
        <v>1.4888307312744056</v>
      </c>
      <c r="I11" s="103">
        <f>'[1]сентябрь 20'!AE10</f>
        <v>0</v>
      </c>
      <c r="J11" s="103">
        <f>'[1]ноябрь 20'!AA10</f>
        <v>8.4090000000000007</v>
      </c>
      <c r="K11" s="106"/>
      <c r="L11" s="103">
        <f>'[1]ноябрь 20'!AI10</f>
        <v>126.715</v>
      </c>
      <c r="M11" s="103">
        <f t="shared" si="5"/>
        <v>0.49980278468031408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'[1]ноябрь 20'!S10</f>
        <v>320.88499999999999</v>
      </c>
      <c r="S11" s="108">
        <f t="shared" si="6"/>
        <v>3.036913536001995</v>
      </c>
      <c r="T11" s="109">
        <f t="shared" si="7"/>
        <v>311.14</v>
      </c>
      <c r="U11" s="106">
        <v>49.55</v>
      </c>
      <c r="V11" s="109">
        <f t="shared" si="8"/>
        <v>311.14</v>
      </c>
      <c r="W11" s="110">
        <f t="shared" si="9"/>
        <v>1.2272314913422477</v>
      </c>
      <c r="X11" s="110">
        <f t="shared" si="26"/>
        <v>1.2272314913422477</v>
      </c>
      <c r="Y11" s="136">
        <v>253.53</v>
      </c>
      <c r="Z11" s="130">
        <v>208.44</v>
      </c>
      <c r="AA11" s="131">
        <v>0.78</v>
      </c>
      <c r="AB11" s="112">
        <v>646</v>
      </c>
      <c r="AC11" s="112">
        <v>1221</v>
      </c>
      <c r="AD11" s="144" t="s">
        <v>476</v>
      </c>
      <c r="AE11" s="131">
        <v>76.53</v>
      </c>
      <c r="AF11" s="133">
        <v>169</v>
      </c>
      <c r="AG11" s="134">
        <v>5</v>
      </c>
      <c r="AH11" s="131">
        <v>8.9499999999999993</v>
      </c>
      <c r="AI11" s="115">
        <f t="shared" si="10"/>
        <v>35.301542223799949</v>
      </c>
      <c r="AJ11" s="131">
        <v>138.65</v>
      </c>
      <c r="AK11" s="115">
        <f t="shared" si="11"/>
        <v>546.87808148937017</v>
      </c>
      <c r="AL11" s="131">
        <v>39.21</v>
      </c>
      <c r="AM11" s="116"/>
      <c r="AN11" s="135">
        <v>11.24</v>
      </c>
      <c r="AO11" s="466">
        <v>54.1</v>
      </c>
      <c r="AP11" s="110">
        <f t="shared" si="12"/>
        <v>0.17166428684753293</v>
      </c>
      <c r="AQ11" s="137" t="s">
        <v>382</v>
      </c>
      <c r="AR11" s="150">
        <v>7.82</v>
      </c>
      <c r="AS11" s="138">
        <v>9.6199999999999992</v>
      </c>
      <c r="AT11" s="131"/>
      <c r="AU11" s="131">
        <v>7.56</v>
      </c>
      <c r="AV11" s="315">
        <v>315.14999999999998</v>
      </c>
      <c r="AW11" s="131">
        <v>3.72</v>
      </c>
      <c r="AX11" s="145"/>
      <c r="AY11" s="131"/>
      <c r="AZ11" s="109"/>
      <c r="BA11" s="109">
        <f t="shared" si="13"/>
        <v>253.52999999999994</v>
      </c>
      <c r="BB11" s="115">
        <f t="shared" ref="BB11:BB13" si="33">IF(AE11=0,0,((D11*0.97)*(E11/100)*0.9)/(AE11/100))</f>
        <v>233.51892370788144</v>
      </c>
      <c r="BC11" s="140">
        <f t="shared" si="14"/>
        <v>8.1198126760563376</v>
      </c>
      <c r="BD11" s="141">
        <f t="shared" si="15"/>
        <v>10.141199999999998</v>
      </c>
      <c r="BE11" s="128">
        <f t="shared" si="16"/>
        <v>0.94781050925394383</v>
      </c>
      <c r="BF11" s="141">
        <f t="shared" si="17"/>
        <v>18.261012676056335</v>
      </c>
      <c r="BG11" s="535">
        <v>0.88600000000000001</v>
      </c>
      <c r="BH11" s="16">
        <f t="shared" si="28"/>
        <v>1167.3</v>
      </c>
      <c r="BI11" s="16">
        <f t="shared" si="18"/>
        <v>222.33333333333334</v>
      </c>
      <c r="BJ11" s="16">
        <f t="shared" si="29"/>
        <v>1111.6666666666667</v>
      </c>
      <c r="BK11" s="17">
        <f t="shared" si="19"/>
        <v>1</v>
      </c>
      <c r="BL11" s="16">
        <f t="shared" si="30"/>
        <v>1111.6666666666667</v>
      </c>
      <c r="BM11" s="249"/>
      <c r="BN11" s="195">
        <v>25.19</v>
      </c>
      <c r="BO11" s="197">
        <v>101.52500000000001</v>
      </c>
      <c r="BP11" s="197">
        <v>380.23899999999998</v>
      </c>
      <c r="BQ11" s="230"/>
      <c r="BR11" s="230"/>
      <c r="BS11" s="250"/>
      <c r="BT11" s="199"/>
      <c r="BU11" s="200"/>
      <c r="BV11" s="200"/>
      <c r="BW11" s="200"/>
      <c r="BX11" s="200">
        <v>0.73</v>
      </c>
      <c r="BY11" s="208"/>
      <c r="BZ11" s="208"/>
      <c r="CA11" s="201"/>
      <c r="CB11" s="202"/>
      <c r="CC11" s="200">
        <v>44.01</v>
      </c>
      <c r="CD11" s="200">
        <v>43.85</v>
      </c>
      <c r="CE11" s="200">
        <v>39.51</v>
      </c>
      <c r="CF11" s="200"/>
      <c r="CG11" s="200"/>
      <c r="CH11" s="200"/>
      <c r="CI11" s="203"/>
      <c r="CJ11" s="204"/>
      <c r="CK11" s="197"/>
      <c r="CL11" s="230">
        <v>118.3</v>
      </c>
      <c r="CM11" s="198">
        <v>192.84</v>
      </c>
      <c r="CN11" s="202"/>
      <c r="CO11" s="208"/>
      <c r="CP11" s="208"/>
      <c r="CQ11" s="201"/>
      <c r="CR11" s="201"/>
      <c r="CS11" s="284"/>
      <c r="CT11" s="286">
        <f t="shared" si="20"/>
        <v>0</v>
      </c>
      <c r="CU11" s="24">
        <f t="shared" si="20"/>
        <v>25.19</v>
      </c>
      <c r="CV11" s="25">
        <f t="shared" si="20"/>
        <v>101.52500000000001</v>
      </c>
      <c r="CW11" s="24">
        <f t="shared" si="20"/>
        <v>377.46325529999996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118.3</v>
      </c>
      <c r="DD11" s="280">
        <f t="shared" si="21"/>
        <v>192.84</v>
      </c>
      <c r="DE11" s="508">
        <f t="shared" si="31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2"/>
        <v>0</v>
      </c>
      <c r="DM11" s="402"/>
    </row>
    <row r="12" spans="1:117" ht="16.5" customHeight="1" thickBot="1">
      <c r="A12" s="534">
        <v>6</v>
      </c>
      <c r="B12" s="103">
        <f>'[1]ноябрь 20'!K11</f>
        <v>474.30799999999999</v>
      </c>
      <c r="C12" s="104">
        <f t="shared" si="0"/>
        <v>0.60716015753476649</v>
      </c>
      <c r="D12" s="448">
        <f t="shared" si="1"/>
        <v>471.42819079999998</v>
      </c>
      <c r="E12" s="104">
        <f t="shared" si="2"/>
        <v>38.730285616097554</v>
      </c>
      <c r="F12" s="128">
        <f t="shared" si="3"/>
        <v>2.3196781518476604</v>
      </c>
      <c r="G12" s="106"/>
      <c r="H12" s="107">
        <f t="shared" ref="H12:H13" si="34">IF(BA12=0,0,(CZ12+CW12+CY12+CT12+CX12)/BA12)</f>
        <v>1.7352368784136201</v>
      </c>
      <c r="I12" s="103">
        <f>'[1]сентябрь 20'!AE11</f>
        <v>0</v>
      </c>
      <c r="J12" s="103">
        <f>'[1]ноябрь 20'!AA11</f>
        <v>7.9</v>
      </c>
      <c r="K12" s="106">
        <v>26.67</v>
      </c>
      <c r="L12" s="103">
        <f>'[1]ноябрь 20'!AI11</f>
        <v>118.776</v>
      </c>
      <c r="M12" s="103">
        <f t="shared" si="5"/>
        <v>0.58444127343404029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'[1]ноябрь 20'!S11</f>
        <v>299.57900000000001</v>
      </c>
      <c r="S12" s="108">
        <f t="shared" si="6"/>
        <v>3.4845566611811929</v>
      </c>
      <c r="T12" s="109">
        <f t="shared" si="7"/>
        <v>289.14</v>
      </c>
      <c r="U12" s="106">
        <v>4.71</v>
      </c>
      <c r="V12" s="109">
        <f t="shared" si="8"/>
        <v>289.14</v>
      </c>
      <c r="W12" s="110">
        <f t="shared" si="9"/>
        <v>1.4227230231757122</v>
      </c>
      <c r="X12" s="110">
        <f t="shared" si="26"/>
        <v>1.4227230231757122</v>
      </c>
      <c r="Y12" s="136">
        <v>203.23</v>
      </c>
      <c r="Z12" s="130">
        <v>203.23</v>
      </c>
      <c r="AA12" s="131">
        <v>0.7</v>
      </c>
      <c r="AB12" s="112">
        <v>656</v>
      </c>
      <c r="AC12" s="133">
        <v>1227</v>
      </c>
      <c r="AD12" s="144" t="s">
        <v>207</v>
      </c>
      <c r="AE12" s="131">
        <v>75.69</v>
      </c>
      <c r="AF12" s="133">
        <v>158</v>
      </c>
      <c r="AG12" s="134">
        <v>5</v>
      </c>
      <c r="AH12" s="131">
        <v>9.15</v>
      </c>
      <c r="AI12" s="115">
        <f t="shared" si="10"/>
        <v>45.022880480244062</v>
      </c>
      <c r="AJ12" s="131">
        <v>117.7</v>
      </c>
      <c r="AK12" s="115">
        <f t="shared" si="11"/>
        <v>579.14677951089902</v>
      </c>
      <c r="AL12" s="131">
        <v>34.6</v>
      </c>
      <c r="AM12" s="116"/>
      <c r="AN12" s="135">
        <v>12.94</v>
      </c>
      <c r="AO12" s="466">
        <v>58.16</v>
      </c>
      <c r="AP12" s="110">
        <f t="shared" si="12"/>
        <v>0.21425676920243139</v>
      </c>
      <c r="AQ12" s="137" t="s">
        <v>376</v>
      </c>
      <c r="AR12" s="150">
        <v>7.2</v>
      </c>
      <c r="AS12" s="138">
        <v>8.84</v>
      </c>
      <c r="AT12" s="131"/>
      <c r="AU12" s="131">
        <v>7.91</v>
      </c>
      <c r="AV12" s="315">
        <v>271.45</v>
      </c>
      <c r="AW12" s="131">
        <v>2.88</v>
      </c>
      <c r="AX12" s="116"/>
      <c r="AY12" s="131"/>
      <c r="AZ12" s="109"/>
      <c r="BA12" s="109">
        <f t="shared" si="13"/>
        <v>203.23</v>
      </c>
      <c r="BB12" s="115">
        <f t="shared" si="33"/>
        <v>210.59205734660176</v>
      </c>
      <c r="BC12" s="140">
        <f t="shared" si="14"/>
        <v>7.2120260563380292</v>
      </c>
      <c r="BD12" s="141">
        <f t="shared" si="15"/>
        <v>8.1291999999999991</v>
      </c>
      <c r="BE12" s="128">
        <f t="shared" si="16"/>
        <v>0.8424809189645488</v>
      </c>
      <c r="BF12" s="141">
        <f t="shared" si="17"/>
        <v>15.341226056338028</v>
      </c>
      <c r="BG12" s="535">
        <v>0.879</v>
      </c>
      <c r="BH12" s="16">
        <f t="shared" si="28"/>
        <v>1370.53</v>
      </c>
      <c r="BI12" s="16">
        <f t="shared" si="18"/>
        <v>222.33333333333334</v>
      </c>
      <c r="BJ12" s="16">
        <f t="shared" si="29"/>
        <v>1334</v>
      </c>
      <c r="BK12" s="17">
        <f t="shared" si="19"/>
        <v>1</v>
      </c>
      <c r="BL12" s="16">
        <f t="shared" si="30"/>
        <v>1334</v>
      </c>
      <c r="BM12" s="249"/>
      <c r="BN12" s="195">
        <v>23.954999999999998</v>
      </c>
      <c r="BO12" s="271">
        <v>94.820999999999998</v>
      </c>
      <c r="BP12" s="197">
        <v>355.53199999999998</v>
      </c>
      <c r="BQ12" s="230"/>
      <c r="BR12" s="230"/>
      <c r="BS12" s="250"/>
      <c r="BT12" s="199"/>
      <c r="BU12" s="200"/>
      <c r="BV12" s="200"/>
      <c r="BW12" s="200"/>
      <c r="BX12" s="200">
        <v>0.81</v>
      </c>
      <c r="BY12" s="208"/>
      <c r="BZ12" s="208"/>
      <c r="CA12" s="201"/>
      <c r="CB12" s="202"/>
      <c r="CC12" s="200">
        <v>43.7</v>
      </c>
      <c r="CD12" s="200">
        <v>43.85</v>
      </c>
      <c r="CE12" s="200">
        <v>37.03</v>
      </c>
      <c r="CF12" s="200"/>
      <c r="CG12" s="200"/>
      <c r="CH12" s="200"/>
      <c r="CI12" s="203"/>
      <c r="CJ12" s="204"/>
      <c r="CK12" s="197"/>
      <c r="CL12" s="230">
        <v>110.6</v>
      </c>
      <c r="CM12" s="198">
        <v>178.54</v>
      </c>
      <c r="CN12" s="202"/>
      <c r="CO12" s="202"/>
      <c r="CP12" s="270"/>
      <c r="CQ12" s="201"/>
      <c r="CR12" s="201"/>
      <c r="CS12" s="284"/>
      <c r="CT12" s="286">
        <f t="shared" si="20"/>
        <v>0</v>
      </c>
      <c r="CU12" s="24">
        <f t="shared" si="20"/>
        <v>23.954999999999998</v>
      </c>
      <c r="CV12" s="25">
        <f t="shared" si="20"/>
        <v>94.820999999999998</v>
      </c>
      <c r="CW12" s="24">
        <f t="shared" si="20"/>
        <v>352.65219079999997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110.6</v>
      </c>
      <c r="DD12" s="280">
        <f t="shared" si="21"/>
        <v>178.54</v>
      </c>
      <c r="DE12" s="508">
        <f t="shared" si="31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2"/>
        <v>0</v>
      </c>
    </row>
    <row r="13" spans="1:117" ht="16.5" customHeight="1" thickBot="1">
      <c r="A13" s="534">
        <v>7</v>
      </c>
      <c r="B13" s="103">
        <f>'[1]ноябрь 20'!K12</f>
        <v>500.928</v>
      </c>
      <c r="C13" s="104">
        <f t="shared" si="0"/>
        <v>0.92239441596397098</v>
      </c>
      <c r="D13" s="448">
        <f t="shared" si="1"/>
        <v>496.30746809999999</v>
      </c>
      <c r="E13" s="104">
        <f t="shared" si="2"/>
        <v>38.89117180512968</v>
      </c>
      <c r="F13" s="128">
        <f t="shared" si="3"/>
        <v>2.2555329399200144</v>
      </c>
      <c r="G13" s="106"/>
      <c r="H13" s="107">
        <f t="shared" si="34"/>
        <v>1.6862046359752769</v>
      </c>
      <c r="I13" s="103">
        <f>'[1]сентябрь 20'!AE12</f>
        <v>0</v>
      </c>
      <c r="J13" s="103">
        <f>'[1]ноябрь 20'!AA12</f>
        <v>7.3220000000000001</v>
      </c>
      <c r="K13" s="106"/>
      <c r="L13" s="103">
        <f>'[1]ноябрь 20'!AI12</f>
        <v>125.27500000000001</v>
      </c>
      <c r="M13" s="103">
        <f t="shared" si="5"/>
        <v>0.56932830394473732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'[1]ноябрь 20'!S12</f>
        <v>319.51100000000002</v>
      </c>
      <c r="S13" s="108">
        <f t="shared" si="6"/>
        <v>3.4117761203839692</v>
      </c>
      <c r="T13" s="109">
        <f t="shared" si="7"/>
        <v>308.61</v>
      </c>
      <c r="U13" s="106"/>
      <c r="V13" s="109">
        <f t="shared" si="8"/>
        <v>308.61</v>
      </c>
      <c r="W13" s="110">
        <f t="shared" si="9"/>
        <v>1.4025177240501727</v>
      </c>
      <c r="X13" s="110">
        <f t="shared" si="26"/>
        <v>1.4025177240501727</v>
      </c>
      <c r="Y13" s="136">
        <v>220.04</v>
      </c>
      <c r="Z13" s="130">
        <v>220.04</v>
      </c>
      <c r="AA13" s="131">
        <v>0.62</v>
      </c>
      <c r="AB13" s="146">
        <v>650</v>
      </c>
      <c r="AC13" s="147">
        <v>1226</v>
      </c>
      <c r="AD13" s="144" t="s">
        <v>181</v>
      </c>
      <c r="AE13" s="131">
        <v>75.900000000000006</v>
      </c>
      <c r="AF13" s="133">
        <v>168</v>
      </c>
      <c r="AG13" s="134">
        <v>5</v>
      </c>
      <c r="AH13" s="131">
        <v>18.55</v>
      </c>
      <c r="AI13" s="115">
        <f t="shared" si="10"/>
        <v>84.302854026540629</v>
      </c>
      <c r="AJ13" s="131">
        <v>129.35</v>
      </c>
      <c r="AK13" s="115">
        <f t="shared" si="11"/>
        <v>587.84766406107974</v>
      </c>
      <c r="AL13" s="131">
        <v>36.6</v>
      </c>
      <c r="AM13" s="116"/>
      <c r="AN13" s="135">
        <v>14.52</v>
      </c>
      <c r="AO13" s="466">
        <v>58.33</v>
      </c>
      <c r="AP13" s="110">
        <f t="shared" si="12"/>
        <v>0.20193872252033926</v>
      </c>
      <c r="AQ13" s="137" t="s">
        <v>353</v>
      </c>
      <c r="AR13" s="150">
        <v>7.58</v>
      </c>
      <c r="AS13" s="138">
        <v>9.39</v>
      </c>
      <c r="AT13" s="131"/>
      <c r="AU13" s="131">
        <v>7.43</v>
      </c>
      <c r="AV13" s="315">
        <v>288.85000000000002</v>
      </c>
      <c r="AW13" s="131">
        <v>4.04</v>
      </c>
      <c r="AX13" s="148"/>
      <c r="AY13" s="149"/>
      <c r="AZ13" s="109"/>
      <c r="BA13" s="109">
        <f t="shared" si="13"/>
        <v>220.04000000000002</v>
      </c>
      <c r="BB13" s="115">
        <f t="shared" si="33"/>
        <v>222.01090481910634</v>
      </c>
      <c r="BC13" s="140">
        <f t="shared" si="14"/>
        <v>7.4449123239436608</v>
      </c>
      <c r="BD13" s="141">
        <f t="shared" si="15"/>
        <v>8.8016000000000005</v>
      </c>
      <c r="BE13" s="128">
        <f t="shared" si="16"/>
        <v>0.86524993065776756</v>
      </c>
      <c r="BF13" s="141">
        <f t="shared" si="17"/>
        <v>16.246512323943662</v>
      </c>
      <c r="BG13" s="535">
        <v>0.877</v>
      </c>
      <c r="BH13" s="16">
        <f t="shared" si="28"/>
        <v>1590.57</v>
      </c>
      <c r="BI13" s="16">
        <f t="shared" si="18"/>
        <v>222.33333333333334</v>
      </c>
      <c r="BJ13" s="16">
        <f t="shared" si="29"/>
        <v>1556.3333333333333</v>
      </c>
      <c r="BK13" s="17">
        <f t="shared" si="19"/>
        <v>1</v>
      </c>
      <c r="BL13" s="16">
        <f t="shared" si="30"/>
        <v>1556.3333333333333</v>
      </c>
      <c r="BM13" s="249"/>
      <c r="BN13" s="195">
        <v>25.233000000000001</v>
      </c>
      <c r="BO13" s="266">
        <v>100.042</v>
      </c>
      <c r="BP13" s="196">
        <v>375.65300000000002</v>
      </c>
      <c r="BQ13" s="313"/>
      <c r="BR13" s="230"/>
      <c r="BS13" s="250"/>
      <c r="BT13" s="199"/>
      <c r="BU13" s="200"/>
      <c r="BV13" s="200"/>
      <c r="BW13" s="200"/>
      <c r="BX13" s="200">
        <v>1.23</v>
      </c>
      <c r="BY13" s="208"/>
      <c r="BZ13" s="208"/>
      <c r="CA13" s="201"/>
      <c r="CB13" s="202"/>
      <c r="CC13" s="200">
        <v>43.7</v>
      </c>
      <c r="CD13" s="202">
        <v>43.24</v>
      </c>
      <c r="CE13" s="200">
        <v>37.409999999999997</v>
      </c>
      <c r="CF13" s="200"/>
      <c r="CG13" s="200"/>
      <c r="CH13" s="200"/>
      <c r="CI13" s="203"/>
      <c r="CJ13" s="204"/>
      <c r="CK13" s="197"/>
      <c r="CL13" s="264">
        <v>116.9</v>
      </c>
      <c r="CM13" s="265">
        <v>191.71</v>
      </c>
      <c r="CN13" s="202"/>
      <c r="CO13" s="202"/>
      <c r="CP13" s="270"/>
      <c r="CQ13" s="201"/>
      <c r="CR13" s="201"/>
      <c r="CS13" s="284"/>
      <c r="CT13" s="286">
        <f t="shared" si="20"/>
        <v>0</v>
      </c>
      <c r="CU13" s="24">
        <f t="shared" si="20"/>
        <v>25.233000000000001</v>
      </c>
      <c r="CV13" s="25">
        <f t="shared" si="20"/>
        <v>100.042</v>
      </c>
      <c r="CW13" s="24">
        <f t="shared" si="20"/>
        <v>371.03246809999996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116.9</v>
      </c>
      <c r="DD13" s="280">
        <f t="shared" si="21"/>
        <v>191.71</v>
      </c>
      <c r="DE13" s="508">
        <f t="shared" si="31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2"/>
        <v>0</v>
      </c>
    </row>
    <row r="14" spans="1:117" ht="16.5" customHeight="1" thickBot="1">
      <c r="A14" s="534">
        <v>8</v>
      </c>
      <c r="B14" s="103">
        <f>'[1]ноябрь 20'!K13</f>
        <v>507.13900000000001</v>
      </c>
      <c r="C14" s="104">
        <f>IF(B14=0,0,(BM14*BU14+BN14*BV14+BP14*BX14+BS14*CA14+BO14*BW14+BR14*BZ14+BQ14*BY14)/B14)</f>
        <v>0.42738732379091332</v>
      </c>
      <c r="D14" s="448">
        <f>B14*((100-C14)/100)</f>
        <v>504.97155220000002</v>
      </c>
      <c r="E14" s="104">
        <f>IF(B14=0,0,(BM14*CB14+BN14*CC14+BP14*CE14+BS14*CH14+BO14*CD14+BR14*CG14+BQ14*CF14)/B14)</f>
        <v>39.387978660682776</v>
      </c>
      <c r="F14" s="128">
        <f>IF(BA14=0,0,D14/BA14)</f>
        <v>2.1432517813335599</v>
      </c>
      <c r="G14" s="106"/>
      <c r="H14" s="107">
        <f>IF(BA14=0,0,(CZ14+CW14+CY14+CT14+CX14)/BA14)</f>
        <v>1.6047135189508088</v>
      </c>
      <c r="I14" s="103">
        <f>'[1]сентябрь 20'!AE13</f>
        <v>0</v>
      </c>
      <c r="J14" s="103">
        <f>'[1]ноябрь 20'!AA13</f>
        <v>12.442</v>
      </c>
      <c r="K14" s="106">
        <v>26.87</v>
      </c>
      <c r="L14" s="103">
        <f>'[1]ноябрь 20'!AI13</f>
        <v>126.88500000000001</v>
      </c>
      <c r="M14" s="103">
        <f>IF(BA14=0,0,(CV14+CU14)/BA14)</f>
        <v>0.53853826238275115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'[1]ноябрь 20'!S13</f>
        <v>320.78300000000002</v>
      </c>
      <c r="S14" s="108">
        <f>IF(R14=0,0,(1-(V14/R14))*100)</f>
        <v>3.4955094253747876</v>
      </c>
      <c r="T14" s="109">
        <f>R14*((100-S14)/100)</f>
        <v>309.57</v>
      </c>
      <c r="U14" s="106"/>
      <c r="V14" s="109">
        <f>CJ14+CK14+CM14+CL14</f>
        <v>309.57</v>
      </c>
      <c r="W14" s="110">
        <f>IF(BA14=0,0,T14/BA14)</f>
        <v>1.3139085777343917</v>
      </c>
      <c r="X14" s="110">
        <f t="shared" si="26"/>
        <v>1.3139085777343917</v>
      </c>
      <c r="Y14" s="136">
        <v>235.61</v>
      </c>
      <c r="Z14" s="130">
        <v>191.63</v>
      </c>
      <c r="AA14" s="131">
        <v>0.66</v>
      </c>
      <c r="AB14" s="146">
        <v>639</v>
      </c>
      <c r="AC14" s="147">
        <v>1237</v>
      </c>
      <c r="AD14" s="144" t="s">
        <v>252</v>
      </c>
      <c r="AE14" s="131">
        <v>75.78</v>
      </c>
      <c r="AF14" s="133">
        <v>169</v>
      </c>
      <c r="AG14" s="134">
        <v>5</v>
      </c>
      <c r="AH14" s="131">
        <v>9.4</v>
      </c>
      <c r="AI14" s="115">
        <f t="shared" si="10"/>
        <v>39.896439030601421</v>
      </c>
      <c r="AJ14" s="131">
        <v>136.69999999999999</v>
      </c>
      <c r="AK14" s="115">
        <f>IF(BA14=0,0,AJ14/BA14*1000)</f>
        <v>580.19608675353345</v>
      </c>
      <c r="AL14" s="131">
        <v>31.97</v>
      </c>
      <c r="AM14" s="116"/>
      <c r="AN14" s="135">
        <v>13.98</v>
      </c>
      <c r="AO14" s="466">
        <v>60.68</v>
      </c>
      <c r="AP14" s="110">
        <f>IF(AO14=0,0,AO14/AV14)</f>
        <v>0.19771912675138484</v>
      </c>
      <c r="AQ14" s="137" t="s">
        <v>374</v>
      </c>
      <c r="AR14" s="150">
        <v>7.61</v>
      </c>
      <c r="AS14" s="138">
        <v>9.48</v>
      </c>
      <c r="AT14" s="131"/>
      <c r="AU14" s="131">
        <v>7.6</v>
      </c>
      <c r="AV14" s="315">
        <v>306.89999999999998</v>
      </c>
      <c r="AW14" s="131">
        <v>3.37</v>
      </c>
      <c r="AX14" s="148"/>
      <c r="AY14" s="149"/>
      <c r="AZ14" s="109"/>
      <c r="BA14" s="109">
        <f>AV14-AO14-AN14+AY14+AW14</f>
        <v>235.60999999999999</v>
      </c>
      <c r="BB14" s="115">
        <f>IF(AE14=0,0,((D14*0.97)*(E14/100)*0.9)/(AE14/100))</f>
        <v>229.13437601705812</v>
      </c>
      <c r="BC14" s="140">
        <f>(AJ14*AU14)/100*(55/71)</f>
        <v>8.0479718309859134</v>
      </c>
      <c r="BD14" s="141">
        <f>BA14*$BD$6</f>
        <v>9.4244000000000003</v>
      </c>
      <c r="BE14" s="128">
        <f>IF((D14*E14)=0,0,(BA14*AE14)/(D14*E14))</f>
        <v>0.89767207162615947</v>
      </c>
      <c r="BF14" s="141">
        <f>BC14+BD14</f>
        <v>17.472371830985914</v>
      </c>
      <c r="BG14" s="535">
        <v>0.88</v>
      </c>
      <c r="BH14" s="16">
        <f>BH13+BA14</f>
        <v>1826.1799999999998</v>
      </c>
      <c r="BI14" s="16">
        <f>IF(A14&lt;=$BG$43,$AV$43,0)</f>
        <v>222.33333333333334</v>
      </c>
      <c r="BJ14" s="16">
        <f>BI14+BJ13</f>
        <v>1778.6666666666665</v>
      </c>
      <c r="BK14" s="17">
        <f>IF(BA14&lt;&gt;0,1,0)</f>
        <v>1</v>
      </c>
      <c r="BL14" s="16">
        <f>BL13+BI14*BK14</f>
        <v>1778.6666666666665</v>
      </c>
      <c r="BM14" s="249"/>
      <c r="BN14" s="195">
        <v>25.481000000000002</v>
      </c>
      <c r="BO14" s="230">
        <v>101.404</v>
      </c>
      <c r="BP14" s="196">
        <v>380.25400000000002</v>
      </c>
      <c r="BQ14" s="313"/>
      <c r="BR14" s="230"/>
      <c r="BS14" s="250"/>
      <c r="BT14" s="199"/>
      <c r="BU14" s="200"/>
      <c r="BV14" s="200"/>
      <c r="BW14" s="200"/>
      <c r="BX14" s="200">
        <v>0.56999999999999995</v>
      </c>
      <c r="BY14" s="208"/>
      <c r="BZ14" s="208"/>
      <c r="CA14" s="201"/>
      <c r="CB14" s="202"/>
      <c r="CC14" s="200">
        <v>43.09</v>
      </c>
      <c r="CD14" s="200">
        <v>43.55</v>
      </c>
      <c r="CE14" s="200">
        <v>38.03</v>
      </c>
      <c r="CF14" s="200"/>
      <c r="CG14" s="200"/>
      <c r="CH14" s="200"/>
      <c r="CI14" s="203"/>
      <c r="CJ14" s="204"/>
      <c r="CK14" s="197"/>
      <c r="CL14" s="264">
        <v>118.3</v>
      </c>
      <c r="CM14" s="265">
        <v>191.27</v>
      </c>
      <c r="CN14" s="202"/>
      <c r="CO14" s="202"/>
      <c r="CP14" s="270"/>
      <c r="CQ14" s="201"/>
      <c r="CR14" s="201"/>
      <c r="CS14" s="284"/>
      <c r="CT14" s="286">
        <f t="shared" si="20"/>
        <v>0</v>
      </c>
      <c r="CU14" s="27">
        <f t="shared" si="20"/>
        <v>25.481000000000002</v>
      </c>
      <c r="CV14" s="28">
        <f t="shared" si="20"/>
        <v>101.404</v>
      </c>
      <c r="CW14" s="27">
        <f t="shared" si="20"/>
        <v>378.08655220000003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118.3</v>
      </c>
      <c r="DD14" s="280">
        <f t="shared" si="21"/>
        <v>191.27</v>
      </c>
      <c r="DE14" s="508">
        <f t="shared" si="31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2"/>
        <v>0</v>
      </c>
    </row>
    <row r="15" spans="1:117" ht="16.5" customHeight="1" thickBot="1">
      <c r="A15" s="536">
        <v>9</v>
      </c>
      <c r="B15" s="103">
        <f>'[1]ноябрь 20'!K14</f>
        <v>482.82100000000003</v>
      </c>
      <c r="C15" s="104">
        <f t="shared" ref="C15:C36" si="35">IF(B15=0,0,(BM15*BU15+BN15*BV15+BP15*BX15+BS15*CA15+BO15*BW15+BR15*BZ15+BQ15*BY15)/B15)</f>
        <v>0.50263633934729435</v>
      </c>
      <c r="D15" s="448">
        <f t="shared" ref="D15:D36" si="36">B15*((100-C15)/100)</f>
        <v>480.39416620000003</v>
      </c>
      <c r="E15" s="104">
        <f t="shared" ref="E15:E18" si="37">IF(B15=0,0,(BM15*CB15+BN15*CC15+BP15*CE15+BS15*CH15+BO15*CD15+BR15*CG15+BQ15*CF15)/B15)</f>
        <v>39.00133952334302</v>
      </c>
      <c r="F15" s="128">
        <f t="shared" ref="F15:F36" si="38">IF(BA15=0,0,D15/BA15)</f>
        <v>1.9812519742648573</v>
      </c>
      <c r="G15" s="106"/>
      <c r="H15" s="107">
        <f t="shared" ref="H15:H36" si="39">IF(BA15=0,0,(CZ15+CW15+CY15+CT15+CX15)/BA15)</f>
        <v>1.4838419854002556</v>
      </c>
      <c r="I15" s="103">
        <f>'[1]сентябрь 20'!AE14</f>
        <v>0</v>
      </c>
      <c r="J15" s="103">
        <f>'[1]ноябрь 20'!AA14</f>
        <v>12.798</v>
      </c>
      <c r="K15" s="106"/>
      <c r="L15" s="103">
        <f>'[1]ноябрь 20'!AI14</f>
        <v>120.607</v>
      </c>
      <c r="M15" s="103">
        <f t="shared" ref="M15:M36" si="40">IF(BA15=0,0,(CV15+CU15)/BA15)</f>
        <v>0.49740998886460175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'[1]ноябрь 20'!S14</f>
        <v>307.267</v>
      </c>
      <c r="S15" s="108">
        <f t="shared" ref="S15:S36" si="41">IF(R15=0,0,(1-(V15/R15))*100)</f>
        <v>3.5171365620128237</v>
      </c>
      <c r="T15" s="109">
        <f t="shared" ref="T15:T36" si="42">R15*((100-S15)/100)</f>
        <v>296.46000000000004</v>
      </c>
      <c r="U15" s="106">
        <v>51.97</v>
      </c>
      <c r="V15" s="109">
        <f t="shared" ref="V15:V36" si="43">CJ15+CK15+CM15+CL15</f>
        <v>296.46000000000004</v>
      </c>
      <c r="W15" s="110">
        <f t="shared" ref="W15:W36" si="44">IF(BA15=0,0,T15/BA15)</f>
        <v>1.2226667216562874</v>
      </c>
      <c r="X15" s="110">
        <f t="shared" si="26"/>
        <v>1.2226667216562874</v>
      </c>
      <c r="Y15" s="136">
        <v>242.47</v>
      </c>
      <c r="Z15" s="130">
        <v>195.64</v>
      </c>
      <c r="AA15" s="131">
        <v>0.92</v>
      </c>
      <c r="AB15" s="112">
        <v>663</v>
      </c>
      <c r="AC15" s="133">
        <v>1235</v>
      </c>
      <c r="AD15" s="144" t="s">
        <v>478</v>
      </c>
      <c r="AE15" s="131">
        <v>75.760000000000005</v>
      </c>
      <c r="AF15" s="133">
        <v>161</v>
      </c>
      <c r="AG15" s="134">
        <v>5</v>
      </c>
      <c r="AH15" s="131">
        <v>8.9</v>
      </c>
      <c r="AI15" s="115">
        <f t="shared" si="10"/>
        <v>36.705571823318344</v>
      </c>
      <c r="AJ15" s="131">
        <v>138.69999999999999</v>
      </c>
      <c r="AK15" s="115">
        <f t="shared" ref="AK15:AK36" si="45">IF(BA15=0,0,AJ15/BA15*1000)</f>
        <v>572.02952942632066</v>
      </c>
      <c r="AL15" s="131">
        <v>34.61</v>
      </c>
      <c r="AM15" s="116"/>
      <c r="AN15" s="135">
        <v>15.32</v>
      </c>
      <c r="AO15" s="466">
        <v>55.04</v>
      </c>
      <c r="AP15" s="110">
        <f t="shared" ref="AP15:AP36" si="46">IF(AO15=0,0,AO15/AV15)</f>
        <v>0.17792144819783415</v>
      </c>
      <c r="AQ15" s="137" t="s">
        <v>475</v>
      </c>
      <c r="AR15" s="150">
        <v>7.66</v>
      </c>
      <c r="AS15" s="138">
        <v>9.5500000000000007</v>
      </c>
      <c r="AT15" s="131"/>
      <c r="AU15" s="131">
        <v>6.96</v>
      </c>
      <c r="AV15" s="315">
        <v>309.35000000000002</v>
      </c>
      <c r="AW15" s="131">
        <v>3.48</v>
      </c>
      <c r="AX15" s="116"/>
      <c r="AY15" s="131"/>
      <c r="AZ15" s="109"/>
      <c r="BA15" s="109">
        <f t="shared" ref="BA15:BA36" si="47">AV15-AO15-AN15+AY15+AW15</f>
        <v>242.47000000000003</v>
      </c>
      <c r="BB15" s="115">
        <f t="shared" ref="BB15:BB17" si="48">IF(AE15=0,0,((D15*0.97)*(E15/100)*0.9)/(AE15/100))</f>
        <v>215.89944497640633</v>
      </c>
      <c r="BC15" s="140">
        <f t="shared" ref="BC15:BC36" si="49">(AJ15*AU15)/100*(55/71)</f>
        <v>7.4780788732394354</v>
      </c>
      <c r="BD15" s="141">
        <f t="shared" ref="BD15:BD23" si="50">BA15*$BD$6</f>
        <v>9.6988000000000021</v>
      </c>
      <c r="BE15" s="128">
        <f t="shared" ref="BE15:BE36" si="51">IF((D15*E15)=0,0,(BA15*AE15)/(D15*E15))</f>
        <v>0.98043934306145264</v>
      </c>
      <c r="BF15" s="141">
        <f t="shared" ref="BF15:BF36" si="52">BC15+BD15</f>
        <v>17.176878873239438</v>
      </c>
      <c r="BG15" s="535">
        <v>0.89100000000000001</v>
      </c>
      <c r="BH15" s="16">
        <f t="shared" ref="BH15:BH36" si="53">BH14+BA15</f>
        <v>2068.6499999999996</v>
      </c>
      <c r="BI15" s="16">
        <f t="shared" ref="BI15:BI36" si="54">IF(A15&lt;=$BG$43,$AV$43,0)</f>
        <v>222.33333333333334</v>
      </c>
      <c r="BJ15" s="16">
        <f t="shared" ref="BJ15:BJ36" si="55">BI15+BJ14</f>
        <v>2000.9999999999998</v>
      </c>
      <c r="BK15" s="17">
        <f t="shared" ref="BK15:BK30" si="56">IF(BA15&lt;&gt;0,1,0)</f>
        <v>1</v>
      </c>
      <c r="BL15" s="16">
        <f t="shared" ref="BL15:BL36" si="57">BL14+BI15*BK15</f>
        <v>2000.9999999999998</v>
      </c>
      <c r="BM15" s="249"/>
      <c r="BN15" s="195">
        <v>23.981999999999999</v>
      </c>
      <c r="BO15" s="195">
        <v>96.625</v>
      </c>
      <c r="BP15" s="197">
        <v>362.214</v>
      </c>
      <c r="BQ15" s="230"/>
      <c r="BR15" s="195"/>
      <c r="BS15" s="329"/>
      <c r="BT15" s="199"/>
      <c r="BU15" s="200"/>
      <c r="BV15" s="200"/>
      <c r="BW15" s="200"/>
      <c r="BX15" s="200">
        <v>0.67</v>
      </c>
      <c r="BY15" s="208"/>
      <c r="BZ15" s="208"/>
      <c r="CA15" s="330"/>
      <c r="CB15" s="202"/>
      <c r="CC15" s="200">
        <v>43.24</v>
      </c>
      <c r="CD15" s="200">
        <v>43.09</v>
      </c>
      <c r="CE15" s="200">
        <v>37.630000000000003</v>
      </c>
      <c r="CF15" s="200"/>
      <c r="CG15" s="200"/>
      <c r="CH15" s="200"/>
      <c r="CI15" s="203"/>
      <c r="CJ15" s="204"/>
      <c r="CK15" s="230"/>
      <c r="CL15" s="266">
        <v>113.4</v>
      </c>
      <c r="CM15" s="265">
        <v>183.06</v>
      </c>
      <c r="CN15" s="202"/>
      <c r="CO15" s="208"/>
      <c r="CP15" s="208"/>
      <c r="CQ15" s="201"/>
      <c r="CR15" s="201"/>
      <c r="CS15" s="284"/>
      <c r="CT15" s="286">
        <f t="shared" si="20"/>
        <v>0</v>
      </c>
      <c r="CU15" s="29">
        <f t="shared" si="20"/>
        <v>23.981999999999999</v>
      </c>
      <c r="CV15" s="30">
        <f t="shared" si="20"/>
        <v>96.625</v>
      </c>
      <c r="CW15" s="29">
        <f t="shared" si="20"/>
        <v>359.7871662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113.4</v>
      </c>
      <c r="DD15" s="280">
        <f t="shared" si="21"/>
        <v>183.06</v>
      </c>
      <c r="DE15" s="508">
        <f t="shared" si="31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2"/>
        <v>0</v>
      </c>
    </row>
    <row r="16" spans="1:117" ht="16.5" customHeight="1" thickBot="1">
      <c r="A16" s="534">
        <v>10</v>
      </c>
      <c r="B16" s="103">
        <f>'[1]ноябрь 20'!K15</f>
        <v>528.02300000000002</v>
      </c>
      <c r="C16" s="104">
        <f t="shared" si="35"/>
        <v>0.56999100417974213</v>
      </c>
      <c r="D16" s="448">
        <f t="shared" si="36"/>
        <v>525.01331640000001</v>
      </c>
      <c r="E16" s="104">
        <f t="shared" si="37"/>
        <v>39.905059893224355</v>
      </c>
      <c r="F16" s="128">
        <f t="shared" si="38"/>
        <v>1.9926872752115989</v>
      </c>
      <c r="G16" s="106"/>
      <c r="H16" s="107">
        <f t="shared" si="39"/>
        <v>1.4916359221163698</v>
      </c>
      <c r="I16" s="103">
        <f>'[1]сентябрь 20'!AE15</f>
        <v>0</v>
      </c>
      <c r="J16" s="103">
        <f>'[1]ноябрь 20'!AA15</f>
        <v>13.186</v>
      </c>
      <c r="K16" s="106"/>
      <c r="L16" s="103">
        <f>'[1]ноябрь 20'!AI15</f>
        <v>132.012</v>
      </c>
      <c r="M16" s="103">
        <f t="shared" si="40"/>
        <v>0.50105135309522897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'[1]ноябрь 20'!S15</f>
        <v>334.25099999999998</v>
      </c>
      <c r="S16" s="108">
        <f t="shared" si="41"/>
        <v>3.4557862205348622</v>
      </c>
      <c r="T16" s="109">
        <f t="shared" si="42"/>
        <v>322.7</v>
      </c>
      <c r="U16" s="566">
        <v>55.12</v>
      </c>
      <c r="V16" s="109">
        <f t="shared" si="43"/>
        <v>322.7</v>
      </c>
      <c r="W16" s="110">
        <f t="shared" si="44"/>
        <v>1.2248073784491591</v>
      </c>
      <c r="X16" s="110">
        <f t="shared" si="26"/>
        <v>1.2248073784491591</v>
      </c>
      <c r="Y16" s="136">
        <v>200.5</v>
      </c>
      <c r="Z16" s="130">
        <v>200.5</v>
      </c>
      <c r="AA16" s="131">
        <v>0.85</v>
      </c>
      <c r="AB16" s="112">
        <v>617</v>
      </c>
      <c r="AC16" s="133">
        <v>1233</v>
      </c>
      <c r="AD16" s="144" t="s">
        <v>478</v>
      </c>
      <c r="AE16" s="131">
        <v>75.41</v>
      </c>
      <c r="AF16" s="133">
        <v>176</v>
      </c>
      <c r="AG16" s="134">
        <v>5</v>
      </c>
      <c r="AH16" s="131">
        <v>6.15</v>
      </c>
      <c r="AI16" s="115">
        <f t="shared" si="10"/>
        <v>23.342316013208336</v>
      </c>
      <c r="AJ16" s="131">
        <v>145.69999999999999</v>
      </c>
      <c r="AK16" s="115">
        <f t="shared" si="45"/>
        <v>553.00413709340717</v>
      </c>
      <c r="AL16" s="139">
        <v>40.76</v>
      </c>
      <c r="AM16" s="131"/>
      <c r="AN16" s="136">
        <v>17.89</v>
      </c>
      <c r="AO16" s="466">
        <v>54.57</v>
      </c>
      <c r="AP16" s="110">
        <f t="shared" si="46"/>
        <v>0.16424379232505643</v>
      </c>
      <c r="AQ16" s="137" t="s">
        <v>474</v>
      </c>
      <c r="AR16" s="150">
        <v>7.21</v>
      </c>
      <c r="AS16" s="138">
        <v>9.15</v>
      </c>
      <c r="AT16" s="131"/>
      <c r="AU16" s="131">
        <v>7.84</v>
      </c>
      <c r="AV16" s="315">
        <v>332.25</v>
      </c>
      <c r="AW16" s="131">
        <v>3.68</v>
      </c>
      <c r="AX16" s="116"/>
      <c r="AY16" s="131"/>
      <c r="AZ16" s="109"/>
      <c r="BA16" s="109">
        <f t="shared" si="47"/>
        <v>263.47000000000003</v>
      </c>
      <c r="BB16" s="115">
        <f t="shared" si="48"/>
        <v>242.54012041573651</v>
      </c>
      <c r="BC16" s="140">
        <f t="shared" si="49"/>
        <v>8.848709859154928</v>
      </c>
      <c r="BD16" s="141">
        <f t="shared" si="50"/>
        <v>10.538800000000002</v>
      </c>
      <c r="BE16" s="128">
        <f t="shared" si="51"/>
        <v>0.9483351026862793</v>
      </c>
      <c r="BF16" s="141">
        <f t="shared" si="52"/>
        <v>19.387509859154932</v>
      </c>
      <c r="BG16" s="535">
        <v>0.89700000000000002</v>
      </c>
      <c r="BH16" s="16">
        <f t="shared" si="53"/>
        <v>2332.12</v>
      </c>
      <c r="BI16" s="16">
        <f t="shared" si="54"/>
        <v>222.33333333333334</v>
      </c>
      <c r="BJ16" s="16">
        <f t="shared" si="55"/>
        <v>2223.333333333333</v>
      </c>
      <c r="BK16" s="17">
        <f t="shared" si="56"/>
        <v>1</v>
      </c>
      <c r="BL16" s="16">
        <f t="shared" si="57"/>
        <v>2223.333333333333</v>
      </c>
      <c r="BM16" s="249"/>
      <c r="BN16" s="195">
        <v>26.344000000000001</v>
      </c>
      <c r="BO16" s="230">
        <v>105.66800000000001</v>
      </c>
      <c r="BP16" s="197">
        <v>396.01100000000002</v>
      </c>
      <c r="BQ16" s="230"/>
      <c r="BR16" s="230"/>
      <c r="BS16" s="250"/>
      <c r="BT16" s="199"/>
      <c r="BU16" s="200"/>
      <c r="BV16" s="200"/>
      <c r="BW16" s="200"/>
      <c r="BX16" s="200">
        <v>0.76</v>
      </c>
      <c r="BY16" s="208"/>
      <c r="BZ16" s="208"/>
      <c r="CA16" s="201"/>
      <c r="CB16" s="202"/>
      <c r="CC16" s="200">
        <v>43.7</v>
      </c>
      <c r="CD16" s="200">
        <v>43.7</v>
      </c>
      <c r="CE16" s="200">
        <v>38.64</v>
      </c>
      <c r="CF16" s="200"/>
      <c r="CG16" s="200"/>
      <c r="CH16" s="200"/>
      <c r="CI16" s="203"/>
      <c r="CJ16" s="204"/>
      <c r="CK16" s="230"/>
      <c r="CL16" s="266">
        <v>123.2</v>
      </c>
      <c r="CM16" s="265">
        <v>199.5</v>
      </c>
      <c r="CN16" s="202"/>
      <c r="CO16" s="208"/>
      <c r="CP16" s="208"/>
      <c r="CQ16" s="201"/>
      <c r="CR16" s="201"/>
      <c r="CS16" s="284"/>
      <c r="CT16" s="286">
        <f t="shared" si="20"/>
        <v>0</v>
      </c>
      <c r="CU16" s="24">
        <f t="shared" si="20"/>
        <v>26.344000000000001</v>
      </c>
      <c r="CV16" s="25">
        <f t="shared" si="20"/>
        <v>105.66800000000001</v>
      </c>
      <c r="CW16" s="24">
        <f t="shared" si="20"/>
        <v>393.00131640000001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123.2</v>
      </c>
      <c r="DD16" s="280">
        <f t="shared" si="21"/>
        <v>199.5</v>
      </c>
      <c r="DE16" s="508">
        <f t="shared" si="31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2"/>
        <v>0</v>
      </c>
    </row>
    <row r="17" spans="1:115" ht="16.5" customHeight="1" thickBot="1">
      <c r="A17" s="534">
        <v>11</v>
      </c>
      <c r="B17" s="103">
        <f>'[1]ноябрь 20'!K16</f>
        <v>141.13200000000001</v>
      </c>
      <c r="C17" s="104">
        <f t="shared" si="35"/>
        <v>0.90665122013434229</v>
      </c>
      <c r="D17" s="448">
        <f t="shared" si="36"/>
        <v>139.85242500000001</v>
      </c>
      <c r="E17" s="104">
        <f t="shared" si="37"/>
        <v>38.539119122523594</v>
      </c>
      <c r="F17" s="128">
        <f t="shared" si="38"/>
        <v>1.2490169241761186</v>
      </c>
      <c r="G17" s="106"/>
      <c r="H17" s="107">
        <f t="shared" si="39"/>
        <v>0.93302156827721716</v>
      </c>
      <c r="I17" s="103">
        <f>'[1]сентябрь 20'!AE16</f>
        <v>0</v>
      </c>
      <c r="J17" s="103">
        <f>'[1]ноябрь 20'!AA16</f>
        <v>3.839</v>
      </c>
      <c r="K17" s="106">
        <v>19.68</v>
      </c>
      <c r="L17" s="103">
        <f>'[1]ноябрь 20'!AI16</f>
        <v>35.381999999999998</v>
      </c>
      <c r="M17" s="103">
        <f t="shared" si="40"/>
        <v>0.31599535589890149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'[1]ноябрь 20'!S16</f>
        <v>96.238</v>
      </c>
      <c r="S17" s="108">
        <f t="shared" si="41"/>
        <v>3.2710571707641467</v>
      </c>
      <c r="T17" s="109">
        <f t="shared" si="42"/>
        <v>93.09</v>
      </c>
      <c r="U17" s="106">
        <v>2.2000000000000002</v>
      </c>
      <c r="V17" s="109">
        <f t="shared" si="43"/>
        <v>93.09</v>
      </c>
      <c r="W17" s="110">
        <f t="shared" si="44"/>
        <v>0.83138340626953655</v>
      </c>
      <c r="X17" s="110">
        <f t="shared" si="26"/>
        <v>0.83138340626953655</v>
      </c>
      <c r="Y17" s="136">
        <v>89.5</v>
      </c>
      <c r="Z17" s="130">
        <v>89.5</v>
      </c>
      <c r="AA17" s="131">
        <v>0.6</v>
      </c>
      <c r="AB17" s="112">
        <v>620</v>
      </c>
      <c r="AC17" s="133">
        <v>1233</v>
      </c>
      <c r="AD17" s="144" t="s">
        <v>163</v>
      </c>
      <c r="AE17" s="131">
        <v>75.64</v>
      </c>
      <c r="AF17" s="133">
        <v>49</v>
      </c>
      <c r="AG17" s="134">
        <v>2</v>
      </c>
      <c r="AH17" s="131">
        <v>9.5</v>
      </c>
      <c r="AI17" s="115">
        <f t="shared" si="10"/>
        <v>84.84415468429043</v>
      </c>
      <c r="AJ17" s="131">
        <v>63.95</v>
      </c>
      <c r="AK17" s="115">
        <f t="shared" si="45"/>
        <v>571.13512548003928</v>
      </c>
      <c r="AL17" s="139">
        <v>12.41</v>
      </c>
      <c r="AM17" s="131"/>
      <c r="AN17" s="136">
        <v>9.3800000000000008</v>
      </c>
      <c r="AO17" s="466"/>
      <c r="AP17" s="110">
        <f t="shared" si="46"/>
        <v>0</v>
      </c>
      <c r="AQ17" s="137" t="s">
        <v>449</v>
      </c>
      <c r="AR17" s="150">
        <v>6.89</v>
      </c>
      <c r="AS17" s="138">
        <v>9.07</v>
      </c>
      <c r="AT17" s="131"/>
      <c r="AU17" s="131">
        <v>8.08</v>
      </c>
      <c r="AV17" s="315">
        <v>118.25</v>
      </c>
      <c r="AW17" s="131">
        <v>3.1</v>
      </c>
      <c r="AX17" s="116"/>
      <c r="AY17" s="131"/>
      <c r="AZ17" s="109"/>
      <c r="BA17" s="109">
        <f t="shared" si="47"/>
        <v>111.97</v>
      </c>
      <c r="BB17" s="115">
        <f t="shared" si="48"/>
        <v>62.206319801485996</v>
      </c>
      <c r="BC17" s="140">
        <f t="shared" si="49"/>
        <v>4.0027295774647884</v>
      </c>
      <c r="BD17" s="141">
        <f t="shared" si="50"/>
        <v>4.4787999999999997</v>
      </c>
      <c r="BE17" s="128">
        <f t="shared" si="51"/>
        <v>1.5713806943079272</v>
      </c>
      <c r="BF17" s="141">
        <f t="shared" si="52"/>
        <v>8.4815295774647872</v>
      </c>
      <c r="BG17" s="535">
        <v>0.91500000000000004</v>
      </c>
      <c r="BH17" s="16">
        <f t="shared" si="53"/>
        <v>2444.0899999999997</v>
      </c>
      <c r="BI17" s="16">
        <f t="shared" si="54"/>
        <v>222.33333333333334</v>
      </c>
      <c r="BJ17" s="16">
        <f t="shared" si="55"/>
        <v>2445.6666666666665</v>
      </c>
      <c r="BK17" s="17">
        <f t="shared" si="56"/>
        <v>1</v>
      </c>
      <c r="BL17" s="16">
        <f t="shared" si="57"/>
        <v>2445.6666666666665</v>
      </c>
      <c r="BM17" s="249"/>
      <c r="BN17" s="195">
        <v>7.19</v>
      </c>
      <c r="BO17" s="195">
        <v>28.192</v>
      </c>
      <c r="BP17" s="197">
        <v>105.75</v>
      </c>
      <c r="BQ17" s="230"/>
      <c r="BR17" s="230"/>
      <c r="BS17" s="250"/>
      <c r="BT17" s="199"/>
      <c r="BU17" s="200"/>
      <c r="BV17" s="200"/>
      <c r="BW17" s="200"/>
      <c r="BX17" s="200">
        <v>1.21</v>
      </c>
      <c r="BY17" s="208"/>
      <c r="BZ17" s="208"/>
      <c r="CA17" s="201"/>
      <c r="CB17" s="202"/>
      <c r="CC17" s="200">
        <v>42.93</v>
      </c>
      <c r="CD17" s="200">
        <v>42.78</v>
      </c>
      <c r="CE17" s="200">
        <v>37.11</v>
      </c>
      <c r="CF17" s="208"/>
      <c r="CG17" s="208"/>
      <c r="CH17" s="201"/>
      <c r="CI17" s="199"/>
      <c r="CJ17" s="197"/>
      <c r="CK17" s="244"/>
      <c r="CL17" s="266">
        <v>38.9</v>
      </c>
      <c r="CM17" s="265">
        <v>54.19</v>
      </c>
      <c r="CN17" s="231"/>
      <c r="CO17" s="208"/>
      <c r="CP17" s="208"/>
      <c r="CQ17" s="201"/>
      <c r="CR17" s="201"/>
      <c r="CS17" s="284"/>
      <c r="CT17" s="286">
        <f t="shared" si="20"/>
        <v>0</v>
      </c>
      <c r="CU17" s="24">
        <f t="shared" si="20"/>
        <v>7.19</v>
      </c>
      <c r="CV17" s="25">
        <f t="shared" si="20"/>
        <v>28.192</v>
      </c>
      <c r="CW17" s="24">
        <f t="shared" si="20"/>
        <v>104.47042500000001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38.9</v>
      </c>
      <c r="DD17" s="280">
        <f t="shared" si="21"/>
        <v>54.19</v>
      </c>
      <c r="DE17" s="508">
        <f t="shared" si="31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2"/>
        <v>0</v>
      </c>
    </row>
    <row r="18" spans="1:115" ht="16.5" customHeight="1" thickBot="1">
      <c r="A18" s="534">
        <v>12</v>
      </c>
      <c r="B18" s="103">
        <f>'[1]ноябрь 20'!K17</f>
        <v>414.77499999999998</v>
      </c>
      <c r="C18" s="104">
        <f t="shared" si="35"/>
        <v>1.243414140196492</v>
      </c>
      <c r="D18" s="143">
        <f t="shared" si="36"/>
        <v>409.61762899999997</v>
      </c>
      <c r="E18" s="104">
        <f t="shared" si="37"/>
        <v>38.879093580857088</v>
      </c>
      <c r="F18" s="128">
        <f t="shared" si="38"/>
        <v>2.990564568883697</v>
      </c>
      <c r="G18" s="106"/>
      <c r="H18" s="107">
        <f t="shared" si="39"/>
        <v>2.2306171351390813</v>
      </c>
      <c r="I18" s="103">
        <f>'[1]сентябрь 20'!AE17</f>
        <v>0</v>
      </c>
      <c r="J18" s="103">
        <f>'[1]ноябрь 20'!AA17</f>
        <v>11.170999999999999</v>
      </c>
      <c r="K18" s="106"/>
      <c r="L18" s="103">
        <f>'[1]ноябрь 20'!AI17</f>
        <v>104.09</v>
      </c>
      <c r="M18" s="103">
        <f t="shared" si="40"/>
        <v>0.7599474337446156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'[1]ноябрь 20'!S17</f>
        <v>270.24299999999999</v>
      </c>
      <c r="S18" s="108">
        <f t="shared" si="41"/>
        <v>3.057618513708027</v>
      </c>
      <c r="T18" s="109">
        <f t="shared" si="42"/>
        <v>261.98</v>
      </c>
      <c r="U18" s="106">
        <v>15.49</v>
      </c>
      <c r="V18" s="109">
        <f t="shared" si="43"/>
        <v>261.98</v>
      </c>
      <c r="W18" s="110">
        <f t="shared" si="44"/>
        <v>1.9126816091114844</v>
      </c>
      <c r="X18" s="110">
        <f t="shared" si="26"/>
        <v>1.9126816091114844</v>
      </c>
      <c r="Y18" s="136">
        <v>136.97</v>
      </c>
      <c r="Z18" s="130">
        <v>54.71</v>
      </c>
      <c r="AA18" s="131">
        <v>0.95</v>
      </c>
      <c r="AB18" s="112">
        <v>599</v>
      </c>
      <c r="AC18" s="133">
        <v>1152</v>
      </c>
      <c r="AD18" s="144" t="s">
        <v>144</v>
      </c>
      <c r="AE18" s="131">
        <v>75.489999999999995</v>
      </c>
      <c r="AF18" s="133">
        <v>140</v>
      </c>
      <c r="AG18" s="134">
        <v>4</v>
      </c>
      <c r="AH18" s="131">
        <v>9.1</v>
      </c>
      <c r="AI18" s="115">
        <f t="shared" si="10"/>
        <v>66.437906110827186</v>
      </c>
      <c r="AJ18" s="131">
        <v>86.05</v>
      </c>
      <c r="AK18" s="115">
        <f t="shared" si="45"/>
        <v>628.23976053150318</v>
      </c>
      <c r="AL18" s="139">
        <v>24.86</v>
      </c>
      <c r="AM18" s="131"/>
      <c r="AN18" s="136">
        <v>7.43</v>
      </c>
      <c r="AO18" s="466">
        <v>63.44</v>
      </c>
      <c r="AP18" s="110">
        <f t="shared" si="46"/>
        <v>0.31128557409224727</v>
      </c>
      <c r="AQ18" s="137" t="s">
        <v>442</v>
      </c>
      <c r="AR18" s="150">
        <v>7.57</v>
      </c>
      <c r="AS18" s="138">
        <v>8.75</v>
      </c>
      <c r="AT18" s="131"/>
      <c r="AU18" s="131">
        <v>8.6999999999999993</v>
      </c>
      <c r="AV18" s="315">
        <v>203.8</v>
      </c>
      <c r="AW18" s="131">
        <v>4.04</v>
      </c>
      <c r="AX18" s="116"/>
      <c r="AY18" s="131"/>
      <c r="AZ18" s="109">
        <f t="shared" ref="AZ18:AZ36" si="58">IF(BA18=0,0,AY18/BA18*100)</f>
        <v>0</v>
      </c>
      <c r="BA18" s="109">
        <f t="shared" si="47"/>
        <v>136.97</v>
      </c>
      <c r="BB18" s="115">
        <f>IF(AE18=0,0,((D18*0.97)*(E18/100)*0.9)/(AE18/100))</f>
        <v>184.17029725416359</v>
      </c>
      <c r="BC18" s="140">
        <f t="shared" si="49"/>
        <v>5.7992852112676045</v>
      </c>
      <c r="BD18" s="141">
        <f t="shared" si="50"/>
        <v>5.4787999999999997</v>
      </c>
      <c r="BE18" s="128">
        <f t="shared" si="51"/>
        <v>0.64926218713206085</v>
      </c>
      <c r="BF18" s="141">
        <f t="shared" si="52"/>
        <v>11.278085211267605</v>
      </c>
      <c r="BG18" s="535">
        <v>0.89500000000000002</v>
      </c>
      <c r="BH18" s="16">
        <f t="shared" si="53"/>
        <v>2581.0599999999995</v>
      </c>
      <c r="BI18" s="16">
        <f t="shared" si="54"/>
        <v>222.33333333333334</v>
      </c>
      <c r="BJ18" s="16">
        <f t="shared" si="55"/>
        <v>2668</v>
      </c>
      <c r="BK18" s="17">
        <f t="shared" si="56"/>
        <v>1</v>
      </c>
      <c r="BL18" s="16">
        <f t="shared" si="57"/>
        <v>2668</v>
      </c>
      <c r="BM18" s="249"/>
      <c r="BN18" s="195">
        <v>21.167000000000002</v>
      </c>
      <c r="BO18" s="195">
        <v>82.923000000000002</v>
      </c>
      <c r="BP18" s="197">
        <v>310.685</v>
      </c>
      <c r="BQ18" s="230"/>
      <c r="BR18" s="230"/>
      <c r="BS18" s="250"/>
      <c r="BT18" s="199"/>
      <c r="BU18" s="200"/>
      <c r="BV18" s="200"/>
      <c r="BW18" s="200"/>
      <c r="BX18" s="200">
        <v>1.66</v>
      </c>
      <c r="BY18" s="208"/>
      <c r="BZ18" s="208"/>
      <c r="CA18" s="201"/>
      <c r="CB18" s="202"/>
      <c r="CC18" s="200">
        <v>43.17</v>
      </c>
      <c r="CD18" s="200">
        <v>43.85</v>
      </c>
      <c r="CE18" s="200">
        <v>37.26</v>
      </c>
      <c r="CF18" s="208"/>
      <c r="CG18" s="208"/>
      <c r="CH18" s="209"/>
      <c r="CI18" s="199"/>
      <c r="CJ18" s="197"/>
      <c r="CK18" s="268"/>
      <c r="CL18" s="289">
        <v>99.65</v>
      </c>
      <c r="CM18" s="267">
        <v>162.33000000000001</v>
      </c>
      <c r="CN18" s="202"/>
      <c r="CO18" s="208"/>
      <c r="CP18" s="208"/>
      <c r="CQ18" s="201"/>
      <c r="CR18" s="201"/>
      <c r="CS18" s="284"/>
      <c r="CT18" s="286">
        <f t="shared" si="20"/>
        <v>0</v>
      </c>
      <c r="CU18" s="24">
        <f t="shared" si="20"/>
        <v>21.167000000000002</v>
      </c>
      <c r="CV18" s="25">
        <f t="shared" si="20"/>
        <v>82.923000000000002</v>
      </c>
      <c r="CW18" s="24">
        <f t="shared" si="20"/>
        <v>305.52762899999999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99.65</v>
      </c>
      <c r="DD18" s="280">
        <f t="shared" si="21"/>
        <v>162.33000000000001</v>
      </c>
      <c r="DE18" s="508">
        <f t="shared" si="31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2"/>
        <v>0</v>
      </c>
    </row>
    <row r="19" spans="1:115" ht="16.5" customHeight="1" thickBot="1">
      <c r="A19" s="534">
        <v>13</v>
      </c>
      <c r="B19" s="103">
        <f>'[1]ноябрь 20'!K18</f>
        <v>489.12099999999998</v>
      </c>
      <c r="C19" s="104">
        <f t="shared" si="35"/>
        <v>0.90782716342172998</v>
      </c>
      <c r="D19" s="143">
        <f t="shared" si="36"/>
        <v>484.6806267</v>
      </c>
      <c r="E19" s="104">
        <f>IF(B19=0,0,(BM19*CB19+BN19*CC19+BP19*CE19+BS19*CH19+BO19*CD19+BR19*CG19+BQ19*CF19)/B19)</f>
        <v>39.233567011025904</v>
      </c>
      <c r="F19" s="128">
        <f t="shared" si="38"/>
        <v>2.285905893977267</v>
      </c>
      <c r="G19" s="106"/>
      <c r="H19" s="107">
        <f t="shared" si="39"/>
        <v>1.7098176045842568</v>
      </c>
      <c r="I19" s="103">
        <f>'[1]сентябрь 20'!AE18</f>
        <v>0</v>
      </c>
      <c r="J19" s="103">
        <f>'[1]ноябрь 20'!AA18</f>
        <v>12.968999999999999</v>
      </c>
      <c r="K19" s="106"/>
      <c r="L19" s="103">
        <f>'[1]ноябрь 20'!AI18</f>
        <v>122.148</v>
      </c>
      <c r="M19" s="103">
        <f t="shared" si="40"/>
        <v>0.57608828939301038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'[1]ноябрь 20'!S18</f>
        <v>310.05799999999999</v>
      </c>
      <c r="S19" s="108">
        <f t="shared" si="41"/>
        <v>3.1149010830231805</v>
      </c>
      <c r="T19" s="109">
        <f t="shared" si="42"/>
        <v>300.39999999999998</v>
      </c>
      <c r="U19" s="106">
        <v>18.649999999999999</v>
      </c>
      <c r="V19" s="109">
        <f t="shared" si="43"/>
        <v>300.39999999999998</v>
      </c>
      <c r="W19" s="110">
        <f t="shared" si="44"/>
        <v>1.4167806442484552</v>
      </c>
      <c r="X19" s="110">
        <f t="shared" si="26"/>
        <v>1.4167806442484552</v>
      </c>
      <c r="Y19" s="136">
        <v>134.44</v>
      </c>
      <c r="Z19" s="130">
        <v>127.05</v>
      </c>
      <c r="AA19" s="131">
        <v>0.83</v>
      </c>
      <c r="AB19" s="112">
        <v>613</v>
      </c>
      <c r="AC19" s="133">
        <v>1213</v>
      </c>
      <c r="AD19" s="144" t="s">
        <v>184</v>
      </c>
      <c r="AE19" s="131">
        <v>75.45</v>
      </c>
      <c r="AF19" s="133">
        <v>163</v>
      </c>
      <c r="AG19" s="134">
        <v>5</v>
      </c>
      <c r="AH19" s="131">
        <v>7.75</v>
      </c>
      <c r="AI19" s="115">
        <f t="shared" si="10"/>
        <v>36.551431401216803</v>
      </c>
      <c r="AJ19" s="131">
        <v>133.69999999999999</v>
      </c>
      <c r="AK19" s="115">
        <f t="shared" si="45"/>
        <v>630.57114559260458</v>
      </c>
      <c r="AL19" s="139">
        <v>34.909999999999997</v>
      </c>
      <c r="AM19" s="131"/>
      <c r="AN19" s="136">
        <v>17.07</v>
      </c>
      <c r="AO19" s="466">
        <v>55.16</v>
      </c>
      <c r="AP19" s="110">
        <f t="shared" si="46"/>
        <v>0.19605473609383328</v>
      </c>
      <c r="AQ19" s="137" t="s">
        <v>364</v>
      </c>
      <c r="AR19" s="150">
        <v>7.52</v>
      </c>
      <c r="AS19" s="138">
        <v>9.68</v>
      </c>
      <c r="AT19" s="134"/>
      <c r="AU19" s="131">
        <v>7.75</v>
      </c>
      <c r="AV19" s="315">
        <v>281.35000000000002</v>
      </c>
      <c r="AW19" s="131">
        <v>2.91</v>
      </c>
      <c r="AX19" s="116"/>
      <c r="AY19" s="131"/>
      <c r="AZ19" s="109">
        <f t="shared" si="58"/>
        <v>0</v>
      </c>
      <c r="BA19" s="109">
        <f t="shared" si="47"/>
        <v>212.03000000000003</v>
      </c>
      <c r="BB19" s="115">
        <f t="shared" ref="BB19:BB36" si="59">IF(AE19=0,0,((D19*0.97)*(E19/100)*0.9)/(AE19/100))</f>
        <v>220.02318907971852</v>
      </c>
      <c r="BC19" s="140">
        <f t="shared" si="49"/>
        <v>8.0267077464788716</v>
      </c>
      <c r="BD19" s="141">
        <f t="shared" si="50"/>
        <v>8.4812000000000012</v>
      </c>
      <c r="BE19" s="128">
        <f t="shared" si="51"/>
        <v>0.84128491535014549</v>
      </c>
      <c r="BF19" s="141">
        <f t="shared" si="52"/>
        <v>16.507907746478871</v>
      </c>
      <c r="BG19" s="535">
        <v>0.89100000000000001</v>
      </c>
      <c r="BH19" s="16">
        <f t="shared" si="53"/>
        <v>2793.0899999999997</v>
      </c>
      <c r="BI19" s="16">
        <f t="shared" si="54"/>
        <v>222.33333333333334</v>
      </c>
      <c r="BJ19" s="16">
        <f t="shared" si="55"/>
        <v>2890.3333333333335</v>
      </c>
      <c r="BK19" s="17">
        <f t="shared" si="56"/>
        <v>1</v>
      </c>
      <c r="BL19" s="16">
        <f t="shared" si="57"/>
        <v>2890.3333333333335</v>
      </c>
      <c r="BM19" s="254"/>
      <c r="BN19" s="197">
        <v>24.359000000000002</v>
      </c>
      <c r="BO19" s="197">
        <v>97.789000000000001</v>
      </c>
      <c r="BP19" s="197">
        <v>366.97300000000001</v>
      </c>
      <c r="BQ19" s="230"/>
      <c r="BR19" s="230"/>
      <c r="BS19" s="258"/>
      <c r="BT19" s="199"/>
      <c r="BU19" s="200"/>
      <c r="BV19" s="200"/>
      <c r="BW19" s="200"/>
      <c r="BX19" s="200">
        <v>1.21</v>
      </c>
      <c r="BY19" s="208"/>
      <c r="BZ19" s="208"/>
      <c r="CA19" s="201"/>
      <c r="CB19" s="202"/>
      <c r="CC19" s="200">
        <v>43.09</v>
      </c>
      <c r="CD19" s="200">
        <v>43.39</v>
      </c>
      <c r="CE19" s="200">
        <v>37.869999999999997</v>
      </c>
      <c r="CF19" s="208"/>
      <c r="CG19" s="208"/>
      <c r="CH19" s="209"/>
      <c r="CI19" s="199"/>
      <c r="CJ19" s="197"/>
      <c r="CK19" s="197">
        <v>24.64</v>
      </c>
      <c r="CL19" s="197">
        <v>114.1</v>
      </c>
      <c r="CM19" s="198">
        <v>161.66</v>
      </c>
      <c r="CN19" s="202"/>
      <c r="CO19" s="208"/>
      <c r="CP19" s="208"/>
      <c r="CQ19" s="201"/>
      <c r="CR19" s="201"/>
      <c r="CS19" s="284"/>
      <c r="CT19" s="286">
        <f t="shared" si="20"/>
        <v>0</v>
      </c>
      <c r="CU19" s="24">
        <f t="shared" si="20"/>
        <v>24.359000000000002</v>
      </c>
      <c r="CV19" s="25">
        <f t="shared" si="20"/>
        <v>97.789000000000001</v>
      </c>
      <c r="CW19" s="24">
        <f t="shared" si="20"/>
        <v>362.53262670000004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24.64</v>
      </c>
      <c r="DC19" s="277">
        <f t="shared" si="21"/>
        <v>114.1</v>
      </c>
      <c r="DD19" s="280">
        <f t="shared" si="21"/>
        <v>161.66</v>
      </c>
      <c r="DE19" s="508">
        <f t="shared" si="31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2"/>
        <v>0</v>
      </c>
    </row>
    <row r="20" spans="1:115" ht="16.5" customHeight="1" thickBot="1">
      <c r="A20" s="534">
        <v>14</v>
      </c>
      <c r="B20" s="103">
        <f>'[1]ноябрь 20'!K19</f>
        <v>501.09100000000001</v>
      </c>
      <c r="C20" s="104">
        <f t="shared" si="35"/>
        <v>1.2973817530149214</v>
      </c>
      <c r="D20" s="143">
        <f t="shared" si="36"/>
        <v>494.58993680000003</v>
      </c>
      <c r="E20" s="104">
        <f t="shared" ref="E20:E21" si="60">IF(B20=0,0,(BM20*CB20+BN20*CC20+BP20*CE20+BS20*CH20+BO20*CD20+BR20*CG20+BQ20*CF20)/B20)</f>
        <v>39.250377296738513</v>
      </c>
      <c r="F20" s="128">
        <f t="shared" si="38"/>
        <v>2.0260945344311994</v>
      </c>
      <c r="G20" s="106"/>
      <c r="H20" s="107">
        <f t="shared" si="39"/>
        <v>1.5127726713366925</v>
      </c>
      <c r="I20" s="103">
        <f>'[1]сентябрь 20'!AE19</f>
        <v>0</v>
      </c>
      <c r="J20" s="103">
        <f>'[1]ноябрь 20'!AA19</f>
        <v>14.374000000000001</v>
      </c>
      <c r="K20" s="106">
        <v>32.450000000000003</v>
      </c>
      <c r="L20" s="103">
        <f>'[1]ноябрь 20'!AI19</f>
        <v>125.307</v>
      </c>
      <c r="M20" s="103">
        <f t="shared" si="40"/>
        <v>0.51332186309450667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'[1]ноябрь 20'!S19</f>
        <v>311.09199999999998</v>
      </c>
      <c r="S20" s="108">
        <f t="shared" si="41"/>
        <v>2.9129646535430043</v>
      </c>
      <c r="T20" s="109">
        <f t="shared" si="42"/>
        <v>302.02999999999997</v>
      </c>
      <c r="U20" s="106"/>
      <c r="V20" s="109">
        <f t="shared" si="43"/>
        <v>302.02999999999997</v>
      </c>
      <c r="W20" s="110">
        <f t="shared" si="44"/>
        <v>1.2372700831592316</v>
      </c>
      <c r="X20" s="110">
        <f t="shared" si="26"/>
        <v>1.2372700831592316</v>
      </c>
      <c r="Y20" s="136">
        <v>109.87</v>
      </c>
      <c r="Z20" s="130">
        <v>101.8</v>
      </c>
      <c r="AA20" s="131">
        <v>1.18</v>
      </c>
      <c r="AB20" s="112">
        <v>580</v>
      </c>
      <c r="AC20" s="133">
        <v>1225</v>
      </c>
      <c r="AD20" s="151" t="s">
        <v>252</v>
      </c>
      <c r="AE20" s="131">
        <v>74.739999999999995</v>
      </c>
      <c r="AF20" s="133">
        <v>167</v>
      </c>
      <c r="AG20" s="134">
        <v>5</v>
      </c>
      <c r="AH20" s="131">
        <v>9.25</v>
      </c>
      <c r="AI20" s="115">
        <f t="shared" si="10"/>
        <v>37.892753266969812</v>
      </c>
      <c r="AJ20" s="131">
        <v>117.45</v>
      </c>
      <c r="AK20" s="115">
        <f t="shared" si="45"/>
        <v>481.13555364384916</v>
      </c>
      <c r="AL20" s="139">
        <v>33.840000000000003</v>
      </c>
      <c r="AM20" s="131"/>
      <c r="AN20" s="136">
        <v>14.38</v>
      </c>
      <c r="AO20" s="466">
        <v>66.36</v>
      </c>
      <c r="AP20" s="110">
        <f t="shared" si="46"/>
        <v>0.20727783851319695</v>
      </c>
      <c r="AQ20" s="137" t="s">
        <v>362</v>
      </c>
      <c r="AR20" s="150">
        <v>7.82</v>
      </c>
      <c r="AS20" s="138">
        <v>9.4600000000000009</v>
      </c>
      <c r="AT20" s="131"/>
      <c r="AU20" s="131">
        <v>5.45</v>
      </c>
      <c r="AV20" s="315">
        <v>320.14999999999998</v>
      </c>
      <c r="AW20" s="131">
        <v>4.7</v>
      </c>
      <c r="AX20" s="148"/>
      <c r="AY20" s="131"/>
      <c r="AZ20" s="109">
        <f t="shared" si="58"/>
        <v>0</v>
      </c>
      <c r="BA20" s="109">
        <f t="shared" si="47"/>
        <v>244.10999999999996</v>
      </c>
      <c r="BB20" s="115">
        <f t="shared" si="59"/>
        <v>226.7515485683123</v>
      </c>
      <c r="BC20" s="140">
        <f t="shared" si="49"/>
        <v>4.9585404929577468</v>
      </c>
      <c r="BD20" s="141">
        <f t="shared" si="50"/>
        <v>9.7643999999999984</v>
      </c>
      <c r="BE20" s="128">
        <f t="shared" si="51"/>
        <v>0.93983053851470377</v>
      </c>
      <c r="BF20" s="141">
        <f t="shared" si="52"/>
        <v>14.722940492957745</v>
      </c>
      <c r="BG20" s="535">
        <v>0.89500000000000002</v>
      </c>
      <c r="BH20" s="16">
        <f t="shared" si="53"/>
        <v>3037.2</v>
      </c>
      <c r="BI20" s="16">
        <f t="shared" si="54"/>
        <v>222.33333333333334</v>
      </c>
      <c r="BJ20" s="16">
        <f t="shared" si="55"/>
        <v>3112.666666666667</v>
      </c>
      <c r="BK20" s="17">
        <f t="shared" si="56"/>
        <v>1</v>
      </c>
      <c r="BL20" s="16">
        <f t="shared" si="57"/>
        <v>3112.666666666667</v>
      </c>
      <c r="BM20" s="254"/>
      <c r="BN20" s="197">
        <v>20.597999999999999</v>
      </c>
      <c r="BO20" s="197">
        <v>104.709</v>
      </c>
      <c r="BP20" s="197">
        <v>375.78399999999999</v>
      </c>
      <c r="BQ20" s="230"/>
      <c r="BR20" s="230"/>
      <c r="BS20" s="259"/>
      <c r="BT20" s="199"/>
      <c r="BU20" s="200"/>
      <c r="BV20" s="200"/>
      <c r="BW20" s="200"/>
      <c r="BX20" s="200">
        <v>1.73</v>
      </c>
      <c r="BY20" s="208"/>
      <c r="BZ20" s="208"/>
      <c r="CA20" s="201"/>
      <c r="CB20" s="202"/>
      <c r="CC20" s="200">
        <v>43.39</v>
      </c>
      <c r="CD20" s="200">
        <v>43.39</v>
      </c>
      <c r="CE20" s="200">
        <v>37.869999999999997</v>
      </c>
      <c r="CF20" s="208"/>
      <c r="CG20" s="208"/>
      <c r="CH20" s="209"/>
      <c r="CI20" s="199"/>
      <c r="CJ20" s="197"/>
      <c r="CK20" s="197">
        <v>185.13</v>
      </c>
      <c r="CL20" s="197">
        <v>116.9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0</v>
      </c>
      <c r="CU20" s="24">
        <f t="shared" si="20"/>
        <v>20.597999999999999</v>
      </c>
      <c r="CV20" s="25">
        <f t="shared" si="20"/>
        <v>104.709</v>
      </c>
      <c r="CW20" s="24">
        <f t="shared" si="20"/>
        <v>369.28293679999996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185.13</v>
      </c>
      <c r="DC20" s="277">
        <f t="shared" si="21"/>
        <v>116.9</v>
      </c>
      <c r="DD20" s="280">
        <f t="shared" si="21"/>
        <v>0</v>
      </c>
      <c r="DE20" s="508">
        <f t="shared" si="31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2"/>
        <v>0</v>
      </c>
    </row>
    <row r="21" spans="1:115" ht="16.5" customHeight="1" thickBot="1">
      <c r="A21" s="534">
        <v>15</v>
      </c>
      <c r="B21" s="103">
        <f>'[1]ноябрь 20'!K20</f>
        <v>471.11900000000003</v>
      </c>
      <c r="C21" s="104">
        <f t="shared" si="35"/>
        <v>1.5080706360813296</v>
      </c>
      <c r="D21" s="143">
        <f t="shared" si="36"/>
        <v>464.01419270000002</v>
      </c>
      <c r="E21" s="104">
        <f t="shared" si="60"/>
        <v>38.996157191707404</v>
      </c>
      <c r="F21" s="128">
        <f t="shared" si="38"/>
        <v>1.9461233598959868</v>
      </c>
      <c r="G21" s="106"/>
      <c r="H21" s="107">
        <f t="shared" si="39"/>
        <v>1.4527039076458503</v>
      </c>
      <c r="I21" s="103">
        <f>'[1]сентябрь 20'!AE20</f>
        <v>0</v>
      </c>
      <c r="J21" s="103">
        <f>'[1]ноябрь 20'!AA20</f>
        <v>15.090999999999999</v>
      </c>
      <c r="K21" s="106">
        <v>33.99</v>
      </c>
      <c r="L21" s="103">
        <f>'[1]ноябрь 20'!AI20</f>
        <v>117.646</v>
      </c>
      <c r="M21" s="103">
        <f t="shared" si="40"/>
        <v>0.49341945225013639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'[1]ноябрь 20'!S20</f>
        <v>289.62700000000001</v>
      </c>
      <c r="S21" s="108">
        <f t="shared" si="41"/>
        <v>3.1754636135443159</v>
      </c>
      <c r="T21" s="109">
        <f t="shared" si="42"/>
        <v>280.43000000000006</v>
      </c>
      <c r="U21" s="106"/>
      <c r="V21" s="109">
        <f t="shared" si="43"/>
        <v>280.43</v>
      </c>
      <c r="W21" s="110">
        <f t="shared" si="44"/>
        <v>1.1761523298242675</v>
      </c>
      <c r="X21" s="110">
        <f t="shared" si="26"/>
        <v>1.1761523298242675</v>
      </c>
      <c r="Y21" s="136">
        <v>238.43</v>
      </c>
      <c r="Z21" s="130">
        <v>238.43</v>
      </c>
      <c r="AA21" s="131">
        <v>0.86</v>
      </c>
      <c r="AB21" s="112">
        <v>630</v>
      </c>
      <c r="AC21" s="133">
        <v>1224</v>
      </c>
      <c r="AD21" s="151" t="s">
        <v>149</v>
      </c>
      <c r="AE21" s="131">
        <v>75.91</v>
      </c>
      <c r="AF21" s="133">
        <v>157</v>
      </c>
      <c r="AG21" s="134">
        <v>5</v>
      </c>
      <c r="AH21" s="131">
        <v>8.8000000000000007</v>
      </c>
      <c r="AI21" s="115">
        <f t="shared" si="10"/>
        <v>36.908107201275023</v>
      </c>
      <c r="AJ21" s="131">
        <v>137.15</v>
      </c>
      <c r="AK21" s="115">
        <f t="shared" si="45"/>
        <v>575.22123893805326</v>
      </c>
      <c r="AL21" s="139">
        <v>35.96</v>
      </c>
      <c r="AM21" s="131"/>
      <c r="AN21" s="136">
        <v>15.83</v>
      </c>
      <c r="AO21" s="466">
        <v>58.86</v>
      </c>
      <c r="AP21" s="110">
        <f t="shared" si="46"/>
        <v>0.19116596297499189</v>
      </c>
      <c r="AQ21" s="137" t="s">
        <v>483</v>
      </c>
      <c r="AR21" s="150">
        <v>6.66</v>
      </c>
      <c r="AS21" s="138">
        <v>9.83</v>
      </c>
      <c r="AT21" s="131"/>
      <c r="AU21" s="131">
        <v>7.02</v>
      </c>
      <c r="AV21" s="315">
        <v>307.89999999999998</v>
      </c>
      <c r="AW21" s="131">
        <v>5.22</v>
      </c>
      <c r="AX21" s="116"/>
      <c r="AY21" s="131"/>
      <c r="AZ21" s="109">
        <f t="shared" si="58"/>
        <v>0</v>
      </c>
      <c r="BA21" s="109">
        <f t="shared" si="47"/>
        <v>238.42999999999995</v>
      </c>
      <c r="BB21" s="115">
        <f t="shared" si="59"/>
        <v>208.09820257150488</v>
      </c>
      <c r="BC21" s="140">
        <f t="shared" si="49"/>
        <v>7.4582556338028159</v>
      </c>
      <c r="BD21" s="141">
        <f t="shared" si="50"/>
        <v>9.5371999999999986</v>
      </c>
      <c r="BE21" s="128">
        <f t="shared" si="51"/>
        <v>1.0002459772735302</v>
      </c>
      <c r="BF21" s="141">
        <f t="shared" si="52"/>
        <v>16.995455633802813</v>
      </c>
      <c r="BG21" s="535">
        <v>0.90200000000000002</v>
      </c>
      <c r="BH21" s="16">
        <f t="shared" si="53"/>
        <v>3275.6299999999997</v>
      </c>
      <c r="BI21" s="16">
        <f t="shared" si="54"/>
        <v>222.33333333333334</v>
      </c>
      <c r="BJ21" s="16">
        <f t="shared" si="55"/>
        <v>3335.0000000000005</v>
      </c>
      <c r="BK21" s="17">
        <f t="shared" si="56"/>
        <v>1</v>
      </c>
      <c r="BL21" s="16">
        <f t="shared" si="57"/>
        <v>3335.0000000000005</v>
      </c>
      <c r="BM21" s="254"/>
      <c r="BN21" s="197">
        <v>15.603</v>
      </c>
      <c r="BO21" s="197">
        <v>102.04300000000001</v>
      </c>
      <c r="BP21" s="197">
        <v>353.47300000000001</v>
      </c>
      <c r="BQ21" s="230"/>
      <c r="BR21" s="230"/>
      <c r="BS21" s="259"/>
      <c r="BT21" s="199"/>
      <c r="BU21" s="200"/>
      <c r="BV21" s="200"/>
      <c r="BW21" s="200"/>
      <c r="BX21" s="200">
        <v>2.0099999999999998</v>
      </c>
      <c r="BY21" s="208"/>
      <c r="BZ21" s="208"/>
      <c r="CA21" s="201"/>
      <c r="CB21" s="202"/>
      <c r="CC21" s="200">
        <v>43.55</v>
      </c>
      <c r="CD21" s="200">
        <v>43.24</v>
      </c>
      <c r="CE21" s="200">
        <v>37.57</v>
      </c>
      <c r="CF21" s="208"/>
      <c r="CG21" s="208"/>
      <c r="CH21" s="209"/>
      <c r="CI21" s="199"/>
      <c r="CJ21" s="197"/>
      <c r="CK21" s="197">
        <v>171.13</v>
      </c>
      <c r="CL21" s="197">
        <v>109.3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0</v>
      </c>
      <c r="CU21" s="27">
        <f t="shared" si="20"/>
        <v>15.603</v>
      </c>
      <c r="CV21" s="28">
        <f t="shared" si="20"/>
        <v>102.04300000000001</v>
      </c>
      <c r="CW21" s="27">
        <f t="shared" si="20"/>
        <v>346.36819270000001</v>
      </c>
      <c r="CX21" s="27">
        <f t="shared" si="20"/>
        <v>0</v>
      </c>
      <c r="CY21" s="24">
        <f t="shared" si="20"/>
        <v>0</v>
      </c>
      <c r="CZ21" s="281">
        <f t="shared" si="20"/>
        <v>0</v>
      </c>
      <c r="DA21" s="237">
        <f t="shared" si="21"/>
        <v>0</v>
      </c>
      <c r="DB21" s="24">
        <f t="shared" si="21"/>
        <v>171.13</v>
      </c>
      <c r="DC21" s="277">
        <f t="shared" si="21"/>
        <v>109.3</v>
      </c>
      <c r="DD21" s="280">
        <f t="shared" si="21"/>
        <v>0</v>
      </c>
      <c r="DE21" s="508">
        <f t="shared" si="31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2"/>
        <v>0</v>
      </c>
    </row>
    <row r="22" spans="1:115" ht="16.5" customHeight="1" thickBot="1">
      <c r="A22" s="534">
        <v>16</v>
      </c>
      <c r="B22" s="103">
        <f>'[1]ноябрь 20'!K21</f>
        <v>534.16999999999996</v>
      </c>
      <c r="C22" s="104">
        <f t="shared" si="35"/>
        <v>0.94710953441788193</v>
      </c>
      <c r="D22" s="143">
        <f t="shared" si="36"/>
        <v>529.11082499999998</v>
      </c>
      <c r="E22" s="104">
        <f>IF(B22=0,0,(BM22*CB22+BN22*CC22+BP22*CE22+BS22*CH22+BO22*CD22+BR22*CG22+BQ22*CF22)/B22)</f>
        <v>38.989922964599288</v>
      </c>
      <c r="F22" s="128">
        <f t="shared" si="38"/>
        <v>2.2772146546158809</v>
      </c>
      <c r="G22" s="106"/>
      <c r="H22" s="107">
        <f t="shared" si="39"/>
        <v>1.7201412739401762</v>
      </c>
      <c r="I22" s="103">
        <f>'[1]сентябрь 20'!AE21</f>
        <v>0</v>
      </c>
      <c r="J22" s="103">
        <f>'[1]ноябрь 20'!AA21</f>
        <v>17.838000000000001</v>
      </c>
      <c r="K22" s="106"/>
      <c r="L22" s="103">
        <f>'[1]ноябрь 20'!AI21</f>
        <v>129.43600000000001</v>
      </c>
      <c r="M22" s="103">
        <f t="shared" si="40"/>
        <v>0.55707338067570478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'[1]ноябрь 20'!S21</f>
        <v>327.34199999999998</v>
      </c>
      <c r="S22" s="108">
        <f t="shared" si="41"/>
        <v>2.9363784665578985</v>
      </c>
      <c r="T22" s="109">
        <f t="shared" si="42"/>
        <v>317.73</v>
      </c>
      <c r="U22" s="106">
        <v>3.94</v>
      </c>
      <c r="V22" s="109">
        <f t="shared" si="43"/>
        <v>317.73</v>
      </c>
      <c r="W22" s="110">
        <f t="shared" si="44"/>
        <v>1.3674628792769528</v>
      </c>
      <c r="X22" s="110">
        <f t="shared" si="26"/>
        <v>1.3674628792769528</v>
      </c>
      <c r="Y22" s="136">
        <v>90.74</v>
      </c>
      <c r="Z22" s="129">
        <v>43.82</v>
      </c>
      <c r="AA22" s="131">
        <v>1.26</v>
      </c>
      <c r="AB22" s="112">
        <v>627</v>
      </c>
      <c r="AC22" s="152">
        <v>1223</v>
      </c>
      <c r="AD22" s="144" t="s">
        <v>221</v>
      </c>
      <c r="AE22" s="131">
        <v>75.05</v>
      </c>
      <c r="AF22" s="133">
        <v>178</v>
      </c>
      <c r="AG22" s="134">
        <v>5</v>
      </c>
      <c r="AH22" s="131">
        <v>16.399999999999999</v>
      </c>
      <c r="AI22" s="115">
        <f t="shared" si="10"/>
        <v>70.583171938885286</v>
      </c>
      <c r="AJ22" s="131">
        <v>126.6</v>
      </c>
      <c r="AK22" s="115">
        <f t="shared" si="45"/>
        <v>544.86765655261445</v>
      </c>
      <c r="AL22" s="139">
        <v>32.78</v>
      </c>
      <c r="AM22" s="131"/>
      <c r="AN22" s="136">
        <v>16.29</v>
      </c>
      <c r="AO22" s="466">
        <v>65.040000000000006</v>
      </c>
      <c r="AP22" s="110">
        <f t="shared" si="46"/>
        <v>0.20990802000968212</v>
      </c>
      <c r="AQ22" s="137" t="s">
        <v>132</v>
      </c>
      <c r="AR22" s="150">
        <v>6.88</v>
      </c>
      <c r="AS22" s="138">
        <v>9.5</v>
      </c>
      <c r="AT22" s="134"/>
      <c r="AU22" s="131">
        <v>6.51</v>
      </c>
      <c r="AV22" s="315">
        <v>309.85000000000002</v>
      </c>
      <c r="AW22" s="131">
        <v>3.83</v>
      </c>
      <c r="AX22" s="116"/>
      <c r="AY22" s="131"/>
      <c r="AZ22" s="109">
        <f t="shared" si="58"/>
        <v>0</v>
      </c>
      <c r="BA22" s="109">
        <f t="shared" si="47"/>
        <v>232.35000000000002</v>
      </c>
      <c r="BB22" s="115">
        <f t="shared" si="59"/>
        <v>239.97310509742712</v>
      </c>
      <c r="BC22" s="140">
        <f t="shared" si="49"/>
        <v>6.3843845070422525</v>
      </c>
      <c r="BD22" s="141">
        <f t="shared" si="50"/>
        <v>9.2940000000000005</v>
      </c>
      <c r="BE22" s="128">
        <f t="shared" si="51"/>
        <v>0.84526784748502537</v>
      </c>
      <c r="BF22" s="141">
        <f t="shared" si="52"/>
        <v>15.678384507042253</v>
      </c>
      <c r="BG22" s="535">
        <v>0.89800000000000002</v>
      </c>
      <c r="BH22" s="16">
        <f t="shared" si="53"/>
        <v>3507.9799999999996</v>
      </c>
      <c r="BI22" s="16">
        <f t="shared" si="54"/>
        <v>222.33333333333334</v>
      </c>
      <c r="BJ22" s="16">
        <f t="shared" si="55"/>
        <v>3557.3333333333339</v>
      </c>
      <c r="BK22" s="17">
        <f t="shared" si="56"/>
        <v>1</v>
      </c>
      <c r="BL22" s="16">
        <f t="shared" si="57"/>
        <v>3557.3333333333339</v>
      </c>
      <c r="BM22" s="254"/>
      <c r="BN22" s="197">
        <v>17.998999999999999</v>
      </c>
      <c r="BO22" s="197">
        <v>111.437</v>
      </c>
      <c r="BP22" s="197">
        <v>404.73399999999998</v>
      </c>
      <c r="BQ22" s="230"/>
      <c r="BR22" s="230"/>
      <c r="BS22" s="258"/>
      <c r="BT22" s="199"/>
      <c r="BU22" s="200"/>
      <c r="BV22" s="200"/>
      <c r="BW22" s="200"/>
      <c r="BX22" s="200">
        <v>1.25</v>
      </c>
      <c r="BY22" s="208"/>
      <c r="BZ22" s="208"/>
      <c r="CA22" s="201"/>
      <c r="CB22" s="202"/>
      <c r="CC22" s="200">
        <v>43.24</v>
      </c>
      <c r="CD22" s="200">
        <v>43.17</v>
      </c>
      <c r="CE22" s="200">
        <v>37.65</v>
      </c>
      <c r="CF22" s="208"/>
      <c r="CG22" s="208"/>
      <c r="CH22" s="201"/>
      <c r="CI22" s="199"/>
      <c r="CJ22" s="197"/>
      <c r="CK22" s="197">
        <v>193.13</v>
      </c>
      <c r="CL22" s="197">
        <v>124.6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0</v>
      </c>
      <c r="CU22" s="29">
        <f t="shared" si="20"/>
        <v>17.998999999999999</v>
      </c>
      <c r="CV22" s="30">
        <f t="shared" si="20"/>
        <v>111.437</v>
      </c>
      <c r="CW22" s="29">
        <f t="shared" si="20"/>
        <v>399.674825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21"/>
        <v>0</v>
      </c>
      <c r="DB22" s="24">
        <f t="shared" si="21"/>
        <v>193.13</v>
      </c>
      <c r="DC22" s="277">
        <f t="shared" si="21"/>
        <v>124.6</v>
      </c>
      <c r="DD22" s="280">
        <f t="shared" si="21"/>
        <v>0</v>
      </c>
      <c r="DE22" s="508">
        <f t="shared" si="31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2"/>
        <v>0</v>
      </c>
    </row>
    <row r="23" spans="1:115" ht="16.5" customHeight="1" thickBot="1">
      <c r="A23" s="534">
        <v>17</v>
      </c>
      <c r="B23" s="103">
        <f>'[1]ноябрь 20'!K22</f>
        <v>486.09899999999999</v>
      </c>
      <c r="C23" s="104">
        <f t="shared" si="35"/>
        <v>0.86638703227120395</v>
      </c>
      <c r="D23" s="143">
        <f t="shared" si="36"/>
        <v>481.88750129999994</v>
      </c>
      <c r="E23" s="104">
        <f t="shared" ref="E23:E36" si="61">IF(B23=0,0,(BM23*CB23+BN23*CC23+BP23*CE23+BS23*CH23+BO23*CD23+BR23*CG23+BQ23*CF23)/B23)</f>
        <v>39.147741571161426</v>
      </c>
      <c r="F23" s="128">
        <f t="shared" si="38"/>
        <v>2.1854308448979585</v>
      </c>
      <c r="G23" s="106"/>
      <c r="H23" s="107">
        <f t="shared" si="39"/>
        <v>1.6711451306122447</v>
      </c>
      <c r="I23" s="103">
        <f>'[1]сентябрь 20'!AE22</f>
        <v>0</v>
      </c>
      <c r="J23" s="103">
        <f>'[1]ноябрь 20'!AA22</f>
        <v>17.004999999999999</v>
      </c>
      <c r="K23" s="106"/>
      <c r="L23" s="103">
        <f>'[1]ноябрь 20'!AI22</f>
        <v>113.4</v>
      </c>
      <c r="M23" s="103">
        <f t="shared" si="40"/>
        <v>0.51428571428571423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'[1]ноябрь 20'!S22</f>
        <v>294.03899999999999</v>
      </c>
      <c r="S23" s="108">
        <f t="shared" si="41"/>
        <v>2.8428201701134803</v>
      </c>
      <c r="T23" s="109">
        <f t="shared" si="42"/>
        <v>285.68</v>
      </c>
      <c r="U23" s="106"/>
      <c r="V23" s="109">
        <f t="shared" si="43"/>
        <v>285.68</v>
      </c>
      <c r="W23" s="110">
        <f t="shared" si="44"/>
        <v>1.2956009070294783</v>
      </c>
      <c r="X23" s="110">
        <f t="shared" si="26"/>
        <v>1.2956009070294783</v>
      </c>
      <c r="Y23" s="136">
        <v>220.5</v>
      </c>
      <c r="Z23" s="129">
        <v>129.63999999999999</v>
      </c>
      <c r="AA23" s="131">
        <v>1.04</v>
      </c>
      <c r="AB23" s="112">
        <v>665</v>
      </c>
      <c r="AC23" s="133">
        <v>1224</v>
      </c>
      <c r="AD23" s="144" t="s">
        <v>484</v>
      </c>
      <c r="AE23" s="131">
        <v>76.23</v>
      </c>
      <c r="AF23" s="133">
        <v>162</v>
      </c>
      <c r="AG23" s="134">
        <v>5</v>
      </c>
      <c r="AH23" s="131"/>
      <c r="AI23" s="115">
        <f>IF(BA23=0,0,AH23/BA23*1000)</f>
        <v>0</v>
      </c>
      <c r="AJ23" s="131">
        <v>135.35</v>
      </c>
      <c r="AK23" s="115">
        <f t="shared" si="45"/>
        <v>613.83219954648519</v>
      </c>
      <c r="AL23" s="139">
        <v>41.34</v>
      </c>
      <c r="AM23" s="131"/>
      <c r="AN23" s="136">
        <v>18.940000000000001</v>
      </c>
      <c r="AO23" s="466">
        <v>59.01</v>
      </c>
      <c r="AP23" s="110">
        <f t="shared" si="46"/>
        <v>0.20219290731540174</v>
      </c>
      <c r="AQ23" s="137" t="s">
        <v>382</v>
      </c>
      <c r="AR23" s="150">
        <v>6.5</v>
      </c>
      <c r="AS23" s="138">
        <v>9.9499999999999993</v>
      </c>
      <c r="AT23" s="134"/>
      <c r="AU23" s="131">
        <v>6.83</v>
      </c>
      <c r="AV23" s="315">
        <v>291.85000000000002</v>
      </c>
      <c r="AW23" s="131">
        <v>6.6</v>
      </c>
      <c r="AX23" s="116"/>
      <c r="AY23" s="131"/>
      <c r="AZ23" s="109">
        <f t="shared" si="58"/>
        <v>0</v>
      </c>
      <c r="BA23" s="109">
        <f t="shared" si="47"/>
        <v>220.50000000000003</v>
      </c>
      <c r="BB23" s="115">
        <f t="shared" si="59"/>
        <v>216.04324847989562</v>
      </c>
      <c r="BC23" s="140">
        <f t="shared" si="49"/>
        <v>7.1611588028169004</v>
      </c>
      <c r="BD23" s="141">
        <f t="shared" si="50"/>
        <v>8.8200000000000021</v>
      </c>
      <c r="BE23" s="128">
        <f t="shared" si="51"/>
        <v>0.89100909819874896</v>
      </c>
      <c r="BF23" s="141">
        <f t="shared" si="52"/>
        <v>15.981158802816903</v>
      </c>
      <c r="BG23" s="535">
        <v>0.89700000000000002</v>
      </c>
      <c r="BH23" s="16">
        <f t="shared" si="53"/>
        <v>3728.4799999999996</v>
      </c>
      <c r="BI23" s="16">
        <f t="shared" si="54"/>
        <v>222.33333333333334</v>
      </c>
      <c r="BJ23" s="16">
        <f t="shared" si="55"/>
        <v>3779.6666666666674</v>
      </c>
      <c r="BK23" s="17">
        <f t="shared" si="56"/>
        <v>1</v>
      </c>
      <c r="BL23" s="16">
        <f t="shared" si="57"/>
        <v>3779.6666666666674</v>
      </c>
      <c r="BM23" s="254"/>
      <c r="BN23" s="197">
        <v>16.196999999999999</v>
      </c>
      <c r="BO23" s="197">
        <v>97.203000000000003</v>
      </c>
      <c r="BP23" s="197">
        <v>372.69900000000001</v>
      </c>
      <c r="BQ23" s="230"/>
      <c r="BR23" s="230"/>
      <c r="BS23" s="258"/>
      <c r="BT23" s="199"/>
      <c r="BU23" s="200"/>
      <c r="BV23" s="200"/>
      <c r="BW23" s="200"/>
      <c r="BX23" s="200">
        <v>1.1299999999999999</v>
      </c>
      <c r="BY23" s="208"/>
      <c r="BZ23" s="208"/>
      <c r="CA23" s="201"/>
      <c r="CB23" s="202"/>
      <c r="CC23" s="200">
        <v>43.09</v>
      </c>
      <c r="CD23" s="200">
        <v>43.39</v>
      </c>
      <c r="CE23" s="200">
        <v>37.869999999999997</v>
      </c>
      <c r="CF23" s="208"/>
      <c r="CG23" s="208"/>
      <c r="CH23" s="209"/>
      <c r="CI23" s="199"/>
      <c r="CJ23" s="197"/>
      <c r="CK23" s="197">
        <v>172.28</v>
      </c>
      <c r="CL23" s="197">
        <v>113.4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0</v>
      </c>
      <c r="CU23" s="24">
        <f t="shared" si="20"/>
        <v>16.196999999999999</v>
      </c>
      <c r="CV23" s="25">
        <f t="shared" si="20"/>
        <v>97.203000000000003</v>
      </c>
      <c r="CW23" s="24">
        <f t="shared" si="20"/>
        <v>368.48750130000002</v>
      </c>
      <c r="CX23" s="27">
        <f t="shared" si="20"/>
        <v>0</v>
      </c>
      <c r="CY23" s="24">
        <f t="shared" si="20"/>
        <v>0</v>
      </c>
      <c r="CZ23" s="280">
        <f t="shared" si="20"/>
        <v>0</v>
      </c>
      <c r="DA23" s="237">
        <f t="shared" si="21"/>
        <v>0</v>
      </c>
      <c r="DB23" s="29">
        <f t="shared" si="21"/>
        <v>172.28</v>
      </c>
      <c r="DC23" s="277">
        <f t="shared" si="21"/>
        <v>113.4</v>
      </c>
      <c r="DD23" s="280">
        <f t="shared" si="21"/>
        <v>0</v>
      </c>
      <c r="DE23" s="508">
        <f t="shared" si="31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2"/>
        <v>0</v>
      </c>
    </row>
    <row r="24" spans="1:115" ht="16.5" customHeight="1" thickBot="1">
      <c r="A24" s="534">
        <v>18</v>
      </c>
      <c r="B24" s="103">
        <f>'[1]ноябрь 20'!K23</f>
        <v>450.22</v>
      </c>
      <c r="C24" s="104">
        <f t="shared" si="35"/>
        <v>1.2881169206165872</v>
      </c>
      <c r="D24" s="143">
        <f t="shared" si="36"/>
        <v>444.42064000000005</v>
      </c>
      <c r="E24" s="104">
        <f t="shared" si="61"/>
        <v>38.757225245435556</v>
      </c>
      <c r="F24" s="128">
        <f t="shared" si="38"/>
        <v>2.0211043703670022</v>
      </c>
      <c r="G24" s="106"/>
      <c r="H24" s="107">
        <f t="shared" si="39"/>
        <v>1.543501932784574</v>
      </c>
      <c r="I24" s="103">
        <f>'[1]сентябрь 20'!AE23</f>
        <v>0</v>
      </c>
      <c r="J24" s="103">
        <f>'[1]ноябрь 20'!AA23</f>
        <v>14.465999999999999</v>
      </c>
      <c r="K24" s="106">
        <v>37.71</v>
      </c>
      <c r="L24" s="103">
        <f>'[1]ноябрь 20'!AI23</f>
        <v>105.02</v>
      </c>
      <c r="M24" s="103">
        <f t="shared" si="40"/>
        <v>0.4776024375824276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'[1]ноябрь 20'!S23</f>
        <v>272.30900000000003</v>
      </c>
      <c r="S24" s="108">
        <f t="shared" si="41"/>
        <v>2.6840831555328792</v>
      </c>
      <c r="T24" s="109">
        <f t="shared" si="42"/>
        <v>265</v>
      </c>
      <c r="U24" s="106">
        <v>72.260000000000005</v>
      </c>
      <c r="V24" s="109">
        <f t="shared" si="43"/>
        <v>265</v>
      </c>
      <c r="W24" s="110">
        <f t="shared" si="44"/>
        <v>1.2051480285597345</v>
      </c>
      <c r="X24" s="110">
        <f t="shared" si="26"/>
        <v>1.2051480285597345</v>
      </c>
      <c r="Y24" s="136">
        <v>219.89</v>
      </c>
      <c r="Z24" s="129">
        <v>219.89</v>
      </c>
      <c r="AA24" s="131">
        <v>0.56000000000000005</v>
      </c>
      <c r="AB24" s="133">
        <v>690</v>
      </c>
      <c r="AC24" s="133">
        <v>1220</v>
      </c>
      <c r="AD24" s="144" t="s">
        <v>171</v>
      </c>
      <c r="AE24" s="131">
        <v>75.44</v>
      </c>
      <c r="AF24" s="133">
        <v>150</v>
      </c>
      <c r="AG24" s="134">
        <v>5</v>
      </c>
      <c r="AH24" s="131">
        <v>7.25</v>
      </c>
      <c r="AI24" s="115">
        <f t="shared" si="10"/>
        <v>32.971030970030469</v>
      </c>
      <c r="AJ24" s="131">
        <v>158.19999999999999</v>
      </c>
      <c r="AK24" s="115">
        <f t="shared" si="45"/>
        <v>719.45063440811316</v>
      </c>
      <c r="AL24" s="139">
        <v>34.83</v>
      </c>
      <c r="AM24" s="131"/>
      <c r="AN24" s="136">
        <v>11.65</v>
      </c>
      <c r="AO24" s="466">
        <v>58.21</v>
      </c>
      <c r="AP24" s="110">
        <f t="shared" si="46"/>
        <v>0.20299912816041848</v>
      </c>
      <c r="AQ24" s="137" t="s">
        <v>485</v>
      </c>
      <c r="AR24" s="150">
        <v>6.11</v>
      </c>
      <c r="AS24" s="138">
        <v>9.1999999999999993</v>
      </c>
      <c r="AT24" s="134"/>
      <c r="AU24" s="131">
        <v>8.9</v>
      </c>
      <c r="AV24" s="315">
        <v>286.75</v>
      </c>
      <c r="AW24" s="131">
        <v>3</v>
      </c>
      <c r="AX24" s="116"/>
      <c r="AY24" s="131"/>
      <c r="AZ24" s="109">
        <f t="shared" si="58"/>
        <v>0</v>
      </c>
      <c r="BA24" s="109">
        <f t="shared" si="47"/>
        <v>219.89</v>
      </c>
      <c r="BB24" s="115">
        <f t="shared" si="59"/>
        <v>199.32393916329733</v>
      </c>
      <c r="BC24" s="140">
        <f t="shared" si="49"/>
        <v>10.906887323943662</v>
      </c>
      <c r="BD24" s="141"/>
      <c r="BE24" s="128">
        <f t="shared" si="51"/>
        <v>0.96307533759270325</v>
      </c>
      <c r="BF24" s="141">
        <f t="shared" si="52"/>
        <v>10.906887323943662</v>
      </c>
      <c r="BG24" s="535">
        <v>0.90100000000000002</v>
      </c>
      <c r="BH24" s="16">
        <f t="shared" si="53"/>
        <v>3948.3699999999994</v>
      </c>
      <c r="BI24" s="16">
        <f t="shared" si="54"/>
        <v>222.33333333333334</v>
      </c>
      <c r="BJ24" s="16">
        <f t="shared" si="55"/>
        <v>4002.0000000000009</v>
      </c>
      <c r="BK24" s="17">
        <f t="shared" si="56"/>
        <v>1</v>
      </c>
      <c r="BL24" s="16">
        <f t="shared" si="57"/>
        <v>4002.0000000000009</v>
      </c>
      <c r="BM24" s="254"/>
      <c r="BN24" s="197">
        <v>14.987</v>
      </c>
      <c r="BO24" s="197">
        <v>90.033000000000001</v>
      </c>
      <c r="BP24" s="197">
        <v>345.2</v>
      </c>
      <c r="BQ24" s="230"/>
      <c r="BR24" s="230"/>
      <c r="BS24" s="258"/>
      <c r="BT24" s="199"/>
      <c r="BU24" s="200"/>
      <c r="BV24" s="200"/>
      <c r="BW24" s="200"/>
      <c r="BX24" s="200">
        <v>1.68</v>
      </c>
      <c r="BY24" s="208"/>
      <c r="BZ24" s="208"/>
      <c r="CA24" s="201"/>
      <c r="CB24" s="202"/>
      <c r="CC24" s="200">
        <v>43.55</v>
      </c>
      <c r="CD24" s="200">
        <v>43.7</v>
      </c>
      <c r="CE24" s="200">
        <v>37.26</v>
      </c>
      <c r="CF24" s="208"/>
      <c r="CG24" s="208"/>
      <c r="CH24" s="209"/>
      <c r="CI24" s="199"/>
      <c r="CJ24" s="197"/>
      <c r="CK24" s="197">
        <v>160</v>
      </c>
      <c r="CL24" s="197">
        <v>105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0</v>
      </c>
      <c r="CU24" s="29">
        <f t="shared" si="20"/>
        <v>14.987</v>
      </c>
      <c r="CV24" s="30">
        <f t="shared" si="20"/>
        <v>90.033000000000001</v>
      </c>
      <c r="CW24" s="29">
        <f t="shared" si="20"/>
        <v>339.40063999999995</v>
      </c>
      <c r="CX24" s="27">
        <f t="shared" si="20"/>
        <v>0</v>
      </c>
      <c r="CY24" s="27">
        <f t="shared" si="20"/>
        <v>0</v>
      </c>
      <c r="CZ24" s="282">
        <f t="shared" si="20"/>
        <v>0</v>
      </c>
      <c r="DA24" s="25">
        <f t="shared" si="21"/>
        <v>0</v>
      </c>
      <c r="DB24" s="26">
        <f t="shared" si="21"/>
        <v>160</v>
      </c>
      <c r="DC24" s="277">
        <f t="shared" si="21"/>
        <v>105</v>
      </c>
      <c r="DD24" s="280">
        <f t="shared" si="21"/>
        <v>0</v>
      </c>
      <c r="DE24" s="508">
        <f t="shared" si="31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2"/>
        <v>0</v>
      </c>
    </row>
    <row r="25" spans="1:115" ht="16.5" customHeight="1" thickBot="1">
      <c r="A25" s="534">
        <v>19</v>
      </c>
      <c r="B25" s="103">
        <f>'[1]ноябрь 20'!K24</f>
        <v>504.13600000000002</v>
      </c>
      <c r="C25" s="104">
        <f t="shared" si="35"/>
        <v>1.5333838488027038</v>
      </c>
      <c r="D25" s="143">
        <f t="shared" si="36"/>
        <v>496.40566000000001</v>
      </c>
      <c r="E25" s="104">
        <f t="shared" si="61"/>
        <v>38.667168145103702</v>
      </c>
      <c r="F25" s="128">
        <f t="shared" si="38"/>
        <v>2.2783443179731964</v>
      </c>
      <c r="G25" s="106"/>
      <c r="H25" s="107">
        <f t="shared" si="39"/>
        <v>1.7385104644758582</v>
      </c>
      <c r="I25" s="103">
        <f>'[1]сентябрь 20'!AE24</f>
        <v>0</v>
      </c>
      <c r="J25" s="103">
        <f>'[1]ноябрь 20'!AA24</f>
        <v>16.375</v>
      </c>
      <c r="K25" s="106">
        <v>21.94</v>
      </c>
      <c r="L25" s="103">
        <f>'[1]ноябрь 20'!AI24</f>
        <v>117.619</v>
      </c>
      <c r="M25" s="103">
        <f t="shared" si="40"/>
        <v>0.53983385349733803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'[1]ноябрь 20'!S24</f>
        <v>303.38</v>
      </c>
      <c r="S25" s="108">
        <f t="shared" si="41"/>
        <v>2.5380710659898442</v>
      </c>
      <c r="T25" s="109">
        <f t="shared" si="42"/>
        <v>295.68</v>
      </c>
      <c r="U25" s="106">
        <v>40.56</v>
      </c>
      <c r="V25" s="109">
        <f t="shared" si="43"/>
        <v>295.68</v>
      </c>
      <c r="W25" s="110">
        <f t="shared" si="44"/>
        <v>1.3570772902515147</v>
      </c>
      <c r="X25" s="110">
        <f t="shared" si="26"/>
        <v>1.3570772902515147</v>
      </c>
      <c r="Y25" s="136">
        <v>217.88</v>
      </c>
      <c r="Z25" s="129">
        <v>217.88</v>
      </c>
      <c r="AA25" s="131">
        <v>0.67</v>
      </c>
      <c r="AB25" s="133">
        <v>690</v>
      </c>
      <c r="AC25" s="133">
        <v>1230</v>
      </c>
      <c r="AD25" s="144" t="s">
        <v>192</v>
      </c>
      <c r="AE25" s="131">
        <v>76.31</v>
      </c>
      <c r="AF25" s="133">
        <v>168</v>
      </c>
      <c r="AG25" s="134">
        <v>5</v>
      </c>
      <c r="AH25" s="131">
        <v>9.3000000000000007</v>
      </c>
      <c r="AI25" s="115">
        <f t="shared" si="10"/>
        <v>42.684046263998532</v>
      </c>
      <c r="AJ25" s="131">
        <v>132.65</v>
      </c>
      <c r="AK25" s="115">
        <f t="shared" si="45"/>
        <v>608.82136956122645</v>
      </c>
      <c r="AL25" s="139">
        <v>36.08</v>
      </c>
      <c r="AM25" s="131"/>
      <c r="AN25" s="136">
        <v>13.84</v>
      </c>
      <c r="AO25" s="466">
        <v>63.11</v>
      </c>
      <c r="AP25" s="110">
        <f t="shared" si="46"/>
        <v>0.21661232194954519</v>
      </c>
      <c r="AQ25" s="137" t="s">
        <v>486</v>
      </c>
      <c r="AR25" s="150">
        <v>6.52</v>
      </c>
      <c r="AS25" s="138">
        <v>9.35</v>
      </c>
      <c r="AT25" s="153"/>
      <c r="AU25" s="131">
        <v>7.86</v>
      </c>
      <c r="AV25" s="315">
        <v>291.35000000000002</v>
      </c>
      <c r="AW25" s="131">
        <v>3.48</v>
      </c>
      <c r="AX25" s="148"/>
      <c r="AY25" s="131"/>
      <c r="AZ25" s="109">
        <f t="shared" si="58"/>
        <v>0</v>
      </c>
      <c r="BA25" s="109">
        <f t="shared" si="47"/>
        <v>217.88</v>
      </c>
      <c r="BB25" s="115">
        <f t="shared" si="59"/>
        <v>219.5896577215205</v>
      </c>
      <c r="BC25" s="140">
        <f t="shared" si="49"/>
        <v>8.0767035211267615</v>
      </c>
      <c r="BD25" s="141">
        <f t="shared" ref="BD25:BD36" si="62">BA25*$BD$6</f>
        <v>8.7151999999999994</v>
      </c>
      <c r="BE25" s="128">
        <f t="shared" si="51"/>
        <v>0.86620308977037441</v>
      </c>
      <c r="BF25" s="141">
        <f t="shared" si="52"/>
        <v>16.791903521126763</v>
      </c>
      <c r="BG25" s="535">
        <v>0.89900000000000002</v>
      </c>
      <c r="BH25" s="16">
        <f t="shared" si="53"/>
        <v>4166.2499999999991</v>
      </c>
      <c r="BI25" s="16">
        <f t="shared" si="54"/>
        <v>222.33333333333334</v>
      </c>
      <c r="BJ25" s="16">
        <f t="shared" si="55"/>
        <v>4224.3333333333339</v>
      </c>
      <c r="BK25" s="17">
        <f t="shared" si="56"/>
        <v>1</v>
      </c>
      <c r="BL25" s="16">
        <f t="shared" si="57"/>
        <v>4224.3333333333339</v>
      </c>
      <c r="BM25" s="254"/>
      <c r="BN25" s="197">
        <v>16.798999999999999</v>
      </c>
      <c r="BO25" s="197">
        <v>100.82</v>
      </c>
      <c r="BP25" s="197">
        <v>386.517</v>
      </c>
      <c r="BQ25" s="230"/>
      <c r="BR25" s="230"/>
      <c r="BS25" s="258"/>
      <c r="BT25" s="199"/>
      <c r="BU25" s="200"/>
      <c r="BV25" s="200"/>
      <c r="BW25" s="200"/>
      <c r="BX25" s="200">
        <v>2</v>
      </c>
      <c r="BY25" s="208"/>
      <c r="BZ25" s="208"/>
      <c r="CA25" s="201"/>
      <c r="CB25" s="202"/>
      <c r="CC25" s="200">
        <v>43.39</v>
      </c>
      <c r="CD25" s="200">
        <v>43.85</v>
      </c>
      <c r="CE25" s="200">
        <v>37.11</v>
      </c>
      <c r="CF25" s="208"/>
      <c r="CG25" s="208"/>
      <c r="CH25" s="201"/>
      <c r="CI25" s="199"/>
      <c r="CJ25" s="197"/>
      <c r="CK25" s="197">
        <v>178.08</v>
      </c>
      <c r="CL25" s="197">
        <v>117.6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0</v>
      </c>
      <c r="CU25" s="24">
        <f t="shared" si="20"/>
        <v>16.798999999999999</v>
      </c>
      <c r="CV25" s="25">
        <f t="shared" si="20"/>
        <v>100.82</v>
      </c>
      <c r="CW25" s="24">
        <f t="shared" si="20"/>
        <v>378.78665999999998</v>
      </c>
      <c r="CX25" s="27">
        <f t="shared" si="20"/>
        <v>0</v>
      </c>
      <c r="CY25" s="30">
        <f t="shared" si="20"/>
        <v>0</v>
      </c>
      <c r="CZ25" s="280">
        <f t="shared" si="20"/>
        <v>0</v>
      </c>
      <c r="DA25" s="25">
        <f t="shared" si="21"/>
        <v>0</v>
      </c>
      <c r="DB25" s="26">
        <f t="shared" si="21"/>
        <v>178.08</v>
      </c>
      <c r="DC25" s="277">
        <f t="shared" si="21"/>
        <v>117.6</v>
      </c>
      <c r="DD25" s="280">
        <f t="shared" si="21"/>
        <v>0</v>
      </c>
      <c r="DE25" s="508">
        <f t="shared" si="31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2"/>
        <v>0</v>
      </c>
    </row>
    <row r="26" spans="1:115" ht="16.5" customHeight="1" thickBot="1">
      <c r="A26" s="534">
        <v>20</v>
      </c>
      <c r="B26" s="103">
        <f>'[1]ноябрь 20'!K25</f>
        <v>494.68799999999999</v>
      </c>
      <c r="C26" s="104">
        <f t="shared" si="35"/>
        <v>0.78899039394527459</v>
      </c>
      <c r="D26" s="143">
        <f t="shared" si="36"/>
        <v>490.78495920000006</v>
      </c>
      <c r="E26" s="104">
        <f t="shared" si="61"/>
        <v>39.80875982437415</v>
      </c>
      <c r="F26" s="128">
        <f t="shared" si="38"/>
        <v>2.1389625591632169</v>
      </c>
      <c r="G26" s="106"/>
      <c r="H26" s="107">
        <f t="shared" si="39"/>
        <v>1.6344866384833296</v>
      </c>
      <c r="I26" s="103">
        <f>'[1]сентябрь 20'!AE25</f>
        <v>0</v>
      </c>
      <c r="J26" s="103">
        <f>'[1]ноябрь 20'!AA25</f>
        <v>15.574999999999999</v>
      </c>
      <c r="K26" s="106">
        <v>30.52</v>
      </c>
      <c r="L26" s="103">
        <f>'[1]ноябрь 20'!AI25</f>
        <v>115.752</v>
      </c>
      <c r="M26" s="103">
        <f t="shared" si="40"/>
        <v>0.50447592067988667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'[1]ноябрь 20'!S25</f>
        <v>296.57600000000002</v>
      </c>
      <c r="S26" s="108">
        <f t="shared" si="41"/>
        <v>2.1228959861890551</v>
      </c>
      <c r="T26" s="109">
        <f t="shared" si="42"/>
        <v>290.27999999999997</v>
      </c>
      <c r="U26" s="106">
        <v>4.18</v>
      </c>
      <c r="V26" s="109">
        <f t="shared" si="43"/>
        <v>290.27999999999997</v>
      </c>
      <c r="W26" s="110">
        <f t="shared" si="44"/>
        <v>1.2651122248855959</v>
      </c>
      <c r="X26" s="110">
        <f t="shared" si="26"/>
        <v>1.2651122248855959</v>
      </c>
      <c r="Y26" s="136">
        <v>229.45</v>
      </c>
      <c r="Z26" s="154">
        <v>229.45</v>
      </c>
      <c r="AA26" s="149">
        <v>0.83</v>
      </c>
      <c r="AB26" s="147">
        <v>679</v>
      </c>
      <c r="AC26" s="147">
        <v>1224</v>
      </c>
      <c r="AD26" s="144" t="s">
        <v>167</v>
      </c>
      <c r="AE26" s="149">
        <v>75.97</v>
      </c>
      <c r="AF26" s="147">
        <v>165</v>
      </c>
      <c r="AG26" s="155">
        <v>5</v>
      </c>
      <c r="AH26" s="149">
        <v>7.25</v>
      </c>
      <c r="AI26" s="115">
        <f t="shared" si="10"/>
        <v>31.597297886249731</v>
      </c>
      <c r="AJ26" s="149">
        <v>121.7</v>
      </c>
      <c r="AK26" s="115">
        <f t="shared" si="45"/>
        <v>530.39877969056442</v>
      </c>
      <c r="AL26" s="156">
        <v>34.07</v>
      </c>
      <c r="AM26" s="149"/>
      <c r="AN26" s="157">
        <v>13.71</v>
      </c>
      <c r="AO26" s="466">
        <v>51.78</v>
      </c>
      <c r="AP26" s="110">
        <f t="shared" si="46"/>
        <v>0.1771770744225834</v>
      </c>
      <c r="AQ26" s="158" t="s">
        <v>487</v>
      </c>
      <c r="AR26" s="404">
        <v>6.79</v>
      </c>
      <c r="AS26" s="159">
        <v>9.5</v>
      </c>
      <c r="AT26" s="155"/>
      <c r="AU26" s="149">
        <v>6.53</v>
      </c>
      <c r="AV26" s="315">
        <v>292.25</v>
      </c>
      <c r="AW26" s="131">
        <v>2.69</v>
      </c>
      <c r="AX26" s="148"/>
      <c r="AY26" s="149"/>
      <c r="AZ26" s="160">
        <f t="shared" si="58"/>
        <v>0</v>
      </c>
      <c r="BA26" s="109">
        <f t="shared" si="47"/>
        <v>229.45</v>
      </c>
      <c r="BB26" s="115">
        <f t="shared" si="59"/>
        <v>224.51326726733765</v>
      </c>
      <c r="BC26" s="140">
        <f t="shared" si="49"/>
        <v>6.1561345070422533</v>
      </c>
      <c r="BD26" s="140">
        <f t="shared" si="62"/>
        <v>9.177999999999999</v>
      </c>
      <c r="BE26" s="161">
        <f t="shared" si="51"/>
        <v>0.89219604898218474</v>
      </c>
      <c r="BF26" s="140">
        <f t="shared" si="52"/>
        <v>15.334134507042252</v>
      </c>
      <c r="BG26" s="537">
        <v>0.89900000000000002</v>
      </c>
      <c r="BH26" s="16">
        <f t="shared" si="53"/>
        <v>4395.6999999999989</v>
      </c>
      <c r="BI26" s="16">
        <f t="shared" si="54"/>
        <v>222.33333333333334</v>
      </c>
      <c r="BJ26" s="16">
        <f t="shared" si="55"/>
        <v>4446.666666666667</v>
      </c>
      <c r="BK26" s="17">
        <f t="shared" si="56"/>
        <v>1</v>
      </c>
      <c r="BL26" s="16">
        <f t="shared" si="57"/>
        <v>4446.666666666667</v>
      </c>
      <c r="BM26" s="254"/>
      <c r="BN26" s="197">
        <v>16.407</v>
      </c>
      <c r="BO26" s="197">
        <v>99.344999999999999</v>
      </c>
      <c r="BP26" s="197">
        <v>378.93599999999998</v>
      </c>
      <c r="BQ26" s="230"/>
      <c r="BR26" s="230"/>
      <c r="BS26" s="258"/>
      <c r="BT26" s="199"/>
      <c r="BU26" s="200"/>
      <c r="BV26" s="200"/>
      <c r="BW26" s="200"/>
      <c r="BX26" s="200">
        <v>1.03</v>
      </c>
      <c r="BY26" s="208"/>
      <c r="BZ26" s="208"/>
      <c r="CA26" s="201"/>
      <c r="CB26" s="202"/>
      <c r="CC26" s="200">
        <v>43.47</v>
      </c>
      <c r="CD26" s="200">
        <v>43.09</v>
      </c>
      <c r="CE26" s="200">
        <v>38.79</v>
      </c>
      <c r="CF26" s="208"/>
      <c r="CG26" s="208"/>
      <c r="CH26" s="209"/>
      <c r="CI26" s="199"/>
      <c r="CJ26" s="197"/>
      <c r="CK26" s="197">
        <v>158.13999999999999</v>
      </c>
      <c r="CL26" s="197">
        <v>132.13999999999999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16.407</v>
      </c>
      <c r="CV26" s="25">
        <f t="shared" si="20"/>
        <v>99.344999999999999</v>
      </c>
      <c r="CW26" s="24">
        <f t="shared" si="20"/>
        <v>375.03295919999999</v>
      </c>
      <c r="CX26" s="27">
        <f t="shared" si="20"/>
        <v>0</v>
      </c>
      <c r="CY26" s="24">
        <f t="shared" si="20"/>
        <v>0</v>
      </c>
      <c r="CZ26" s="280">
        <f t="shared" si="20"/>
        <v>0</v>
      </c>
      <c r="DA26" s="30">
        <f t="shared" si="21"/>
        <v>0</v>
      </c>
      <c r="DB26" s="26">
        <f t="shared" si="21"/>
        <v>158.13999999999999</v>
      </c>
      <c r="DC26" s="277">
        <f t="shared" si="21"/>
        <v>132.13999999999999</v>
      </c>
      <c r="DD26" s="280">
        <f t="shared" si="21"/>
        <v>0</v>
      </c>
      <c r="DE26" s="508">
        <f t="shared" si="31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2"/>
        <v>0</v>
      </c>
    </row>
    <row r="27" spans="1:115" ht="16.5" customHeight="1" thickBot="1">
      <c r="A27" s="534">
        <v>21</v>
      </c>
      <c r="B27" s="103">
        <f>'[1]ноябрь 20'!K26</f>
        <v>459.07900000000001</v>
      </c>
      <c r="C27" s="104">
        <f t="shared" si="35"/>
        <v>2.5526041923067706</v>
      </c>
      <c r="D27" s="143">
        <f t="shared" si="36"/>
        <v>447.36053019999997</v>
      </c>
      <c r="E27" s="104">
        <f t="shared" si="61"/>
        <v>39.336312595435643</v>
      </c>
      <c r="F27" s="128">
        <f t="shared" si="38"/>
        <v>2.0382746956442497</v>
      </c>
      <c r="G27" s="106"/>
      <c r="H27" s="107">
        <f t="shared" si="39"/>
        <v>1.5499705221432476</v>
      </c>
      <c r="I27" s="103">
        <f>'[1]сентябрь 20'!AE26</f>
        <v>0</v>
      </c>
      <c r="J27" s="103">
        <f>'[1]ноябрь 20'!AA26</f>
        <v>14.856</v>
      </c>
      <c r="K27" s="106"/>
      <c r="L27" s="103">
        <f>'[1]ноябрь 20'!AI26</f>
        <v>107.173</v>
      </c>
      <c r="M27" s="103">
        <f t="shared" si="40"/>
        <v>0.48830417350100236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'[1]ноябрь 20'!S26</f>
        <v>270.89699999999999</v>
      </c>
      <c r="S27" s="108">
        <f t="shared" si="41"/>
        <v>1.7338693304096875</v>
      </c>
      <c r="T27" s="109">
        <f t="shared" si="42"/>
        <v>266.20000000000005</v>
      </c>
      <c r="U27" s="106"/>
      <c r="V27" s="109">
        <f t="shared" si="43"/>
        <v>266.20000000000005</v>
      </c>
      <c r="W27" s="110">
        <f t="shared" si="44"/>
        <v>1.2128667760160381</v>
      </c>
      <c r="X27" s="110">
        <f t="shared" si="26"/>
        <v>1.2128667760160381</v>
      </c>
      <c r="Y27" s="129">
        <v>179.48</v>
      </c>
      <c r="Z27" s="129">
        <v>42.8</v>
      </c>
      <c r="AA27" s="131">
        <v>1.33</v>
      </c>
      <c r="AB27" s="133">
        <v>658</v>
      </c>
      <c r="AC27" s="133">
        <v>1223</v>
      </c>
      <c r="AD27" s="144" t="s">
        <v>488</v>
      </c>
      <c r="AE27" s="131">
        <v>76.010000000000005</v>
      </c>
      <c r="AF27" s="133">
        <v>153</v>
      </c>
      <c r="AG27" s="134">
        <v>5</v>
      </c>
      <c r="AH27" s="131"/>
      <c r="AI27" s="115">
        <f t="shared" si="10"/>
        <v>0</v>
      </c>
      <c r="AJ27" s="131">
        <v>122.85</v>
      </c>
      <c r="AK27" s="115">
        <f t="shared" si="45"/>
        <v>559.73209404045917</v>
      </c>
      <c r="AL27" s="139">
        <v>35.29</v>
      </c>
      <c r="AM27" s="131"/>
      <c r="AN27" s="136">
        <v>16</v>
      </c>
      <c r="AO27" s="466">
        <v>58.95</v>
      </c>
      <c r="AP27" s="110">
        <f t="shared" si="46"/>
        <v>0.20236869207003089</v>
      </c>
      <c r="AQ27" s="137" t="s">
        <v>364</v>
      </c>
      <c r="AR27" s="150">
        <v>6.63</v>
      </c>
      <c r="AS27" s="138">
        <v>9.5500000000000007</v>
      </c>
      <c r="AT27" s="134"/>
      <c r="AU27" s="131">
        <v>6.87</v>
      </c>
      <c r="AV27" s="139">
        <v>291.3</v>
      </c>
      <c r="AW27" s="131">
        <v>3.13</v>
      </c>
      <c r="AX27" s="148"/>
      <c r="AY27" s="131"/>
      <c r="AZ27" s="109">
        <f t="shared" si="58"/>
        <v>0</v>
      </c>
      <c r="BA27" s="109">
        <f t="shared" si="47"/>
        <v>219.48000000000002</v>
      </c>
      <c r="BB27" s="115">
        <f t="shared" si="59"/>
        <v>202.11326699300793</v>
      </c>
      <c r="BC27" s="140">
        <f t="shared" si="49"/>
        <v>6.5378693661971825</v>
      </c>
      <c r="BD27" s="141">
        <f t="shared" si="62"/>
        <v>8.7792000000000012</v>
      </c>
      <c r="BE27" s="128">
        <f t="shared" si="51"/>
        <v>0.94801317523915218</v>
      </c>
      <c r="BF27" s="141">
        <f t="shared" si="52"/>
        <v>15.317069366197185</v>
      </c>
      <c r="BG27" s="535">
        <v>0.90100000000000002</v>
      </c>
      <c r="BH27" s="16">
        <f t="shared" si="53"/>
        <v>4615.1799999999985</v>
      </c>
      <c r="BI27" s="16">
        <f t="shared" si="54"/>
        <v>222.33333333333334</v>
      </c>
      <c r="BJ27" s="16">
        <f t="shared" si="55"/>
        <v>4669</v>
      </c>
      <c r="BK27" s="17">
        <f t="shared" si="56"/>
        <v>1</v>
      </c>
      <c r="BL27" s="16">
        <f t="shared" si="57"/>
        <v>4669</v>
      </c>
      <c r="BM27" s="254"/>
      <c r="BN27" s="197">
        <v>15.398</v>
      </c>
      <c r="BO27" s="197">
        <v>91.775000000000006</v>
      </c>
      <c r="BP27" s="197">
        <v>351.90600000000001</v>
      </c>
      <c r="BQ27" s="230"/>
      <c r="BR27" s="230"/>
      <c r="BS27" s="258"/>
      <c r="BT27" s="199"/>
      <c r="BU27" s="200"/>
      <c r="BV27" s="200"/>
      <c r="BW27" s="200"/>
      <c r="BX27" s="200">
        <v>3.33</v>
      </c>
      <c r="BY27" s="208"/>
      <c r="BZ27" s="208"/>
      <c r="CA27" s="201"/>
      <c r="CB27" s="202"/>
      <c r="CC27" s="200">
        <v>43.39</v>
      </c>
      <c r="CD27" s="200">
        <v>43.09</v>
      </c>
      <c r="CE27" s="200">
        <v>38.18</v>
      </c>
      <c r="CF27" s="208"/>
      <c r="CG27" s="208"/>
      <c r="CH27" s="209"/>
      <c r="CI27" s="199"/>
      <c r="CJ27" s="197"/>
      <c r="CK27" s="197">
        <v>134.62</v>
      </c>
      <c r="CL27" s="197">
        <v>131.58000000000001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15.398</v>
      </c>
      <c r="CV27" s="25">
        <f t="shared" si="20"/>
        <v>91.775000000000006</v>
      </c>
      <c r="CW27" s="24">
        <f t="shared" si="20"/>
        <v>340.18753020000003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134.62</v>
      </c>
      <c r="DC27" s="277">
        <f t="shared" si="21"/>
        <v>131.58000000000001</v>
      </c>
      <c r="DD27" s="280">
        <f t="shared" si="21"/>
        <v>0</v>
      </c>
      <c r="DE27" s="508">
        <f t="shared" si="31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2"/>
        <v>0</v>
      </c>
    </row>
    <row r="28" spans="1:115" ht="16.5" customHeight="1" thickBot="1">
      <c r="A28" s="534">
        <v>22</v>
      </c>
      <c r="B28" s="103">
        <f>'[1]ноябрь 20'!K27</f>
        <v>504.07100000000003</v>
      </c>
      <c r="C28" s="104">
        <f t="shared" si="35"/>
        <v>1.9398401614058334</v>
      </c>
      <c r="D28" s="143">
        <f t="shared" si="36"/>
        <v>494.2928283</v>
      </c>
      <c r="E28" s="104">
        <f t="shared" si="61"/>
        <v>38.672202308801729</v>
      </c>
      <c r="F28" s="128">
        <f t="shared" si="38"/>
        <v>2.1722383137771915</v>
      </c>
      <c r="G28" s="106"/>
      <c r="H28" s="107">
        <f t="shared" si="39"/>
        <v>1.6555079248516806</v>
      </c>
      <c r="I28" s="103">
        <f>'[1]сентябрь 20'!AE27</f>
        <v>0</v>
      </c>
      <c r="J28" s="103">
        <f>'[1]ноябрь 20'!AA27</f>
        <v>16.803999999999998</v>
      </c>
      <c r="K28" s="106">
        <v>38.44</v>
      </c>
      <c r="L28" s="103">
        <f>'[1]ноябрь 20'!AI27</f>
        <v>117.58199999999999</v>
      </c>
      <c r="M28" s="103">
        <f t="shared" si="40"/>
        <v>0.51673038892551071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'[1]ноябрь 20'!S27</f>
        <v>296.74299999999999</v>
      </c>
      <c r="S28" s="108">
        <f t="shared" si="41"/>
        <v>2.0634016640662112</v>
      </c>
      <c r="T28" s="109">
        <f t="shared" si="42"/>
        <v>290.62</v>
      </c>
      <c r="U28" s="106"/>
      <c r="V28" s="109">
        <f t="shared" si="43"/>
        <v>290.62</v>
      </c>
      <c r="W28" s="110">
        <f t="shared" si="44"/>
        <v>1.2771698527796087</v>
      </c>
      <c r="X28" s="110">
        <f t="shared" si="26"/>
        <v>1.2771698527796087</v>
      </c>
      <c r="Y28" s="129">
        <v>191.93</v>
      </c>
      <c r="Z28" s="136">
        <v>184.08</v>
      </c>
      <c r="AA28" s="131">
        <v>0.8</v>
      </c>
      <c r="AB28" s="133">
        <v>650</v>
      </c>
      <c r="AC28" s="133">
        <v>1226</v>
      </c>
      <c r="AD28" s="144" t="s">
        <v>205</v>
      </c>
      <c r="AE28" s="131">
        <v>75.819999999999993</v>
      </c>
      <c r="AF28" s="133">
        <v>168</v>
      </c>
      <c r="AG28" s="134">
        <v>5</v>
      </c>
      <c r="AH28" s="131">
        <v>3.4</v>
      </c>
      <c r="AI28" s="115">
        <f t="shared" si="10"/>
        <v>14.941771039332011</v>
      </c>
      <c r="AJ28" s="131">
        <v>137.15</v>
      </c>
      <c r="AK28" s="115">
        <f t="shared" si="45"/>
        <v>602.72467589540759</v>
      </c>
      <c r="AL28" s="139">
        <v>33.68</v>
      </c>
      <c r="AM28" s="131"/>
      <c r="AN28" s="136">
        <v>18.420000000000002</v>
      </c>
      <c r="AO28" s="466">
        <v>58.91</v>
      </c>
      <c r="AP28" s="110">
        <f t="shared" si="46"/>
        <v>0.19633394434260953</v>
      </c>
      <c r="AQ28" s="137" t="s">
        <v>489</v>
      </c>
      <c r="AR28" s="150">
        <v>6.28</v>
      </c>
      <c r="AS28" s="138">
        <v>9.73</v>
      </c>
      <c r="AT28" s="134"/>
      <c r="AU28" s="131">
        <v>7.59</v>
      </c>
      <c r="AV28" s="139">
        <v>300.05</v>
      </c>
      <c r="AW28" s="131">
        <v>4.83</v>
      </c>
      <c r="AX28" s="148"/>
      <c r="AY28" s="131"/>
      <c r="AZ28" s="109">
        <f t="shared" si="58"/>
        <v>0</v>
      </c>
      <c r="BA28" s="109">
        <f t="shared" si="47"/>
        <v>227.55000000000004</v>
      </c>
      <c r="BB28" s="115">
        <f t="shared" si="59"/>
        <v>220.09677445686967</v>
      </c>
      <c r="BC28" s="140">
        <f t="shared" si="49"/>
        <v>8.0638404929577465</v>
      </c>
      <c r="BD28" s="141">
        <f t="shared" si="62"/>
        <v>9.1020000000000021</v>
      </c>
      <c r="BE28" s="128">
        <f t="shared" si="51"/>
        <v>0.90256274990948515</v>
      </c>
      <c r="BF28" s="141">
        <f t="shared" si="52"/>
        <v>17.165840492957749</v>
      </c>
      <c r="BG28" s="535">
        <v>0.90100000000000002</v>
      </c>
      <c r="BH28" s="16">
        <f t="shared" si="53"/>
        <v>4842.7299999999987</v>
      </c>
      <c r="BI28" s="16">
        <f t="shared" si="54"/>
        <v>222.33333333333334</v>
      </c>
      <c r="BJ28" s="16">
        <f t="shared" si="55"/>
        <v>4891.333333333333</v>
      </c>
      <c r="BK28" s="17">
        <f t="shared" si="56"/>
        <v>1</v>
      </c>
      <c r="BL28" s="16">
        <f t="shared" si="57"/>
        <v>4891.333333333333</v>
      </c>
      <c r="BM28" s="254"/>
      <c r="BN28" s="197">
        <v>16.806000000000001</v>
      </c>
      <c r="BO28" s="197">
        <v>100.776</v>
      </c>
      <c r="BP28" s="197">
        <v>386.48899999999998</v>
      </c>
      <c r="BQ28" s="230"/>
      <c r="BR28" s="230"/>
      <c r="BS28" s="258"/>
      <c r="BT28" s="199"/>
      <c r="BU28" s="200"/>
      <c r="BV28" s="200"/>
      <c r="BW28" s="200"/>
      <c r="BX28" s="200">
        <v>2.5299999999999998</v>
      </c>
      <c r="BY28" s="208"/>
      <c r="BZ28" s="208"/>
      <c r="CA28" s="201"/>
      <c r="CB28" s="202"/>
      <c r="CC28" s="200">
        <v>43.55</v>
      </c>
      <c r="CD28" s="200">
        <v>43.85</v>
      </c>
      <c r="CE28" s="200">
        <v>37.11</v>
      </c>
      <c r="CF28" s="208"/>
      <c r="CG28" s="208"/>
      <c r="CH28" s="209"/>
      <c r="CI28" s="199"/>
      <c r="CJ28" s="197"/>
      <c r="CK28" s="197">
        <v>146.13999999999999</v>
      </c>
      <c r="CL28" s="197">
        <v>144.47999999999999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16.806000000000001</v>
      </c>
      <c r="CV28" s="30">
        <f t="shared" si="20"/>
        <v>100.776</v>
      </c>
      <c r="CW28" s="29">
        <f t="shared" si="20"/>
        <v>376.7108283</v>
      </c>
      <c r="CX28" s="27">
        <f t="shared" si="20"/>
        <v>0</v>
      </c>
      <c r="CY28" s="24">
        <f t="shared" si="20"/>
        <v>0</v>
      </c>
      <c r="CZ28" s="282">
        <f t="shared" si="20"/>
        <v>0</v>
      </c>
      <c r="DA28" s="25">
        <f t="shared" si="21"/>
        <v>0</v>
      </c>
      <c r="DB28" s="24">
        <f t="shared" si="21"/>
        <v>146.13999999999999</v>
      </c>
      <c r="DC28" s="277">
        <f t="shared" si="21"/>
        <v>144.47999999999999</v>
      </c>
      <c r="DD28" s="280">
        <f t="shared" si="21"/>
        <v>0</v>
      </c>
      <c r="DE28" s="508">
        <f t="shared" si="31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2"/>
        <v>0</v>
      </c>
    </row>
    <row r="29" spans="1:115" ht="16.5" customHeight="1" thickBot="1">
      <c r="A29" s="534">
        <v>23</v>
      </c>
      <c r="B29" s="103">
        <f>'[1]ноябрь 20'!K28</f>
        <v>494.80099999999999</v>
      </c>
      <c r="C29" s="104">
        <f t="shared" si="35"/>
        <v>0.85104838106632785</v>
      </c>
      <c r="D29" s="143">
        <f t="shared" si="36"/>
        <v>490.59000409999999</v>
      </c>
      <c r="E29" s="104">
        <f t="shared" si="61"/>
        <v>39.099814066665189</v>
      </c>
      <c r="F29" s="128">
        <f t="shared" si="38"/>
        <v>1.9760341728763045</v>
      </c>
      <c r="G29" s="106"/>
      <c r="H29" s="107">
        <f t="shared" si="39"/>
        <v>1.5110887505538328</v>
      </c>
      <c r="I29" s="103">
        <f>'[1]сентябрь 20'!AE28</f>
        <v>0</v>
      </c>
      <c r="J29" s="103">
        <f>'[1]ноябрь 20'!AA28</f>
        <v>16.969000000000001</v>
      </c>
      <c r="K29" s="106">
        <v>64.23</v>
      </c>
      <c r="L29" s="103">
        <f>'[1]ноябрь 20'!AI28</f>
        <v>115.432</v>
      </c>
      <c r="M29" s="103">
        <f t="shared" si="40"/>
        <v>0.4649454223224716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'[1]ноябрь 20'!S28</f>
        <v>290.14699999999999</v>
      </c>
      <c r="S29" s="108">
        <f t="shared" si="41"/>
        <v>2.2116375492422735</v>
      </c>
      <c r="T29" s="109">
        <f t="shared" si="42"/>
        <v>283.73</v>
      </c>
      <c r="U29" s="106">
        <v>53.74</v>
      </c>
      <c r="V29" s="109">
        <f t="shared" si="43"/>
        <v>283.73</v>
      </c>
      <c r="W29" s="110">
        <f t="shared" si="44"/>
        <v>1.1428283723365693</v>
      </c>
      <c r="X29" s="110">
        <f t="shared" si="26"/>
        <v>1.1428283723365693</v>
      </c>
      <c r="Y29" s="129">
        <v>248.27</v>
      </c>
      <c r="Z29" s="136">
        <v>206.81</v>
      </c>
      <c r="AA29" s="131">
        <v>0.73</v>
      </c>
      <c r="AB29" s="133">
        <v>648</v>
      </c>
      <c r="AC29" s="133">
        <v>1241</v>
      </c>
      <c r="AD29" s="144" t="s">
        <v>200</v>
      </c>
      <c r="AE29" s="131">
        <v>76.2</v>
      </c>
      <c r="AF29" s="133">
        <v>165</v>
      </c>
      <c r="AG29" s="134">
        <v>5</v>
      </c>
      <c r="AH29" s="131">
        <v>9.5500000000000007</v>
      </c>
      <c r="AI29" s="115">
        <f t="shared" si="10"/>
        <v>38.466186007169625</v>
      </c>
      <c r="AJ29" s="131">
        <v>139.69999999999999</v>
      </c>
      <c r="AK29" s="115">
        <f t="shared" si="45"/>
        <v>562.69384138236603</v>
      </c>
      <c r="AL29" s="139">
        <v>33.75</v>
      </c>
      <c r="AM29" s="131"/>
      <c r="AN29" s="136">
        <v>15.18</v>
      </c>
      <c r="AO29" s="466">
        <v>64.290000000000006</v>
      </c>
      <c r="AP29" s="110">
        <f t="shared" si="46"/>
        <v>0.19987564122493398</v>
      </c>
      <c r="AQ29" s="137" t="s">
        <v>374</v>
      </c>
      <c r="AR29" s="150">
        <v>6.67</v>
      </c>
      <c r="AS29" s="138">
        <v>9.85</v>
      </c>
      <c r="AT29" s="134"/>
      <c r="AU29" s="131">
        <v>7.34</v>
      </c>
      <c r="AV29" s="139">
        <v>321.64999999999998</v>
      </c>
      <c r="AW29" s="131">
        <v>6.09</v>
      </c>
      <c r="AX29" s="148"/>
      <c r="AY29" s="131"/>
      <c r="AZ29" s="109">
        <f t="shared" si="58"/>
        <v>0</v>
      </c>
      <c r="BA29" s="109">
        <f t="shared" si="47"/>
        <v>248.26999999999995</v>
      </c>
      <c r="BB29" s="115">
        <f t="shared" si="59"/>
        <v>219.76203076743636</v>
      </c>
      <c r="BC29" s="140">
        <f t="shared" si="49"/>
        <v>7.9432239436619705</v>
      </c>
      <c r="BD29" s="141">
        <f t="shared" si="62"/>
        <v>9.9307999999999979</v>
      </c>
      <c r="BE29" s="128">
        <f t="shared" si="51"/>
        <v>0.9862473023347933</v>
      </c>
      <c r="BF29" s="141">
        <f t="shared" si="52"/>
        <v>17.874023943661967</v>
      </c>
      <c r="BG29" s="535">
        <v>0.90500000000000003</v>
      </c>
      <c r="BH29" s="16">
        <f t="shared" si="53"/>
        <v>5090.9999999999982</v>
      </c>
      <c r="BI29" s="16">
        <f t="shared" si="54"/>
        <v>222.33333333333334</v>
      </c>
      <c r="BJ29" s="16">
        <f t="shared" si="55"/>
        <v>5113.6666666666661</v>
      </c>
      <c r="BK29" s="17">
        <f t="shared" si="56"/>
        <v>1</v>
      </c>
      <c r="BL29" s="16">
        <f t="shared" si="57"/>
        <v>5113.6666666666661</v>
      </c>
      <c r="BM29" s="254"/>
      <c r="BN29" s="197">
        <v>16.413</v>
      </c>
      <c r="BO29" s="197">
        <v>99.019000000000005</v>
      </c>
      <c r="BP29" s="197">
        <v>379.36900000000003</v>
      </c>
      <c r="BQ29" s="230"/>
      <c r="BR29" s="230"/>
      <c r="BS29" s="258"/>
      <c r="BT29" s="199"/>
      <c r="BU29" s="200"/>
      <c r="BV29" s="200"/>
      <c r="BW29" s="200"/>
      <c r="BX29" s="200">
        <v>1.1100000000000001</v>
      </c>
      <c r="BY29" s="208"/>
      <c r="BZ29" s="208"/>
      <c r="CA29" s="201"/>
      <c r="CB29" s="202"/>
      <c r="CC29" s="200">
        <v>43.24</v>
      </c>
      <c r="CD29" s="200">
        <v>43.7</v>
      </c>
      <c r="CE29" s="200">
        <v>37.72</v>
      </c>
      <c r="CF29" s="208"/>
      <c r="CG29" s="208"/>
      <c r="CH29" s="201"/>
      <c r="CI29" s="199"/>
      <c r="CJ29" s="197"/>
      <c r="CK29" s="197">
        <v>87.89</v>
      </c>
      <c r="CL29" s="230">
        <v>141.9</v>
      </c>
      <c r="CM29" s="198">
        <v>53.94</v>
      </c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16.413</v>
      </c>
      <c r="CV29" s="25">
        <f t="shared" si="20"/>
        <v>99.019000000000005</v>
      </c>
      <c r="CW29" s="24">
        <f t="shared" si="20"/>
        <v>375.15800410000003</v>
      </c>
      <c r="CX29" s="27">
        <f t="shared" si="20"/>
        <v>0</v>
      </c>
      <c r="CY29" s="29">
        <f t="shared" si="20"/>
        <v>0</v>
      </c>
      <c r="CZ29" s="280">
        <f t="shared" si="20"/>
        <v>0</v>
      </c>
      <c r="DA29" s="30">
        <f t="shared" si="21"/>
        <v>0</v>
      </c>
      <c r="DB29" s="29">
        <f t="shared" si="21"/>
        <v>87.89</v>
      </c>
      <c r="DC29" s="277">
        <f t="shared" si="21"/>
        <v>141.9</v>
      </c>
      <c r="DD29" s="280">
        <f t="shared" si="21"/>
        <v>53.94</v>
      </c>
      <c r="DE29" s="508">
        <f t="shared" si="31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2"/>
        <v>0</v>
      </c>
    </row>
    <row r="30" spans="1:115" ht="16.5" customHeight="1" thickBot="1">
      <c r="A30" s="534">
        <v>24</v>
      </c>
      <c r="B30" s="103">
        <f>'[1]ноябрь 20'!K29</f>
        <v>531.48299999999995</v>
      </c>
      <c r="C30" s="104">
        <f t="shared" si="35"/>
        <v>1.7042504840230073</v>
      </c>
      <c r="D30" s="143">
        <f t="shared" si="36"/>
        <v>522.4251984</v>
      </c>
      <c r="E30" s="104">
        <f t="shared" si="61"/>
        <v>39.130758801316318</v>
      </c>
      <c r="F30" s="128">
        <f t="shared" si="38"/>
        <v>2.1490135680789799</v>
      </c>
      <c r="G30" s="106"/>
      <c r="H30" s="107">
        <f t="shared" si="39"/>
        <v>1.5969321201151789</v>
      </c>
      <c r="I30" s="103">
        <f>'[1]сентябрь 20'!AE29</f>
        <v>0</v>
      </c>
      <c r="J30" s="103">
        <f>'[1]ноябрь 20'!AA29</f>
        <v>16.033000000000001</v>
      </c>
      <c r="K30" s="106">
        <v>50.88</v>
      </c>
      <c r="L30" s="103">
        <f>'[1]ноябрь 20'!AI29</f>
        <v>134.21100000000001</v>
      </c>
      <c r="M30" s="103">
        <f t="shared" si="40"/>
        <v>0.55208144796380099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'[1]ноябрь 20'!S29</f>
        <v>314.42</v>
      </c>
      <c r="S30" s="108">
        <f t="shared" si="41"/>
        <v>2.2454042363717286</v>
      </c>
      <c r="T30" s="109">
        <f t="shared" si="42"/>
        <v>307.36</v>
      </c>
      <c r="U30" s="106">
        <v>4.07</v>
      </c>
      <c r="V30" s="109">
        <f t="shared" si="43"/>
        <v>307.36</v>
      </c>
      <c r="W30" s="110">
        <f t="shared" si="44"/>
        <v>1.2643356643356645</v>
      </c>
      <c r="X30" s="110">
        <f t="shared" si="26"/>
        <v>1.2643356643356645</v>
      </c>
      <c r="Y30" s="154">
        <v>150.79</v>
      </c>
      <c r="Z30" s="157">
        <v>198.05</v>
      </c>
      <c r="AA30" s="149">
        <v>0.68</v>
      </c>
      <c r="AB30" s="147">
        <v>634</v>
      </c>
      <c r="AC30" s="147">
        <v>1237</v>
      </c>
      <c r="AD30" s="144" t="s">
        <v>252</v>
      </c>
      <c r="AE30" s="149">
        <v>75.5</v>
      </c>
      <c r="AF30" s="147">
        <v>177</v>
      </c>
      <c r="AG30" s="155">
        <v>5</v>
      </c>
      <c r="AH30" s="149">
        <v>5.2</v>
      </c>
      <c r="AI30" s="115">
        <f t="shared" si="10"/>
        <v>21.390374331550806</v>
      </c>
      <c r="AJ30" s="131">
        <v>146.05000000000001</v>
      </c>
      <c r="AK30" s="115">
        <f t="shared" si="45"/>
        <v>600.78157136980667</v>
      </c>
      <c r="AL30" s="139">
        <v>33.79</v>
      </c>
      <c r="AM30" s="131"/>
      <c r="AN30" s="157">
        <v>14.73</v>
      </c>
      <c r="AO30" s="466">
        <v>62.88</v>
      </c>
      <c r="AP30" s="110">
        <f t="shared" si="46"/>
        <v>0.19839091339327972</v>
      </c>
      <c r="AQ30" s="158" t="s">
        <v>491</v>
      </c>
      <c r="AR30" s="404">
        <v>6.63</v>
      </c>
      <c r="AS30" s="159">
        <v>9.41</v>
      </c>
      <c r="AT30" s="155"/>
      <c r="AU30" s="149">
        <v>8.85</v>
      </c>
      <c r="AV30" s="156">
        <v>316.95</v>
      </c>
      <c r="AW30" s="131">
        <v>3.76</v>
      </c>
      <c r="AX30" s="164"/>
      <c r="AY30" s="149"/>
      <c r="AZ30" s="109">
        <f t="shared" si="58"/>
        <v>0</v>
      </c>
      <c r="BA30" s="109">
        <f t="shared" si="47"/>
        <v>243.1</v>
      </c>
      <c r="BB30" s="115">
        <f t="shared" si="59"/>
        <v>236.37942831350406</v>
      </c>
      <c r="BC30" s="140">
        <f t="shared" si="49"/>
        <v>10.012653169014085</v>
      </c>
      <c r="BD30" s="141">
        <f t="shared" si="62"/>
        <v>9.7240000000000002</v>
      </c>
      <c r="BE30" s="128">
        <f t="shared" si="51"/>
        <v>0.89782051472994362</v>
      </c>
      <c r="BF30" s="141">
        <f t="shared" si="52"/>
        <v>19.736653169014083</v>
      </c>
      <c r="BG30" s="537">
        <v>0.90400000000000003</v>
      </c>
      <c r="BH30" s="16">
        <f t="shared" si="53"/>
        <v>5334.0999999999985</v>
      </c>
      <c r="BI30" s="16">
        <f t="shared" si="54"/>
        <v>222.33333333333334</v>
      </c>
      <c r="BJ30" s="16">
        <f t="shared" si="55"/>
        <v>5335.9999999999991</v>
      </c>
      <c r="BK30" s="17">
        <f t="shared" si="56"/>
        <v>1</v>
      </c>
      <c r="BL30" s="16">
        <f t="shared" si="57"/>
        <v>5335.9999999999991</v>
      </c>
      <c r="BM30" s="255"/>
      <c r="BN30" s="210">
        <v>28.004999999999999</v>
      </c>
      <c r="BO30" s="210">
        <v>106.206</v>
      </c>
      <c r="BP30" s="210">
        <v>397.27199999999999</v>
      </c>
      <c r="BQ30" s="233"/>
      <c r="BR30" s="233"/>
      <c r="BS30" s="260"/>
      <c r="BT30" s="212"/>
      <c r="BU30" s="213"/>
      <c r="BV30" s="213"/>
      <c r="BW30" s="213"/>
      <c r="BX30" s="213">
        <v>2.2799999999999998</v>
      </c>
      <c r="BY30" s="235"/>
      <c r="BZ30" s="235"/>
      <c r="CA30" s="214"/>
      <c r="CB30" s="215"/>
      <c r="CC30" s="213">
        <v>43.7</v>
      </c>
      <c r="CD30" s="216">
        <v>43.39</v>
      </c>
      <c r="CE30" s="213">
        <v>37.67</v>
      </c>
      <c r="CF30" s="235"/>
      <c r="CG30" s="235"/>
      <c r="CH30" s="214"/>
      <c r="CI30" s="212"/>
      <c r="CJ30" s="210"/>
      <c r="CK30" s="210"/>
      <c r="CL30" s="233">
        <v>152.22</v>
      </c>
      <c r="CM30" s="198">
        <v>155.13999999999999</v>
      </c>
      <c r="CN30" s="202"/>
      <c r="CO30" s="208"/>
      <c r="CP30" s="208"/>
      <c r="CQ30" s="201"/>
      <c r="CR30" s="201"/>
      <c r="CS30" s="284"/>
      <c r="CT30" s="286">
        <f t="shared" si="20"/>
        <v>0</v>
      </c>
      <c r="CU30" s="24">
        <f t="shared" si="20"/>
        <v>28.004999999999999</v>
      </c>
      <c r="CV30" s="25">
        <f t="shared" si="20"/>
        <v>106.206</v>
      </c>
      <c r="CW30" s="24">
        <f t="shared" si="20"/>
        <v>388.21419839999999</v>
      </c>
      <c r="CX30" s="27">
        <f t="shared" si="20"/>
        <v>0</v>
      </c>
      <c r="CY30" s="24">
        <f t="shared" si="20"/>
        <v>0</v>
      </c>
      <c r="CZ30" s="280">
        <f t="shared" si="20"/>
        <v>0</v>
      </c>
      <c r="DA30" s="25">
        <f t="shared" si="21"/>
        <v>0</v>
      </c>
      <c r="DB30" s="26">
        <f t="shared" si="21"/>
        <v>0</v>
      </c>
      <c r="DC30" s="277">
        <f t="shared" si="21"/>
        <v>152.22</v>
      </c>
      <c r="DD30" s="280">
        <f t="shared" si="21"/>
        <v>155.13999999999999</v>
      </c>
      <c r="DE30" s="508">
        <f t="shared" si="31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2"/>
        <v>0</v>
      </c>
    </row>
    <row r="31" spans="1:115" ht="16.5" customHeight="1" thickBot="1">
      <c r="A31" s="534">
        <v>25</v>
      </c>
      <c r="B31" s="103">
        <f>'[1]ноябрь 20'!K30</f>
        <v>515.94799999999998</v>
      </c>
      <c r="C31" s="104">
        <f t="shared" si="35"/>
        <v>0.99890456014947238</v>
      </c>
      <c r="D31" s="143">
        <f t="shared" si="36"/>
        <v>510.79417189999998</v>
      </c>
      <c r="E31" s="104">
        <f t="shared" si="61"/>
        <v>40.309293591602248</v>
      </c>
      <c r="F31" s="128">
        <f t="shared" si="38"/>
        <v>2.1009096857648175</v>
      </c>
      <c r="G31" s="106"/>
      <c r="H31" s="107">
        <f t="shared" si="39"/>
        <v>1.5038258211656317</v>
      </c>
      <c r="I31" s="103">
        <f>'[1]сентябрь 20'!AE30</f>
        <v>0</v>
      </c>
      <c r="J31" s="103">
        <f>'[1]ноябрь 20'!AA30</f>
        <v>11.273999999999999</v>
      </c>
      <c r="K31" s="106">
        <v>32.619999999999997</v>
      </c>
      <c r="L31" s="103">
        <f>'[1]ноябрь 20'!AI30</f>
        <v>145.16900000000001</v>
      </c>
      <c r="M31" s="103">
        <f t="shared" si="40"/>
        <v>0.59708386459918561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'[1]ноябрь 20'!S30</f>
        <v>309.79300000000001</v>
      </c>
      <c r="S31" s="108">
        <f t="shared" si="41"/>
        <v>2.7996113533875877</v>
      </c>
      <c r="T31" s="109">
        <f t="shared" si="42"/>
        <v>301.12</v>
      </c>
      <c r="U31" s="106">
        <v>5.23</v>
      </c>
      <c r="V31" s="109">
        <f t="shared" si="43"/>
        <v>301.12</v>
      </c>
      <c r="W31" s="110">
        <f t="shared" si="44"/>
        <v>1.2385143750257066</v>
      </c>
      <c r="X31" s="110">
        <f t="shared" si="26"/>
        <v>1.2385143750257066</v>
      </c>
      <c r="Y31" s="136">
        <v>196.84</v>
      </c>
      <c r="Z31" s="136">
        <v>243.13</v>
      </c>
      <c r="AA31" s="131">
        <v>0.34</v>
      </c>
      <c r="AB31" s="133">
        <v>643</v>
      </c>
      <c r="AC31" s="133">
        <v>1240</v>
      </c>
      <c r="AD31" s="144" t="s">
        <v>181</v>
      </c>
      <c r="AE31" s="131">
        <v>75.819999999999993</v>
      </c>
      <c r="AF31" s="133">
        <v>172</v>
      </c>
      <c r="AG31" s="134">
        <v>5</v>
      </c>
      <c r="AH31" s="131">
        <v>8</v>
      </c>
      <c r="AI31" s="115">
        <f t="shared" si="10"/>
        <v>32.904207625550121</v>
      </c>
      <c r="AJ31" s="131">
        <v>149.9</v>
      </c>
      <c r="AK31" s="115">
        <f t="shared" si="45"/>
        <v>616.54259038374551</v>
      </c>
      <c r="AL31" s="139">
        <v>40.729999999999997</v>
      </c>
      <c r="AM31" s="131"/>
      <c r="AN31" s="136">
        <v>14.59</v>
      </c>
      <c r="AO31" s="466">
        <v>51.44</v>
      </c>
      <c r="AP31" s="110">
        <f t="shared" si="46"/>
        <v>0.16857283303293463</v>
      </c>
      <c r="AQ31" s="137" t="s">
        <v>492</v>
      </c>
      <c r="AR31" s="150">
        <v>6.87</v>
      </c>
      <c r="AS31" s="138">
        <v>9.0399999999999991</v>
      </c>
      <c r="AT31" s="134"/>
      <c r="AU31" s="131">
        <v>9.44</v>
      </c>
      <c r="AV31" s="139">
        <v>305.14999999999998</v>
      </c>
      <c r="AW31" s="131">
        <v>4.01</v>
      </c>
      <c r="AX31" s="148"/>
      <c r="AY31" s="131"/>
      <c r="AZ31" s="109">
        <f t="shared" si="58"/>
        <v>0</v>
      </c>
      <c r="BA31" s="109">
        <f t="shared" si="47"/>
        <v>243.12999999999997</v>
      </c>
      <c r="BB31" s="115">
        <f t="shared" si="59"/>
        <v>237.07272099072671</v>
      </c>
      <c r="BC31" s="140">
        <f t="shared" si="49"/>
        <v>10.961701408450704</v>
      </c>
      <c r="BD31" s="141">
        <f t="shared" si="62"/>
        <v>9.7251999999999992</v>
      </c>
      <c r="BE31" s="128">
        <f t="shared" si="51"/>
        <v>0.89530541140708642</v>
      </c>
      <c r="BF31" s="141">
        <f t="shared" si="52"/>
        <v>20.686901408450701</v>
      </c>
      <c r="BG31" s="535">
        <v>0.90400000000000003</v>
      </c>
      <c r="BH31" s="16">
        <f t="shared" si="53"/>
        <v>5577.2299999999987</v>
      </c>
      <c r="BI31" s="16">
        <f t="shared" si="54"/>
        <v>222.33333333333334</v>
      </c>
      <c r="BJ31" s="16">
        <f t="shared" si="55"/>
        <v>5558.3333333333321</v>
      </c>
      <c r="BK31" s="17">
        <f>IF(BA31&lt;&gt;0,1,0)</f>
        <v>1</v>
      </c>
      <c r="BL31" s="16">
        <f t="shared" si="57"/>
        <v>5558.3333333333321</v>
      </c>
      <c r="BM31" s="254"/>
      <c r="BN31" s="197">
        <v>41.97</v>
      </c>
      <c r="BO31" s="197">
        <v>103.199</v>
      </c>
      <c r="BP31" s="197">
        <v>370.779</v>
      </c>
      <c r="BQ31" s="230"/>
      <c r="BR31" s="230"/>
      <c r="BS31" s="259"/>
      <c r="BT31" s="199"/>
      <c r="BU31" s="200"/>
      <c r="BV31" s="200"/>
      <c r="BW31" s="200"/>
      <c r="BX31" s="200">
        <v>1.39</v>
      </c>
      <c r="BY31" s="208"/>
      <c r="BZ31" s="208"/>
      <c r="CA31" s="201"/>
      <c r="CB31" s="202"/>
      <c r="CC31" s="200">
        <v>43.7</v>
      </c>
      <c r="CD31" s="200">
        <v>43.85</v>
      </c>
      <c r="CE31" s="200">
        <v>38.94</v>
      </c>
      <c r="CF31" s="208"/>
      <c r="CG31" s="208"/>
      <c r="CH31" s="209"/>
      <c r="CI31" s="199"/>
      <c r="CJ31" s="197"/>
      <c r="CK31" s="197"/>
      <c r="CL31" s="230">
        <v>147.91999999999999</v>
      </c>
      <c r="CM31" s="198">
        <v>153.19999999999999</v>
      </c>
      <c r="CN31" s="202"/>
      <c r="CO31" s="208"/>
      <c r="CP31" s="208"/>
      <c r="CQ31" s="201"/>
      <c r="CR31" s="201"/>
      <c r="CS31" s="284"/>
      <c r="CT31" s="286">
        <f t="shared" si="20"/>
        <v>0</v>
      </c>
      <c r="CU31" s="24">
        <f t="shared" si="20"/>
        <v>41.97</v>
      </c>
      <c r="CV31" s="25">
        <f t="shared" si="20"/>
        <v>103.199</v>
      </c>
      <c r="CW31" s="24">
        <f t="shared" si="20"/>
        <v>365.6251719</v>
      </c>
      <c r="CX31" s="27">
        <f t="shared" si="20"/>
        <v>0</v>
      </c>
      <c r="CY31" s="24">
        <f t="shared" si="20"/>
        <v>0</v>
      </c>
      <c r="CZ31" s="280">
        <f t="shared" si="20"/>
        <v>0</v>
      </c>
      <c r="DA31" s="28">
        <f t="shared" si="21"/>
        <v>0</v>
      </c>
      <c r="DB31" s="24">
        <f t="shared" si="21"/>
        <v>0</v>
      </c>
      <c r="DC31" s="277">
        <f t="shared" si="21"/>
        <v>147.91999999999999</v>
      </c>
      <c r="DD31" s="280">
        <f t="shared" si="21"/>
        <v>153.19999999999999</v>
      </c>
      <c r="DE31" s="508">
        <f t="shared" si="31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2"/>
        <v>0</v>
      </c>
    </row>
    <row r="32" spans="1:115" ht="16.5" customHeight="1" thickBot="1">
      <c r="A32" s="534">
        <v>26</v>
      </c>
      <c r="B32" s="103">
        <f>'[1]ноябрь 20'!K31</f>
        <v>503.91399999999999</v>
      </c>
      <c r="C32" s="104">
        <f t="shared" si="35"/>
        <v>1.399520553110253</v>
      </c>
      <c r="D32" s="143">
        <f t="shared" si="36"/>
        <v>496.86162000000002</v>
      </c>
      <c r="E32" s="104">
        <f t="shared" si="61"/>
        <v>40.761026048095502</v>
      </c>
      <c r="F32" s="128">
        <f t="shared" si="38"/>
        <v>2.2181322321428576</v>
      </c>
      <c r="G32" s="106"/>
      <c r="H32" s="107">
        <f t="shared" si="39"/>
        <v>1.5427081250000001</v>
      </c>
      <c r="I32" s="103">
        <f>'[1]сентябрь 20'!AE31</f>
        <v>0</v>
      </c>
      <c r="J32" s="103">
        <f>'[1]ноябрь 20'!AA31</f>
        <v>9.3970000000000002</v>
      </c>
      <c r="K32" s="106">
        <v>15.13</v>
      </c>
      <c r="L32" s="103">
        <f>'[1]ноябрь 20'!AI31</f>
        <v>151.29499999999999</v>
      </c>
      <c r="M32" s="103">
        <f t="shared" si="40"/>
        <v>0.67542410714285717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'[1]ноябрь 20'!S31</f>
        <v>304.28100000000001</v>
      </c>
      <c r="S32" s="108">
        <f t="shared" si="41"/>
        <v>2.8266635116882322</v>
      </c>
      <c r="T32" s="109">
        <f t="shared" si="42"/>
        <v>295.67999999999989</v>
      </c>
      <c r="U32" s="106">
        <v>9.7200000000000006</v>
      </c>
      <c r="V32" s="109">
        <f t="shared" si="43"/>
        <v>295.67999999999995</v>
      </c>
      <c r="W32" s="110">
        <f t="shared" si="44"/>
        <v>1.3199999999999996</v>
      </c>
      <c r="X32" s="110">
        <f t="shared" si="26"/>
        <v>1.3199999999999996</v>
      </c>
      <c r="Y32" s="136">
        <v>51.03</v>
      </c>
      <c r="Z32" s="136">
        <v>224</v>
      </c>
      <c r="AA32" s="131">
        <v>0.51</v>
      </c>
      <c r="AB32" s="133">
        <v>675</v>
      </c>
      <c r="AC32" s="133">
        <v>1236</v>
      </c>
      <c r="AD32" s="144" t="s">
        <v>222</v>
      </c>
      <c r="AE32" s="131">
        <v>74.84</v>
      </c>
      <c r="AF32" s="133">
        <v>168</v>
      </c>
      <c r="AG32" s="134">
        <v>5</v>
      </c>
      <c r="AH32" s="131">
        <v>6.4</v>
      </c>
      <c r="AI32" s="115">
        <f t="shared" si="10"/>
        <v>28.571428571428577</v>
      </c>
      <c r="AJ32" s="131">
        <v>123.75</v>
      </c>
      <c r="AK32" s="115">
        <f t="shared" si="45"/>
        <v>552.45535714285722</v>
      </c>
      <c r="AL32" s="139">
        <v>34.619999999999997</v>
      </c>
      <c r="AM32" s="131"/>
      <c r="AN32" s="136">
        <v>15.59</v>
      </c>
      <c r="AO32" s="466">
        <v>66.78</v>
      </c>
      <c r="AP32" s="110">
        <f t="shared" si="46"/>
        <v>0.22065091690071043</v>
      </c>
      <c r="AQ32" s="137" t="s">
        <v>442</v>
      </c>
      <c r="AR32" s="150">
        <v>7.53</v>
      </c>
      <c r="AS32" s="138">
        <v>8.7899999999999991</v>
      </c>
      <c r="AT32" s="134"/>
      <c r="AU32" s="131">
        <v>7.58</v>
      </c>
      <c r="AV32" s="139">
        <v>302.64999999999998</v>
      </c>
      <c r="AW32" s="131">
        <v>3.72</v>
      </c>
      <c r="AX32" s="148"/>
      <c r="AY32" s="131"/>
      <c r="AZ32" s="109">
        <f t="shared" si="58"/>
        <v>0</v>
      </c>
      <c r="BA32" s="109">
        <f t="shared" si="47"/>
        <v>223.99999999999997</v>
      </c>
      <c r="BB32" s="115">
        <f t="shared" si="59"/>
        <v>236.24412849891533</v>
      </c>
      <c r="BC32" s="140">
        <f t="shared" si="49"/>
        <v>7.266390845070422</v>
      </c>
      <c r="BD32" s="141">
        <f t="shared" si="62"/>
        <v>8.9599999999999991</v>
      </c>
      <c r="BE32" s="128">
        <f t="shared" si="51"/>
        <v>0.82775390543049121</v>
      </c>
      <c r="BF32" s="141">
        <f t="shared" si="52"/>
        <v>16.226390845070419</v>
      </c>
      <c r="BG32" s="535">
        <v>0.90100000000000002</v>
      </c>
      <c r="BH32" s="16">
        <f t="shared" si="53"/>
        <v>5801.2299999999987</v>
      </c>
      <c r="BI32" s="16">
        <f t="shared" si="54"/>
        <v>222.33333333333334</v>
      </c>
      <c r="BJ32" s="16">
        <f t="shared" si="55"/>
        <v>5780.6666666666652</v>
      </c>
      <c r="BK32" s="17">
        <f>IF(BA32&lt;&gt;0,1,0)</f>
        <v>1</v>
      </c>
      <c r="BL32" s="16">
        <f t="shared" si="57"/>
        <v>5780.6666666666652</v>
      </c>
      <c r="BM32" s="254"/>
      <c r="BN32" s="197">
        <v>50.345999999999997</v>
      </c>
      <c r="BO32" s="197">
        <v>100.949</v>
      </c>
      <c r="BP32" s="197">
        <v>352.61900000000003</v>
      </c>
      <c r="BQ32" s="230"/>
      <c r="BR32" s="230"/>
      <c r="BS32" s="258"/>
      <c r="BT32" s="199"/>
      <c r="BU32" s="200"/>
      <c r="BV32" s="200"/>
      <c r="BW32" s="200"/>
      <c r="BX32" s="200">
        <v>2</v>
      </c>
      <c r="BY32" s="208"/>
      <c r="BZ32" s="208"/>
      <c r="CA32" s="201"/>
      <c r="CB32" s="202"/>
      <c r="CC32" s="200">
        <v>43.57</v>
      </c>
      <c r="CD32" s="200">
        <v>43.73</v>
      </c>
      <c r="CE32" s="200">
        <v>39.51</v>
      </c>
      <c r="CF32" s="208"/>
      <c r="CG32" s="208"/>
      <c r="CH32" s="209"/>
      <c r="CI32" s="199"/>
      <c r="CJ32" s="197"/>
      <c r="CK32" s="197"/>
      <c r="CL32" s="230">
        <v>144.47999999999999</v>
      </c>
      <c r="CM32" s="198">
        <v>151.19999999999999</v>
      </c>
      <c r="CN32" s="202"/>
      <c r="CO32" s="208"/>
      <c r="CP32" s="208"/>
      <c r="CQ32" s="201"/>
      <c r="CR32" s="201"/>
      <c r="CS32" s="284"/>
      <c r="CT32" s="286">
        <f t="shared" si="20"/>
        <v>0</v>
      </c>
      <c r="CU32" s="24">
        <f t="shared" si="20"/>
        <v>50.345999999999997</v>
      </c>
      <c r="CV32" s="25">
        <f t="shared" si="20"/>
        <v>100.949</v>
      </c>
      <c r="CW32" s="24">
        <f t="shared" si="20"/>
        <v>345.56662</v>
      </c>
      <c r="CX32" s="27">
        <f t="shared" si="20"/>
        <v>0</v>
      </c>
      <c r="CY32" s="24">
        <f t="shared" si="20"/>
        <v>0</v>
      </c>
      <c r="CZ32" s="280">
        <f t="shared" si="20"/>
        <v>0</v>
      </c>
      <c r="DA32" s="25">
        <f t="shared" si="21"/>
        <v>0</v>
      </c>
      <c r="DB32" s="24">
        <f t="shared" si="21"/>
        <v>0</v>
      </c>
      <c r="DC32" s="277">
        <f t="shared" si="21"/>
        <v>144.47999999999999</v>
      </c>
      <c r="DD32" s="280">
        <f t="shared" si="21"/>
        <v>151.19999999999999</v>
      </c>
      <c r="DE32" s="508">
        <f t="shared" si="31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2"/>
        <v>0</v>
      </c>
    </row>
    <row r="33" spans="1:115" ht="16.5" customHeight="1" thickBot="1">
      <c r="A33" s="534">
        <v>27</v>
      </c>
      <c r="B33" s="103">
        <f>'[1]ноябрь 20'!K32</f>
        <v>515.86699999999996</v>
      </c>
      <c r="C33" s="104">
        <f t="shared" si="35"/>
        <v>1.430421193834845</v>
      </c>
      <c r="D33" s="143">
        <f t="shared" si="36"/>
        <v>508.48792909999997</v>
      </c>
      <c r="E33" s="104">
        <f t="shared" si="61"/>
        <v>40.211739072280267</v>
      </c>
      <c r="F33" s="128">
        <f t="shared" si="38"/>
        <v>2.0517610018964616</v>
      </c>
      <c r="G33" s="106"/>
      <c r="H33" s="107">
        <f t="shared" si="39"/>
        <v>1.3813498329500062</v>
      </c>
      <c r="I33" s="103">
        <f>'[1]сентябрь 20'!AE32</f>
        <v>0</v>
      </c>
      <c r="J33" s="103">
        <f>'[1]ноябрь 20'!AA32</f>
        <v>10.135999999999999</v>
      </c>
      <c r="K33" s="106">
        <v>36.68</v>
      </c>
      <c r="L33" s="103">
        <f>'[1]ноябрь 20'!AI32</f>
        <v>166.148</v>
      </c>
      <c r="M33" s="103">
        <f t="shared" si="40"/>
        <v>0.67041116894645536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'[1]ноябрь 20'!S32</f>
        <v>310.23700000000002</v>
      </c>
      <c r="S33" s="108">
        <f t="shared" si="41"/>
        <v>2.9097109629090179</v>
      </c>
      <c r="T33" s="109">
        <f t="shared" si="42"/>
        <v>301.20999999999998</v>
      </c>
      <c r="U33" s="106">
        <v>48.03</v>
      </c>
      <c r="V33" s="109">
        <f t="shared" si="43"/>
        <v>301.20999999999998</v>
      </c>
      <c r="W33" s="110">
        <f t="shared" si="44"/>
        <v>1.2153895815680105</v>
      </c>
      <c r="X33" s="110">
        <f t="shared" si="26"/>
        <v>1.2153895815680105</v>
      </c>
      <c r="Y33" s="136">
        <v>158.76</v>
      </c>
      <c r="Z33" s="136">
        <v>151.16999999999999</v>
      </c>
      <c r="AA33" s="131">
        <v>0.71</v>
      </c>
      <c r="AB33" s="133">
        <v>660</v>
      </c>
      <c r="AC33" s="133">
        <v>1242</v>
      </c>
      <c r="AD33" s="144" t="s">
        <v>200</v>
      </c>
      <c r="AE33" s="131">
        <v>74.95</v>
      </c>
      <c r="AF33" s="133">
        <v>172</v>
      </c>
      <c r="AG33" s="134">
        <v>5</v>
      </c>
      <c r="AH33" s="131">
        <v>7.35</v>
      </c>
      <c r="AI33" s="115">
        <f t="shared" si="10"/>
        <v>29.65742646168745</v>
      </c>
      <c r="AJ33" s="131">
        <v>132.65</v>
      </c>
      <c r="AK33" s="115">
        <f t="shared" si="45"/>
        <v>535.24593471331161</v>
      </c>
      <c r="AL33" s="139">
        <v>38.369999999999997</v>
      </c>
      <c r="AM33" s="131"/>
      <c r="AN33" s="136">
        <v>16.25</v>
      </c>
      <c r="AO33" s="466">
        <v>61.09</v>
      </c>
      <c r="AP33" s="110">
        <f t="shared" si="46"/>
        <v>0.19120500782472616</v>
      </c>
      <c r="AQ33" s="137" t="s">
        <v>493</v>
      </c>
      <c r="AR33" s="150">
        <v>7.28</v>
      </c>
      <c r="AS33" s="138">
        <v>9.43</v>
      </c>
      <c r="AT33" s="134"/>
      <c r="AU33" s="131">
        <v>8.85</v>
      </c>
      <c r="AV33" s="139">
        <v>319.5</v>
      </c>
      <c r="AW33" s="131">
        <v>5.67</v>
      </c>
      <c r="AX33" s="116"/>
      <c r="AY33" s="131"/>
      <c r="AZ33" s="109">
        <f t="shared" si="58"/>
        <v>0</v>
      </c>
      <c r="BA33" s="109">
        <f t="shared" si="47"/>
        <v>247.82999999999996</v>
      </c>
      <c r="BB33" s="115">
        <f t="shared" si="59"/>
        <v>238.1639969009197</v>
      </c>
      <c r="BC33" s="140">
        <f t="shared" si="49"/>
        <v>9.093998239436619</v>
      </c>
      <c r="BD33" s="141">
        <f t="shared" si="62"/>
        <v>9.913199999999998</v>
      </c>
      <c r="BE33" s="128">
        <f t="shared" si="51"/>
        <v>0.9084311349125016</v>
      </c>
      <c r="BF33" s="141">
        <f t="shared" si="52"/>
        <v>19.007198239436619</v>
      </c>
      <c r="BG33" s="535">
        <v>0.90100000000000002</v>
      </c>
      <c r="BH33" s="16">
        <f t="shared" si="53"/>
        <v>6049.0599999999986</v>
      </c>
      <c r="BI33" s="16">
        <f t="shared" si="54"/>
        <v>222.33333333333334</v>
      </c>
      <c r="BJ33" s="16">
        <f t="shared" si="55"/>
        <v>6002.9999999999982</v>
      </c>
      <c r="BK33" s="17">
        <f t="shared" ref="BK33:BK36" si="63">IF(BA33&lt;&gt;0,1,0)</f>
        <v>1</v>
      </c>
      <c r="BL33" s="16">
        <f t="shared" si="57"/>
        <v>6002.9999999999982</v>
      </c>
      <c r="BM33" s="254"/>
      <c r="BN33" s="197">
        <v>63.018000000000001</v>
      </c>
      <c r="BO33" s="197">
        <v>103.13</v>
      </c>
      <c r="BP33" s="197">
        <v>349.71899999999999</v>
      </c>
      <c r="BQ33" s="230"/>
      <c r="BR33" s="230"/>
      <c r="BS33" s="258"/>
      <c r="BT33" s="199"/>
      <c r="BU33" s="200"/>
      <c r="BV33" s="200"/>
      <c r="BW33" s="200"/>
      <c r="BX33" s="200">
        <v>2.11</v>
      </c>
      <c r="BY33" s="208"/>
      <c r="BZ33" s="208"/>
      <c r="CA33" s="201"/>
      <c r="CB33" s="202"/>
      <c r="CC33" s="200">
        <v>43.89</v>
      </c>
      <c r="CD33" s="200">
        <v>44.04</v>
      </c>
      <c r="CE33" s="200">
        <v>38.42</v>
      </c>
      <c r="CF33" s="208"/>
      <c r="CG33" s="208"/>
      <c r="CH33" s="209"/>
      <c r="CI33" s="199"/>
      <c r="CJ33" s="197"/>
      <c r="CK33" s="197"/>
      <c r="CL33" s="230">
        <v>147.91999999999999</v>
      </c>
      <c r="CM33" s="198">
        <v>153.29</v>
      </c>
      <c r="CN33" s="202"/>
      <c r="CO33" s="208"/>
      <c r="CP33" s="208"/>
      <c r="CQ33" s="209"/>
      <c r="CR33" s="201"/>
      <c r="CS33" s="284"/>
      <c r="CT33" s="286">
        <f t="shared" si="20"/>
        <v>0</v>
      </c>
      <c r="CU33" s="24">
        <f t="shared" si="20"/>
        <v>63.018000000000001</v>
      </c>
      <c r="CV33" s="25">
        <f t="shared" si="20"/>
        <v>103.13</v>
      </c>
      <c r="CW33" s="24">
        <f t="shared" si="20"/>
        <v>342.33992910000001</v>
      </c>
      <c r="CX33" s="27">
        <f t="shared" si="20"/>
        <v>0</v>
      </c>
      <c r="CY33" s="24">
        <f t="shared" si="20"/>
        <v>0</v>
      </c>
      <c r="CZ33" s="280">
        <f t="shared" si="20"/>
        <v>0</v>
      </c>
      <c r="DA33" s="25">
        <f t="shared" si="21"/>
        <v>0</v>
      </c>
      <c r="DB33" s="24">
        <f t="shared" si="21"/>
        <v>0</v>
      </c>
      <c r="DC33" s="277">
        <f t="shared" si="21"/>
        <v>147.91999999999999</v>
      </c>
      <c r="DD33" s="280">
        <f t="shared" si="21"/>
        <v>153.29</v>
      </c>
      <c r="DE33" s="508">
        <f t="shared" si="31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2"/>
        <v>0</v>
      </c>
    </row>
    <row r="34" spans="1:115" ht="16.5" customHeight="1" thickBot="1">
      <c r="A34" s="534">
        <v>28</v>
      </c>
      <c r="B34" s="103">
        <f>'[1]ноябрь 20'!K33</f>
        <v>507.17200000000003</v>
      </c>
      <c r="C34" s="104">
        <f t="shared" si="35"/>
        <v>0.75631460332983691</v>
      </c>
      <c r="D34" s="143">
        <f t="shared" si="36"/>
        <v>503.33618409999997</v>
      </c>
      <c r="E34" s="104">
        <f t="shared" si="61"/>
        <v>40.448187360500974</v>
      </c>
      <c r="F34" s="128">
        <f t="shared" si="38"/>
        <v>2.1356762733367276</v>
      </c>
      <c r="G34" s="106"/>
      <c r="H34" s="107">
        <f t="shared" si="39"/>
        <v>1.4499880520196877</v>
      </c>
      <c r="I34" s="103">
        <f>'[1]сентябрь 20'!AE33</f>
        <v>0</v>
      </c>
      <c r="J34" s="103">
        <f>'[1]ноябрь 20'!AA33</f>
        <v>10.106</v>
      </c>
      <c r="K34" s="106">
        <v>32.549999999999997</v>
      </c>
      <c r="L34" s="103">
        <f>'[1]ноябрь 20'!AI33</f>
        <v>161.60300000000001</v>
      </c>
      <c r="M34" s="103">
        <f t="shared" si="40"/>
        <v>0.6856882213170401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'[1]ноябрь 20'!S33</f>
        <v>305.34100000000001</v>
      </c>
      <c r="S34" s="108">
        <f t="shared" si="41"/>
        <v>3.1410783353693073</v>
      </c>
      <c r="T34" s="109">
        <f t="shared" si="42"/>
        <v>295.75000000000006</v>
      </c>
      <c r="U34" s="106">
        <v>9.0399999999999991</v>
      </c>
      <c r="V34" s="109">
        <f t="shared" si="43"/>
        <v>295.75</v>
      </c>
      <c r="W34" s="110">
        <f t="shared" si="44"/>
        <v>1.2548794976238971</v>
      </c>
      <c r="X34" s="110">
        <f t="shared" si="26"/>
        <v>1.2548794976238971</v>
      </c>
      <c r="Y34" s="157"/>
      <c r="Z34" s="157">
        <v>235.68</v>
      </c>
      <c r="AA34" s="149">
        <v>0.48</v>
      </c>
      <c r="AB34" s="147">
        <v>666</v>
      </c>
      <c r="AC34" s="147">
        <v>1235</v>
      </c>
      <c r="AD34" s="144" t="s">
        <v>200</v>
      </c>
      <c r="AE34" s="149">
        <v>74.5</v>
      </c>
      <c r="AF34" s="147">
        <v>169</v>
      </c>
      <c r="AG34" s="155">
        <v>5</v>
      </c>
      <c r="AH34" s="149">
        <v>4.3499999999999996</v>
      </c>
      <c r="AI34" s="115">
        <f t="shared" si="10"/>
        <v>18.457230142566189</v>
      </c>
      <c r="AJ34" s="149">
        <v>135.05000000000001</v>
      </c>
      <c r="AK34" s="115">
        <f t="shared" si="45"/>
        <v>573.02274270196881</v>
      </c>
      <c r="AL34" s="156">
        <v>35.299999999999997</v>
      </c>
      <c r="AM34" s="149"/>
      <c r="AN34" s="157">
        <v>16.38</v>
      </c>
      <c r="AO34" s="466">
        <v>66.900000000000006</v>
      </c>
      <c r="AP34" s="110">
        <f t="shared" si="46"/>
        <v>0.21288782816229118</v>
      </c>
      <c r="AQ34" s="158" t="s">
        <v>347</v>
      </c>
      <c r="AR34" s="404">
        <v>7.4</v>
      </c>
      <c r="AS34" s="159">
        <v>8.67</v>
      </c>
      <c r="AT34" s="155"/>
      <c r="AU34" s="149">
        <v>7.28</v>
      </c>
      <c r="AV34" s="156">
        <v>314.25</v>
      </c>
      <c r="AW34" s="131">
        <v>4.71</v>
      </c>
      <c r="AX34" s="148"/>
      <c r="AY34" s="149"/>
      <c r="AZ34" s="109">
        <f t="shared" si="58"/>
        <v>0</v>
      </c>
      <c r="BA34" s="109">
        <f t="shared" si="47"/>
        <v>235.68</v>
      </c>
      <c r="BB34" s="115">
        <f t="shared" si="59"/>
        <v>238.56964660754721</v>
      </c>
      <c r="BC34" s="140">
        <f t="shared" si="49"/>
        <v>7.6160591549295775</v>
      </c>
      <c r="BD34" s="141">
        <f t="shared" si="62"/>
        <v>9.4272000000000009</v>
      </c>
      <c r="BE34" s="128">
        <f t="shared" si="51"/>
        <v>0.86242589082785304</v>
      </c>
      <c r="BF34" s="141">
        <f t="shared" si="52"/>
        <v>17.043259154929579</v>
      </c>
      <c r="BG34" s="538">
        <v>0.9</v>
      </c>
      <c r="BH34" s="16">
        <f t="shared" si="53"/>
        <v>6284.7399999999989</v>
      </c>
      <c r="BI34" s="16">
        <f t="shared" si="54"/>
        <v>222.33333333333334</v>
      </c>
      <c r="BJ34" s="16">
        <f t="shared" si="55"/>
        <v>6225.3333333333312</v>
      </c>
      <c r="BK34" s="17">
        <f t="shared" si="63"/>
        <v>1</v>
      </c>
      <c r="BL34" s="16">
        <f t="shared" si="57"/>
        <v>6225.3333333333312</v>
      </c>
      <c r="BM34" s="255"/>
      <c r="BN34" s="210">
        <v>60.222000000000001</v>
      </c>
      <c r="BO34" s="210">
        <v>101.381</v>
      </c>
      <c r="BP34" s="210">
        <v>345.56900000000002</v>
      </c>
      <c r="BQ34" s="233"/>
      <c r="BR34" s="233"/>
      <c r="BS34" s="260"/>
      <c r="BT34" s="212"/>
      <c r="BU34" s="213"/>
      <c r="BV34" s="213"/>
      <c r="BW34" s="213"/>
      <c r="BX34" s="213">
        <v>1.1100000000000001</v>
      </c>
      <c r="BY34" s="235"/>
      <c r="BZ34" s="235"/>
      <c r="CA34" s="214"/>
      <c r="CB34" s="215"/>
      <c r="CC34" s="213">
        <v>43.73</v>
      </c>
      <c r="CD34" s="213">
        <v>43.81</v>
      </c>
      <c r="CE34" s="213">
        <v>38.89</v>
      </c>
      <c r="CF34" s="235"/>
      <c r="CG34" s="235"/>
      <c r="CH34" s="211"/>
      <c r="CI34" s="212"/>
      <c r="CJ34" s="210"/>
      <c r="CK34" s="210"/>
      <c r="CL34" s="233">
        <v>145.34</v>
      </c>
      <c r="CM34" s="198">
        <v>150.41</v>
      </c>
      <c r="CN34" s="202"/>
      <c r="CO34" s="208"/>
      <c r="CP34" s="208"/>
      <c r="CQ34" s="209"/>
      <c r="CR34" s="201"/>
      <c r="CS34" s="284"/>
      <c r="CT34" s="286">
        <f t="shared" si="20"/>
        <v>0</v>
      </c>
      <c r="CU34" s="24">
        <f t="shared" si="20"/>
        <v>60.222000000000001</v>
      </c>
      <c r="CV34" s="25">
        <f t="shared" si="20"/>
        <v>101.381</v>
      </c>
      <c r="CW34" s="24">
        <f t="shared" si="20"/>
        <v>341.73318410000002</v>
      </c>
      <c r="CX34" s="27">
        <f t="shared" si="20"/>
        <v>0</v>
      </c>
      <c r="CY34" s="24">
        <f t="shared" si="20"/>
        <v>0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145.34</v>
      </c>
      <c r="DD34" s="280">
        <f t="shared" si="21"/>
        <v>150.41</v>
      </c>
      <c r="DE34" s="508">
        <f t="shared" si="31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2"/>
        <v>0</v>
      </c>
    </row>
    <row r="35" spans="1:115" ht="16.5" customHeight="1" thickBot="1">
      <c r="A35" s="534">
        <v>29</v>
      </c>
      <c r="B35" s="103">
        <f>'[1]ноябрь 20'!K34</f>
        <v>563.92499999999995</v>
      </c>
      <c r="C35" s="104">
        <f t="shared" si="35"/>
        <v>1.1533772044154809</v>
      </c>
      <c r="D35" s="143">
        <f t="shared" si="36"/>
        <v>557.42081759999996</v>
      </c>
      <c r="E35" s="104">
        <f t="shared" si="61"/>
        <v>40.78260798865098</v>
      </c>
      <c r="F35" s="128">
        <f t="shared" si="38"/>
        <v>2.1443385943450659</v>
      </c>
      <c r="G35" s="106"/>
      <c r="H35" s="107">
        <f t="shared" si="39"/>
        <v>1.4732364593190996</v>
      </c>
      <c r="I35" s="103">
        <f>'[1]сентябрь 20'!AE34</f>
        <v>0</v>
      </c>
      <c r="J35" s="103">
        <f>'[1]ноябрь 20'!AA34</f>
        <v>12.314</v>
      </c>
      <c r="K35" s="106">
        <v>24.85</v>
      </c>
      <c r="L35" s="103">
        <f>'[1]ноябрь 20'!AI34</f>
        <v>174.453</v>
      </c>
      <c r="M35" s="103">
        <f t="shared" si="40"/>
        <v>0.67110213502596638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'[1]ноябрь 20'!S34</f>
        <v>341.39299999999997</v>
      </c>
      <c r="S35" s="108">
        <f t="shared" si="41"/>
        <v>3.0325753603618</v>
      </c>
      <c r="T35" s="109">
        <f t="shared" si="42"/>
        <v>331.04</v>
      </c>
      <c r="U35" s="106"/>
      <c r="V35" s="109">
        <f t="shared" si="43"/>
        <v>331.04</v>
      </c>
      <c r="W35" s="110">
        <f t="shared" si="44"/>
        <v>1.2734756683977686</v>
      </c>
      <c r="X35" s="110">
        <f t="shared" si="26"/>
        <v>1.2734756683977686</v>
      </c>
      <c r="Y35" s="136">
        <v>159.63999999999999</v>
      </c>
      <c r="Z35" s="136">
        <v>199.61</v>
      </c>
      <c r="AA35" s="131">
        <v>0.69</v>
      </c>
      <c r="AB35" s="133">
        <v>618</v>
      </c>
      <c r="AC35" s="133">
        <v>1225</v>
      </c>
      <c r="AD35" s="144" t="s">
        <v>176</v>
      </c>
      <c r="AE35" s="131">
        <v>75.040000000000006</v>
      </c>
      <c r="AF35" s="133">
        <v>188</v>
      </c>
      <c r="AG35" s="134">
        <v>5</v>
      </c>
      <c r="AH35" s="166">
        <v>7.85</v>
      </c>
      <c r="AI35" s="115">
        <f t="shared" si="10"/>
        <v>30.19811502211963</v>
      </c>
      <c r="AJ35" s="166">
        <v>150.19999999999999</v>
      </c>
      <c r="AK35" s="115">
        <f t="shared" si="45"/>
        <v>577.80342373533358</v>
      </c>
      <c r="AL35" s="139">
        <v>37.380000000000003</v>
      </c>
      <c r="AM35" s="131"/>
      <c r="AN35" s="167">
        <v>13.41</v>
      </c>
      <c r="AO35" s="466">
        <v>59.83</v>
      </c>
      <c r="AP35" s="110">
        <f t="shared" si="46"/>
        <v>0.18179884533576418</v>
      </c>
      <c r="AQ35" s="168" t="s">
        <v>315</v>
      </c>
      <c r="AR35" s="405">
        <v>6.75</v>
      </c>
      <c r="AS35" s="169">
        <v>7.97</v>
      </c>
      <c r="AT35" s="170"/>
      <c r="AU35" s="166">
        <v>8.4700000000000006</v>
      </c>
      <c r="AV35" s="171">
        <v>329.1</v>
      </c>
      <c r="AW35" s="131">
        <v>4.09</v>
      </c>
      <c r="AX35" s="116"/>
      <c r="AY35" s="131"/>
      <c r="AZ35" s="109">
        <f t="shared" si="58"/>
        <v>0</v>
      </c>
      <c r="BA35" s="109">
        <f t="shared" si="47"/>
        <v>259.95000000000005</v>
      </c>
      <c r="BB35" s="115">
        <f t="shared" si="59"/>
        <v>264.47193767863223</v>
      </c>
      <c r="BC35" s="140">
        <f t="shared" si="49"/>
        <v>9.8550239436619709</v>
      </c>
      <c r="BD35" s="141">
        <f t="shared" si="62"/>
        <v>10.398000000000001</v>
      </c>
      <c r="BE35" s="128">
        <f t="shared" si="51"/>
        <v>0.85807345759215159</v>
      </c>
      <c r="BF35" s="141">
        <f t="shared" si="52"/>
        <v>20.253023943661972</v>
      </c>
      <c r="BG35" s="538">
        <v>0.89800000000000002</v>
      </c>
      <c r="BH35" s="16">
        <f t="shared" si="53"/>
        <v>6544.6899999999987</v>
      </c>
      <c r="BI35" s="16">
        <f t="shared" si="54"/>
        <v>222.33333333333334</v>
      </c>
      <c r="BJ35" s="16">
        <f t="shared" si="55"/>
        <v>6447.6666666666642</v>
      </c>
      <c r="BK35" s="17">
        <f t="shared" si="63"/>
        <v>1</v>
      </c>
      <c r="BL35" s="16">
        <f t="shared" si="57"/>
        <v>6447.6666666666642</v>
      </c>
      <c r="BM35" s="254"/>
      <c r="BN35" s="197">
        <v>61.720999999999997</v>
      </c>
      <c r="BO35" s="197">
        <v>112.732</v>
      </c>
      <c r="BP35" s="197">
        <v>389.47199999999998</v>
      </c>
      <c r="BQ35" s="230"/>
      <c r="BR35" s="230"/>
      <c r="BS35" s="259"/>
      <c r="BT35" s="199"/>
      <c r="BU35" s="200"/>
      <c r="BV35" s="200"/>
      <c r="BW35" s="200"/>
      <c r="BX35" s="200">
        <v>1.67</v>
      </c>
      <c r="BY35" s="208"/>
      <c r="BZ35" s="208"/>
      <c r="CA35" s="201"/>
      <c r="CB35" s="202"/>
      <c r="CC35" s="200">
        <v>43.81</v>
      </c>
      <c r="CD35" s="200">
        <v>44.04</v>
      </c>
      <c r="CE35" s="200">
        <v>39.36</v>
      </c>
      <c r="CF35" s="208"/>
      <c r="CG35" s="208"/>
      <c r="CH35" s="209"/>
      <c r="CI35" s="199"/>
      <c r="CJ35" s="197"/>
      <c r="CK35" s="197"/>
      <c r="CL35" s="230">
        <v>161.68</v>
      </c>
      <c r="CM35" s="198">
        <v>169.36</v>
      </c>
      <c r="CN35" s="202"/>
      <c r="CO35" s="208"/>
      <c r="CP35" s="208"/>
      <c r="CQ35" s="209"/>
      <c r="CR35" s="201"/>
      <c r="CT35" s="286">
        <f t="shared" si="20"/>
        <v>0</v>
      </c>
      <c r="CU35" s="24">
        <f t="shared" si="20"/>
        <v>61.720999999999997</v>
      </c>
      <c r="CV35" s="24">
        <f t="shared" si="20"/>
        <v>112.732</v>
      </c>
      <c r="CW35" s="24">
        <f t="shared" si="20"/>
        <v>382.96781759999999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161.68</v>
      </c>
      <c r="DD35" s="280">
        <f t="shared" si="21"/>
        <v>169.36</v>
      </c>
      <c r="DE35" s="508">
        <f t="shared" si="31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2"/>
        <v>0</v>
      </c>
    </row>
    <row r="36" spans="1:115" ht="16.5" customHeight="1" thickBot="1">
      <c r="A36" s="534">
        <v>30</v>
      </c>
      <c r="B36" s="103">
        <f>'[1]ноябрь 20'!K35</f>
        <v>507.077</v>
      </c>
      <c r="C36" s="104">
        <f t="shared" si="35"/>
        <v>0.92584802702548141</v>
      </c>
      <c r="D36" s="143">
        <f t="shared" si="36"/>
        <v>502.3822376</v>
      </c>
      <c r="E36" s="104">
        <f t="shared" si="61"/>
        <v>40.137751919333752</v>
      </c>
      <c r="F36" s="128">
        <f t="shared" si="38"/>
        <v>2.180099972227044</v>
      </c>
      <c r="G36" s="106"/>
      <c r="H36" s="107">
        <f t="shared" si="39"/>
        <v>1.6359713487241798</v>
      </c>
      <c r="I36" s="103">
        <f>'[1]сентябрь 20'!AE35</f>
        <v>0</v>
      </c>
      <c r="J36" s="103">
        <f>'[1]ноябрь 20'!AA35</f>
        <v>12.753</v>
      </c>
      <c r="K36" s="106">
        <v>53.29</v>
      </c>
      <c r="L36" s="103">
        <f>'[1]ноябрь 20'!AI35</f>
        <v>125.389</v>
      </c>
      <c r="M36" s="103">
        <f t="shared" si="40"/>
        <v>0.54412862350286406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'[1]ноябрь 20'!S35</f>
        <v>308.44600000000003</v>
      </c>
      <c r="S36" s="108">
        <f t="shared" si="41"/>
        <v>3.1532261724904864</v>
      </c>
      <c r="T36" s="109">
        <f t="shared" si="42"/>
        <v>298.72000000000003</v>
      </c>
      <c r="U36" s="106">
        <v>31.07</v>
      </c>
      <c r="V36" s="109">
        <f t="shared" si="43"/>
        <v>298.72000000000003</v>
      </c>
      <c r="W36" s="110">
        <f t="shared" si="44"/>
        <v>1.296302725221316</v>
      </c>
      <c r="X36" s="110">
        <f t="shared" si="26"/>
        <v>1.296302725221316</v>
      </c>
      <c r="Y36" s="136">
        <v>81.98</v>
      </c>
      <c r="Z36" s="136">
        <v>168.24</v>
      </c>
      <c r="AA36" s="131">
        <v>0.7</v>
      </c>
      <c r="AB36" s="133">
        <v>623</v>
      </c>
      <c r="AC36" s="133">
        <v>1224</v>
      </c>
      <c r="AD36" s="144" t="s">
        <v>109</v>
      </c>
      <c r="AE36" s="131">
        <v>74.89</v>
      </c>
      <c r="AF36" s="133">
        <v>169</v>
      </c>
      <c r="AG36" s="134">
        <v>5</v>
      </c>
      <c r="AH36" s="131">
        <v>6.5</v>
      </c>
      <c r="AI36" s="115">
        <f t="shared" si="10"/>
        <v>28.206908522825898</v>
      </c>
      <c r="AJ36" s="131">
        <v>129.9</v>
      </c>
      <c r="AK36" s="115">
        <f t="shared" si="45"/>
        <v>563.70421801770533</v>
      </c>
      <c r="AL36" s="139">
        <v>35.54</v>
      </c>
      <c r="AM36" s="131"/>
      <c r="AN36" s="136">
        <v>17.55</v>
      </c>
      <c r="AO36" s="466">
        <v>59.26</v>
      </c>
      <c r="AP36" s="110">
        <f t="shared" si="46"/>
        <v>0.19287225386493084</v>
      </c>
      <c r="AQ36" s="137" t="s">
        <v>494</v>
      </c>
      <c r="AR36" s="150">
        <v>7.34</v>
      </c>
      <c r="AS36" s="138">
        <v>8.8000000000000007</v>
      </c>
      <c r="AT36" s="134"/>
      <c r="AU36" s="131">
        <v>7.56</v>
      </c>
      <c r="AV36" s="139">
        <v>307.25</v>
      </c>
      <c r="AW36" s="131"/>
      <c r="AX36" s="116"/>
      <c r="AY36" s="131"/>
      <c r="AZ36" s="109">
        <f t="shared" si="58"/>
        <v>0</v>
      </c>
      <c r="BA36" s="109">
        <f t="shared" si="47"/>
        <v>230.44</v>
      </c>
      <c r="BB36" s="115">
        <f t="shared" si="59"/>
        <v>235.05945962801545</v>
      </c>
      <c r="BC36" s="140">
        <f t="shared" si="49"/>
        <v>7.6073830985915487</v>
      </c>
      <c r="BD36" s="141">
        <f t="shared" si="62"/>
        <v>9.2176000000000009</v>
      </c>
      <c r="BE36" s="128">
        <f t="shared" si="51"/>
        <v>0.85584353983609351</v>
      </c>
      <c r="BF36" s="141">
        <f t="shared" si="52"/>
        <v>16.824983098591549</v>
      </c>
      <c r="BG36" s="538">
        <v>0.89600000000000002</v>
      </c>
      <c r="BH36" s="16">
        <f t="shared" si="53"/>
        <v>6775.1299999999983</v>
      </c>
      <c r="BI36" s="16">
        <f t="shared" si="54"/>
        <v>222.33333333333334</v>
      </c>
      <c r="BJ36" s="16">
        <f t="shared" si="55"/>
        <v>6669.9999999999973</v>
      </c>
      <c r="BK36" s="17">
        <f t="shared" si="63"/>
        <v>1</v>
      </c>
      <c r="BL36" s="16">
        <f t="shared" si="57"/>
        <v>6669.9999999999973</v>
      </c>
      <c r="BM36" s="254">
        <v>39.664000000000001</v>
      </c>
      <c r="BN36" s="197">
        <v>24.003</v>
      </c>
      <c r="BO36" s="197">
        <v>101.386</v>
      </c>
      <c r="BP36" s="197">
        <v>342.024</v>
      </c>
      <c r="BQ36" s="230"/>
      <c r="BR36" s="230"/>
      <c r="BS36" s="258"/>
      <c r="BT36" s="199"/>
      <c r="BU36" s="200">
        <v>1.23</v>
      </c>
      <c r="BV36" s="200"/>
      <c r="BW36" s="200"/>
      <c r="BX36" s="200">
        <v>1.23</v>
      </c>
      <c r="BY36" s="208"/>
      <c r="BZ36" s="208"/>
      <c r="CA36" s="201"/>
      <c r="CB36" s="202">
        <v>39.04</v>
      </c>
      <c r="CC36" s="200">
        <v>43.73</v>
      </c>
      <c r="CD36" s="200">
        <v>43.42</v>
      </c>
      <c r="CE36" s="200">
        <v>39.04</v>
      </c>
      <c r="CF36" s="208"/>
      <c r="CG36" s="208"/>
      <c r="CH36" s="209"/>
      <c r="CI36" s="199"/>
      <c r="CJ36" s="197"/>
      <c r="CK36" s="197"/>
      <c r="CL36" s="230">
        <v>145.34</v>
      </c>
      <c r="CM36" s="198">
        <v>153.38</v>
      </c>
      <c r="CN36" s="202"/>
      <c r="CO36" s="208"/>
      <c r="CP36" s="208"/>
      <c r="CQ36" s="209"/>
      <c r="CR36" s="201"/>
      <c r="CT36" s="286">
        <f t="shared" si="20"/>
        <v>39.176132799999998</v>
      </c>
      <c r="CU36" s="27">
        <f t="shared" si="20"/>
        <v>24.003</v>
      </c>
      <c r="CV36" s="28">
        <f t="shared" si="20"/>
        <v>101.386</v>
      </c>
      <c r="CW36" s="27">
        <f t="shared" si="20"/>
        <v>337.81710479999998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145.34</v>
      </c>
      <c r="DD36" s="280">
        <f t="shared" si="21"/>
        <v>153.38</v>
      </c>
      <c r="DE36" s="508">
        <f t="shared" si="31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2"/>
        <v>0</v>
      </c>
    </row>
    <row r="37" spans="1:115" ht="16.5" customHeight="1" thickBot="1">
      <c r="A37" s="539">
        <v>31</v>
      </c>
      <c r="B37" s="103">
        <f>'[1]ноябрь 20'!K36</f>
        <v>0</v>
      </c>
      <c r="C37" s="541">
        <f t="shared" si="0"/>
        <v>0</v>
      </c>
      <c r="D37" s="542">
        <f t="shared" si="1"/>
        <v>0</v>
      </c>
      <c r="E37" s="541">
        <f t="shared" si="2"/>
        <v>0</v>
      </c>
      <c r="F37" s="505">
        <f t="shared" si="3"/>
        <v>0</v>
      </c>
      <c r="G37" s="543"/>
      <c r="H37" s="544">
        <f t="shared" si="4"/>
        <v>0</v>
      </c>
      <c r="I37" s="540">
        <f>'[1]сентябрь 20'!AE36</f>
        <v>0</v>
      </c>
      <c r="J37" s="103">
        <f>'[1]ноябрь 20'!AA36</f>
        <v>0</v>
      </c>
      <c r="K37" s="543"/>
      <c r="L37" s="505">
        <f>'[1]ноябрь 20'!AI36</f>
        <v>0</v>
      </c>
      <c r="M37" s="540">
        <f t="shared" si="5"/>
        <v>0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568">
        <f>'[1]ноябрь 20'!S36</f>
        <v>0</v>
      </c>
      <c r="S37" s="546">
        <f t="shared" si="6"/>
        <v>0</v>
      </c>
      <c r="T37" s="547">
        <f t="shared" si="7"/>
        <v>0</v>
      </c>
      <c r="U37" s="576"/>
      <c r="V37" s="547">
        <f t="shared" si="8"/>
        <v>0</v>
      </c>
      <c r="W37" s="549">
        <f t="shared" si="9"/>
        <v>0</v>
      </c>
      <c r="X37" s="227">
        <f t="shared" si="26"/>
        <v>0</v>
      </c>
      <c r="Y37" s="550"/>
      <c r="Z37" s="550"/>
      <c r="AA37" s="548"/>
      <c r="AB37" s="551"/>
      <c r="AC37" s="551"/>
      <c r="AD37" s="552"/>
      <c r="AE37" s="548"/>
      <c r="AF37" s="551"/>
      <c r="AG37" s="553"/>
      <c r="AH37" s="548"/>
      <c r="AI37" s="554">
        <f t="shared" si="10"/>
        <v>0</v>
      </c>
      <c r="AJ37" s="548"/>
      <c r="AK37" s="555">
        <f t="shared" si="11"/>
        <v>0</v>
      </c>
      <c r="AL37" s="556"/>
      <c r="AM37" s="548"/>
      <c r="AN37" s="550"/>
      <c r="AO37" s="619">
        <f t="shared" ref="AO37" si="64">AV37*0.19</f>
        <v>0</v>
      </c>
      <c r="AP37" s="549">
        <f t="shared" si="12"/>
        <v>0</v>
      </c>
      <c r="AQ37" s="558"/>
      <c r="AR37" s="559"/>
      <c r="AS37" s="560"/>
      <c r="AT37" s="553"/>
      <c r="AU37" s="548"/>
      <c r="AV37" s="548"/>
      <c r="AW37" s="548"/>
      <c r="AX37" s="548"/>
      <c r="AY37" s="548"/>
      <c r="AZ37" s="547">
        <f t="shared" ref="AZ37" si="65">IF(BA37=0,0,AY37/BA37*100)</f>
        <v>0</v>
      </c>
      <c r="BA37" s="547">
        <f t="shared" si="13"/>
        <v>0</v>
      </c>
      <c r="BB37" s="554">
        <f t="shared" si="27"/>
        <v>0</v>
      </c>
      <c r="BC37" s="561">
        <f t="shared" si="14"/>
        <v>0</v>
      </c>
      <c r="BD37" s="555">
        <f t="shared" ref="BD37" si="66">BA37*$BD$6</f>
        <v>0</v>
      </c>
      <c r="BE37" s="505">
        <f t="shared" si="16"/>
        <v>0</v>
      </c>
      <c r="BF37" s="555">
        <f t="shared" si="17"/>
        <v>0</v>
      </c>
      <c r="BG37" s="562"/>
      <c r="BH37" s="16">
        <f t="shared" si="28"/>
        <v>6775.1299999999983</v>
      </c>
      <c r="BI37" s="16">
        <f t="shared" si="18"/>
        <v>0</v>
      </c>
      <c r="BJ37" s="16">
        <f t="shared" si="29"/>
        <v>6669.9999999999973</v>
      </c>
      <c r="BK37" s="17">
        <f t="shared" si="19"/>
        <v>0</v>
      </c>
      <c r="BL37" s="16">
        <f t="shared" si="30"/>
        <v>6669.9999999999973</v>
      </c>
      <c r="BM37" s="256"/>
      <c r="BN37" s="257"/>
      <c r="BO37" s="257"/>
      <c r="BP37" s="257"/>
      <c r="BQ37" s="261"/>
      <c r="BR37" s="261"/>
      <c r="BS37" s="262"/>
      <c r="BT37" s="219"/>
      <c r="BU37" s="220"/>
      <c r="BV37" s="220"/>
      <c r="BW37" s="220"/>
      <c r="BX37" s="220"/>
      <c r="BY37" s="224"/>
      <c r="BZ37" s="224"/>
      <c r="CA37" s="221"/>
      <c r="CB37" s="222"/>
      <c r="CC37" s="220"/>
      <c r="CD37" s="220"/>
      <c r="CE37" s="220"/>
      <c r="CF37" s="224"/>
      <c r="CG37" s="224"/>
      <c r="CH37" s="221"/>
      <c r="CI37" s="219"/>
      <c r="CJ37" s="217"/>
      <c r="CK37" s="217"/>
      <c r="CL37" s="234"/>
      <c r="CM37" s="223"/>
      <c r="CN37" s="222"/>
      <c r="CO37" s="224"/>
      <c r="CP37" s="224"/>
      <c r="CQ37" s="218"/>
      <c r="CR37" s="221"/>
      <c r="CT37" s="287">
        <f t="shared" si="20"/>
        <v>0</v>
      </c>
      <c r="CU37" s="32">
        <f t="shared" si="20"/>
        <v>0</v>
      </c>
      <c r="CV37" s="30">
        <f t="shared" si="20"/>
        <v>0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0</v>
      </c>
      <c r="DD37" s="280">
        <f t="shared" si="21"/>
        <v>0</v>
      </c>
      <c r="DE37" s="563">
        <f t="shared" si="31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2"/>
        <v>0</v>
      </c>
    </row>
    <row r="38" spans="1:115" ht="16.5" customHeight="1" thickBot="1">
      <c r="A38" s="55" t="s">
        <v>58</v>
      </c>
      <c r="B38" s="575">
        <f>SUM(B7:B37)</f>
        <v>14633.788</v>
      </c>
      <c r="C38" s="616"/>
      <c r="D38" s="340">
        <f>SUM(D7:D37)</f>
        <v>14462.330386877016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375.21600000000001</v>
      </c>
      <c r="K38" s="340">
        <f>SUM(K7:K37)</f>
        <v>647.70999999999992</v>
      </c>
      <c r="L38" s="340">
        <f>SUM(L7:L37)</f>
        <v>3745.5799999999995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575">
        <f>SUM(R7:R37)</f>
        <v>8982.4189999999999</v>
      </c>
      <c r="S38" s="340"/>
      <c r="T38" s="343">
        <f>SUM(T7:T37)</f>
        <v>8722.6600001999996</v>
      </c>
      <c r="U38" s="340">
        <f>SUM(U7:U37)</f>
        <v>655.72</v>
      </c>
      <c r="V38" s="343">
        <f>SUM(V7:V37)</f>
        <v>8722.6600001999996</v>
      </c>
      <c r="W38" s="346"/>
      <c r="X38" s="344"/>
      <c r="Y38" s="343">
        <f>SUM(Y7:Y37)</f>
        <v>5263.2499999999991</v>
      </c>
      <c r="Z38" s="343">
        <f>SUM(Z7:Z37)</f>
        <v>5398.82</v>
      </c>
      <c r="AA38" s="345"/>
      <c r="AB38" s="346"/>
      <c r="AC38" s="347"/>
      <c r="AD38" s="348"/>
      <c r="AE38" s="345"/>
      <c r="AF38" s="345"/>
      <c r="AG38" s="347">
        <f>SUM(AG7:AG37)</f>
        <v>146</v>
      </c>
      <c r="AH38" s="343">
        <f>SUM(AH7:AH37)</f>
        <v>233.75000000000003</v>
      </c>
      <c r="AI38" s="351"/>
      <c r="AJ38" s="343">
        <f>SUM(AJ7:AJ37)</f>
        <v>3969.6000000000004</v>
      </c>
      <c r="AK38" s="343"/>
      <c r="AL38" s="617">
        <f>SUM(AL7:AL37)</f>
        <v>1021.7500000000001</v>
      </c>
      <c r="AM38" s="343">
        <f>SUM(AM7:AM37)</f>
        <v>0</v>
      </c>
      <c r="AN38" s="343">
        <f>SUM(AN7:AN37)</f>
        <v>433.74</v>
      </c>
      <c r="AO38" s="618">
        <f>SUM(AO7:AO37)</f>
        <v>1738.0000000000002</v>
      </c>
      <c r="AP38" s="530"/>
      <c r="AQ38" s="351"/>
      <c r="AR38" s="343"/>
      <c r="AS38" s="351"/>
      <c r="AT38" s="351"/>
      <c r="AU38" s="352"/>
      <c r="AV38" s="343">
        <f>SUM(AV7:AV37)</f>
        <v>8827.65</v>
      </c>
      <c r="AW38" s="343">
        <f>SUM(AW7:AW37)</f>
        <v>119.22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6775.1299999999983</v>
      </c>
      <c r="BB38" s="343">
        <f>SUM(BB7:BB37)</f>
        <v>6599.0888741444851</v>
      </c>
      <c r="BC38" s="351">
        <f>SUM(BC7:BC36)</f>
        <v>237.60776584507042</v>
      </c>
      <c r="BD38" s="351">
        <f>SUM(BD7:BD36)</f>
        <v>262.20960000000002</v>
      </c>
      <c r="BE38" s="340"/>
      <c r="BF38" s="351">
        <f>SUM(BF7:BF37)</f>
        <v>499.81736584507024</v>
      </c>
      <c r="BG38" s="353"/>
      <c r="BH38" s="16"/>
      <c r="BI38" s="16">
        <f t="shared" si="18"/>
        <v>0</v>
      </c>
      <c r="BJ38" s="16"/>
      <c r="BK38" s="17">
        <f>SUM(BK7:BK37)</f>
        <v>30</v>
      </c>
      <c r="BL38" s="33"/>
      <c r="BM38" s="228">
        <f t="shared" ref="BM38:BS38" si="67">SUM(BM7:BM37)</f>
        <v>39.664000100000003</v>
      </c>
      <c r="BN38" s="38">
        <f t="shared" si="67"/>
        <v>801.59400000000016</v>
      </c>
      <c r="BO38" s="38">
        <f t="shared" si="67"/>
        <v>2943.9859999999999</v>
      </c>
      <c r="BP38" s="38">
        <f t="shared" si="67"/>
        <v>10848.543999999998</v>
      </c>
      <c r="BQ38" s="38">
        <f t="shared" si="67"/>
        <v>9.9999999999999995E-8</v>
      </c>
      <c r="BR38" s="38">
        <f t="shared" si="67"/>
        <v>9.9999999999999995E-8</v>
      </c>
      <c r="BS38" s="38">
        <f t="shared" si="67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1611.1800000999999</v>
      </c>
      <c r="CL38" s="39">
        <f>SUM(CL7:CL37)</f>
        <v>3717.34</v>
      </c>
      <c r="CM38" s="40">
        <f>SUM(CM7:CM37)</f>
        <v>3394.1399999999994</v>
      </c>
      <c r="CN38" s="34"/>
      <c r="CO38" s="35"/>
      <c r="CP38" s="236"/>
      <c r="CQ38" s="36"/>
      <c r="CR38" s="36"/>
      <c r="CT38" s="189">
        <f t="shared" ref="CT38:DE38" si="68">SUM(CT7:CT37)</f>
        <v>39.176132899999999</v>
      </c>
      <c r="CU38" s="190">
        <f t="shared" si="68"/>
        <v>801.59399997541311</v>
      </c>
      <c r="CV38" s="191">
        <f t="shared" si="68"/>
        <v>2943.9859999016035</v>
      </c>
      <c r="CW38" s="192">
        <f t="shared" si="68"/>
        <v>10677.574254199997</v>
      </c>
      <c r="CX38" s="192">
        <f t="shared" si="68"/>
        <v>9.99999999E-8</v>
      </c>
      <c r="CY38" s="192">
        <f t="shared" si="68"/>
        <v>9.99999999E-8</v>
      </c>
      <c r="CZ38" s="278">
        <f t="shared" si="68"/>
        <v>9.99999999E-8</v>
      </c>
      <c r="DA38" s="278">
        <f t="shared" si="68"/>
        <v>9.99999999E-8</v>
      </c>
      <c r="DB38" s="192">
        <f t="shared" si="68"/>
        <v>1611.1800000999999</v>
      </c>
      <c r="DC38" s="192">
        <f t="shared" si="68"/>
        <v>3717.3399998852001</v>
      </c>
      <c r="DD38" s="498">
        <f t="shared" si="68"/>
        <v>3394.1399998259994</v>
      </c>
      <c r="DE38" s="564">
        <f t="shared" si="68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487.79293333333334</v>
      </c>
      <c r="C39" s="84">
        <f>(BM38*BU39+BN38*BV39+BP38*BX39+BS38*CA39+BO38*BW39+BR38*BZ39+BQ38*BY39)/B38</f>
        <v>1.1716557129499414</v>
      </c>
      <c r="D39" s="82"/>
      <c r="E39" s="354">
        <f>(BM38*CB39+BN38*CC39+BP38*CE39+BS38*CH39+BO38*CD39+BR38*CG39+BQ38*CF39)/B38</f>
        <v>39.501432605146384</v>
      </c>
      <c r="F39" s="355">
        <f>IF(BA38=0,0,D38/BA38)</f>
        <v>2.1346203522112521</v>
      </c>
      <c r="G39" s="354">
        <f>G38/AV2</f>
        <v>0</v>
      </c>
      <c r="H39" s="355">
        <f>IF(BA38=0,0,(CZ38+CW38+CY38+CT38+CX38)/BA38)</f>
        <v>1.5817778238055953</v>
      </c>
      <c r="I39" s="354">
        <f>I38/AV2</f>
        <v>0</v>
      </c>
      <c r="J39" s="572">
        <f>J38/AV2</f>
        <v>12.507200000000001</v>
      </c>
      <c r="K39" s="354">
        <f>K38/AV2</f>
        <v>21.59033333333333</v>
      </c>
      <c r="L39" s="354">
        <f>L38/AV2</f>
        <v>124.85266666666665</v>
      </c>
      <c r="M39" s="355">
        <f>IF($BA$38=0,0,(CV38+CU38)/$BA$38)</f>
        <v>0.55284252846469628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299.41396666666668</v>
      </c>
      <c r="S39" s="354">
        <f>(SUMPRODUCT(R7:R37,S7:S37))/R38</f>
        <v>2.8918601971250717</v>
      </c>
      <c r="T39" s="357"/>
      <c r="U39" s="354">
        <f>U38/AV2</f>
        <v>21.857333333333333</v>
      </c>
      <c r="V39" s="354">
        <f>V38/AV2:AV2</f>
        <v>290.75533333999999</v>
      </c>
      <c r="W39" s="358">
        <f>IF($BA$38=0,0,T38/$BA$38)</f>
        <v>1.2874527869133141</v>
      </c>
      <c r="X39" s="358">
        <f>Q39+W39</f>
        <v>1.2874527869133141</v>
      </c>
      <c r="Y39" s="354">
        <f>Y38/AV2</f>
        <v>175.44166666666663</v>
      </c>
      <c r="Z39" s="354">
        <f>Z38/AV2</f>
        <v>179.96066666666667</v>
      </c>
      <c r="AA39" s="354">
        <f>(SUMPRODUCT(AA7:AA37,BA7:BA37))/BA38</f>
        <v>0.73393741522302891</v>
      </c>
      <c r="AB39" s="359">
        <f>AVERAGE(AB7:AB37)</f>
        <v>640.6</v>
      </c>
      <c r="AC39" s="359">
        <f>AVERAGE(AC7:AC37)</f>
        <v>1224.4000000000001</v>
      </c>
      <c r="AD39" s="359"/>
      <c r="AE39" s="354">
        <f>(SUMPRODUCT(AE7:AE37,BA7:BA37))/BA38</f>
        <v>75.588306659798434</v>
      </c>
      <c r="AF39" s="360">
        <f>AVERAGE(AF7:AF37)</f>
        <v>162.73333333333332</v>
      </c>
      <c r="AG39" s="360">
        <f>AVERAGE(AG7:AG37)</f>
        <v>4.8666666666666663</v>
      </c>
      <c r="AH39" s="354">
        <f>AH38/AV2</f>
        <v>7.7916666666666679</v>
      </c>
      <c r="AI39" s="361">
        <f>IF(BA38=0,0,AH38/BA38*1000)</f>
        <v>34.501183003130578</v>
      </c>
      <c r="AJ39" s="361">
        <f>AJ38/AV2</f>
        <v>132.32000000000002</v>
      </c>
      <c r="AK39" s="361">
        <f>IF(BA38=0,0,AJ38/BA38*1000)</f>
        <v>585.90757668118567</v>
      </c>
      <c r="AL39" s="354">
        <f>AL38/AV2</f>
        <v>34.058333333333337</v>
      </c>
      <c r="AM39" s="359"/>
      <c r="AN39" s="354">
        <f>AN38/AV2</f>
        <v>14.458</v>
      </c>
      <c r="AO39" s="354">
        <f>AO38/AV2</f>
        <v>57.933333333333344</v>
      </c>
      <c r="AP39" s="346">
        <f>IF(AO39=0,0,AO39/AV39)</f>
        <v>0.19688138972433211</v>
      </c>
      <c r="AQ39" s="361">
        <f>SUM(AQ8:AQ38)</f>
        <v>0</v>
      </c>
      <c r="AR39" s="354">
        <f>AVERAGE(AR7:AR37)</f>
        <v>7.0796666666666663</v>
      </c>
      <c r="AS39" s="354">
        <f>AVERAGE(AS7:AS37)</f>
        <v>9.2340000000000018</v>
      </c>
      <c r="AT39" s="362"/>
      <c r="AU39" s="354">
        <f>AVERAGE(AU7:AU37)</f>
        <v>7.7020000000000008</v>
      </c>
      <c r="AV39" s="363">
        <f>AV38/AV2</f>
        <v>294.255</v>
      </c>
      <c r="AW39" s="363">
        <f>AW38/AV2</f>
        <v>3.9739999999999998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225.83766666666662</v>
      </c>
      <c r="BB39" s="354">
        <f>BB38/AV2</f>
        <v>219.96962913814951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0.89643978745453423</v>
      </c>
      <c r="BF39" s="354">
        <f>BF38/AV2</f>
        <v>16.660578861502341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1.2299999968989515</v>
      </c>
      <c r="BV39" s="42">
        <f t="shared" ref="BV39:CA39" si="69">(SUMPRODUCT(BN7:BN37,BV7:BV37))/BN38</f>
        <v>3.0672634775210384E-9</v>
      </c>
      <c r="BW39" s="42">
        <f t="shared" si="69"/>
        <v>3.3422713287359384E-9</v>
      </c>
      <c r="BX39" s="42">
        <f>(SUMPRODUCT(BP7:BP37,BX7:BX37))/BP38</f>
        <v>1.5759695107472489</v>
      </c>
      <c r="BY39" s="42">
        <f t="shared" si="69"/>
        <v>9.9999999999999982E-8</v>
      </c>
      <c r="BZ39" s="46">
        <f t="shared" si="69"/>
        <v>9.9999999999999982E-8</v>
      </c>
      <c r="CA39" s="240">
        <f t="shared" si="69"/>
        <v>9.9999999999999982E-8</v>
      </c>
      <c r="CB39" s="41">
        <f t="shared" ref="CB39:CH39" si="70">(SUMPRODUCT(BM7:BM37,CB7:CB37))/BM38</f>
        <v>39.039999901573211</v>
      </c>
      <c r="CC39" s="42">
        <f t="shared" si="70"/>
        <v>43.607877030017676</v>
      </c>
      <c r="CD39" s="42">
        <f t="shared" si="70"/>
        <v>43.561829787913396</v>
      </c>
      <c r="CE39" s="42">
        <f t="shared" si="70"/>
        <v>38.097820156326968</v>
      </c>
      <c r="CF39" s="42">
        <f t="shared" si="70"/>
        <v>9.9999999999999982E-8</v>
      </c>
      <c r="CG39" s="46">
        <f t="shared" si="70"/>
        <v>9.9999999999999982E-8</v>
      </c>
      <c r="CH39" s="240">
        <f t="shared" si="70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6.2066311643511809E-18</v>
      </c>
      <c r="CP39" s="46">
        <f>(SUMPRODUCT(CL7:CL37,CP7:CP37))/CL38</f>
        <v>3.0882297556855165E-9</v>
      </c>
      <c r="CQ39" s="44">
        <f>(SUMPRODUCT(CM7:CM37,CQ7:CQ37))/CM38</f>
        <v>5.1264827025402616E-9</v>
      </c>
      <c r="CR39" s="44" t="e">
        <f>(SUMPRODUCT(O7:O37,CR7:CR37))/O38</f>
        <v>#DIV/0!</v>
      </c>
      <c r="CT39" s="667">
        <f>CT38+CU38</f>
        <v>840.77013287541308</v>
      </c>
      <c r="CU39" s="667"/>
      <c r="CV39" s="668">
        <f>CV38+CW38+CZ38+CY38+CX38</f>
        <v>13621.560254401604</v>
      </c>
      <c r="CW39" s="668"/>
      <c r="CX39" s="668"/>
      <c r="CY39" s="668"/>
      <c r="CZ39" s="668"/>
      <c r="DA39" s="669">
        <f>DA38+DB38+DD38+DC38</f>
        <v>8722.6599999112004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39.299999999999997</v>
      </c>
      <c r="F40" s="366">
        <v>2.16</v>
      </c>
      <c r="G40" s="366"/>
      <c r="H40" s="366">
        <v>1.7604</v>
      </c>
      <c r="I40" s="366"/>
      <c r="J40" s="570">
        <v>8.8930000000000007</v>
      </c>
      <c r="K40" s="366">
        <v>23.481999999999999</v>
      </c>
      <c r="L40" s="366"/>
      <c r="M40" s="366">
        <v>0.39960000000000001</v>
      </c>
      <c r="N40" s="365"/>
      <c r="O40" s="366"/>
      <c r="P40" s="366"/>
      <c r="Q40" s="366"/>
      <c r="R40" s="367"/>
      <c r="S40" s="368"/>
      <c r="T40" s="367"/>
      <c r="U40" s="450">
        <v>20.231999999999999</v>
      </c>
      <c r="V40" s="367"/>
      <c r="W40" s="369">
        <v>1.3</v>
      </c>
      <c r="X40" s="484"/>
      <c r="Y40" s="370">
        <v>6670</v>
      </c>
      <c r="Z40" s="370">
        <v>6670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625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6670</v>
      </c>
      <c r="AW40" s="379">
        <v>80.040000000000006</v>
      </c>
      <c r="AX40" s="380"/>
      <c r="AY40" s="381"/>
      <c r="AZ40" s="382"/>
      <c r="BA40" s="365">
        <v>222.33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14462.330387277018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-2.5379647788748017E-2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2.8918601971250717</v>
      </c>
      <c r="T41" s="386"/>
      <c r="U41" s="388"/>
      <c r="V41" s="388"/>
      <c r="W41" s="385">
        <f>W39-W40</f>
        <v>-1.2547213086685938E-2</v>
      </c>
      <c r="X41" s="385"/>
      <c r="Y41" s="385"/>
      <c r="Z41" s="385"/>
      <c r="AA41" s="385"/>
      <c r="AB41" s="385"/>
      <c r="AC41" s="389">
        <f>AC39-AC40</f>
        <v>-25.599999999999909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2157.6499999999996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222.33333333333334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30</v>
      </c>
      <c r="CU43" s="247"/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0.19688138972433211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T44" s="411"/>
      <c r="CU44" s="411"/>
      <c r="CV44" s="411"/>
      <c r="CW44" s="411"/>
      <c r="CX44" s="411"/>
      <c r="CY44" s="411"/>
      <c r="CZ44" s="411"/>
      <c r="DA44" s="411"/>
      <c r="DB44" s="411"/>
      <c r="DC44" s="411"/>
      <c r="DD44" s="411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60.463356164383562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29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230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105.13000000000102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1.576161919040495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'[4]ноябрь 20'!$G$38</f>
        <v>1738.0009999999995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'[4]ноябрь 20'!$C$38</f>
        <v>1738.0000000000002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-9.9999999929423211E-4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482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0" zoomScaleNormal="90" workbookViewId="0">
      <pane xSplit="1" ySplit="6" topLeftCell="CP25" activePane="bottomRight" state="frozen"/>
      <selection pane="topRight" activeCell="B1" sqref="B1"/>
      <selection pane="bottomLeft" activeCell="A7" sqref="A7"/>
      <selection pane="bottomRight" activeCell="CU48" sqref="CU48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8.140625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8.14062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9.140625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69" width="11.140625" customWidth="1"/>
    <col min="70" max="70" width="10.42578125" customWidth="1"/>
    <col min="71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471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620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479</v>
      </c>
      <c r="BP6" s="396" t="s">
        <v>99</v>
      </c>
      <c r="BQ6" s="232" t="s">
        <v>296</v>
      </c>
      <c r="BR6" s="624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624" t="s">
        <v>147</v>
      </c>
      <c r="CA6" s="398" t="s">
        <v>96</v>
      </c>
      <c r="CB6" s="226" t="s">
        <v>384</v>
      </c>
      <c r="CC6" s="481" t="s">
        <v>455</v>
      </c>
      <c r="CD6" s="232" t="s">
        <v>479</v>
      </c>
      <c r="CE6" s="396" t="s">
        <v>99</v>
      </c>
      <c r="CF6" s="232" t="s">
        <v>296</v>
      </c>
      <c r="CG6" s="624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480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'[1]ноябрь 20'!K6</f>
        <v>492.00299999999999</v>
      </c>
      <c r="C7" s="104">
        <f t="shared" ref="C7:C37" si="0">IF(B7=0,0,(BM7*BU7+BN7*BV7+BP7*BX7+BS7*CA7+BO7*BW7+BR7*BZ7+BQ7*BY7)/B7)</f>
        <v>2.8351363961160803</v>
      </c>
      <c r="D7" s="447">
        <f t="shared" ref="D7:D37" si="1">B7*((100-C7)/100)</f>
        <v>478.05404387701697</v>
      </c>
      <c r="E7" s="104">
        <f t="shared" ref="E7:E37" si="2">IF(B7=0,0,(BM7*CB7+BN7*CC7+BP7*CE7+BS7*CH7+BO7*CD7+BR7*CG7+BQ7*CF7)/B7)</f>
        <v>39.643296016487703</v>
      </c>
      <c r="F7" s="103">
        <f t="shared" ref="F7:F37" si="3">IF(BA7=0,0,D7/BA7)</f>
        <v>2.0404503160719236</v>
      </c>
      <c r="G7" s="106"/>
      <c r="H7" s="107">
        <f t="shared" ref="H7:H37" si="4">IF(BA7=0,0,(CZ7+CW7+CY7+CT7+CX7)/BA7)</f>
        <v>1.5155291207208208</v>
      </c>
      <c r="I7" s="103">
        <f>'[1]сентябрь 20'!AE6</f>
        <v>0</v>
      </c>
      <c r="J7" s="103">
        <f>'[1]ноябрь 20'!AA6</f>
        <v>11.483000000000001</v>
      </c>
      <c r="K7" s="106">
        <v>31.33</v>
      </c>
      <c r="L7" s="103">
        <f>'[1]ноябрь 20'!AI6</f>
        <v>122.983</v>
      </c>
      <c r="M7" s="103">
        <f t="shared" ref="M7:M37" si="5">IF(BA7=0,0,(CV7+CU7)/BA7)</f>
        <v>0.52492119705840012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'[1]ноябрь 20'!S6</f>
        <v>295.69900000000001</v>
      </c>
      <c r="S7" s="108">
        <f t="shared" ref="S7:S37" si="6">IF(R7=0,0,(1-(V7/R7))*100)</f>
        <v>2.3331157021160065</v>
      </c>
      <c r="T7" s="109">
        <f t="shared" ref="T7:T37" si="7">R7*((100-S7)/100)</f>
        <v>288.8000002</v>
      </c>
      <c r="U7" s="106"/>
      <c r="V7" s="109">
        <f t="shared" ref="V7:V37" si="8">CJ7+CK7+CM7+CL7</f>
        <v>288.8000002</v>
      </c>
      <c r="W7" s="110">
        <f t="shared" ref="W7:W37" si="9">IF(BA7=0,0,T7/BA7)</f>
        <v>1.2326682709565342</v>
      </c>
      <c r="X7" s="110">
        <f>Q7+W7</f>
        <v>1.2326682709565342</v>
      </c>
      <c r="Y7" s="136">
        <v>234.29</v>
      </c>
      <c r="Z7" s="111">
        <v>195.54</v>
      </c>
      <c r="AA7" s="106">
        <v>0.67</v>
      </c>
      <c r="AB7" s="112">
        <v>659</v>
      </c>
      <c r="AC7" s="112">
        <v>1217</v>
      </c>
      <c r="AD7" s="113" t="s">
        <v>454</v>
      </c>
      <c r="AE7" s="106">
        <v>76.040000000000006</v>
      </c>
      <c r="AF7" s="112">
        <v>164</v>
      </c>
      <c r="AG7" s="114">
        <v>5</v>
      </c>
      <c r="AH7" s="106">
        <v>6.5</v>
      </c>
      <c r="AI7" s="115">
        <f t="shared" ref="AI7:AI37" si="10">IF(BA7=0,0,AH7/BA7*1000)</f>
        <v>27.74357256117991</v>
      </c>
      <c r="AJ7" s="106">
        <v>135.65</v>
      </c>
      <c r="AK7" s="115">
        <f t="shared" ref="AK7:AK37" si="11">IF(BA7=0,0,AJ7/BA7*1000)</f>
        <v>578.98701814216224</v>
      </c>
      <c r="AL7" s="106">
        <v>28.4</v>
      </c>
      <c r="AM7" s="116"/>
      <c r="AN7" s="117">
        <v>9.1</v>
      </c>
      <c r="AO7" s="466">
        <f>AV7*0.19</f>
        <v>55.451500000000003</v>
      </c>
      <c r="AP7" s="110">
        <f t="shared" ref="AP7:AP37" si="12">IF(AO7=0,0,AO7/AV7)</f>
        <v>0.19</v>
      </c>
      <c r="AQ7" s="119" t="s">
        <v>475</v>
      </c>
      <c r="AR7" s="403">
        <v>7.01</v>
      </c>
      <c r="AS7" s="120">
        <v>9.19</v>
      </c>
      <c r="AT7" s="106"/>
      <c r="AU7" s="106">
        <v>7.6</v>
      </c>
      <c r="AV7" s="314">
        <v>291.85000000000002</v>
      </c>
      <c r="AW7" s="121">
        <v>6.99</v>
      </c>
      <c r="AX7" s="122"/>
      <c r="AY7" s="123"/>
      <c r="AZ7" s="124"/>
      <c r="BA7" s="109">
        <f t="shared" ref="BA7:BA37" si="13">AV7-AO7-AN7+AY7+AW7</f>
        <v>234.28850000000003</v>
      </c>
      <c r="BB7" s="115">
        <f>IF(AE7=0,0,((D7*0.97)*(E7/100)*0.9)/(AE7/100))</f>
        <v>217.57995726837245</v>
      </c>
      <c r="BC7" s="125">
        <f t="shared" ref="BC7:BC37" si="14">(AJ7*AU7)/100*(55/71)</f>
        <v>7.9861549295774648</v>
      </c>
      <c r="BD7" s="115">
        <f t="shared" ref="BD7:BD24" si="15">BA7*$BD$6</f>
        <v>9.3715400000000013</v>
      </c>
      <c r="BE7" s="103">
        <f t="shared" ref="BE7:BE37" si="16">IF((D7*E7)=0,0,(BA7*AE7)/(D7*E7))</f>
        <v>0.94003998836951308</v>
      </c>
      <c r="BF7" s="115">
        <f t="shared" ref="BF7:BF37" si="17">BC7+BD7</f>
        <v>17.357694929577466</v>
      </c>
      <c r="BG7" s="533">
        <v>0.94</v>
      </c>
      <c r="BH7" s="16">
        <f>BA7</f>
        <v>234.28850000000003</v>
      </c>
      <c r="BI7" s="16">
        <f t="shared" ref="BI7:BI38" si="18">IF(A7&lt;=$BG$43,$AV$43,0)</f>
        <v>222.33333333333334</v>
      </c>
      <c r="BJ7" s="16">
        <f>BI7</f>
        <v>222.33333333333334</v>
      </c>
      <c r="BK7" s="17">
        <f t="shared" ref="BK7:BK37" si="19">IF(BA7&lt;&gt;0,1,0)</f>
        <v>1</v>
      </c>
      <c r="BL7" s="16">
        <f>BI7*BK7</f>
        <v>222.33333333333334</v>
      </c>
      <c r="BM7" s="336">
        <v>9.9999999999999995E-8</v>
      </c>
      <c r="BN7" s="336">
        <v>24.587</v>
      </c>
      <c r="BO7" s="336">
        <v>98.396000000000001</v>
      </c>
      <c r="BP7" s="336">
        <v>369.02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3.78</v>
      </c>
      <c r="BY7" s="336">
        <v>9.9999999999999995E-8</v>
      </c>
      <c r="BZ7" s="336">
        <v>9.9999999999999995E-8</v>
      </c>
      <c r="CA7" s="336">
        <v>9.9999999999999995E-8</v>
      </c>
      <c r="CB7" s="336">
        <v>9.9999999999999995E-8</v>
      </c>
      <c r="CC7" s="336">
        <v>44.03</v>
      </c>
      <c r="CD7" s="336">
        <v>43.66</v>
      </c>
      <c r="CE7" s="336">
        <v>38.28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114.8</v>
      </c>
      <c r="CM7" s="336">
        <v>174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9.99999999E-8</v>
      </c>
      <c r="CU7" s="22">
        <f t="shared" si="20"/>
        <v>24.586999975413001</v>
      </c>
      <c r="CV7" s="22">
        <f t="shared" si="20"/>
        <v>98.395999901604</v>
      </c>
      <c r="CW7" s="27">
        <f t="shared" si="20"/>
        <v>355.07104399999997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114.79999988519999</v>
      </c>
      <c r="DD7" s="279">
        <f t="shared" si="21"/>
        <v>173.99999982599999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'[1]ноябрь 20'!K7</f>
        <v>519.79899999999998</v>
      </c>
      <c r="C8" s="104">
        <f t="shared" si="0"/>
        <v>1.566353071090941</v>
      </c>
      <c r="D8" s="447">
        <f t="shared" si="1"/>
        <v>511.65711239999996</v>
      </c>
      <c r="E8" s="104">
        <f t="shared" si="2"/>
        <v>39.704642140519702</v>
      </c>
      <c r="F8" s="128">
        <f t="shared" si="3"/>
        <v>2.2566304822810768</v>
      </c>
      <c r="G8" s="106"/>
      <c r="H8" s="107">
        <f t="shared" si="4"/>
        <v>1.6822374684102586</v>
      </c>
      <c r="I8" s="103">
        <f>'[1]сентябрь 20'!AE7</f>
        <v>0</v>
      </c>
      <c r="J8" s="103">
        <f>'[1]ноябрь 20'!AA7</f>
        <v>12.169</v>
      </c>
      <c r="K8" s="106"/>
      <c r="L8" s="103">
        <f>'[1]ноябрь 20'!AI7</f>
        <v>130.23500000000001</v>
      </c>
      <c r="M8" s="103">
        <f t="shared" si="5"/>
        <v>0.5743930138708182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'[1]ноябрь 20'!S7</f>
        <v>315.2</v>
      </c>
      <c r="S8" s="108">
        <f t="shared" si="6"/>
        <v>2.4524111675126803</v>
      </c>
      <c r="T8" s="109">
        <f t="shared" si="7"/>
        <v>307.47000000000003</v>
      </c>
      <c r="U8" s="106">
        <v>108.86</v>
      </c>
      <c r="V8" s="109">
        <f t="shared" si="8"/>
        <v>307.47000000000003</v>
      </c>
      <c r="W8" s="110">
        <f t="shared" si="9"/>
        <v>1.3560764769444507</v>
      </c>
      <c r="X8" s="110">
        <f t="shared" ref="X8:X37" si="26">Q8+W8</f>
        <v>1.3560764769444507</v>
      </c>
      <c r="Y8" s="136">
        <v>226.74</v>
      </c>
      <c r="Z8" s="130">
        <v>226.74</v>
      </c>
      <c r="AA8" s="131">
        <v>0.28999999999999998</v>
      </c>
      <c r="AB8" s="112">
        <v>597</v>
      </c>
      <c r="AC8" s="112">
        <v>1199</v>
      </c>
      <c r="AD8" s="132" t="s">
        <v>252</v>
      </c>
      <c r="AE8" s="131">
        <v>75.31</v>
      </c>
      <c r="AF8" s="133">
        <v>173</v>
      </c>
      <c r="AG8" s="134">
        <v>5</v>
      </c>
      <c r="AH8" s="131">
        <v>6.4</v>
      </c>
      <c r="AI8" s="115">
        <f t="shared" si="10"/>
        <v>28.226784572298058</v>
      </c>
      <c r="AJ8" s="131">
        <v>155.94999999999999</v>
      </c>
      <c r="AK8" s="115">
        <f t="shared" si="11"/>
        <v>687.80735219529402</v>
      </c>
      <c r="AL8" s="131">
        <v>25.53</v>
      </c>
      <c r="AM8" s="116"/>
      <c r="AN8" s="135">
        <v>15.21</v>
      </c>
      <c r="AO8" s="466">
        <f t="shared" ref="AO8:AO37" si="27">AV8*0.19</f>
        <v>55.954999999999998</v>
      </c>
      <c r="AP8" s="110">
        <f t="shared" si="12"/>
        <v>0.19</v>
      </c>
      <c r="AQ8" s="137" t="s">
        <v>465</v>
      </c>
      <c r="AR8" s="150">
        <v>6.68</v>
      </c>
      <c r="AS8" s="138">
        <v>8.75</v>
      </c>
      <c r="AT8" s="131"/>
      <c r="AU8" s="131">
        <v>9.18</v>
      </c>
      <c r="AV8" s="315">
        <v>294.5</v>
      </c>
      <c r="AW8" s="131">
        <v>3.4</v>
      </c>
      <c r="AX8" s="116"/>
      <c r="AY8" s="131"/>
      <c r="AZ8" s="109"/>
      <c r="BA8" s="109">
        <f t="shared" si="13"/>
        <v>226.73500000000001</v>
      </c>
      <c r="BB8" s="115">
        <f t="shared" ref="BB8:BB37" si="28">IF(AE8=0,0,((D8*0.97)*(E8/100)*0.9)/(AE8/100))</f>
        <v>235.49511224391142</v>
      </c>
      <c r="BC8" s="140">
        <f t="shared" si="14"/>
        <v>11.090021830985913</v>
      </c>
      <c r="BD8" s="141">
        <f t="shared" si="15"/>
        <v>9.0693999999999999</v>
      </c>
      <c r="BE8" s="128">
        <f t="shared" si="16"/>
        <v>0.8405255341137875</v>
      </c>
      <c r="BF8" s="141">
        <f t="shared" si="17"/>
        <v>20.159421830985913</v>
      </c>
      <c r="BG8" s="535">
        <v>0.88900000000000001</v>
      </c>
      <c r="BH8" s="16">
        <f t="shared" ref="BH8:BH37" si="29">BH7+BA8</f>
        <v>461.02350000000001</v>
      </c>
      <c r="BI8" s="16">
        <f t="shared" si="18"/>
        <v>222.33333333333334</v>
      </c>
      <c r="BJ8" s="16">
        <f t="shared" ref="BJ8:BJ37" si="30">BI8+BJ7</f>
        <v>444.66666666666669</v>
      </c>
      <c r="BK8" s="17">
        <f t="shared" si="19"/>
        <v>1</v>
      </c>
      <c r="BL8" s="16">
        <f t="shared" ref="BL8:BL37" si="31">BL7+BI8*BK8</f>
        <v>444.66666666666669</v>
      </c>
      <c r="BM8" s="249"/>
      <c r="BN8" s="195">
        <v>26.056999999999999</v>
      </c>
      <c r="BO8" s="197">
        <v>104.178</v>
      </c>
      <c r="BP8" s="197">
        <v>389.56400000000002</v>
      </c>
      <c r="BQ8" s="230"/>
      <c r="BR8" s="230"/>
      <c r="BS8" s="250"/>
      <c r="BT8" s="199"/>
      <c r="BU8" s="200"/>
      <c r="BV8" s="200"/>
      <c r="BW8" s="200"/>
      <c r="BX8" s="200">
        <v>2.09</v>
      </c>
      <c r="BY8" s="208"/>
      <c r="BZ8" s="208"/>
      <c r="CA8" s="198"/>
      <c r="CB8" s="202"/>
      <c r="CC8" s="200">
        <v>43.46</v>
      </c>
      <c r="CD8" s="200">
        <v>43.27</v>
      </c>
      <c r="CE8" s="200">
        <v>38.5</v>
      </c>
      <c r="CF8" s="197"/>
      <c r="CG8" s="197"/>
      <c r="CH8" s="197"/>
      <c r="CI8" s="203"/>
      <c r="CJ8" s="204"/>
      <c r="CK8" s="197"/>
      <c r="CL8" s="197">
        <v>122.15</v>
      </c>
      <c r="CM8" s="198">
        <v>185.32</v>
      </c>
      <c r="CN8" s="205"/>
      <c r="CO8" s="206"/>
      <c r="CP8" s="269"/>
      <c r="CQ8" s="207"/>
      <c r="CR8" s="207"/>
      <c r="CS8" s="284"/>
      <c r="CT8" s="286">
        <f t="shared" si="20"/>
        <v>0</v>
      </c>
      <c r="CU8" s="24">
        <f t="shared" si="20"/>
        <v>26.056999999999999</v>
      </c>
      <c r="CV8" s="25">
        <f t="shared" si="20"/>
        <v>104.178</v>
      </c>
      <c r="CW8" s="24">
        <f t="shared" si="20"/>
        <v>381.4221124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122.15</v>
      </c>
      <c r="DD8" s="280">
        <f t="shared" si="21"/>
        <v>185.32</v>
      </c>
      <c r="DE8" s="508">
        <f t="shared" ref="DE8:DE37" si="32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3">IF(I8=0,0,(DJ8*DI8%)/(AE8/100))</f>
        <v>0</v>
      </c>
      <c r="DM8" s="402"/>
    </row>
    <row r="9" spans="1:117" ht="16.5" customHeight="1" thickBot="1">
      <c r="A9" s="534">
        <v>3</v>
      </c>
      <c r="B9" s="103">
        <f>'[1]ноябрь 20'!K8</f>
        <v>515.92600000000004</v>
      </c>
      <c r="C9" s="104">
        <f t="shared" si="0"/>
        <v>0.99026224691137876</v>
      </c>
      <c r="D9" s="448">
        <f t="shared" si="1"/>
        <v>510.81697959999997</v>
      </c>
      <c r="E9" s="104">
        <f t="shared" si="2"/>
        <v>39.525906389676038</v>
      </c>
      <c r="F9" s="128">
        <f t="shared" si="3"/>
        <v>2.2272231906048141</v>
      </c>
      <c r="G9" s="106"/>
      <c r="H9" s="107">
        <f t="shared" si="4"/>
        <v>1.6652953200654894</v>
      </c>
      <c r="I9" s="103">
        <f>'[1]сентябрь 20'!AE8</f>
        <v>0</v>
      </c>
      <c r="J9" s="103">
        <f>'[1]ноябрь 20'!AA8</f>
        <v>10.317</v>
      </c>
      <c r="K9" s="106"/>
      <c r="L9" s="103">
        <f>'[1]ноябрь 20'!AI8</f>
        <v>128.87899999999999</v>
      </c>
      <c r="M9" s="103">
        <f t="shared" si="5"/>
        <v>0.56192787053932514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'[1]ноябрь 20'!S8</f>
        <v>320.85899999999998</v>
      </c>
      <c r="S9" s="108">
        <f t="shared" si="6"/>
        <v>3.0789225173674328</v>
      </c>
      <c r="T9" s="109">
        <f t="shared" si="7"/>
        <v>310.98</v>
      </c>
      <c r="U9" s="106">
        <v>67.33</v>
      </c>
      <c r="V9" s="109">
        <f t="shared" si="8"/>
        <v>310.98</v>
      </c>
      <c r="W9" s="110">
        <f t="shared" si="9"/>
        <v>1.3559100332895142</v>
      </c>
      <c r="X9" s="110">
        <f t="shared" si="26"/>
        <v>1.3559100332895142</v>
      </c>
      <c r="Y9" s="136">
        <v>149.85</v>
      </c>
      <c r="Z9" s="130">
        <v>229.35</v>
      </c>
      <c r="AA9" s="131">
        <v>0.39</v>
      </c>
      <c r="AB9" s="112">
        <v>576</v>
      </c>
      <c r="AC9" s="112">
        <v>1214</v>
      </c>
      <c r="AD9" s="144" t="s">
        <v>426</v>
      </c>
      <c r="AE9" s="131">
        <v>75.83</v>
      </c>
      <c r="AF9" s="133">
        <v>172</v>
      </c>
      <c r="AG9" s="134">
        <v>5</v>
      </c>
      <c r="AH9" s="131">
        <v>6.95</v>
      </c>
      <c r="AI9" s="115">
        <f t="shared" si="10"/>
        <v>30.302832115769903</v>
      </c>
      <c r="AJ9" s="131">
        <v>143.5</v>
      </c>
      <c r="AK9" s="115">
        <f t="shared" si="11"/>
        <v>625.67718109539294</v>
      </c>
      <c r="AL9" s="131">
        <v>34.11</v>
      </c>
      <c r="AM9" s="116"/>
      <c r="AN9" s="135">
        <v>14.29</v>
      </c>
      <c r="AO9" s="466">
        <f t="shared" si="27"/>
        <v>56.268499999999996</v>
      </c>
      <c r="AP9" s="110">
        <f t="shared" si="12"/>
        <v>0.19</v>
      </c>
      <c r="AQ9" s="137" t="s">
        <v>331</v>
      </c>
      <c r="AR9" s="150">
        <v>7.01</v>
      </c>
      <c r="AS9" s="131">
        <v>8.3800000000000008</v>
      </c>
      <c r="AT9" s="131"/>
      <c r="AU9" s="131">
        <v>8.18</v>
      </c>
      <c r="AV9" s="315">
        <v>296.14999999999998</v>
      </c>
      <c r="AW9" s="131">
        <v>3.76</v>
      </c>
      <c r="AX9" s="116"/>
      <c r="AY9" s="131"/>
      <c r="AZ9" s="109"/>
      <c r="BA9" s="109">
        <f t="shared" si="13"/>
        <v>229.35149999999999</v>
      </c>
      <c r="BB9" s="115">
        <f t="shared" si="28"/>
        <v>232.44507576091212</v>
      </c>
      <c r="BC9" s="140">
        <f t="shared" si="14"/>
        <v>9.0930492957746463</v>
      </c>
      <c r="BD9" s="141">
        <f t="shared" si="15"/>
        <v>9.174059999999999</v>
      </c>
      <c r="BE9" s="128">
        <f t="shared" si="16"/>
        <v>0.8613813772761777</v>
      </c>
      <c r="BF9" s="141">
        <f t="shared" si="17"/>
        <v>18.267109295774645</v>
      </c>
      <c r="BG9" s="535">
        <v>0.879</v>
      </c>
      <c r="BH9" s="16">
        <f t="shared" si="29"/>
        <v>690.375</v>
      </c>
      <c r="BI9" s="16">
        <f t="shared" si="18"/>
        <v>222.33333333333334</v>
      </c>
      <c r="BJ9" s="16">
        <f t="shared" si="30"/>
        <v>667</v>
      </c>
      <c r="BK9" s="17">
        <f t="shared" si="19"/>
        <v>1</v>
      </c>
      <c r="BL9" s="16">
        <f t="shared" si="31"/>
        <v>667</v>
      </c>
      <c r="BM9" s="249"/>
      <c r="BN9" s="195">
        <v>25.777000000000001</v>
      </c>
      <c r="BO9" s="197">
        <v>103.102</v>
      </c>
      <c r="BP9" s="197">
        <v>387.04700000000003</v>
      </c>
      <c r="BQ9" s="230"/>
      <c r="BR9" s="230"/>
      <c r="BS9" s="250"/>
      <c r="BT9" s="199"/>
      <c r="BU9" s="200"/>
      <c r="BV9" s="200"/>
      <c r="BW9" s="200"/>
      <c r="BX9" s="200">
        <v>1.32</v>
      </c>
      <c r="BY9" s="208"/>
      <c r="BZ9" s="208"/>
      <c r="CA9" s="201"/>
      <c r="CB9" s="202"/>
      <c r="CC9" s="200">
        <v>43.89</v>
      </c>
      <c r="CD9" s="200">
        <v>43.6</v>
      </c>
      <c r="CE9" s="200">
        <v>38.15</v>
      </c>
      <c r="CF9" s="200"/>
      <c r="CG9" s="200"/>
      <c r="CH9" s="200"/>
      <c r="CI9" s="203"/>
      <c r="CJ9" s="204"/>
      <c r="CK9" s="197"/>
      <c r="CL9" s="197">
        <v>124.84</v>
      </c>
      <c r="CM9" s="198">
        <v>186.14</v>
      </c>
      <c r="CN9" s="202"/>
      <c r="CO9" s="208"/>
      <c r="CP9" s="208"/>
      <c r="CQ9" s="201"/>
      <c r="CR9" s="201"/>
      <c r="CS9" s="284"/>
      <c r="CT9" s="286">
        <f t="shared" si="20"/>
        <v>0</v>
      </c>
      <c r="CU9" s="27">
        <f t="shared" si="20"/>
        <v>25.777000000000001</v>
      </c>
      <c r="CV9" s="28">
        <f t="shared" si="20"/>
        <v>103.102</v>
      </c>
      <c r="CW9" s="27">
        <f t="shared" si="20"/>
        <v>381.93797960000006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124.84</v>
      </c>
      <c r="DD9" s="280">
        <f t="shared" si="21"/>
        <v>186.14</v>
      </c>
      <c r="DE9" s="508">
        <f t="shared" si="32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3"/>
        <v>0</v>
      </c>
      <c r="DM9" s="402"/>
    </row>
    <row r="10" spans="1:117" ht="16.5" customHeight="1" thickBot="1">
      <c r="A10" s="534">
        <v>4</v>
      </c>
      <c r="B10" s="103">
        <f>'[1]ноябрь 20'!K9</f>
        <v>515.99900000000002</v>
      </c>
      <c r="C10" s="104">
        <f t="shared" si="0"/>
        <v>1.1251213665142761</v>
      </c>
      <c r="D10" s="448">
        <f t="shared" si="1"/>
        <v>510.19338499999998</v>
      </c>
      <c r="E10" s="104">
        <f t="shared" si="2"/>
        <v>39.297511448665603</v>
      </c>
      <c r="F10" s="128">
        <f t="shared" si="3"/>
        <v>2.1024293841186639</v>
      </c>
      <c r="G10" s="106"/>
      <c r="H10" s="107">
        <f t="shared" si="4"/>
        <v>1.5710130692693942</v>
      </c>
      <c r="I10" s="103">
        <f>'[1]сентябрь 20'!AE9</f>
        <v>0</v>
      </c>
      <c r="J10" s="103">
        <f>'[1]ноябрь 20'!AA9</f>
        <v>9.8450000000000006</v>
      </c>
      <c r="K10" s="106">
        <v>37.880000000000003</v>
      </c>
      <c r="L10" s="103">
        <f>'[1]ноябрь 20'!AI9</f>
        <v>128.958</v>
      </c>
      <c r="M10" s="103">
        <f t="shared" si="5"/>
        <v>0.53141631484926966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'[1]ноябрь 20'!S9</f>
        <v>325.78300000000002</v>
      </c>
      <c r="S10" s="108">
        <f t="shared" si="6"/>
        <v>3.5984075289379747</v>
      </c>
      <c r="T10" s="109">
        <f t="shared" si="7"/>
        <v>314.06000000000006</v>
      </c>
      <c r="U10" s="106"/>
      <c r="V10" s="109">
        <f t="shared" si="8"/>
        <v>314.06</v>
      </c>
      <c r="W10" s="110">
        <f t="shared" si="9"/>
        <v>1.2941935191423692</v>
      </c>
      <c r="X10" s="110">
        <f t="shared" si="26"/>
        <v>1.2941935191423692</v>
      </c>
      <c r="Y10" s="136">
        <v>199.65</v>
      </c>
      <c r="Z10" s="130">
        <v>242.67</v>
      </c>
      <c r="AA10" s="131">
        <v>0.38</v>
      </c>
      <c r="AB10" s="112">
        <v>647</v>
      </c>
      <c r="AC10" s="112">
        <v>1226</v>
      </c>
      <c r="AD10" s="144" t="s">
        <v>476</v>
      </c>
      <c r="AE10" s="131">
        <v>75.69</v>
      </c>
      <c r="AF10" s="133">
        <v>172</v>
      </c>
      <c r="AG10" s="134">
        <v>5</v>
      </c>
      <c r="AH10" s="131">
        <v>9.6</v>
      </c>
      <c r="AI10" s="115">
        <f t="shared" si="10"/>
        <v>39.560140685750312</v>
      </c>
      <c r="AJ10" s="131">
        <v>147.69999999999999</v>
      </c>
      <c r="AK10" s="115">
        <f t="shared" si="11"/>
        <v>608.6492478422208</v>
      </c>
      <c r="AL10" s="131">
        <v>36.43</v>
      </c>
      <c r="AM10" s="116"/>
      <c r="AN10" s="135">
        <v>12.63</v>
      </c>
      <c r="AO10" s="466">
        <f t="shared" si="27"/>
        <v>58.871500000000005</v>
      </c>
      <c r="AP10" s="110">
        <f t="shared" si="12"/>
        <v>0.19</v>
      </c>
      <c r="AQ10" s="137" t="s">
        <v>477</v>
      </c>
      <c r="AR10" s="150">
        <v>7.97</v>
      </c>
      <c r="AS10" s="138">
        <v>9.14</v>
      </c>
      <c r="AT10" s="131"/>
      <c r="AU10" s="131">
        <v>7.34</v>
      </c>
      <c r="AV10" s="315">
        <v>309.85000000000002</v>
      </c>
      <c r="AW10" s="131">
        <v>4.32</v>
      </c>
      <c r="AX10" s="116"/>
      <c r="AY10" s="131"/>
      <c r="AZ10" s="109"/>
      <c r="BA10" s="109">
        <f t="shared" si="13"/>
        <v>242.66850000000002</v>
      </c>
      <c r="BB10" s="115">
        <f>IF(AE10=0,0,((D10*0.97)*(E10/100)*0.9)/(AE10/100))</f>
        <v>231.24673574826193</v>
      </c>
      <c r="BC10" s="140">
        <f t="shared" si="14"/>
        <v>8.3980971830985904</v>
      </c>
      <c r="BD10" s="141">
        <f t="shared" si="15"/>
        <v>9.7067400000000017</v>
      </c>
      <c r="BE10" s="128">
        <f t="shared" si="16"/>
        <v>0.91611931219051723</v>
      </c>
      <c r="BF10" s="141">
        <f t="shared" si="17"/>
        <v>18.104837183098592</v>
      </c>
      <c r="BG10" s="535">
        <v>0.88900000000000001</v>
      </c>
      <c r="BH10" s="16">
        <f t="shared" si="29"/>
        <v>933.04349999999999</v>
      </c>
      <c r="BI10" s="16">
        <f t="shared" si="18"/>
        <v>222.33333333333334</v>
      </c>
      <c r="BJ10" s="16">
        <f t="shared" si="30"/>
        <v>889.33333333333337</v>
      </c>
      <c r="BK10" s="17">
        <f t="shared" si="19"/>
        <v>1</v>
      </c>
      <c r="BL10" s="16">
        <f t="shared" si="31"/>
        <v>889.33333333333337</v>
      </c>
      <c r="BM10" s="249"/>
      <c r="BN10" s="195">
        <v>25.78</v>
      </c>
      <c r="BO10" s="197">
        <v>103.178</v>
      </c>
      <c r="BP10" s="195">
        <v>387.041</v>
      </c>
      <c r="BQ10" s="195"/>
      <c r="BR10" s="230"/>
      <c r="BS10" s="250"/>
      <c r="BT10" s="199"/>
      <c r="BU10" s="200"/>
      <c r="BV10" s="200"/>
      <c r="BW10" s="200"/>
      <c r="BX10" s="200">
        <v>1.5</v>
      </c>
      <c r="BY10" s="208"/>
      <c r="BZ10" s="208"/>
      <c r="CA10" s="201"/>
      <c r="CB10" s="202"/>
      <c r="CC10" s="200">
        <v>44.01</v>
      </c>
      <c r="CD10" s="200">
        <v>43.7</v>
      </c>
      <c r="CE10" s="200">
        <v>37.81</v>
      </c>
      <c r="CF10" s="200"/>
      <c r="CG10" s="200"/>
      <c r="CH10" s="200"/>
      <c r="CI10" s="203"/>
      <c r="CJ10" s="204"/>
      <c r="CK10" s="197"/>
      <c r="CL10" s="197">
        <v>120.4</v>
      </c>
      <c r="CM10" s="198">
        <v>193.66</v>
      </c>
      <c r="CN10" s="202"/>
      <c r="CO10" s="208"/>
      <c r="CP10" s="208"/>
      <c r="CQ10" s="201"/>
      <c r="CR10" s="201"/>
      <c r="CS10" s="284"/>
      <c r="CT10" s="286">
        <f t="shared" si="20"/>
        <v>0</v>
      </c>
      <c r="CU10" s="29">
        <f t="shared" si="20"/>
        <v>25.78</v>
      </c>
      <c r="CV10" s="30">
        <f t="shared" si="20"/>
        <v>103.178</v>
      </c>
      <c r="CW10" s="29">
        <f t="shared" si="20"/>
        <v>381.23538500000001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120.4</v>
      </c>
      <c r="DD10" s="280">
        <f t="shared" si="21"/>
        <v>193.66</v>
      </c>
      <c r="DE10" s="508">
        <f t="shared" si="32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3"/>
        <v>0</v>
      </c>
      <c r="DM10" s="402"/>
    </row>
    <row r="11" spans="1:117" ht="16.5" customHeight="1" thickBot="1">
      <c r="A11" s="534">
        <v>5</v>
      </c>
      <c r="B11" s="103">
        <f>'[1]ноябрь 20'!K10</f>
        <v>506.95400000000001</v>
      </c>
      <c r="C11" s="104">
        <f t="shared" si="0"/>
        <v>0.54753383936215116</v>
      </c>
      <c r="D11" s="448">
        <f t="shared" si="1"/>
        <v>504.17825530000005</v>
      </c>
      <c r="E11" s="104">
        <f t="shared" si="2"/>
        <v>40.602749046264549</v>
      </c>
      <c r="F11" s="128">
        <f t="shared" si="3"/>
        <v>2.035015954696541</v>
      </c>
      <c r="G11" s="106"/>
      <c r="H11" s="107">
        <f>IF(BA11=0,0,(CZ11+CW11+CY11+CT11+CX11)/BA11)</f>
        <v>1.5235558828099931</v>
      </c>
      <c r="I11" s="103">
        <f>'[1]сентябрь 20'!AE10</f>
        <v>0</v>
      </c>
      <c r="J11" s="103">
        <f>'[1]ноябрь 20'!AA10</f>
        <v>8.4090000000000007</v>
      </c>
      <c r="K11" s="106"/>
      <c r="L11" s="103">
        <f>'[1]ноябрь 20'!AI10</f>
        <v>126.715</v>
      </c>
      <c r="M11" s="103">
        <f t="shared" si="5"/>
        <v>0.51146007188654774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'[1]ноябрь 20'!S10</f>
        <v>320.88499999999999</v>
      </c>
      <c r="S11" s="108">
        <f t="shared" si="6"/>
        <v>3.036913536001995</v>
      </c>
      <c r="T11" s="109">
        <f t="shared" si="7"/>
        <v>311.14</v>
      </c>
      <c r="U11" s="106">
        <v>49.55</v>
      </c>
      <c r="V11" s="109">
        <f t="shared" si="8"/>
        <v>311.14</v>
      </c>
      <c r="W11" s="110">
        <f t="shared" si="9"/>
        <v>1.2558551613209206</v>
      </c>
      <c r="X11" s="110">
        <f t="shared" si="26"/>
        <v>1.2558551613209206</v>
      </c>
      <c r="Y11" s="136">
        <v>247.75</v>
      </c>
      <c r="Z11" s="130">
        <v>208.44</v>
      </c>
      <c r="AA11" s="131">
        <v>0.78</v>
      </c>
      <c r="AB11" s="112">
        <v>646</v>
      </c>
      <c r="AC11" s="112">
        <v>1221</v>
      </c>
      <c r="AD11" s="144" t="s">
        <v>476</v>
      </c>
      <c r="AE11" s="131">
        <v>76.53</v>
      </c>
      <c r="AF11" s="133">
        <v>169</v>
      </c>
      <c r="AG11" s="134">
        <v>5</v>
      </c>
      <c r="AH11" s="131">
        <v>8.9499999999999993</v>
      </c>
      <c r="AI11" s="115">
        <f t="shared" si="10"/>
        <v>36.124907417311299</v>
      </c>
      <c r="AJ11" s="131">
        <v>138.65</v>
      </c>
      <c r="AK11" s="115">
        <f t="shared" si="11"/>
        <v>559.63334228047063</v>
      </c>
      <c r="AL11" s="131">
        <v>39.21</v>
      </c>
      <c r="AM11" s="116"/>
      <c r="AN11" s="135">
        <v>11.24</v>
      </c>
      <c r="AO11" s="466">
        <f t="shared" si="27"/>
        <v>59.878499999999995</v>
      </c>
      <c r="AP11" s="110">
        <f t="shared" si="12"/>
        <v>0.19</v>
      </c>
      <c r="AQ11" s="137" t="s">
        <v>382</v>
      </c>
      <c r="AR11" s="150">
        <v>7.82</v>
      </c>
      <c r="AS11" s="138">
        <v>9.6199999999999992</v>
      </c>
      <c r="AT11" s="131"/>
      <c r="AU11" s="131">
        <v>7.56</v>
      </c>
      <c r="AV11" s="315">
        <v>315.14999999999998</v>
      </c>
      <c r="AW11" s="131">
        <v>3.72</v>
      </c>
      <c r="AX11" s="145"/>
      <c r="AY11" s="131"/>
      <c r="AZ11" s="109"/>
      <c r="BA11" s="109">
        <f t="shared" si="13"/>
        <v>247.75149999999996</v>
      </c>
      <c r="BB11" s="115">
        <f t="shared" si="28"/>
        <v>233.51892370788144</v>
      </c>
      <c r="BC11" s="140">
        <f t="shared" si="14"/>
        <v>8.1198126760563376</v>
      </c>
      <c r="BD11" s="141">
        <f t="shared" si="15"/>
        <v>9.9100599999999996</v>
      </c>
      <c r="BE11" s="128">
        <f t="shared" si="16"/>
        <v>0.92620784673777645</v>
      </c>
      <c r="BF11" s="141">
        <f t="shared" si="17"/>
        <v>18.029872676056335</v>
      </c>
      <c r="BG11" s="535">
        <v>0.89600000000000002</v>
      </c>
      <c r="BH11" s="16">
        <f t="shared" si="29"/>
        <v>1180.7950000000001</v>
      </c>
      <c r="BI11" s="16">
        <f t="shared" si="18"/>
        <v>222.33333333333334</v>
      </c>
      <c r="BJ11" s="16">
        <f t="shared" si="30"/>
        <v>1111.6666666666667</v>
      </c>
      <c r="BK11" s="17">
        <f t="shared" si="19"/>
        <v>1</v>
      </c>
      <c r="BL11" s="16">
        <f t="shared" si="31"/>
        <v>1111.6666666666667</v>
      </c>
      <c r="BM11" s="249"/>
      <c r="BN11" s="195">
        <v>25.19</v>
      </c>
      <c r="BO11" s="197">
        <v>101.52500000000001</v>
      </c>
      <c r="BP11" s="197">
        <v>380.23899999999998</v>
      </c>
      <c r="BQ11" s="230"/>
      <c r="BR11" s="230"/>
      <c r="BS11" s="250"/>
      <c r="BT11" s="199"/>
      <c r="BU11" s="200"/>
      <c r="BV11" s="200"/>
      <c r="BW11" s="200"/>
      <c r="BX11" s="200">
        <v>0.73</v>
      </c>
      <c r="BY11" s="208"/>
      <c r="BZ11" s="208"/>
      <c r="CA11" s="201"/>
      <c r="CB11" s="202"/>
      <c r="CC11" s="200">
        <v>44.01</v>
      </c>
      <c r="CD11" s="200">
        <v>43.85</v>
      </c>
      <c r="CE11" s="200">
        <v>39.51</v>
      </c>
      <c r="CF11" s="200"/>
      <c r="CG11" s="200"/>
      <c r="CH11" s="200"/>
      <c r="CI11" s="203"/>
      <c r="CJ11" s="204"/>
      <c r="CK11" s="197"/>
      <c r="CL11" s="230">
        <v>118.3</v>
      </c>
      <c r="CM11" s="198">
        <v>192.84</v>
      </c>
      <c r="CN11" s="202"/>
      <c r="CO11" s="208"/>
      <c r="CP11" s="208"/>
      <c r="CQ11" s="201"/>
      <c r="CR11" s="201"/>
      <c r="CS11" s="284"/>
      <c r="CT11" s="286">
        <f t="shared" si="20"/>
        <v>0</v>
      </c>
      <c r="CU11" s="24">
        <f t="shared" si="20"/>
        <v>25.19</v>
      </c>
      <c r="CV11" s="25">
        <f t="shared" si="20"/>
        <v>101.52500000000001</v>
      </c>
      <c r="CW11" s="24">
        <f t="shared" si="20"/>
        <v>377.46325529999996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118.3</v>
      </c>
      <c r="DD11" s="280">
        <f t="shared" si="21"/>
        <v>192.84</v>
      </c>
      <c r="DE11" s="508">
        <f t="shared" si="32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3"/>
        <v>0</v>
      </c>
      <c r="DM11" s="402"/>
    </row>
    <row r="12" spans="1:117" ht="16.5" customHeight="1" thickBot="1">
      <c r="A12" s="534">
        <v>6</v>
      </c>
      <c r="B12" s="103">
        <f>'[1]ноябрь 20'!K11</f>
        <v>474.30799999999999</v>
      </c>
      <c r="C12" s="104">
        <f t="shared" si="0"/>
        <v>0.60716015753476649</v>
      </c>
      <c r="D12" s="448">
        <f t="shared" si="1"/>
        <v>471.42819079999998</v>
      </c>
      <c r="E12" s="104">
        <f t="shared" si="2"/>
        <v>38.730285616097554</v>
      </c>
      <c r="F12" s="128">
        <f t="shared" si="3"/>
        <v>2.2468808914541181</v>
      </c>
      <c r="G12" s="106"/>
      <c r="H12" s="107">
        <f t="shared" si="4"/>
        <v>1.6807808364054915</v>
      </c>
      <c r="I12" s="103">
        <f>'[1]сентябрь 20'!AE11</f>
        <v>0</v>
      </c>
      <c r="J12" s="103">
        <f>'[1]ноябрь 20'!AA11</f>
        <v>7.9</v>
      </c>
      <c r="K12" s="106">
        <v>26.67</v>
      </c>
      <c r="L12" s="103">
        <f>'[1]ноябрь 20'!AI11</f>
        <v>118.776</v>
      </c>
      <c r="M12" s="103">
        <f t="shared" si="5"/>
        <v>0.56610005504862637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'[1]ноябрь 20'!S11</f>
        <v>299.57900000000001</v>
      </c>
      <c r="S12" s="108">
        <f t="shared" si="6"/>
        <v>3.4845566611811929</v>
      </c>
      <c r="T12" s="109">
        <f t="shared" si="7"/>
        <v>289.14</v>
      </c>
      <c r="U12" s="106">
        <v>4.71</v>
      </c>
      <c r="V12" s="109">
        <f t="shared" si="8"/>
        <v>289.14</v>
      </c>
      <c r="W12" s="110">
        <f t="shared" si="9"/>
        <v>1.3780744419475299</v>
      </c>
      <c r="X12" s="110">
        <f t="shared" si="26"/>
        <v>1.3780744419475299</v>
      </c>
      <c r="Y12" s="136">
        <v>209.81</v>
      </c>
      <c r="Z12" s="130">
        <v>209.81</v>
      </c>
      <c r="AA12" s="131">
        <v>0.7</v>
      </c>
      <c r="AB12" s="112">
        <v>656</v>
      </c>
      <c r="AC12" s="133">
        <v>1227</v>
      </c>
      <c r="AD12" s="144" t="s">
        <v>207</v>
      </c>
      <c r="AE12" s="131">
        <v>75.69</v>
      </c>
      <c r="AF12" s="133">
        <v>158</v>
      </c>
      <c r="AG12" s="134">
        <v>5</v>
      </c>
      <c r="AH12" s="131">
        <v>9.15</v>
      </c>
      <c r="AI12" s="115">
        <f t="shared" si="10"/>
        <v>43.609950694542093</v>
      </c>
      <c r="AJ12" s="131">
        <v>117.7</v>
      </c>
      <c r="AK12" s="115">
        <f t="shared" si="11"/>
        <v>560.97171549154143</v>
      </c>
      <c r="AL12" s="131">
        <v>34.6</v>
      </c>
      <c r="AM12" s="116"/>
      <c r="AN12" s="135">
        <v>12.94</v>
      </c>
      <c r="AO12" s="466">
        <f t="shared" si="27"/>
        <v>51.575499999999998</v>
      </c>
      <c r="AP12" s="110">
        <f t="shared" si="12"/>
        <v>0.19</v>
      </c>
      <c r="AQ12" s="137" t="s">
        <v>376</v>
      </c>
      <c r="AR12" s="150">
        <v>7.2</v>
      </c>
      <c r="AS12" s="138">
        <v>8.84</v>
      </c>
      <c r="AT12" s="131"/>
      <c r="AU12" s="131">
        <v>7.91</v>
      </c>
      <c r="AV12" s="315">
        <v>271.45</v>
      </c>
      <c r="AW12" s="131">
        <v>2.88</v>
      </c>
      <c r="AX12" s="116"/>
      <c r="AY12" s="131"/>
      <c r="AZ12" s="109"/>
      <c r="BA12" s="109">
        <f t="shared" si="13"/>
        <v>209.81449999999998</v>
      </c>
      <c r="BB12" s="115">
        <f t="shared" si="28"/>
        <v>210.59205734660176</v>
      </c>
      <c r="BC12" s="140">
        <f t="shared" si="14"/>
        <v>7.2120260563380292</v>
      </c>
      <c r="BD12" s="141">
        <f t="shared" si="15"/>
        <v>8.3925799999999988</v>
      </c>
      <c r="BE12" s="128">
        <f t="shared" si="16"/>
        <v>0.86977667062976582</v>
      </c>
      <c r="BF12" s="141">
        <f t="shared" si="17"/>
        <v>15.604606056338028</v>
      </c>
      <c r="BG12" s="535">
        <v>0.89200000000000002</v>
      </c>
      <c r="BH12" s="16">
        <f t="shared" si="29"/>
        <v>1390.6095</v>
      </c>
      <c r="BI12" s="16">
        <f t="shared" si="18"/>
        <v>222.33333333333334</v>
      </c>
      <c r="BJ12" s="16">
        <f t="shared" si="30"/>
        <v>1334</v>
      </c>
      <c r="BK12" s="17">
        <f t="shared" si="19"/>
        <v>1</v>
      </c>
      <c r="BL12" s="16">
        <f t="shared" si="31"/>
        <v>1334</v>
      </c>
      <c r="BM12" s="249"/>
      <c r="BN12" s="195">
        <v>23.954999999999998</v>
      </c>
      <c r="BO12" s="271">
        <v>94.820999999999998</v>
      </c>
      <c r="BP12" s="197">
        <v>355.53199999999998</v>
      </c>
      <c r="BQ12" s="230"/>
      <c r="BR12" s="230"/>
      <c r="BS12" s="250"/>
      <c r="BT12" s="199"/>
      <c r="BU12" s="200"/>
      <c r="BV12" s="200"/>
      <c r="BW12" s="200"/>
      <c r="BX12" s="200">
        <v>0.81</v>
      </c>
      <c r="BY12" s="208"/>
      <c r="BZ12" s="208"/>
      <c r="CA12" s="201"/>
      <c r="CB12" s="202"/>
      <c r="CC12" s="200">
        <v>43.7</v>
      </c>
      <c r="CD12" s="200">
        <v>43.85</v>
      </c>
      <c r="CE12" s="200">
        <v>37.03</v>
      </c>
      <c r="CF12" s="200"/>
      <c r="CG12" s="200"/>
      <c r="CH12" s="200"/>
      <c r="CI12" s="203"/>
      <c r="CJ12" s="204"/>
      <c r="CK12" s="197"/>
      <c r="CL12" s="230">
        <v>110.6</v>
      </c>
      <c r="CM12" s="198">
        <v>178.54</v>
      </c>
      <c r="CN12" s="202"/>
      <c r="CO12" s="202"/>
      <c r="CP12" s="270"/>
      <c r="CQ12" s="201"/>
      <c r="CR12" s="201"/>
      <c r="CS12" s="284"/>
      <c r="CT12" s="286">
        <f t="shared" si="20"/>
        <v>0</v>
      </c>
      <c r="CU12" s="24">
        <f t="shared" si="20"/>
        <v>23.954999999999998</v>
      </c>
      <c r="CV12" s="25">
        <f t="shared" si="20"/>
        <v>94.820999999999998</v>
      </c>
      <c r="CW12" s="24">
        <f t="shared" si="20"/>
        <v>352.65219079999997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110.6</v>
      </c>
      <c r="DD12" s="280">
        <f t="shared" si="21"/>
        <v>178.54</v>
      </c>
      <c r="DE12" s="508">
        <f t="shared" si="32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3"/>
        <v>0</v>
      </c>
    </row>
    <row r="13" spans="1:117" ht="16.5" customHeight="1" thickBot="1">
      <c r="A13" s="534">
        <v>7</v>
      </c>
      <c r="B13" s="103">
        <f>'[1]ноябрь 20'!K12</f>
        <v>500.928</v>
      </c>
      <c r="C13" s="104">
        <f t="shared" si="0"/>
        <v>0.92239441596397098</v>
      </c>
      <c r="D13" s="448">
        <f t="shared" si="1"/>
        <v>496.30746809999999</v>
      </c>
      <c r="E13" s="104">
        <f t="shared" si="2"/>
        <v>38.89117180512968</v>
      </c>
      <c r="F13" s="128">
        <f t="shared" si="3"/>
        <v>2.2207293355139082</v>
      </c>
      <c r="G13" s="106"/>
      <c r="H13" s="107">
        <f t="shared" si="4"/>
        <v>1.6601859518498714</v>
      </c>
      <c r="I13" s="103">
        <f>'[1]сентябрь 20'!AE12</f>
        <v>0</v>
      </c>
      <c r="J13" s="103">
        <f>'[1]ноябрь 20'!AA12</f>
        <v>7.3220000000000001</v>
      </c>
      <c r="K13" s="106"/>
      <c r="L13" s="103">
        <f>'[1]ноябрь 20'!AI12</f>
        <v>125.27500000000001</v>
      </c>
      <c r="M13" s="103">
        <f t="shared" si="5"/>
        <v>0.56054338366403644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'[1]ноябрь 20'!S12</f>
        <v>319.51100000000002</v>
      </c>
      <c r="S13" s="108">
        <f t="shared" si="6"/>
        <v>3.4117761203839692</v>
      </c>
      <c r="T13" s="109">
        <f t="shared" si="7"/>
        <v>308.61</v>
      </c>
      <c r="U13" s="106"/>
      <c r="V13" s="109">
        <f t="shared" si="8"/>
        <v>308.61</v>
      </c>
      <c r="W13" s="110">
        <f t="shared" si="9"/>
        <v>1.3808764209344107</v>
      </c>
      <c r="X13" s="110">
        <f t="shared" si="26"/>
        <v>1.3808764209344107</v>
      </c>
      <c r="Y13" s="136">
        <v>223.49</v>
      </c>
      <c r="Z13" s="130">
        <v>223.49</v>
      </c>
      <c r="AA13" s="131">
        <v>0.62</v>
      </c>
      <c r="AB13" s="146">
        <v>650</v>
      </c>
      <c r="AC13" s="147">
        <v>1226</v>
      </c>
      <c r="AD13" s="144" t="s">
        <v>181</v>
      </c>
      <c r="AE13" s="131">
        <v>75.900000000000006</v>
      </c>
      <c r="AF13" s="133">
        <v>168</v>
      </c>
      <c r="AG13" s="134">
        <v>5</v>
      </c>
      <c r="AH13" s="131">
        <v>18.55</v>
      </c>
      <c r="AI13" s="115">
        <f t="shared" si="10"/>
        <v>83.002033661687307</v>
      </c>
      <c r="AJ13" s="131">
        <v>129.35</v>
      </c>
      <c r="AK13" s="115">
        <f t="shared" si="11"/>
        <v>578.77698405063347</v>
      </c>
      <c r="AL13" s="131">
        <v>36.6</v>
      </c>
      <c r="AM13" s="116"/>
      <c r="AN13" s="135">
        <v>14.52</v>
      </c>
      <c r="AO13" s="466">
        <f t="shared" si="27"/>
        <v>54.881500000000003</v>
      </c>
      <c r="AP13" s="110">
        <f t="shared" si="12"/>
        <v>0.19</v>
      </c>
      <c r="AQ13" s="137" t="s">
        <v>353</v>
      </c>
      <c r="AR13" s="150">
        <v>7.58</v>
      </c>
      <c r="AS13" s="138">
        <v>9.39</v>
      </c>
      <c r="AT13" s="131"/>
      <c r="AU13" s="131">
        <v>7.43</v>
      </c>
      <c r="AV13" s="315">
        <v>288.85000000000002</v>
      </c>
      <c r="AW13" s="131">
        <v>4.04</v>
      </c>
      <c r="AX13" s="148"/>
      <c r="AY13" s="149"/>
      <c r="AZ13" s="109"/>
      <c r="BA13" s="109">
        <f t="shared" si="13"/>
        <v>223.48849999999999</v>
      </c>
      <c r="BB13" s="115">
        <f t="shared" si="28"/>
        <v>222.01090481910634</v>
      </c>
      <c r="BC13" s="140">
        <f t="shared" si="14"/>
        <v>7.4449123239436608</v>
      </c>
      <c r="BD13" s="141">
        <f t="shared" si="15"/>
        <v>8.9395399999999992</v>
      </c>
      <c r="BE13" s="128">
        <f t="shared" si="16"/>
        <v>0.87881025780680089</v>
      </c>
      <c r="BF13" s="141">
        <f t="shared" si="17"/>
        <v>16.384452323943659</v>
      </c>
      <c r="BG13" s="535">
        <v>0.89</v>
      </c>
      <c r="BH13" s="16">
        <f t="shared" si="29"/>
        <v>1614.098</v>
      </c>
      <c r="BI13" s="16">
        <f t="shared" si="18"/>
        <v>222.33333333333334</v>
      </c>
      <c r="BJ13" s="16">
        <f t="shared" si="30"/>
        <v>1556.3333333333333</v>
      </c>
      <c r="BK13" s="17">
        <f t="shared" si="19"/>
        <v>1</v>
      </c>
      <c r="BL13" s="16">
        <f t="shared" si="31"/>
        <v>1556.3333333333333</v>
      </c>
      <c r="BM13" s="249"/>
      <c r="BN13" s="195">
        <v>25.233000000000001</v>
      </c>
      <c r="BO13" s="266">
        <v>100.042</v>
      </c>
      <c r="BP13" s="196">
        <v>375.65300000000002</v>
      </c>
      <c r="BQ13" s="313"/>
      <c r="BR13" s="230"/>
      <c r="BS13" s="250"/>
      <c r="BT13" s="199"/>
      <c r="BU13" s="200"/>
      <c r="BV13" s="200"/>
      <c r="BW13" s="200"/>
      <c r="BX13" s="200">
        <v>1.23</v>
      </c>
      <c r="BY13" s="208"/>
      <c r="BZ13" s="208"/>
      <c r="CA13" s="201"/>
      <c r="CB13" s="202"/>
      <c r="CC13" s="200">
        <v>43.7</v>
      </c>
      <c r="CD13" s="202">
        <v>43.24</v>
      </c>
      <c r="CE13" s="200">
        <v>37.409999999999997</v>
      </c>
      <c r="CF13" s="200"/>
      <c r="CG13" s="200"/>
      <c r="CH13" s="200"/>
      <c r="CI13" s="203"/>
      <c r="CJ13" s="204"/>
      <c r="CK13" s="197"/>
      <c r="CL13" s="264">
        <v>116.9</v>
      </c>
      <c r="CM13" s="265">
        <v>191.71</v>
      </c>
      <c r="CN13" s="202"/>
      <c r="CO13" s="202"/>
      <c r="CP13" s="270"/>
      <c r="CQ13" s="201"/>
      <c r="CR13" s="201"/>
      <c r="CS13" s="284"/>
      <c r="CT13" s="286">
        <f t="shared" si="20"/>
        <v>0</v>
      </c>
      <c r="CU13" s="24">
        <f t="shared" si="20"/>
        <v>25.233000000000001</v>
      </c>
      <c r="CV13" s="25">
        <f t="shared" si="20"/>
        <v>100.042</v>
      </c>
      <c r="CW13" s="24">
        <f t="shared" si="20"/>
        <v>371.03246809999996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116.9</v>
      </c>
      <c r="DD13" s="280">
        <f t="shared" si="21"/>
        <v>191.71</v>
      </c>
      <c r="DE13" s="508">
        <f t="shared" si="32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3"/>
        <v>0</v>
      </c>
    </row>
    <row r="14" spans="1:117" ht="16.5" customHeight="1" thickBot="1">
      <c r="A14" s="534">
        <v>8</v>
      </c>
      <c r="B14" s="103">
        <f>'[1]ноябрь 20'!K13</f>
        <v>507.13900000000001</v>
      </c>
      <c r="C14" s="104">
        <f>IF(B14=0,0,(BM14*BU14+BN14*BV14+BP14*BX14+BS14*CA14+BO14*BW14+BR14*BZ14+BQ14*BY14)/B14)</f>
        <v>0.42738732379091332</v>
      </c>
      <c r="D14" s="448">
        <f>B14*((100-C14)/100)</f>
        <v>504.97155220000002</v>
      </c>
      <c r="E14" s="104">
        <f>IF(B14=0,0,(BM14*CB14+BN14*CC14+BP14*CE14+BS14*CH14+BO14*CD14+BR14*CG14+BQ14*CF14)/B14)</f>
        <v>39.387978660682776</v>
      </c>
      <c r="F14" s="128">
        <f>IF(BA14=0,0,D14/BA14)</f>
        <v>2.1219164388454441</v>
      </c>
      <c r="G14" s="106"/>
      <c r="H14" s="107">
        <f>IF(BA14=0,0,(CZ14+CW14+CY14+CT14+CX14)/BA14)</f>
        <v>1.5887391416889727</v>
      </c>
      <c r="I14" s="103">
        <f>'[1]сентябрь 20'!AE13</f>
        <v>0</v>
      </c>
      <c r="J14" s="103">
        <f>'[1]ноябрь 20'!AA13</f>
        <v>12.442</v>
      </c>
      <c r="K14" s="106">
        <v>26.87</v>
      </c>
      <c r="L14" s="103">
        <f>'[1]ноябрь 20'!AI13</f>
        <v>126.88500000000001</v>
      </c>
      <c r="M14" s="103">
        <f>IF(BA14=0,0,(CV14+CU14)/BA14)</f>
        <v>0.53317729715647177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'[1]ноябрь 20'!S13</f>
        <v>320.78300000000002</v>
      </c>
      <c r="S14" s="108">
        <f>IF(R14=0,0,(1-(V14/R14))*100)</f>
        <v>3.4955094253747876</v>
      </c>
      <c r="T14" s="109">
        <f>R14*((100-S14)/100)</f>
        <v>309.57</v>
      </c>
      <c r="U14" s="106"/>
      <c r="V14" s="109">
        <f>CJ14+CK14+CM14+CL14</f>
        <v>309.57</v>
      </c>
      <c r="W14" s="110">
        <f>IF(BA14=0,0,T14/BA14)</f>
        <v>1.3008290647494105</v>
      </c>
      <c r="X14" s="110">
        <f t="shared" si="26"/>
        <v>1.3008290647494105</v>
      </c>
      <c r="Y14" s="136">
        <v>237.98</v>
      </c>
      <c r="Z14" s="130">
        <v>191.63</v>
      </c>
      <c r="AA14" s="131">
        <v>0.66</v>
      </c>
      <c r="AB14" s="146">
        <v>639</v>
      </c>
      <c r="AC14" s="147">
        <v>1237</v>
      </c>
      <c r="AD14" s="144" t="s">
        <v>252</v>
      </c>
      <c r="AE14" s="131">
        <v>75.78</v>
      </c>
      <c r="AF14" s="133">
        <v>169</v>
      </c>
      <c r="AG14" s="134">
        <v>5</v>
      </c>
      <c r="AH14" s="131">
        <v>9.4</v>
      </c>
      <c r="AI14" s="115">
        <f t="shared" si="10"/>
        <v>39.499283550229222</v>
      </c>
      <c r="AJ14" s="131">
        <v>136.69999999999999</v>
      </c>
      <c r="AK14" s="115">
        <f>IF(BA14=0,0,AJ14/BA14*1000)</f>
        <v>574.42043205492905</v>
      </c>
      <c r="AL14" s="131">
        <v>31.97</v>
      </c>
      <c r="AM14" s="116"/>
      <c r="AN14" s="135">
        <v>13.98</v>
      </c>
      <c r="AO14" s="466">
        <f t="shared" si="27"/>
        <v>58.310999999999993</v>
      </c>
      <c r="AP14" s="110">
        <f>IF(AO14=0,0,AO14/AV14)</f>
        <v>0.19</v>
      </c>
      <c r="AQ14" s="137" t="s">
        <v>374</v>
      </c>
      <c r="AR14" s="150">
        <v>7.61</v>
      </c>
      <c r="AS14" s="138">
        <v>9.48</v>
      </c>
      <c r="AT14" s="131"/>
      <c r="AU14" s="131">
        <v>7.6</v>
      </c>
      <c r="AV14" s="315">
        <v>306.89999999999998</v>
      </c>
      <c r="AW14" s="131">
        <v>3.37</v>
      </c>
      <c r="AX14" s="148"/>
      <c r="AY14" s="149"/>
      <c r="AZ14" s="109"/>
      <c r="BA14" s="109">
        <f>AV14-AO14-AN14+AY14+AW14</f>
        <v>237.97900000000001</v>
      </c>
      <c r="BB14" s="115">
        <f>IF(AE14=0,0,((D14*0.97)*(E14/100)*0.9)/(AE14/100))</f>
        <v>229.13437601705812</v>
      </c>
      <c r="BC14" s="140">
        <f>(AJ14*AU14)/100*(55/71)</f>
        <v>8.0479718309859134</v>
      </c>
      <c r="BD14" s="141">
        <f>BA14*$BD$6</f>
        <v>9.5191600000000012</v>
      </c>
      <c r="BE14" s="128">
        <f>IF((D14*E14)=0,0,(BA14*AE14)/(D14*E14))</f>
        <v>0.90669794123136471</v>
      </c>
      <c r="BF14" s="141">
        <f>BC14+BD14</f>
        <v>17.567131830985915</v>
      </c>
      <c r="BG14" s="535">
        <v>0.89200000000000002</v>
      </c>
      <c r="BH14" s="16">
        <f>BH13+BA14</f>
        <v>1852.077</v>
      </c>
      <c r="BI14" s="16">
        <f>IF(A14&lt;=$BG$43,$AV$43,0)</f>
        <v>222.33333333333334</v>
      </c>
      <c r="BJ14" s="16">
        <f>BI14+BJ13</f>
        <v>1778.6666666666665</v>
      </c>
      <c r="BK14" s="17">
        <f>IF(BA14&lt;&gt;0,1,0)</f>
        <v>1</v>
      </c>
      <c r="BL14" s="16">
        <f>BL13+BI14*BK14</f>
        <v>1778.6666666666665</v>
      </c>
      <c r="BM14" s="249"/>
      <c r="BN14" s="195">
        <v>25.481000000000002</v>
      </c>
      <c r="BO14" s="230">
        <v>101.404</v>
      </c>
      <c r="BP14" s="196">
        <v>380.25400000000002</v>
      </c>
      <c r="BQ14" s="313"/>
      <c r="BR14" s="230"/>
      <c r="BS14" s="250"/>
      <c r="BT14" s="199"/>
      <c r="BU14" s="200"/>
      <c r="BV14" s="200"/>
      <c r="BW14" s="200"/>
      <c r="BX14" s="200">
        <v>0.56999999999999995</v>
      </c>
      <c r="BY14" s="208"/>
      <c r="BZ14" s="208"/>
      <c r="CA14" s="201"/>
      <c r="CB14" s="202"/>
      <c r="CC14" s="200">
        <v>43.09</v>
      </c>
      <c r="CD14" s="200">
        <v>43.55</v>
      </c>
      <c r="CE14" s="200">
        <v>38.03</v>
      </c>
      <c r="CF14" s="200"/>
      <c r="CG14" s="200"/>
      <c r="CH14" s="200"/>
      <c r="CI14" s="203"/>
      <c r="CJ14" s="204"/>
      <c r="CK14" s="197"/>
      <c r="CL14" s="264">
        <v>118.3</v>
      </c>
      <c r="CM14" s="265">
        <v>191.27</v>
      </c>
      <c r="CN14" s="202"/>
      <c r="CO14" s="202"/>
      <c r="CP14" s="270"/>
      <c r="CQ14" s="201"/>
      <c r="CR14" s="201"/>
      <c r="CS14" s="284"/>
      <c r="CT14" s="286">
        <f t="shared" si="20"/>
        <v>0</v>
      </c>
      <c r="CU14" s="27">
        <f t="shared" si="20"/>
        <v>25.481000000000002</v>
      </c>
      <c r="CV14" s="28">
        <f t="shared" si="20"/>
        <v>101.404</v>
      </c>
      <c r="CW14" s="27">
        <f t="shared" si="20"/>
        <v>378.08655220000003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118.3</v>
      </c>
      <c r="DD14" s="280">
        <f t="shared" si="21"/>
        <v>191.27</v>
      </c>
      <c r="DE14" s="508">
        <f t="shared" si="32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3"/>
        <v>0</v>
      </c>
    </row>
    <row r="15" spans="1:117" ht="16.5" customHeight="1" thickBot="1">
      <c r="A15" s="536">
        <v>9</v>
      </c>
      <c r="B15" s="103">
        <f>'[1]ноябрь 20'!K14</f>
        <v>482.82100000000003</v>
      </c>
      <c r="C15" s="104">
        <f t="shared" si="0"/>
        <v>0.50263633934729435</v>
      </c>
      <c r="D15" s="448">
        <f t="shared" si="1"/>
        <v>480.39416620000003</v>
      </c>
      <c r="E15" s="104">
        <f t="shared" si="2"/>
        <v>39.00133952334302</v>
      </c>
      <c r="F15" s="128">
        <f t="shared" si="3"/>
        <v>2.0122612293624482</v>
      </c>
      <c r="G15" s="106"/>
      <c r="H15" s="107">
        <f t="shared" si="4"/>
        <v>1.5070661059298338</v>
      </c>
      <c r="I15" s="103">
        <f>'[1]сентябрь 20'!AE14</f>
        <v>0</v>
      </c>
      <c r="J15" s="103">
        <f>'[1]ноябрь 20'!AA14</f>
        <v>12.798</v>
      </c>
      <c r="K15" s="106"/>
      <c r="L15" s="103">
        <f>'[1]ноябрь 20'!AI14</f>
        <v>120.607</v>
      </c>
      <c r="M15" s="103">
        <f t="shared" si="5"/>
        <v>0.50519512343261419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'[1]ноябрь 20'!S14</f>
        <v>307.267</v>
      </c>
      <c r="S15" s="108">
        <f t="shared" si="6"/>
        <v>3.5171365620128237</v>
      </c>
      <c r="T15" s="109">
        <f t="shared" si="7"/>
        <v>296.46000000000004</v>
      </c>
      <c r="U15" s="106">
        <v>51.97</v>
      </c>
      <c r="V15" s="109">
        <f t="shared" si="8"/>
        <v>296.46000000000004</v>
      </c>
      <c r="W15" s="110">
        <f t="shared" si="9"/>
        <v>1.241803098434028</v>
      </c>
      <c r="X15" s="110">
        <f t="shared" si="26"/>
        <v>1.241803098434028</v>
      </c>
      <c r="Y15" s="136">
        <v>238.73</v>
      </c>
      <c r="Z15" s="130">
        <v>195.64</v>
      </c>
      <c r="AA15" s="131">
        <v>0.92</v>
      </c>
      <c r="AB15" s="112">
        <v>663</v>
      </c>
      <c r="AC15" s="133">
        <v>1235</v>
      </c>
      <c r="AD15" s="144" t="s">
        <v>478</v>
      </c>
      <c r="AE15" s="131">
        <v>75.760000000000005</v>
      </c>
      <c r="AF15" s="133">
        <v>161</v>
      </c>
      <c r="AG15" s="134">
        <v>5</v>
      </c>
      <c r="AH15" s="131">
        <v>8.9</v>
      </c>
      <c r="AI15" s="115">
        <f t="shared" si="10"/>
        <v>37.280063334219953</v>
      </c>
      <c r="AJ15" s="131">
        <v>138.69999999999999</v>
      </c>
      <c r="AK15" s="115">
        <f t="shared" si="11"/>
        <v>580.98256005127053</v>
      </c>
      <c r="AL15" s="131">
        <v>34.61</v>
      </c>
      <c r="AM15" s="116"/>
      <c r="AN15" s="135">
        <v>15.32</v>
      </c>
      <c r="AO15" s="466">
        <f t="shared" si="27"/>
        <v>58.776500000000006</v>
      </c>
      <c r="AP15" s="110">
        <f t="shared" si="12"/>
        <v>0.19</v>
      </c>
      <c r="AQ15" s="137" t="s">
        <v>475</v>
      </c>
      <c r="AR15" s="150">
        <v>7.66</v>
      </c>
      <c r="AS15" s="138">
        <v>9.5500000000000007</v>
      </c>
      <c r="AT15" s="131"/>
      <c r="AU15" s="131">
        <v>6.96</v>
      </c>
      <c r="AV15" s="315">
        <v>309.35000000000002</v>
      </c>
      <c r="AW15" s="131">
        <v>3.48</v>
      </c>
      <c r="AX15" s="116"/>
      <c r="AY15" s="131"/>
      <c r="AZ15" s="109"/>
      <c r="BA15" s="109">
        <f t="shared" si="13"/>
        <v>238.73350000000002</v>
      </c>
      <c r="BB15" s="115">
        <f t="shared" si="28"/>
        <v>215.89944497640633</v>
      </c>
      <c r="BC15" s="140">
        <f t="shared" si="14"/>
        <v>7.4780788732394354</v>
      </c>
      <c r="BD15" s="141">
        <f t="shared" si="15"/>
        <v>9.5493400000000008</v>
      </c>
      <c r="BE15" s="128">
        <f t="shared" si="16"/>
        <v>0.96533062196049513</v>
      </c>
      <c r="BF15" s="141">
        <f t="shared" si="17"/>
        <v>17.027418873239437</v>
      </c>
      <c r="BG15" s="535">
        <v>0.9</v>
      </c>
      <c r="BH15" s="16">
        <f t="shared" si="29"/>
        <v>2090.8105</v>
      </c>
      <c r="BI15" s="16">
        <f t="shared" si="18"/>
        <v>222.33333333333334</v>
      </c>
      <c r="BJ15" s="16">
        <f t="shared" si="30"/>
        <v>2000.9999999999998</v>
      </c>
      <c r="BK15" s="17">
        <f t="shared" si="19"/>
        <v>1</v>
      </c>
      <c r="BL15" s="16">
        <f t="shared" si="31"/>
        <v>2000.9999999999998</v>
      </c>
      <c r="BM15" s="249"/>
      <c r="BN15" s="195">
        <v>23.981999999999999</v>
      </c>
      <c r="BO15" s="195">
        <v>96.625</v>
      </c>
      <c r="BP15" s="197">
        <v>362.214</v>
      </c>
      <c r="BQ15" s="230"/>
      <c r="BR15" s="195"/>
      <c r="BS15" s="329"/>
      <c r="BT15" s="199"/>
      <c r="BU15" s="200"/>
      <c r="BV15" s="200"/>
      <c r="BW15" s="200"/>
      <c r="BX15" s="200">
        <v>0.67</v>
      </c>
      <c r="BY15" s="208"/>
      <c r="BZ15" s="208"/>
      <c r="CA15" s="330"/>
      <c r="CB15" s="202"/>
      <c r="CC15" s="200">
        <v>43.24</v>
      </c>
      <c r="CD15" s="200">
        <v>43.09</v>
      </c>
      <c r="CE15" s="200">
        <v>37.630000000000003</v>
      </c>
      <c r="CF15" s="200"/>
      <c r="CG15" s="200"/>
      <c r="CH15" s="200"/>
      <c r="CI15" s="203"/>
      <c r="CJ15" s="204"/>
      <c r="CK15" s="230"/>
      <c r="CL15" s="266">
        <v>113.4</v>
      </c>
      <c r="CM15" s="265">
        <v>183.06</v>
      </c>
      <c r="CN15" s="202"/>
      <c r="CO15" s="208"/>
      <c r="CP15" s="208"/>
      <c r="CQ15" s="201"/>
      <c r="CR15" s="201"/>
      <c r="CS15" s="284"/>
      <c r="CT15" s="286">
        <f t="shared" si="20"/>
        <v>0</v>
      </c>
      <c r="CU15" s="29">
        <f t="shared" si="20"/>
        <v>23.981999999999999</v>
      </c>
      <c r="CV15" s="30">
        <f t="shared" si="20"/>
        <v>96.625</v>
      </c>
      <c r="CW15" s="29">
        <f t="shared" si="20"/>
        <v>359.7871662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113.4</v>
      </c>
      <c r="DD15" s="280">
        <f t="shared" si="21"/>
        <v>183.06</v>
      </c>
      <c r="DE15" s="508">
        <f t="shared" si="32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3"/>
        <v>0</v>
      </c>
    </row>
    <row r="16" spans="1:117" ht="16.5" customHeight="1" thickBot="1">
      <c r="A16" s="534">
        <v>10</v>
      </c>
      <c r="B16" s="103">
        <f>'[1]ноябрь 20'!K15</f>
        <v>528.02300000000002</v>
      </c>
      <c r="C16" s="104">
        <f t="shared" si="0"/>
        <v>0.56999100417974213</v>
      </c>
      <c r="D16" s="448">
        <f t="shared" si="1"/>
        <v>525.01331640000001</v>
      </c>
      <c r="E16" s="104">
        <f t="shared" si="2"/>
        <v>39.905059893224355</v>
      </c>
      <c r="F16" s="128">
        <f t="shared" si="3"/>
        <v>2.1756798988852513</v>
      </c>
      <c r="G16" s="106"/>
      <c r="H16" s="107">
        <f t="shared" si="4"/>
        <v>1.6286159562388629</v>
      </c>
      <c r="I16" s="103">
        <f>'[1]сентябрь 20'!AE15</f>
        <v>0</v>
      </c>
      <c r="J16" s="103">
        <f>'[1]ноябрь 20'!AA15</f>
        <v>13.186</v>
      </c>
      <c r="K16" s="106"/>
      <c r="L16" s="103">
        <f>'[1]ноябрь 20'!AI15</f>
        <v>132.012</v>
      </c>
      <c r="M16" s="103">
        <f t="shared" si="5"/>
        <v>0.54706394264638847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'[1]ноябрь 20'!S15</f>
        <v>334.25099999999998</v>
      </c>
      <c r="S16" s="108">
        <f t="shared" si="6"/>
        <v>3.4557862205348622</v>
      </c>
      <c r="T16" s="109">
        <f t="shared" si="7"/>
        <v>322.7</v>
      </c>
      <c r="U16" s="106">
        <v>55.12</v>
      </c>
      <c r="V16" s="109">
        <f t="shared" si="8"/>
        <v>322.7</v>
      </c>
      <c r="W16" s="110">
        <f t="shared" si="9"/>
        <v>1.3372839915461439</v>
      </c>
      <c r="X16" s="110">
        <f t="shared" si="26"/>
        <v>1.3372839915461439</v>
      </c>
      <c r="Y16" s="136">
        <v>200.5</v>
      </c>
      <c r="Z16" s="130">
        <v>200.5</v>
      </c>
      <c r="AA16" s="131">
        <v>0.85</v>
      </c>
      <c r="AB16" s="112">
        <v>617</v>
      </c>
      <c r="AC16" s="133">
        <v>1233</v>
      </c>
      <c r="AD16" s="144" t="s">
        <v>478</v>
      </c>
      <c r="AE16" s="131">
        <v>75.41</v>
      </c>
      <c r="AF16" s="133">
        <v>176</v>
      </c>
      <c r="AG16" s="134">
        <v>5</v>
      </c>
      <c r="AH16" s="131">
        <v>6.15</v>
      </c>
      <c r="AI16" s="115">
        <f t="shared" si="10"/>
        <v>25.485889519704944</v>
      </c>
      <c r="AJ16" s="131">
        <v>145.69999999999999</v>
      </c>
      <c r="AK16" s="115">
        <f t="shared" si="11"/>
        <v>603.78765902780651</v>
      </c>
      <c r="AL16" s="139">
        <v>40.76</v>
      </c>
      <c r="AM16" s="131"/>
      <c r="AN16" s="136">
        <v>17.89</v>
      </c>
      <c r="AO16" s="466">
        <v>76.73</v>
      </c>
      <c r="AP16" s="110">
        <f t="shared" si="12"/>
        <v>0.23094055680963133</v>
      </c>
      <c r="AQ16" s="137" t="s">
        <v>474</v>
      </c>
      <c r="AR16" s="150">
        <v>7.21</v>
      </c>
      <c r="AS16" s="138">
        <v>9.15</v>
      </c>
      <c r="AT16" s="131"/>
      <c r="AU16" s="131">
        <v>7.84</v>
      </c>
      <c r="AV16" s="315">
        <v>332.25</v>
      </c>
      <c r="AW16" s="131">
        <v>3.68</v>
      </c>
      <c r="AX16" s="116"/>
      <c r="AY16" s="131"/>
      <c r="AZ16" s="109"/>
      <c r="BA16" s="109">
        <f t="shared" si="13"/>
        <v>241.31</v>
      </c>
      <c r="BB16" s="115">
        <f t="shared" si="28"/>
        <v>242.54012041573651</v>
      </c>
      <c r="BC16" s="140">
        <f t="shared" si="14"/>
        <v>8.848709859154928</v>
      </c>
      <c r="BD16" s="141">
        <f t="shared" si="15"/>
        <v>9.6524000000000001</v>
      </c>
      <c r="BE16" s="128">
        <f t="shared" si="16"/>
        <v>0.86857229904439226</v>
      </c>
      <c r="BF16" s="141">
        <f t="shared" si="17"/>
        <v>18.50110985915493</v>
      </c>
      <c r="BG16" s="535">
        <v>0.89700000000000002</v>
      </c>
      <c r="BH16" s="16">
        <f t="shared" si="29"/>
        <v>2332.1205</v>
      </c>
      <c r="BI16" s="16">
        <f t="shared" si="18"/>
        <v>222.33333333333334</v>
      </c>
      <c r="BJ16" s="16">
        <f t="shared" si="30"/>
        <v>2223.333333333333</v>
      </c>
      <c r="BK16" s="17">
        <f t="shared" si="19"/>
        <v>1</v>
      </c>
      <c r="BL16" s="16">
        <f t="shared" si="31"/>
        <v>2223.333333333333</v>
      </c>
      <c r="BM16" s="249"/>
      <c r="BN16" s="195">
        <v>26.344000000000001</v>
      </c>
      <c r="BO16" s="230">
        <v>105.66800000000001</v>
      </c>
      <c r="BP16" s="197">
        <v>396.01100000000002</v>
      </c>
      <c r="BQ16" s="230"/>
      <c r="BR16" s="230"/>
      <c r="BS16" s="250"/>
      <c r="BT16" s="199"/>
      <c r="BU16" s="200"/>
      <c r="BV16" s="200"/>
      <c r="BW16" s="200"/>
      <c r="BX16" s="200">
        <v>0.76</v>
      </c>
      <c r="BY16" s="208"/>
      <c r="BZ16" s="208"/>
      <c r="CA16" s="201"/>
      <c r="CB16" s="202"/>
      <c r="CC16" s="200">
        <v>43.7</v>
      </c>
      <c r="CD16" s="200">
        <v>43.7</v>
      </c>
      <c r="CE16" s="200">
        <v>38.64</v>
      </c>
      <c r="CF16" s="200"/>
      <c r="CG16" s="200"/>
      <c r="CH16" s="200"/>
      <c r="CI16" s="203"/>
      <c r="CJ16" s="204"/>
      <c r="CK16" s="230"/>
      <c r="CL16" s="266">
        <v>123.2</v>
      </c>
      <c r="CM16" s="265">
        <v>199.5</v>
      </c>
      <c r="CN16" s="202"/>
      <c r="CO16" s="208"/>
      <c r="CP16" s="208"/>
      <c r="CQ16" s="201"/>
      <c r="CR16" s="201"/>
      <c r="CS16" s="284"/>
      <c r="CT16" s="286">
        <f t="shared" si="20"/>
        <v>0</v>
      </c>
      <c r="CU16" s="24">
        <f t="shared" si="20"/>
        <v>26.344000000000001</v>
      </c>
      <c r="CV16" s="25">
        <f t="shared" si="20"/>
        <v>105.66800000000001</v>
      </c>
      <c r="CW16" s="24">
        <f t="shared" si="20"/>
        <v>393.00131640000001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123.2</v>
      </c>
      <c r="DD16" s="280">
        <f t="shared" si="21"/>
        <v>199.5</v>
      </c>
      <c r="DE16" s="508">
        <f t="shared" si="32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3"/>
        <v>0</v>
      </c>
    </row>
    <row r="17" spans="1:115" ht="16.5" customHeight="1" thickBot="1">
      <c r="A17" s="534">
        <v>11</v>
      </c>
      <c r="B17" s="103">
        <f>'[1]ноябрь 20'!K16</f>
        <v>141.13200000000001</v>
      </c>
      <c r="C17" s="104">
        <f t="shared" si="0"/>
        <v>0.90665122013434229</v>
      </c>
      <c r="D17" s="448">
        <f t="shared" si="1"/>
        <v>139.85242500000001</v>
      </c>
      <c r="E17" s="104">
        <f t="shared" si="2"/>
        <v>38.539119122523594</v>
      </c>
      <c r="F17" s="128">
        <f t="shared" si="3"/>
        <v>1.5625532806346194</v>
      </c>
      <c r="G17" s="106"/>
      <c r="H17" s="107">
        <f t="shared" si="4"/>
        <v>1.167234714114131</v>
      </c>
      <c r="I17" s="103">
        <f>'[1]сентябрь 20'!AE16</f>
        <v>0</v>
      </c>
      <c r="J17" s="103">
        <f>'[1]ноябрь 20'!AA16</f>
        <v>3.839</v>
      </c>
      <c r="K17" s="106">
        <v>19.68</v>
      </c>
      <c r="L17" s="103">
        <f>'[1]ноябрь 20'!AI16</f>
        <v>35.381999999999998</v>
      </c>
      <c r="M17" s="103">
        <f t="shared" si="5"/>
        <v>0.39531856652048825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'[1]ноябрь 20'!S16</f>
        <v>96.238</v>
      </c>
      <c r="S17" s="108">
        <f t="shared" si="6"/>
        <v>3.2710571707641467</v>
      </c>
      <c r="T17" s="109">
        <f t="shared" si="7"/>
        <v>93.09</v>
      </c>
      <c r="U17" s="106">
        <v>2.2000000000000002</v>
      </c>
      <c r="V17" s="109">
        <f t="shared" si="8"/>
        <v>93.09</v>
      </c>
      <c r="W17" s="110">
        <f t="shared" si="9"/>
        <v>1.0400826792547695</v>
      </c>
      <c r="X17" s="110">
        <f t="shared" si="26"/>
        <v>1.0400826792547695</v>
      </c>
      <c r="Y17" s="136">
        <v>89.5</v>
      </c>
      <c r="Z17" s="130">
        <v>89.5</v>
      </c>
      <c r="AA17" s="131">
        <v>0.6</v>
      </c>
      <c r="AB17" s="112">
        <v>620</v>
      </c>
      <c r="AC17" s="133">
        <v>1233</v>
      </c>
      <c r="AD17" s="144" t="s">
        <v>163</v>
      </c>
      <c r="AE17" s="131">
        <v>75.64</v>
      </c>
      <c r="AF17" s="133">
        <v>49</v>
      </c>
      <c r="AG17" s="134">
        <v>2</v>
      </c>
      <c r="AH17" s="131">
        <v>9.5</v>
      </c>
      <c r="AI17" s="115">
        <f t="shared" si="10"/>
        <v>106.14228652830927</v>
      </c>
      <c r="AJ17" s="131">
        <v>63.95</v>
      </c>
      <c r="AK17" s="115">
        <f t="shared" si="11"/>
        <v>714.50518141951352</v>
      </c>
      <c r="AL17" s="139">
        <v>12.41</v>
      </c>
      <c r="AM17" s="131"/>
      <c r="AN17" s="136">
        <v>9.3800000000000008</v>
      </c>
      <c r="AO17" s="466">
        <f t="shared" si="27"/>
        <v>22.467500000000001</v>
      </c>
      <c r="AP17" s="110">
        <f t="shared" si="12"/>
        <v>0.19</v>
      </c>
      <c r="AQ17" s="137" t="s">
        <v>449</v>
      </c>
      <c r="AR17" s="150">
        <v>6.89</v>
      </c>
      <c r="AS17" s="138">
        <v>9.07</v>
      </c>
      <c r="AT17" s="131"/>
      <c r="AU17" s="131">
        <v>8.08</v>
      </c>
      <c r="AV17" s="315">
        <v>118.25</v>
      </c>
      <c r="AW17" s="131">
        <v>3.1</v>
      </c>
      <c r="AX17" s="116"/>
      <c r="AY17" s="131"/>
      <c r="AZ17" s="109"/>
      <c r="BA17" s="109">
        <f t="shared" si="13"/>
        <v>89.502499999999998</v>
      </c>
      <c r="BB17" s="115">
        <f t="shared" si="28"/>
        <v>62.206319801485996</v>
      </c>
      <c r="BC17" s="140">
        <f t="shared" si="14"/>
        <v>4.0027295774647884</v>
      </c>
      <c r="BD17" s="141">
        <f t="shared" si="15"/>
        <v>3.5800999999999998</v>
      </c>
      <c r="BE17" s="128">
        <f t="shared" si="16"/>
        <v>1.2560730605724324</v>
      </c>
      <c r="BF17" s="141">
        <f t="shared" si="17"/>
        <v>7.5828295774647883</v>
      </c>
      <c r="BG17" s="535">
        <v>0.90600000000000003</v>
      </c>
      <c r="BH17" s="16">
        <f t="shared" si="29"/>
        <v>2421.623</v>
      </c>
      <c r="BI17" s="16">
        <f t="shared" si="18"/>
        <v>222.33333333333334</v>
      </c>
      <c r="BJ17" s="16">
        <f t="shared" si="30"/>
        <v>2445.6666666666665</v>
      </c>
      <c r="BK17" s="17">
        <f t="shared" si="19"/>
        <v>1</v>
      </c>
      <c r="BL17" s="16">
        <f t="shared" si="31"/>
        <v>2445.6666666666665</v>
      </c>
      <c r="BM17" s="249"/>
      <c r="BN17" s="195">
        <v>7.19</v>
      </c>
      <c r="BO17" s="195">
        <v>28.192</v>
      </c>
      <c r="BP17" s="197">
        <v>105.75</v>
      </c>
      <c r="BQ17" s="230"/>
      <c r="BR17" s="230"/>
      <c r="BS17" s="250"/>
      <c r="BT17" s="199"/>
      <c r="BU17" s="200"/>
      <c r="BV17" s="200"/>
      <c r="BW17" s="200"/>
      <c r="BX17" s="200">
        <v>1.21</v>
      </c>
      <c r="BY17" s="208"/>
      <c r="BZ17" s="208"/>
      <c r="CA17" s="201"/>
      <c r="CB17" s="202"/>
      <c r="CC17" s="200">
        <v>42.93</v>
      </c>
      <c r="CD17" s="200">
        <v>42.78</v>
      </c>
      <c r="CE17" s="200">
        <v>37.11</v>
      </c>
      <c r="CF17" s="208"/>
      <c r="CG17" s="208"/>
      <c r="CH17" s="201"/>
      <c r="CI17" s="199"/>
      <c r="CJ17" s="197"/>
      <c r="CK17" s="244"/>
      <c r="CL17" s="266">
        <v>38.9</v>
      </c>
      <c r="CM17" s="265">
        <v>54.19</v>
      </c>
      <c r="CN17" s="231"/>
      <c r="CO17" s="208"/>
      <c r="CP17" s="208"/>
      <c r="CQ17" s="201"/>
      <c r="CR17" s="201"/>
      <c r="CS17" s="284"/>
      <c r="CT17" s="286">
        <f t="shared" si="20"/>
        <v>0</v>
      </c>
      <c r="CU17" s="24">
        <f t="shared" si="20"/>
        <v>7.19</v>
      </c>
      <c r="CV17" s="25">
        <f t="shared" si="20"/>
        <v>28.192</v>
      </c>
      <c r="CW17" s="24">
        <f t="shared" si="20"/>
        <v>104.47042500000001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38.9</v>
      </c>
      <c r="DD17" s="280">
        <f t="shared" si="21"/>
        <v>54.19</v>
      </c>
      <c r="DE17" s="508">
        <f t="shared" si="32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3"/>
        <v>0</v>
      </c>
    </row>
    <row r="18" spans="1:115" ht="16.5" customHeight="1" thickBot="1">
      <c r="A18" s="534">
        <v>12</v>
      </c>
      <c r="B18" s="103">
        <f>'[1]ноябрь 20'!K17</f>
        <v>414.77499999999998</v>
      </c>
      <c r="C18" s="104">
        <f t="shared" si="0"/>
        <v>1.243414140196492</v>
      </c>
      <c r="D18" s="143">
        <f t="shared" si="1"/>
        <v>409.61762899999997</v>
      </c>
      <c r="E18" s="104">
        <f t="shared" si="2"/>
        <v>38.879093580857088</v>
      </c>
      <c r="F18" s="128">
        <f t="shared" si="3"/>
        <v>2.5333829906981347</v>
      </c>
      <c r="G18" s="106"/>
      <c r="H18" s="107">
        <f t="shared" si="4"/>
        <v>1.8896122717826926</v>
      </c>
      <c r="I18" s="103">
        <f>'[1]сентябрь 20'!AE17</f>
        <v>0</v>
      </c>
      <c r="J18" s="103">
        <f>'[1]ноябрь 20'!AA17</f>
        <v>11.170999999999999</v>
      </c>
      <c r="K18" s="106"/>
      <c r="L18" s="103">
        <f>'[1]ноябрь 20'!AI17</f>
        <v>104.09</v>
      </c>
      <c r="M18" s="103">
        <f t="shared" si="5"/>
        <v>0.64377071891544213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'[1]ноябрь 20'!S17</f>
        <v>270.24299999999999</v>
      </c>
      <c r="S18" s="108">
        <f t="shared" si="6"/>
        <v>3.057618513708027</v>
      </c>
      <c r="T18" s="109">
        <f t="shared" si="7"/>
        <v>261.98</v>
      </c>
      <c r="U18" s="106">
        <v>15.49</v>
      </c>
      <c r="V18" s="109">
        <f t="shared" si="8"/>
        <v>261.98</v>
      </c>
      <c r="W18" s="110">
        <f t="shared" si="9"/>
        <v>1.6202810350799073</v>
      </c>
      <c r="X18" s="110">
        <f t="shared" si="26"/>
        <v>1.6202810350799073</v>
      </c>
      <c r="Y18" s="136">
        <v>161.69</v>
      </c>
      <c r="Z18" s="130">
        <v>54.71</v>
      </c>
      <c r="AA18" s="131">
        <v>0.95</v>
      </c>
      <c r="AB18" s="112">
        <v>599</v>
      </c>
      <c r="AC18" s="133">
        <v>1152</v>
      </c>
      <c r="AD18" s="144" t="s">
        <v>144</v>
      </c>
      <c r="AE18" s="131">
        <v>75.489999999999995</v>
      </c>
      <c r="AF18" s="133">
        <v>140</v>
      </c>
      <c r="AG18" s="134">
        <v>4</v>
      </c>
      <c r="AH18" s="131">
        <v>9.1</v>
      </c>
      <c r="AI18" s="115">
        <f t="shared" si="10"/>
        <v>56.281232991935092</v>
      </c>
      <c r="AJ18" s="131">
        <v>86.05</v>
      </c>
      <c r="AK18" s="115">
        <f t="shared" si="11"/>
        <v>532.1978130720895</v>
      </c>
      <c r="AL18" s="139">
        <v>24.86</v>
      </c>
      <c r="AM18" s="131"/>
      <c r="AN18" s="136">
        <v>7.43</v>
      </c>
      <c r="AO18" s="466">
        <f t="shared" si="27"/>
        <v>38.722000000000001</v>
      </c>
      <c r="AP18" s="110">
        <f t="shared" si="12"/>
        <v>0.19</v>
      </c>
      <c r="AQ18" s="137" t="s">
        <v>442</v>
      </c>
      <c r="AR18" s="150">
        <v>7.57</v>
      </c>
      <c r="AS18" s="138">
        <v>8.75</v>
      </c>
      <c r="AT18" s="131"/>
      <c r="AU18" s="131">
        <v>8.6999999999999993</v>
      </c>
      <c r="AV18" s="315">
        <v>203.8</v>
      </c>
      <c r="AW18" s="131">
        <v>4.04</v>
      </c>
      <c r="AX18" s="116"/>
      <c r="AY18" s="131"/>
      <c r="AZ18" s="109">
        <f t="shared" ref="AZ18:AZ37" si="34">IF(BA18=0,0,AY18/BA18*100)</f>
        <v>0</v>
      </c>
      <c r="BA18" s="109">
        <f t="shared" si="13"/>
        <v>161.68799999999999</v>
      </c>
      <c r="BB18" s="115">
        <f>IF(AE18=0,0,((D18*0.97)*(E18/100)*0.9)/(AE18/100))</f>
        <v>184.17029725416359</v>
      </c>
      <c r="BC18" s="140">
        <f t="shared" si="14"/>
        <v>5.7992852112676045</v>
      </c>
      <c r="BD18" s="141">
        <f t="shared" si="15"/>
        <v>6.4675199999999995</v>
      </c>
      <c r="BE18" s="128">
        <f t="shared" si="16"/>
        <v>0.76642990810402745</v>
      </c>
      <c r="BF18" s="141">
        <f t="shared" si="17"/>
        <v>12.266805211267604</v>
      </c>
      <c r="BG18" s="535">
        <v>0.89600000000000002</v>
      </c>
      <c r="BH18" s="16">
        <f t="shared" si="29"/>
        <v>2583.3110000000001</v>
      </c>
      <c r="BI18" s="16">
        <f t="shared" si="18"/>
        <v>222.33333333333334</v>
      </c>
      <c r="BJ18" s="16">
        <f t="shared" si="30"/>
        <v>2668</v>
      </c>
      <c r="BK18" s="17">
        <f t="shared" si="19"/>
        <v>1</v>
      </c>
      <c r="BL18" s="16">
        <f t="shared" si="31"/>
        <v>2668</v>
      </c>
      <c r="BM18" s="249"/>
      <c r="BN18" s="195">
        <v>21.167000000000002</v>
      </c>
      <c r="BO18" s="195">
        <v>82.923000000000002</v>
      </c>
      <c r="BP18" s="197">
        <v>310.685</v>
      </c>
      <c r="BQ18" s="230"/>
      <c r="BR18" s="230"/>
      <c r="BS18" s="250"/>
      <c r="BT18" s="199"/>
      <c r="BU18" s="200"/>
      <c r="BV18" s="200"/>
      <c r="BW18" s="200"/>
      <c r="BX18" s="200">
        <v>1.66</v>
      </c>
      <c r="BY18" s="208"/>
      <c r="BZ18" s="208"/>
      <c r="CA18" s="201"/>
      <c r="CB18" s="202"/>
      <c r="CC18" s="200">
        <v>43.17</v>
      </c>
      <c r="CD18" s="200">
        <v>43.85</v>
      </c>
      <c r="CE18" s="200">
        <v>37.26</v>
      </c>
      <c r="CF18" s="208"/>
      <c r="CG18" s="208"/>
      <c r="CH18" s="209"/>
      <c r="CI18" s="199"/>
      <c r="CJ18" s="197"/>
      <c r="CK18" s="268"/>
      <c r="CL18" s="289">
        <v>99.65</v>
      </c>
      <c r="CM18" s="267">
        <v>162.33000000000001</v>
      </c>
      <c r="CN18" s="202"/>
      <c r="CO18" s="208"/>
      <c r="CP18" s="208"/>
      <c r="CQ18" s="201"/>
      <c r="CR18" s="201"/>
      <c r="CS18" s="284"/>
      <c r="CT18" s="286">
        <f t="shared" si="20"/>
        <v>0</v>
      </c>
      <c r="CU18" s="24">
        <f t="shared" si="20"/>
        <v>21.167000000000002</v>
      </c>
      <c r="CV18" s="25">
        <f t="shared" si="20"/>
        <v>82.923000000000002</v>
      </c>
      <c r="CW18" s="24">
        <f t="shared" si="20"/>
        <v>305.52762899999999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99.65</v>
      </c>
      <c r="DD18" s="280">
        <f t="shared" si="21"/>
        <v>162.33000000000001</v>
      </c>
      <c r="DE18" s="508">
        <f t="shared" si="32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3"/>
        <v>0</v>
      </c>
    </row>
    <row r="19" spans="1:115" ht="16.5" customHeight="1" thickBot="1">
      <c r="A19" s="534">
        <v>13</v>
      </c>
      <c r="B19" s="103">
        <f>'[1]ноябрь 20'!K18</f>
        <v>489.12099999999998</v>
      </c>
      <c r="C19" s="104">
        <f t="shared" si="0"/>
        <v>0.90782716342172998</v>
      </c>
      <c r="D19" s="143">
        <f t="shared" si="1"/>
        <v>484.6806267</v>
      </c>
      <c r="E19" s="104">
        <f>IF(B19=0,0,(BM19*CB19+BN19*CC19+BP19*CE19+BS19*CH19+BO19*CD19+BR19*CG19+BQ19*CF19)/B19)</f>
        <v>39.233567011025904</v>
      </c>
      <c r="F19" s="128">
        <f t="shared" si="3"/>
        <v>2.2676867533634173</v>
      </c>
      <c r="G19" s="106"/>
      <c r="H19" s="107">
        <f t="shared" si="4"/>
        <v>1.6961900062460962</v>
      </c>
      <c r="I19" s="103">
        <f>'[1]сентябрь 20'!AE18</f>
        <v>0</v>
      </c>
      <c r="J19" s="103">
        <f>'[1]ноябрь 20'!AA18</f>
        <v>12.968999999999999</v>
      </c>
      <c r="K19" s="106"/>
      <c r="L19" s="103">
        <f>'[1]ноябрь 20'!AI18</f>
        <v>122.148</v>
      </c>
      <c r="M19" s="103">
        <f t="shared" si="5"/>
        <v>0.57149674711732124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'[1]ноябрь 20'!S18</f>
        <v>310.05799999999999</v>
      </c>
      <c r="S19" s="108">
        <f t="shared" si="6"/>
        <v>3.1149010830231805</v>
      </c>
      <c r="T19" s="109">
        <f t="shared" si="7"/>
        <v>300.39999999999998</v>
      </c>
      <c r="U19" s="106">
        <v>18.649999999999999</v>
      </c>
      <c r="V19" s="109">
        <f t="shared" si="8"/>
        <v>300.39999999999998</v>
      </c>
      <c r="W19" s="110">
        <f t="shared" si="9"/>
        <v>1.4054886108167413</v>
      </c>
      <c r="X19" s="110">
        <f t="shared" si="26"/>
        <v>1.4054886108167413</v>
      </c>
      <c r="Y19" s="136">
        <v>134.44</v>
      </c>
      <c r="Z19" s="130">
        <v>127.05</v>
      </c>
      <c r="AA19" s="131">
        <v>0.83</v>
      </c>
      <c r="AB19" s="112">
        <v>613</v>
      </c>
      <c r="AC19" s="133">
        <v>1213</v>
      </c>
      <c r="AD19" s="144" t="s">
        <v>184</v>
      </c>
      <c r="AE19" s="131">
        <v>75.45</v>
      </c>
      <c r="AF19" s="133">
        <v>163</v>
      </c>
      <c r="AG19" s="134">
        <v>5</v>
      </c>
      <c r="AH19" s="131">
        <v>7.75</v>
      </c>
      <c r="AI19" s="115">
        <f t="shared" si="10"/>
        <v>36.260108967475851</v>
      </c>
      <c r="AJ19" s="131">
        <v>133.69999999999999</v>
      </c>
      <c r="AK19" s="115">
        <f t="shared" si="11"/>
        <v>625.54536373567998</v>
      </c>
      <c r="AL19" s="139">
        <v>34.909999999999997</v>
      </c>
      <c r="AM19" s="131"/>
      <c r="AN19" s="136">
        <v>17.07</v>
      </c>
      <c r="AO19" s="466">
        <f t="shared" si="27"/>
        <v>53.456500000000005</v>
      </c>
      <c r="AP19" s="110">
        <f t="shared" si="12"/>
        <v>0.19</v>
      </c>
      <c r="AQ19" s="137" t="s">
        <v>364</v>
      </c>
      <c r="AR19" s="150">
        <v>7.52</v>
      </c>
      <c r="AS19" s="138">
        <v>9.68</v>
      </c>
      <c r="AT19" s="134"/>
      <c r="AU19" s="131">
        <v>7.75</v>
      </c>
      <c r="AV19" s="315">
        <v>281.35000000000002</v>
      </c>
      <c r="AW19" s="131">
        <v>2.91</v>
      </c>
      <c r="AX19" s="116"/>
      <c r="AY19" s="131"/>
      <c r="AZ19" s="109">
        <f t="shared" si="34"/>
        <v>0</v>
      </c>
      <c r="BA19" s="109">
        <f t="shared" si="13"/>
        <v>213.73350000000002</v>
      </c>
      <c r="BB19" s="115">
        <f t="shared" si="28"/>
        <v>220.02318907971852</v>
      </c>
      <c r="BC19" s="140">
        <f t="shared" si="14"/>
        <v>8.0267077464788716</v>
      </c>
      <c r="BD19" s="141">
        <f t="shared" si="15"/>
        <v>8.5493400000000008</v>
      </c>
      <c r="BE19" s="128">
        <f t="shared" si="16"/>
        <v>0.84804400063665675</v>
      </c>
      <c r="BF19" s="141">
        <f t="shared" si="17"/>
        <v>16.576047746478871</v>
      </c>
      <c r="BG19" s="535">
        <v>0.89200000000000002</v>
      </c>
      <c r="BH19" s="16">
        <f t="shared" si="29"/>
        <v>2797.0445</v>
      </c>
      <c r="BI19" s="16">
        <f t="shared" si="18"/>
        <v>222.33333333333334</v>
      </c>
      <c r="BJ19" s="16">
        <f t="shared" si="30"/>
        <v>2890.3333333333335</v>
      </c>
      <c r="BK19" s="17">
        <f t="shared" si="19"/>
        <v>1</v>
      </c>
      <c r="BL19" s="16">
        <f t="shared" si="31"/>
        <v>2890.3333333333335</v>
      </c>
      <c r="BM19" s="254"/>
      <c r="BN19" s="197">
        <v>24.359000000000002</v>
      </c>
      <c r="BO19" s="197">
        <v>97.789000000000001</v>
      </c>
      <c r="BP19" s="197">
        <v>366.97300000000001</v>
      </c>
      <c r="BQ19" s="230"/>
      <c r="BR19" s="230"/>
      <c r="BS19" s="258"/>
      <c r="BT19" s="199"/>
      <c r="BU19" s="200"/>
      <c r="BV19" s="200"/>
      <c r="BW19" s="200"/>
      <c r="BX19" s="200">
        <v>1.21</v>
      </c>
      <c r="BY19" s="208"/>
      <c r="BZ19" s="208"/>
      <c r="CA19" s="201"/>
      <c r="CB19" s="202"/>
      <c r="CC19" s="200">
        <v>43.09</v>
      </c>
      <c r="CD19" s="200">
        <v>43.39</v>
      </c>
      <c r="CE19" s="200">
        <v>37.869999999999997</v>
      </c>
      <c r="CF19" s="208"/>
      <c r="CG19" s="208"/>
      <c r="CH19" s="209"/>
      <c r="CI19" s="199"/>
      <c r="CJ19" s="197"/>
      <c r="CK19" s="197">
        <v>24.64</v>
      </c>
      <c r="CL19" s="197">
        <v>114.1</v>
      </c>
      <c r="CM19" s="198">
        <v>161.66</v>
      </c>
      <c r="CN19" s="202"/>
      <c r="CO19" s="208"/>
      <c r="CP19" s="208"/>
      <c r="CQ19" s="201"/>
      <c r="CR19" s="201"/>
      <c r="CS19" s="284"/>
      <c r="CT19" s="286">
        <f t="shared" si="20"/>
        <v>0</v>
      </c>
      <c r="CU19" s="24">
        <f t="shared" si="20"/>
        <v>24.359000000000002</v>
      </c>
      <c r="CV19" s="25">
        <f t="shared" si="20"/>
        <v>97.789000000000001</v>
      </c>
      <c r="CW19" s="24">
        <f t="shared" si="20"/>
        <v>362.53262670000004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24.64</v>
      </c>
      <c r="DC19" s="277">
        <f t="shared" si="21"/>
        <v>114.1</v>
      </c>
      <c r="DD19" s="280">
        <f t="shared" si="21"/>
        <v>161.66</v>
      </c>
      <c r="DE19" s="508">
        <f t="shared" si="32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3"/>
        <v>0</v>
      </c>
    </row>
    <row r="20" spans="1:115" ht="16.5" customHeight="1" thickBot="1">
      <c r="A20" s="534">
        <v>14</v>
      </c>
      <c r="B20" s="103">
        <f>'[1]ноябрь 20'!K19</f>
        <v>501.09100000000001</v>
      </c>
      <c r="C20" s="104">
        <f t="shared" si="0"/>
        <v>1.2973817530149214</v>
      </c>
      <c r="D20" s="143">
        <f t="shared" si="1"/>
        <v>494.58993680000003</v>
      </c>
      <c r="E20" s="104">
        <f t="shared" ref="E20:E27" si="35">IF(B20=0,0,(BM20*CB20+BN20*CC20+BP20*CE20+BS20*CH20+BO20*CD20+BR20*CG20+BQ20*CF20)/B20)</f>
        <v>39.250377296738513</v>
      </c>
      <c r="F20" s="128">
        <f t="shared" si="3"/>
        <v>1.9812007891316152</v>
      </c>
      <c r="G20" s="106"/>
      <c r="H20" s="107">
        <f t="shared" si="4"/>
        <v>1.4792529959962588</v>
      </c>
      <c r="I20" s="103">
        <f>'[1]сентябрь 20'!AE19</f>
        <v>0</v>
      </c>
      <c r="J20" s="103">
        <f>'[1]ноябрь 20'!AA19</f>
        <v>14.374000000000001</v>
      </c>
      <c r="K20" s="106">
        <v>32.450000000000003</v>
      </c>
      <c r="L20" s="103">
        <f>'[1]ноябрь 20'!AI19</f>
        <v>125.307</v>
      </c>
      <c r="M20" s="103">
        <f t="shared" si="5"/>
        <v>0.5019477931353562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'[1]ноябрь 20'!S19</f>
        <v>311.09199999999998</v>
      </c>
      <c r="S20" s="108">
        <f t="shared" si="6"/>
        <v>2.9129646535430043</v>
      </c>
      <c r="T20" s="109">
        <f t="shared" si="7"/>
        <v>302.02999999999997</v>
      </c>
      <c r="U20" s="106"/>
      <c r="V20" s="109">
        <f t="shared" si="8"/>
        <v>302.02999999999997</v>
      </c>
      <c r="W20" s="110">
        <f t="shared" si="9"/>
        <v>1.2098549319724485</v>
      </c>
      <c r="X20" s="110">
        <f t="shared" si="26"/>
        <v>1.2098549319724485</v>
      </c>
      <c r="Y20" s="136">
        <v>109.87</v>
      </c>
      <c r="Z20" s="130">
        <v>101.8</v>
      </c>
      <c r="AA20" s="131">
        <v>1.18</v>
      </c>
      <c r="AB20" s="112">
        <v>580</v>
      </c>
      <c r="AC20" s="133">
        <v>1225</v>
      </c>
      <c r="AD20" s="151" t="s">
        <v>252</v>
      </c>
      <c r="AE20" s="131">
        <v>74.739999999999995</v>
      </c>
      <c r="AF20" s="133">
        <v>167</v>
      </c>
      <c r="AG20" s="134">
        <v>5</v>
      </c>
      <c r="AH20" s="131">
        <v>9.25</v>
      </c>
      <c r="AI20" s="115">
        <f t="shared" si="10"/>
        <v>37.053134194434826</v>
      </c>
      <c r="AJ20" s="131">
        <v>117.45</v>
      </c>
      <c r="AK20" s="115">
        <f t="shared" si="11"/>
        <v>470.47466066339138</v>
      </c>
      <c r="AL20" s="139">
        <v>33.840000000000003</v>
      </c>
      <c r="AM20" s="131"/>
      <c r="AN20" s="136">
        <v>14.38</v>
      </c>
      <c r="AO20" s="466">
        <f t="shared" si="27"/>
        <v>60.828499999999998</v>
      </c>
      <c r="AP20" s="110">
        <f t="shared" si="12"/>
        <v>0.19</v>
      </c>
      <c r="AQ20" s="137" t="s">
        <v>362</v>
      </c>
      <c r="AR20" s="150">
        <v>7.82</v>
      </c>
      <c r="AS20" s="138">
        <v>9.4600000000000009</v>
      </c>
      <c r="AT20" s="131"/>
      <c r="AU20" s="131">
        <v>5.45</v>
      </c>
      <c r="AV20" s="315">
        <v>320.14999999999998</v>
      </c>
      <c r="AW20" s="131">
        <v>4.7</v>
      </c>
      <c r="AX20" s="148"/>
      <c r="AY20" s="131"/>
      <c r="AZ20" s="109">
        <f t="shared" si="34"/>
        <v>0</v>
      </c>
      <c r="BA20" s="109">
        <f t="shared" si="13"/>
        <v>249.64149999999995</v>
      </c>
      <c r="BB20" s="115">
        <f t="shared" si="28"/>
        <v>226.7515485683123</v>
      </c>
      <c r="BC20" s="140">
        <f t="shared" si="14"/>
        <v>4.9585404929577468</v>
      </c>
      <c r="BD20" s="141">
        <f t="shared" si="15"/>
        <v>9.9856599999999975</v>
      </c>
      <c r="BE20" s="128">
        <f t="shared" si="16"/>
        <v>0.96112697300650696</v>
      </c>
      <c r="BF20" s="141">
        <f t="shared" si="17"/>
        <v>14.944200492957744</v>
      </c>
      <c r="BG20" s="535">
        <v>0.89800000000000002</v>
      </c>
      <c r="BH20" s="16">
        <f t="shared" si="29"/>
        <v>3046.6859999999997</v>
      </c>
      <c r="BI20" s="16">
        <f t="shared" si="18"/>
        <v>222.33333333333334</v>
      </c>
      <c r="BJ20" s="16">
        <f t="shared" si="30"/>
        <v>3112.666666666667</v>
      </c>
      <c r="BK20" s="17">
        <f t="shared" si="19"/>
        <v>1</v>
      </c>
      <c r="BL20" s="16">
        <f t="shared" si="31"/>
        <v>3112.666666666667</v>
      </c>
      <c r="BM20" s="254"/>
      <c r="BN20" s="197">
        <v>20.597999999999999</v>
      </c>
      <c r="BO20" s="197">
        <v>104.709</v>
      </c>
      <c r="BP20" s="197">
        <v>375.78399999999999</v>
      </c>
      <c r="BQ20" s="230"/>
      <c r="BR20" s="230"/>
      <c r="BS20" s="259"/>
      <c r="BT20" s="199"/>
      <c r="BU20" s="200"/>
      <c r="BV20" s="200"/>
      <c r="BW20" s="200"/>
      <c r="BX20" s="200">
        <v>1.73</v>
      </c>
      <c r="BY20" s="208"/>
      <c r="BZ20" s="208"/>
      <c r="CA20" s="201"/>
      <c r="CB20" s="202"/>
      <c r="CC20" s="200">
        <v>43.39</v>
      </c>
      <c r="CD20" s="200">
        <v>43.39</v>
      </c>
      <c r="CE20" s="200">
        <v>37.869999999999997</v>
      </c>
      <c r="CF20" s="208"/>
      <c r="CG20" s="208"/>
      <c r="CH20" s="209"/>
      <c r="CI20" s="199"/>
      <c r="CJ20" s="197"/>
      <c r="CK20" s="197">
        <v>185.13</v>
      </c>
      <c r="CL20" s="197">
        <v>116.9</v>
      </c>
      <c r="CM20" s="198"/>
      <c r="CN20" s="202"/>
      <c r="CO20" s="208"/>
      <c r="CP20" s="208"/>
      <c r="CQ20" s="201"/>
      <c r="CR20" s="201"/>
      <c r="CS20" s="284"/>
      <c r="CT20" s="286">
        <f t="shared" si="20"/>
        <v>0</v>
      </c>
      <c r="CU20" s="24">
        <f t="shared" si="20"/>
        <v>20.597999999999999</v>
      </c>
      <c r="CV20" s="25">
        <f t="shared" si="20"/>
        <v>104.709</v>
      </c>
      <c r="CW20" s="24">
        <f t="shared" si="20"/>
        <v>369.28293679999996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185.13</v>
      </c>
      <c r="DC20" s="277">
        <f t="shared" si="21"/>
        <v>116.9</v>
      </c>
      <c r="DD20" s="280">
        <f t="shared" si="21"/>
        <v>0</v>
      </c>
      <c r="DE20" s="508">
        <f t="shared" si="32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3"/>
        <v>0</v>
      </c>
    </row>
    <row r="21" spans="1:115" ht="16.5" customHeight="1" thickBot="1">
      <c r="A21" s="534">
        <v>15</v>
      </c>
      <c r="B21" s="103">
        <f>'[1]ноябрь 20'!K20</f>
        <v>471.11900000000003</v>
      </c>
      <c r="C21" s="104">
        <f t="shared" si="0"/>
        <v>1.5080706360813296</v>
      </c>
      <c r="D21" s="143">
        <f t="shared" si="1"/>
        <v>464.01419270000002</v>
      </c>
      <c r="E21" s="104">
        <f t="shared" si="35"/>
        <v>38.996157191707404</v>
      </c>
      <c r="F21" s="128">
        <f t="shared" si="3"/>
        <v>1.9431975204050442</v>
      </c>
      <c r="G21" s="106"/>
      <c r="H21" s="107">
        <f t="shared" si="4"/>
        <v>1.4505198845005427</v>
      </c>
      <c r="I21" s="103">
        <f>'[1]сентябрь 20'!AE20</f>
        <v>0</v>
      </c>
      <c r="J21" s="103">
        <f>'[1]ноябрь 20'!AA20</f>
        <v>15.090999999999999</v>
      </c>
      <c r="K21" s="106">
        <v>33.99</v>
      </c>
      <c r="L21" s="103">
        <f>'[1]ноябрь 20'!AI20</f>
        <v>117.646</v>
      </c>
      <c r="M21" s="103">
        <f t="shared" si="5"/>
        <v>0.49267763590450153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'[1]ноябрь 20'!S20</f>
        <v>289.62700000000001</v>
      </c>
      <c r="S21" s="108">
        <f t="shared" si="6"/>
        <v>3.1754636135443159</v>
      </c>
      <c r="T21" s="109">
        <f t="shared" si="7"/>
        <v>280.43000000000006</v>
      </c>
      <c r="U21" s="106"/>
      <c r="V21" s="109">
        <f t="shared" si="8"/>
        <v>280.43</v>
      </c>
      <c r="W21" s="110">
        <f t="shared" si="9"/>
        <v>1.174384079668662</v>
      </c>
      <c r="X21" s="110">
        <f t="shared" si="26"/>
        <v>1.174384079668662</v>
      </c>
      <c r="Y21" s="136">
        <v>238.79</v>
      </c>
      <c r="Z21" s="130">
        <v>238.79</v>
      </c>
      <c r="AA21" s="131">
        <v>0.86</v>
      </c>
      <c r="AB21" s="112">
        <v>630</v>
      </c>
      <c r="AC21" s="133">
        <v>1224</v>
      </c>
      <c r="AD21" s="151" t="s">
        <v>149</v>
      </c>
      <c r="AE21" s="131">
        <v>75.91</v>
      </c>
      <c r="AF21" s="133">
        <v>157</v>
      </c>
      <c r="AG21" s="134">
        <v>5</v>
      </c>
      <c r="AH21" s="131">
        <v>8.8000000000000007</v>
      </c>
      <c r="AI21" s="115">
        <f t="shared" si="10"/>
        <v>36.852618839226267</v>
      </c>
      <c r="AJ21" s="131">
        <v>137.15</v>
      </c>
      <c r="AK21" s="115">
        <f t="shared" si="11"/>
        <v>574.35644020453219</v>
      </c>
      <c r="AL21" s="139">
        <v>35.96</v>
      </c>
      <c r="AM21" s="131"/>
      <c r="AN21" s="136">
        <v>15.83</v>
      </c>
      <c r="AO21" s="466">
        <f t="shared" si="27"/>
        <v>58.500999999999998</v>
      </c>
      <c r="AP21" s="110">
        <f t="shared" si="12"/>
        <v>0.19</v>
      </c>
      <c r="AQ21" s="137" t="s">
        <v>483</v>
      </c>
      <c r="AR21" s="150">
        <v>6.66</v>
      </c>
      <c r="AS21" s="138">
        <v>9.83</v>
      </c>
      <c r="AT21" s="131"/>
      <c r="AU21" s="131">
        <v>7.02</v>
      </c>
      <c r="AV21" s="315">
        <v>307.89999999999998</v>
      </c>
      <c r="AW21" s="131">
        <v>5.22</v>
      </c>
      <c r="AX21" s="116"/>
      <c r="AY21" s="131"/>
      <c r="AZ21" s="109">
        <f t="shared" si="34"/>
        <v>0</v>
      </c>
      <c r="BA21" s="109">
        <f t="shared" si="13"/>
        <v>238.78899999999996</v>
      </c>
      <c r="BB21" s="115">
        <f t="shared" si="28"/>
        <v>208.09820257150488</v>
      </c>
      <c r="BC21" s="140">
        <f t="shared" si="14"/>
        <v>7.4582556338028159</v>
      </c>
      <c r="BD21" s="141">
        <f t="shared" si="15"/>
        <v>9.5515599999999985</v>
      </c>
      <c r="BE21" s="128">
        <f t="shared" si="16"/>
        <v>1.00175203064702</v>
      </c>
      <c r="BF21" s="141">
        <f t="shared" si="17"/>
        <v>17.009815633802816</v>
      </c>
      <c r="BG21" s="535">
        <v>0.90400000000000003</v>
      </c>
      <c r="BH21" s="16">
        <f t="shared" si="29"/>
        <v>3285.4749999999995</v>
      </c>
      <c r="BI21" s="16">
        <f t="shared" si="18"/>
        <v>222.33333333333334</v>
      </c>
      <c r="BJ21" s="16">
        <f t="shared" si="30"/>
        <v>3335.0000000000005</v>
      </c>
      <c r="BK21" s="17">
        <f t="shared" si="19"/>
        <v>1</v>
      </c>
      <c r="BL21" s="16">
        <f t="shared" si="31"/>
        <v>3335.0000000000005</v>
      </c>
      <c r="BM21" s="254"/>
      <c r="BN21" s="197">
        <v>15.603</v>
      </c>
      <c r="BO21" s="197">
        <v>102.04300000000001</v>
      </c>
      <c r="BP21" s="197">
        <v>353.47300000000001</v>
      </c>
      <c r="BQ21" s="230"/>
      <c r="BR21" s="230"/>
      <c r="BS21" s="259"/>
      <c r="BT21" s="199"/>
      <c r="BU21" s="200"/>
      <c r="BV21" s="200"/>
      <c r="BW21" s="200"/>
      <c r="BX21" s="200">
        <v>2.0099999999999998</v>
      </c>
      <c r="BY21" s="208"/>
      <c r="BZ21" s="208"/>
      <c r="CA21" s="201"/>
      <c r="CB21" s="202"/>
      <c r="CC21" s="200">
        <v>43.55</v>
      </c>
      <c r="CD21" s="200">
        <v>43.24</v>
      </c>
      <c r="CE21" s="200">
        <v>37.57</v>
      </c>
      <c r="CF21" s="208"/>
      <c r="CG21" s="208"/>
      <c r="CH21" s="209"/>
      <c r="CI21" s="199"/>
      <c r="CJ21" s="197"/>
      <c r="CK21" s="197">
        <v>171.13</v>
      </c>
      <c r="CL21" s="197">
        <v>109.3</v>
      </c>
      <c r="CM21" s="198"/>
      <c r="CN21" s="202"/>
      <c r="CO21" s="208"/>
      <c r="CP21" s="208"/>
      <c r="CQ21" s="201"/>
      <c r="CR21" s="201"/>
      <c r="CS21" s="284"/>
      <c r="CT21" s="286">
        <f t="shared" si="20"/>
        <v>0</v>
      </c>
      <c r="CU21" s="27">
        <f t="shared" si="20"/>
        <v>15.603</v>
      </c>
      <c r="CV21" s="28">
        <f t="shared" si="20"/>
        <v>102.04300000000001</v>
      </c>
      <c r="CW21" s="27">
        <f t="shared" si="20"/>
        <v>346.36819270000001</v>
      </c>
      <c r="CX21" s="27">
        <f t="shared" si="20"/>
        <v>0</v>
      </c>
      <c r="CY21" s="24">
        <f t="shared" si="20"/>
        <v>0</v>
      </c>
      <c r="CZ21" s="281">
        <f t="shared" si="20"/>
        <v>0</v>
      </c>
      <c r="DA21" s="237">
        <f t="shared" si="21"/>
        <v>0</v>
      </c>
      <c r="DB21" s="24">
        <f t="shared" si="21"/>
        <v>171.13</v>
      </c>
      <c r="DC21" s="277">
        <f t="shared" si="21"/>
        <v>109.3</v>
      </c>
      <c r="DD21" s="280">
        <f t="shared" si="21"/>
        <v>0</v>
      </c>
      <c r="DE21" s="508">
        <f t="shared" si="32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3"/>
        <v>0</v>
      </c>
    </row>
    <row r="22" spans="1:115" ht="16.5" customHeight="1" thickBot="1">
      <c r="A22" s="534">
        <v>16</v>
      </c>
      <c r="B22" s="103">
        <f>'[1]ноябрь 20'!K21</f>
        <v>534.16999999999996</v>
      </c>
      <c r="C22" s="104">
        <f t="shared" si="0"/>
        <v>0.94710953441788193</v>
      </c>
      <c r="D22" s="143">
        <f t="shared" si="1"/>
        <v>529.11082499999998</v>
      </c>
      <c r="E22" s="104">
        <f>IF(B22=0,0,(BM22*CB22+BN22*CC22+BP22*CE22+BS22*CH22+BO22*CD22+BR22*CG22+BQ22*CF22)/B22)</f>
        <v>38.989922964599288</v>
      </c>
      <c r="F22" s="128">
        <f t="shared" si="3"/>
        <v>2.218321954062263</v>
      </c>
      <c r="G22" s="106"/>
      <c r="H22" s="107">
        <f t="shared" si="4"/>
        <v>1.6756554523024416</v>
      </c>
      <c r="I22" s="103">
        <f>'[1]сентябрь 20'!AE21</f>
        <v>0</v>
      </c>
      <c r="J22" s="103">
        <f>'[1]ноябрь 20'!AA21</f>
        <v>17.838000000000001</v>
      </c>
      <c r="K22" s="106"/>
      <c r="L22" s="103">
        <f>'[1]ноябрь 20'!AI21</f>
        <v>129.43600000000001</v>
      </c>
      <c r="M22" s="103">
        <f t="shared" si="5"/>
        <v>0.54266650175982145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'[1]ноябрь 20'!S21</f>
        <v>327.34199999999998</v>
      </c>
      <c r="S22" s="108">
        <f t="shared" si="6"/>
        <v>2.9363784665578985</v>
      </c>
      <c r="T22" s="109">
        <f t="shared" si="7"/>
        <v>317.73</v>
      </c>
      <c r="U22" s="106">
        <v>3.94</v>
      </c>
      <c r="V22" s="109">
        <f t="shared" si="8"/>
        <v>317.73</v>
      </c>
      <c r="W22" s="110">
        <f t="shared" si="9"/>
        <v>1.3320979295107087</v>
      </c>
      <c r="X22" s="110">
        <f t="shared" si="26"/>
        <v>1.3320979295107087</v>
      </c>
      <c r="Y22" s="136">
        <v>90.74</v>
      </c>
      <c r="Z22" s="129">
        <v>43.82</v>
      </c>
      <c r="AA22" s="131">
        <v>1.26</v>
      </c>
      <c r="AB22" s="112">
        <v>627</v>
      </c>
      <c r="AC22" s="152">
        <v>1223</v>
      </c>
      <c r="AD22" s="144" t="s">
        <v>221</v>
      </c>
      <c r="AE22" s="131">
        <v>75.05</v>
      </c>
      <c r="AF22" s="133">
        <v>178</v>
      </c>
      <c r="AG22" s="134">
        <v>5</v>
      </c>
      <c r="AH22" s="131">
        <v>16.399999999999999</v>
      </c>
      <c r="AI22" s="115">
        <f t="shared" si="10"/>
        <v>68.75776931349138</v>
      </c>
      <c r="AJ22" s="131">
        <v>126.6</v>
      </c>
      <c r="AK22" s="115">
        <f t="shared" si="11"/>
        <v>530.77643872487863</v>
      </c>
      <c r="AL22" s="139">
        <v>32.78</v>
      </c>
      <c r="AM22" s="131"/>
      <c r="AN22" s="136">
        <v>16.29</v>
      </c>
      <c r="AO22" s="466">
        <f t="shared" si="27"/>
        <v>58.871500000000005</v>
      </c>
      <c r="AP22" s="110">
        <f t="shared" si="12"/>
        <v>0.19</v>
      </c>
      <c r="AQ22" s="137" t="s">
        <v>132</v>
      </c>
      <c r="AR22" s="150">
        <v>6.88</v>
      </c>
      <c r="AS22" s="138">
        <v>9.5</v>
      </c>
      <c r="AT22" s="134"/>
      <c r="AU22" s="131">
        <v>6.51</v>
      </c>
      <c r="AV22" s="315">
        <v>309.85000000000002</v>
      </c>
      <c r="AW22" s="131">
        <v>3.83</v>
      </c>
      <c r="AX22" s="116"/>
      <c r="AY22" s="131"/>
      <c r="AZ22" s="109">
        <f t="shared" si="34"/>
        <v>0</v>
      </c>
      <c r="BA22" s="109">
        <f t="shared" si="13"/>
        <v>238.51850000000005</v>
      </c>
      <c r="BB22" s="115">
        <f t="shared" si="28"/>
        <v>239.97310509742712</v>
      </c>
      <c r="BC22" s="140">
        <f t="shared" si="14"/>
        <v>6.3843845070422525</v>
      </c>
      <c r="BD22" s="141">
        <f t="shared" si="15"/>
        <v>9.5407400000000013</v>
      </c>
      <c r="BE22" s="128">
        <f t="shared" si="16"/>
        <v>0.86770828095699182</v>
      </c>
      <c r="BF22" s="141">
        <f t="shared" si="17"/>
        <v>15.925124507042254</v>
      </c>
      <c r="BG22" s="535">
        <v>0.90200000000000002</v>
      </c>
      <c r="BH22" s="16">
        <f t="shared" si="29"/>
        <v>3523.9934999999996</v>
      </c>
      <c r="BI22" s="16">
        <f t="shared" si="18"/>
        <v>222.33333333333334</v>
      </c>
      <c r="BJ22" s="16">
        <f t="shared" si="30"/>
        <v>3557.3333333333339</v>
      </c>
      <c r="BK22" s="17">
        <f t="shared" si="19"/>
        <v>1</v>
      </c>
      <c r="BL22" s="16">
        <f t="shared" si="31"/>
        <v>3557.3333333333339</v>
      </c>
      <c r="BM22" s="254"/>
      <c r="BN22" s="197">
        <v>17.998999999999999</v>
      </c>
      <c r="BO22" s="197">
        <v>111.437</v>
      </c>
      <c r="BP22" s="197">
        <v>404.73399999999998</v>
      </c>
      <c r="BQ22" s="230"/>
      <c r="BR22" s="230"/>
      <c r="BS22" s="258"/>
      <c r="BT22" s="199"/>
      <c r="BU22" s="200"/>
      <c r="BV22" s="200"/>
      <c r="BW22" s="200"/>
      <c r="BX22" s="200">
        <v>1.25</v>
      </c>
      <c r="BY22" s="208"/>
      <c r="BZ22" s="208"/>
      <c r="CA22" s="201"/>
      <c r="CB22" s="202"/>
      <c r="CC22" s="200">
        <v>43.24</v>
      </c>
      <c r="CD22" s="200">
        <v>43.17</v>
      </c>
      <c r="CE22" s="200">
        <v>37.65</v>
      </c>
      <c r="CF22" s="208"/>
      <c r="CG22" s="208"/>
      <c r="CH22" s="201"/>
      <c r="CI22" s="199"/>
      <c r="CJ22" s="197"/>
      <c r="CK22" s="197">
        <v>193.13</v>
      </c>
      <c r="CL22" s="197">
        <v>124.6</v>
      </c>
      <c r="CM22" s="198"/>
      <c r="CN22" s="202"/>
      <c r="CO22" s="200"/>
      <c r="CP22" s="208"/>
      <c r="CQ22" s="201"/>
      <c r="CR22" s="201"/>
      <c r="CS22" s="284"/>
      <c r="CT22" s="286">
        <f t="shared" si="20"/>
        <v>0</v>
      </c>
      <c r="CU22" s="29">
        <f t="shared" si="20"/>
        <v>17.998999999999999</v>
      </c>
      <c r="CV22" s="30">
        <f t="shared" si="20"/>
        <v>111.437</v>
      </c>
      <c r="CW22" s="29">
        <f t="shared" si="20"/>
        <v>399.674825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21"/>
        <v>0</v>
      </c>
      <c r="DB22" s="24">
        <f t="shared" si="21"/>
        <v>193.13</v>
      </c>
      <c r="DC22" s="277">
        <f t="shared" si="21"/>
        <v>124.6</v>
      </c>
      <c r="DD22" s="280">
        <f t="shared" si="21"/>
        <v>0</v>
      </c>
      <c r="DE22" s="508">
        <f t="shared" si="32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3"/>
        <v>0</v>
      </c>
    </row>
    <row r="23" spans="1:115" ht="16.5" customHeight="1" thickBot="1">
      <c r="A23" s="534">
        <v>17</v>
      </c>
      <c r="B23" s="103">
        <f>'[1]ноябрь 20'!K22</f>
        <v>486.09899999999999</v>
      </c>
      <c r="C23" s="104">
        <f t="shared" si="0"/>
        <v>0.86638703227120395</v>
      </c>
      <c r="D23" s="143">
        <f t="shared" si="1"/>
        <v>481.88750129999994</v>
      </c>
      <c r="E23" s="104">
        <f t="shared" si="35"/>
        <v>39.147741571161426</v>
      </c>
      <c r="F23" s="128">
        <f t="shared" si="3"/>
        <v>2.1507218039038909</v>
      </c>
      <c r="G23" s="106"/>
      <c r="H23" s="107">
        <f t="shared" si="4"/>
        <v>1.6446039819957734</v>
      </c>
      <c r="I23" s="103">
        <f>'[1]сентябрь 20'!AE22</f>
        <v>0</v>
      </c>
      <c r="J23" s="103">
        <f>'[1]ноябрь 20'!AA22</f>
        <v>17.004999999999999</v>
      </c>
      <c r="K23" s="106"/>
      <c r="L23" s="103">
        <f>'[1]ноябрь 20'!AI22</f>
        <v>113.4</v>
      </c>
      <c r="M23" s="103">
        <f t="shared" si="5"/>
        <v>0.50611782190811772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'[1]ноябрь 20'!S22</f>
        <v>294.03899999999999</v>
      </c>
      <c r="S23" s="108">
        <f t="shared" si="6"/>
        <v>2.8428201701134803</v>
      </c>
      <c r="T23" s="109">
        <f t="shared" si="7"/>
        <v>285.68</v>
      </c>
      <c r="U23" s="106"/>
      <c r="V23" s="109">
        <f t="shared" si="8"/>
        <v>285.68</v>
      </c>
      <c r="W23" s="110">
        <f t="shared" si="9"/>
        <v>1.2750241566376639</v>
      </c>
      <c r="X23" s="110">
        <f t="shared" si="26"/>
        <v>1.2750241566376639</v>
      </c>
      <c r="Y23" s="136">
        <v>224.06</v>
      </c>
      <c r="Z23" s="129">
        <v>129.63999999999999</v>
      </c>
      <c r="AA23" s="131">
        <v>1.04</v>
      </c>
      <c r="AB23" s="112">
        <v>665</v>
      </c>
      <c r="AC23" s="133">
        <v>1224</v>
      </c>
      <c r="AD23" s="144" t="s">
        <v>484</v>
      </c>
      <c r="AE23" s="131">
        <v>76.23</v>
      </c>
      <c r="AF23" s="133">
        <v>162</v>
      </c>
      <c r="AG23" s="134">
        <v>5</v>
      </c>
      <c r="AH23" s="131"/>
      <c r="AI23" s="115">
        <f t="shared" si="10"/>
        <v>0</v>
      </c>
      <c r="AJ23" s="131">
        <v>135.35</v>
      </c>
      <c r="AK23" s="115">
        <f t="shared" si="11"/>
        <v>604.08330860020931</v>
      </c>
      <c r="AL23" s="139">
        <v>41.34</v>
      </c>
      <c r="AM23" s="131"/>
      <c r="AN23" s="136">
        <v>18.940000000000001</v>
      </c>
      <c r="AO23" s="466">
        <f t="shared" si="27"/>
        <v>55.451500000000003</v>
      </c>
      <c r="AP23" s="110">
        <f t="shared" si="12"/>
        <v>0.19</v>
      </c>
      <c r="AQ23" s="137" t="s">
        <v>382</v>
      </c>
      <c r="AR23" s="150">
        <v>6.5</v>
      </c>
      <c r="AS23" s="138">
        <v>9.9499999999999993</v>
      </c>
      <c r="AT23" s="134"/>
      <c r="AU23" s="131">
        <v>6.83</v>
      </c>
      <c r="AV23" s="315">
        <v>291.85000000000002</v>
      </c>
      <c r="AW23" s="131">
        <v>6.6</v>
      </c>
      <c r="AX23" s="116"/>
      <c r="AY23" s="131"/>
      <c r="AZ23" s="109">
        <f t="shared" si="34"/>
        <v>0</v>
      </c>
      <c r="BA23" s="109">
        <f t="shared" si="13"/>
        <v>224.05850000000001</v>
      </c>
      <c r="BB23" s="115">
        <f t="shared" si="28"/>
        <v>216.04324847989562</v>
      </c>
      <c r="BC23" s="140">
        <f t="shared" si="14"/>
        <v>7.1611588028169004</v>
      </c>
      <c r="BD23" s="141">
        <f t="shared" si="15"/>
        <v>8.9623400000000011</v>
      </c>
      <c r="BE23" s="128">
        <f t="shared" si="16"/>
        <v>0.905388489926369</v>
      </c>
      <c r="BF23" s="141">
        <f t="shared" si="17"/>
        <v>16.123498802816901</v>
      </c>
      <c r="BG23" s="535">
        <v>0.90200000000000002</v>
      </c>
      <c r="BH23" s="16">
        <f t="shared" si="29"/>
        <v>3748.0519999999997</v>
      </c>
      <c r="BI23" s="16">
        <f t="shared" si="18"/>
        <v>222.33333333333334</v>
      </c>
      <c r="BJ23" s="16">
        <f t="shared" si="30"/>
        <v>3779.6666666666674</v>
      </c>
      <c r="BK23" s="17">
        <f t="shared" si="19"/>
        <v>1</v>
      </c>
      <c r="BL23" s="16">
        <f t="shared" si="31"/>
        <v>3779.6666666666674</v>
      </c>
      <c r="BM23" s="254"/>
      <c r="BN23" s="197">
        <v>16.196999999999999</v>
      </c>
      <c r="BO23" s="197">
        <v>97.203000000000003</v>
      </c>
      <c r="BP23" s="197">
        <v>372.69900000000001</v>
      </c>
      <c r="BQ23" s="230"/>
      <c r="BR23" s="230"/>
      <c r="BS23" s="258"/>
      <c r="BT23" s="199"/>
      <c r="BU23" s="200"/>
      <c r="BV23" s="200"/>
      <c r="BW23" s="200"/>
      <c r="BX23" s="200">
        <v>1.1299999999999999</v>
      </c>
      <c r="BY23" s="208"/>
      <c r="BZ23" s="208"/>
      <c r="CA23" s="201"/>
      <c r="CB23" s="202"/>
      <c r="CC23" s="200">
        <v>43.09</v>
      </c>
      <c r="CD23" s="200">
        <v>43.39</v>
      </c>
      <c r="CE23" s="200">
        <v>37.869999999999997</v>
      </c>
      <c r="CF23" s="208"/>
      <c r="CG23" s="208"/>
      <c r="CH23" s="209"/>
      <c r="CI23" s="199"/>
      <c r="CJ23" s="197"/>
      <c r="CK23" s="197">
        <v>172.28</v>
      </c>
      <c r="CL23" s="197">
        <v>113.4</v>
      </c>
      <c r="CM23" s="198"/>
      <c r="CN23" s="202"/>
      <c r="CO23" s="208"/>
      <c r="CP23" s="208"/>
      <c r="CQ23" s="201"/>
      <c r="CR23" s="201"/>
      <c r="CS23" s="284"/>
      <c r="CT23" s="286">
        <f t="shared" si="20"/>
        <v>0</v>
      </c>
      <c r="CU23" s="24">
        <f t="shared" si="20"/>
        <v>16.196999999999999</v>
      </c>
      <c r="CV23" s="25">
        <f t="shared" si="20"/>
        <v>97.203000000000003</v>
      </c>
      <c r="CW23" s="24">
        <f t="shared" si="20"/>
        <v>368.48750130000002</v>
      </c>
      <c r="CX23" s="27">
        <f t="shared" si="20"/>
        <v>0</v>
      </c>
      <c r="CY23" s="24">
        <f t="shared" si="20"/>
        <v>0</v>
      </c>
      <c r="CZ23" s="280">
        <f t="shared" si="20"/>
        <v>0</v>
      </c>
      <c r="DA23" s="237">
        <f t="shared" si="21"/>
        <v>0</v>
      </c>
      <c r="DB23" s="29">
        <f t="shared" si="21"/>
        <v>172.28</v>
      </c>
      <c r="DC23" s="277">
        <f t="shared" si="21"/>
        <v>113.4</v>
      </c>
      <c r="DD23" s="280">
        <f t="shared" si="21"/>
        <v>0</v>
      </c>
      <c r="DE23" s="508">
        <f t="shared" si="32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3"/>
        <v>0</v>
      </c>
    </row>
    <row r="24" spans="1:115" ht="16.5" customHeight="1" thickBot="1">
      <c r="A24" s="534">
        <v>18</v>
      </c>
      <c r="B24" s="103">
        <f>'[1]ноябрь 20'!K23</f>
        <v>450.22</v>
      </c>
      <c r="C24" s="104">
        <f t="shared" si="0"/>
        <v>1.2881169206165872</v>
      </c>
      <c r="D24" s="143">
        <f t="shared" si="1"/>
        <v>444.42064000000005</v>
      </c>
      <c r="E24" s="104">
        <f t="shared" si="35"/>
        <v>38.757225245435556</v>
      </c>
      <c r="F24" s="128">
        <f t="shared" si="3"/>
        <v>1.9874144018245445</v>
      </c>
      <c r="G24" s="106"/>
      <c r="H24" s="107">
        <f t="shared" si="4"/>
        <v>1.5177731617605956</v>
      </c>
      <c r="I24" s="103">
        <f>'[1]сентябрь 20'!AE23</f>
        <v>0</v>
      </c>
      <c r="J24" s="103">
        <f>'[1]ноябрь 20'!AA23</f>
        <v>14.465999999999999</v>
      </c>
      <c r="K24" s="106">
        <v>37.71</v>
      </c>
      <c r="L24" s="103">
        <f>'[1]ноябрь 20'!AI23</f>
        <v>105.02</v>
      </c>
      <c r="M24" s="103">
        <f t="shared" si="5"/>
        <v>0.46964124006394853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'[1]ноябрь 20'!S23</f>
        <v>272.30900000000003</v>
      </c>
      <c r="S24" s="108">
        <f t="shared" si="6"/>
        <v>2.6840831555328792</v>
      </c>
      <c r="T24" s="109">
        <f t="shared" si="7"/>
        <v>265</v>
      </c>
      <c r="U24" s="106">
        <v>72.260000000000005</v>
      </c>
      <c r="V24" s="109">
        <f t="shared" si="8"/>
        <v>265</v>
      </c>
      <c r="W24" s="110">
        <f t="shared" si="9"/>
        <v>1.1850593088644674</v>
      </c>
      <c r="X24" s="110">
        <f t="shared" si="26"/>
        <v>1.1850593088644674</v>
      </c>
      <c r="Y24" s="136">
        <v>223.62</v>
      </c>
      <c r="Z24" s="129">
        <v>223.62</v>
      </c>
      <c r="AA24" s="131">
        <v>0.56000000000000005</v>
      </c>
      <c r="AB24" s="133">
        <v>690</v>
      </c>
      <c r="AC24" s="133">
        <v>1220</v>
      </c>
      <c r="AD24" s="144" t="s">
        <v>171</v>
      </c>
      <c r="AE24" s="131">
        <v>75.44</v>
      </c>
      <c r="AF24" s="133">
        <v>150</v>
      </c>
      <c r="AG24" s="134">
        <v>5</v>
      </c>
      <c r="AH24" s="131">
        <v>7.25</v>
      </c>
      <c r="AI24" s="115">
        <f t="shared" si="10"/>
        <v>32.421433921763729</v>
      </c>
      <c r="AJ24" s="131">
        <v>158.19999999999999</v>
      </c>
      <c r="AK24" s="115">
        <f t="shared" si="11"/>
        <v>707.45804778248578</v>
      </c>
      <c r="AL24" s="139">
        <v>34.83</v>
      </c>
      <c r="AM24" s="131"/>
      <c r="AN24" s="136">
        <v>11.65</v>
      </c>
      <c r="AO24" s="466">
        <f t="shared" si="27"/>
        <v>54.482500000000002</v>
      </c>
      <c r="AP24" s="110">
        <f t="shared" si="12"/>
        <v>0.19</v>
      </c>
      <c r="AQ24" s="137" t="s">
        <v>485</v>
      </c>
      <c r="AR24" s="150">
        <v>6.11</v>
      </c>
      <c r="AS24" s="138">
        <v>9.1999999999999993</v>
      </c>
      <c r="AT24" s="134"/>
      <c r="AU24" s="131">
        <v>8.9</v>
      </c>
      <c r="AV24" s="315">
        <v>286.75</v>
      </c>
      <c r="AW24" s="131">
        <v>3</v>
      </c>
      <c r="AX24" s="116"/>
      <c r="AY24" s="131"/>
      <c r="AZ24" s="109">
        <f t="shared" si="34"/>
        <v>0</v>
      </c>
      <c r="BA24" s="109">
        <f t="shared" si="13"/>
        <v>223.61749999999998</v>
      </c>
      <c r="BB24" s="115">
        <f t="shared" si="28"/>
        <v>199.32393916329733</v>
      </c>
      <c r="BC24" s="140">
        <f t="shared" si="14"/>
        <v>10.906887323943662</v>
      </c>
      <c r="BD24" s="141">
        <f t="shared" si="15"/>
        <v>8.9446999999999992</v>
      </c>
      <c r="BE24" s="128">
        <f t="shared" si="16"/>
        <v>0.97940106100384861</v>
      </c>
      <c r="BF24" s="141">
        <f t="shared" si="17"/>
        <v>19.851587323943662</v>
      </c>
      <c r="BG24" s="535">
        <v>0.90600000000000003</v>
      </c>
      <c r="BH24" s="16">
        <f t="shared" si="29"/>
        <v>3971.6694999999995</v>
      </c>
      <c r="BI24" s="16">
        <f t="shared" si="18"/>
        <v>222.33333333333334</v>
      </c>
      <c r="BJ24" s="16">
        <f t="shared" si="30"/>
        <v>4002.0000000000009</v>
      </c>
      <c r="BK24" s="17">
        <f t="shared" si="19"/>
        <v>1</v>
      </c>
      <c r="BL24" s="16">
        <f t="shared" si="31"/>
        <v>4002.0000000000009</v>
      </c>
      <c r="BM24" s="254"/>
      <c r="BN24" s="197">
        <v>14.987</v>
      </c>
      <c r="BO24" s="197">
        <v>90.033000000000001</v>
      </c>
      <c r="BP24" s="197">
        <v>345.2</v>
      </c>
      <c r="BQ24" s="230"/>
      <c r="BR24" s="230"/>
      <c r="BS24" s="258"/>
      <c r="BT24" s="199"/>
      <c r="BU24" s="200"/>
      <c r="BV24" s="200"/>
      <c r="BW24" s="200"/>
      <c r="BX24" s="200">
        <v>1.68</v>
      </c>
      <c r="BY24" s="208"/>
      <c r="BZ24" s="208"/>
      <c r="CA24" s="201"/>
      <c r="CB24" s="202"/>
      <c r="CC24" s="200">
        <v>43.55</v>
      </c>
      <c r="CD24" s="200">
        <v>43.7</v>
      </c>
      <c r="CE24" s="200">
        <v>37.26</v>
      </c>
      <c r="CF24" s="208"/>
      <c r="CG24" s="208"/>
      <c r="CH24" s="209"/>
      <c r="CI24" s="199"/>
      <c r="CJ24" s="197"/>
      <c r="CK24" s="197">
        <v>160</v>
      </c>
      <c r="CL24" s="197">
        <v>105</v>
      </c>
      <c r="CM24" s="198"/>
      <c r="CN24" s="202"/>
      <c r="CO24" s="208"/>
      <c r="CP24" s="208"/>
      <c r="CQ24" s="201"/>
      <c r="CR24" s="201"/>
      <c r="CS24" s="284"/>
      <c r="CT24" s="286">
        <f t="shared" si="20"/>
        <v>0</v>
      </c>
      <c r="CU24" s="29">
        <f t="shared" si="20"/>
        <v>14.987</v>
      </c>
      <c r="CV24" s="30">
        <f t="shared" si="20"/>
        <v>90.033000000000001</v>
      </c>
      <c r="CW24" s="29">
        <f t="shared" si="20"/>
        <v>339.40063999999995</v>
      </c>
      <c r="CX24" s="27">
        <f t="shared" si="20"/>
        <v>0</v>
      </c>
      <c r="CY24" s="27">
        <f t="shared" si="20"/>
        <v>0</v>
      </c>
      <c r="CZ24" s="282">
        <f t="shared" si="20"/>
        <v>0</v>
      </c>
      <c r="DA24" s="25">
        <f t="shared" si="21"/>
        <v>0</v>
      </c>
      <c r="DB24" s="26">
        <f t="shared" si="21"/>
        <v>160</v>
      </c>
      <c r="DC24" s="277">
        <f t="shared" si="21"/>
        <v>105</v>
      </c>
      <c r="DD24" s="280">
        <f t="shared" si="21"/>
        <v>0</v>
      </c>
      <c r="DE24" s="508">
        <f t="shared" si="32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3"/>
        <v>0</v>
      </c>
    </row>
    <row r="25" spans="1:115" ht="16.5" customHeight="1" thickBot="1">
      <c r="A25" s="534">
        <v>19</v>
      </c>
      <c r="B25" s="103">
        <f>'[1]ноябрь 20'!K24</f>
        <v>504.13600000000002</v>
      </c>
      <c r="C25" s="104">
        <f t="shared" si="0"/>
        <v>1.5333838488027038</v>
      </c>
      <c r="D25" s="143">
        <f t="shared" si="1"/>
        <v>496.40566000000001</v>
      </c>
      <c r="E25" s="104">
        <f t="shared" si="35"/>
        <v>38.667168145103702</v>
      </c>
      <c r="F25" s="128">
        <f t="shared" si="3"/>
        <v>2.2000530063133357</v>
      </c>
      <c r="G25" s="106"/>
      <c r="H25" s="107">
        <f t="shared" si="4"/>
        <v>1.6787695975996471</v>
      </c>
      <c r="I25" s="103">
        <f>'[1]сентябрь 20'!AE24</f>
        <v>0</v>
      </c>
      <c r="J25" s="103">
        <f>'[1]ноябрь 20'!AA24</f>
        <v>16.375</v>
      </c>
      <c r="K25" s="106">
        <v>21.94</v>
      </c>
      <c r="L25" s="103">
        <f>'[1]ноябрь 20'!AI24</f>
        <v>117.619</v>
      </c>
      <c r="M25" s="103">
        <f t="shared" si="5"/>
        <v>0.52128340871368839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'[1]ноябрь 20'!S24</f>
        <v>303.38</v>
      </c>
      <c r="S25" s="108">
        <f t="shared" si="6"/>
        <v>2.5380710659898442</v>
      </c>
      <c r="T25" s="109">
        <f t="shared" si="7"/>
        <v>295.68</v>
      </c>
      <c r="U25" s="106">
        <v>40.56</v>
      </c>
      <c r="V25" s="109">
        <f t="shared" si="8"/>
        <v>295.68</v>
      </c>
      <c r="W25" s="110">
        <f t="shared" si="9"/>
        <v>1.3104437062758856</v>
      </c>
      <c r="X25" s="110">
        <f t="shared" si="26"/>
        <v>1.3104437062758856</v>
      </c>
      <c r="Y25" s="136">
        <v>225.63</v>
      </c>
      <c r="Z25" s="129">
        <v>225.63</v>
      </c>
      <c r="AA25" s="131">
        <v>0.67</v>
      </c>
      <c r="AB25" s="133">
        <v>690</v>
      </c>
      <c r="AC25" s="133">
        <v>1230</v>
      </c>
      <c r="AD25" s="144" t="s">
        <v>192</v>
      </c>
      <c r="AE25" s="131">
        <v>76.31</v>
      </c>
      <c r="AF25" s="133">
        <v>168</v>
      </c>
      <c r="AG25" s="134">
        <v>5</v>
      </c>
      <c r="AH25" s="131">
        <v>9.3000000000000007</v>
      </c>
      <c r="AI25" s="115">
        <f t="shared" si="10"/>
        <v>41.217283780998834</v>
      </c>
      <c r="AJ25" s="131">
        <v>132.65</v>
      </c>
      <c r="AK25" s="115">
        <f t="shared" si="11"/>
        <v>587.90028962897804</v>
      </c>
      <c r="AL25" s="139">
        <v>36.08</v>
      </c>
      <c r="AM25" s="131"/>
      <c r="AN25" s="136">
        <v>13.84</v>
      </c>
      <c r="AO25" s="466">
        <f t="shared" si="27"/>
        <v>55.356500000000004</v>
      </c>
      <c r="AP25" s="110">
        <f t="shared" si="12"/>
        <v>0.19</v>
      </c>
      <c r="AQ25" s="137" t="s">
        <v>486</v>
      </c>
      <c r="AR25" s="150">
        <v>6.52</v>
      </c>
      <c r="AS25" s="138">
        <v>9.35</v>
      </c>
      <c r="AT25" s="153"/>
      <c r="AU25" s="131">
        <v>7.86</v>
      </c>
      <c r="AV25" s="315">
        <v>291.35000000000002</v>
      </c>
      <c r="AW25" s="131">
        <v>3.48</v>
      </c>
      <c r="AX25" s="148"/>
      <c r="AY25" s="131"/>
      <c r="AZ25" s="109">
        <f t="shared" si="34"/>
        <v>0</v>
      </c>
      <c r="BA25" s="109">
        <f t="shared" si="13"/>
        <v>225.6335</v>
      </c>
      <c r="BB25" s="115">
        <f t="shared" si="28"/>
        <v>219.5896577215205</v>
      </c>
      <c r="BC25" s="140">
        <f t="shared" si="14"/>
        <v>8.0767035211267615</v>
      </c>
      <c r="BD25" s="141">
        <f t="shared" ref="BD25:BD37" si="36">BA25*$BD$6</f>
        <v>9.0253399999999999</v>
      </c>
      <c r="BE25" s="128">
        <f t="shared" si="16"/>
        <v>0.89702788165826952</v>
      </c>
      <c r="BF25" s="141">
        <f t="shared" si="17"/>
        <v>17.10204352112676</v>
      </c>
      <c r="BG25" s="535">
        <v>0.90600000000000003</v>
      </c>
      <c r="BH25" s="16">
        <f t="shared" si="29"/>
        <v>4197.3029999999999</v>
      </c>
      <c r="BI25" s="16">
        <f t="shared" si="18"/>
        <v>222.33333333333334</v>
      </c>
      <c r="BJ25" s="16">
        <f t="shared" si="30"/>
        <v>4224.3333333333339</v>
      </c>
      <c r="BK25" s="17">
        <f t="shared" si="19"/>
        <v>1</v>
      </c>
      <c r="BL25" s="16">
        <f t="shared" si="31"/>
        <v>4224.3333333333339</v>
      </c>
      <c r="BM25" s="254"/>
      <c r="BN25" s="197">
        <v>16.798999999999999</v>
      </c>
      <c r="BO25" s="197">
        <v>100.82</v>
      </c>
      <c r="BP25" s="197">
        <v>386.517</v>
      </c>
      <c r="BQ25" s="230"/>
      <c r="BR25" s="230"/>
      <c r="BS25" s="258"/>
      <c r="BT25" s="199"/>
      <c r="BU25" s="200"/>
      <c r="BV25" s="200"/>
      <c r="BW25" s="200"/>
      <c r="BX25" s="200">
        <v>2</v>
      </c>
      <c r="BY25" s="208"/>
      <c r="BZ25" s="208"/>
      <c r="CA25" s="201"/>
      <c r="CB25" s="202"/>
      <c r="CC25" s="200">
        <v>43.39</v>
      </c>
      <c r="CD25" s="200">
        <v>43.85</v>
      </c>
      <c r="CE25" s="200">
        <v>37.11</v>
      </c>
      <c r="CF25" s="208"/>
      <c r="CG25" s="208"/>
      <c r="CH25" s="201"/>
      <c r="CI25" s="199"/>
      <c r="CJ25" s="197"/>
      <c r="CK25" s="197">
        <v>178.08</v>
      </c>
      <c r="CL25" s="197">
        <v>117.6</v>
      </c>
      <c r="CM25" s="198"/>
      <c r="CN25" s="202"/>
      <c r="CO25" s="208"/>
      <c r="CP25" s="208"/>
      <c r="CQ25" s="201"/>
      <c r="CR25" s="201"/>
      <c r="CS25" s="284"/>
      <c r="CT25" s="286">
        <f t="shared" si="20"/>
        <v>0</v>
      </c>
      <c r="CU25" s="24">
        <f t="shared" si="20"/>
        <v>16.798999999999999</v>
      </c>
      <c r="CV25" s="25">
        <f t="shared" si="20"/>
        <v>100.82</v>
      </c>
      <c r="CW25" s="24">
        <f t="shared" si="20"/>
        <v>378.78665999999998</v>
      </c>
      <c r="CX25" s="27">
        <f t="shared" si="20"/>
        <v>0</v>
      </c>
      <c r="CY25" s="30">
        <f t="shared" si="20"/>
        <v>0</v>
      </c>
      <c r="CZ25" s="280">
        <f t="shared" si="20"/>
        <v>0</v>
      </c>
      <c r="DA25" s="25">
        <f t="shared" si="21"/>
        <v>0</v>
      </c>
      <c r="DB25" s="26">
        <f t="shared" si="21"/>
        <v>178.08</v>
      </c>
      <c r="DC25" s="277">
        <f t="shared" si="21"/>
        <v>117.6</v>
      </c>
      <c r="DD25" s="280">
        <f t="shared" si="21"/>
        <v>0</v>
      </c>
      <c r="DE25" s="508">
        <f t="shared" si="32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3"/>
        <v>0</v>
      </c>
    </row>
    <row r="26" spans="1:115" ht="16.5" customHeight="1" thickBot="1">
      <c r="A26" s="534">
        <v>20</v>
      </c>
      <c r="B26" s="103">
        <f>'[1]ноябрь 20'!K25</f>
        <v>494.68799999999999</v>
      </c>
      <c r="C26" s="104">
        <f t="shared" si="0"/>
        <v>0.78899039394527459</v>
      </c>
      <c r="D26" s="143">
        <f t="shared" si="1"/>
        <v>490.78495920000006</v>
      </c>
      <c r="E26" s="104">
        <f t="shared" si="35"/>
        <v>39.80875982437415</v>
      </c>
      <c r="F26" s="128">
        <f t="shared" si="3"/>
        <v>2.4737145120967745</v>
      </c>
      <c r="G26" s="106"/>
      <c r="H26" s="107">
        <f t="shared" si="4"/>
        <v>1.8902870927419353</v>
      </c>
      <c r="I26" s="103">
        <f>'[1]сентябрь 20'!AE25</f>
        <v>0</v>
      </c>
      <c r="J26" s="103">
        <f>'[1]ноябрь 20'!AA25</f>
        <v>15.574999999999999</v>
      </c>
      <c r="K26" s="106">
        <v>30.52</v>
      </c>
      <c r="L26" s="103">
        <f>'[1]ноябрь 20'!AI25</f>
        <v>115.752</v>
      </c>
      <c r="M26" s="103">
        <f t="shared" si="5"/>
        <v>0.58342741935483866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'[1]ноябрь 20'!S25</f>
        <v>296.57600000000002</v>
      </c>
      <c r="S26" s="108">
        <f t="shared" si="6"/>
        <v>2.1228959861890551</v>
      </c>
      <c r="T26" s="109">
        <f t="shared" si="7"/>
        <v>290.27999999999997</v>
      </c>
      <c r="U26" s="106">
        <v>4.18</v>
      </c>
      <c r="V26" s="109">
        <f t="shared" si="8"/>
        <v>290.27999999999997</v>
      </c>
      <c r="W26" s="110">
        <f t="shared" si="9"/>
        <v>1.4631048387096772</v>
      </c>
      <c r="X26" s="110">
        <f t="shared" si="26"/>
        <v>1.4631048387096772</v>
      </c>
      <c r="Y26" s="136">
        <v>198.4</v>
      </c>
      <c r="Z26" s="154">
        <v>198.4</v>
      </c>
      <c r="AA26" s="149">
        <v>0.83</v>
      </c>
      <c r="AB26" s="147">
        <v>679</v>
      </c>
      <c r="AC26" s="147">
        <v>1224</v>
      </c>
      <c r="AD26" s="144" t="s">
        <v>167</v>
      </c>
      <c r="AE26" s="149">
        <v>75.97</v>
      </c>
      <c r="AF26" s="147">
        <v>165</v>
      </c>
      <c r="AG26" s="155">
        <v>5</v>
      </c>
      <c r="AH26" s="149">
        <v>7.25</v>
      </c>
      <c r="AI26" s="115">
        <f t="shared" si="10"/>
        <v>36.542338709677423</v>
      </c>
      <c r="AJ26" s="149">
        <v>121.7</v>
      </c>
      <c r="AK26" s="115">
        <f t="shared" si="11"/>
        <v>613.4072580645161</v>
      </c>
      <c r="AL26" s="156">
        <v>34.07</v>
      </c>
      <c r="AM26" s="149"/>
      <c r="AN26" s="157">
        <v>13.71</v>
      </c>
      <c r="AO26" s="466">
        <v>82.83</v>
      </c>
      <c r="AP26" s="110">
        <f t="shared" si="12"/>
        <v>0.28342172797262616</v>
      </c>
      <c r="AQ26" s="158" t="s">
        <v>487</v>
      </c>
      <c r="AR26" s="404">
        <v>6.79</v>
      </c>
      <c r="AS26" s="159">
        <v>9.5</v>
      </c>
      <c r="AT26" s="155"/>
      <c r="AU26" s="149">
        <v>6.53</v>
      </c>
      <c r="AV26" s="315">
        <v>292.25</v>
      </c>
      <c r="AW26" s="131">
        <v>2.69</v>
      </c>
      <c r="AX26" s="148"/>
      <c r="AY26" s="149"/>
      <c r="AZ26" s="160">
        <f t="shared" si="34"/>
        <v>0</v>
      </c>
      <c r="BA26" s="109">
        <f t="shared" si="13"/>
        <v>198.4</v>
      </c>
      <c r="BB26" s="115">
        <f t="shared" si="28"/>
        <v>224.51326726733765</v>
      </c>
      <c r="BC26" s="140">
        <f t="shared" si="14"/>
        <v>6.1561345070422533</v>
      </c>
      <c r="BD26" s="140">
        <f t="shared" si="36"/>
        <v>7.9360000000000008</v>
      </c>
      <c r="BE26" s="161">
        <f t="shared" si="16"/>
        <v>0.7714608678059075</v>
      </c>
      <c r="BF26" s="140">
        <f t="shared" si="17"/>
        <v>14.092134507042253</v>
      </c>
      <c r="BG26" s="537">
        <v>0.89800000000000002</v>
      </c>
      <c r="BH26" s="16">
        <f t="shared" si="29"/>
        <v>4395.7029999999995</v>
      </c>
      <c r="BI26" s="16">
        <f t="shared" si="18"/>
        <v>222.33333333333334</v>
      </c>
      <c r="BJ26" s="16">
        <f t="shared" si="30"/>
        <v>4446.666666666667</v>
      </c>
      <c r="BK26" s="17">
        <f t="shared" si="19"/>
        <v>1</v>
      </c>
      <c r="BL26" s="16">
        <f t="shared" si="31"/>
        <v>4446.666666666667</v>
      </c>
      <c r="BM26" s="254"/>
      <c r="BN26" s="197">
        <v>16.407</v>
      </c>
      <c r="BO26" s="197">
        <v>99.344999999999999</v>
      </c>
      <c r="BP26" s="197">
        <v>378.93599999999998</v>
      </c>
      <c r="BQ26" s="230"/>
      <c r="BR26" s="230"/>
      <c r="BS26" s="258"/>
      <c r="BT26" s="199"/>
      <c r="BU26" s="200"/>
      <c r="BV26" s="200"/>
      <c r="BW26" s="200"/>
      <c r="BX26" s="200">
        <v>1.03</v>
      </c>
      <c r="BY26" s="208"/>
      <c r="BZ26" s="208"/>
      <c r="CA26" s="201"/>
      <c r="CB26" s="202"/>
      <c r="CC26" s="200">
        <v>43.47</v>
      </c>
      <c r="CD26" s="200">
        <v>43.09</v>
      </c>
      <c r="CE26" s="200">
        <v>38.79</v>
      </c>
      <c r="CF26" s="208"/>
      <c r="CG26" s="208"/>
      <c r="CH26" s="209"/>
      <c r="CI26" s="199"/>
      <c r="CJ26" s="197"/>
      <c r="CK26" s="197">
        <v>158.13999999999999</v>
      </c>
      <c r="CL26" s="197">
        <v>132.13999999999999</v>
      </c>
      <c r="CM26" s="198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16.407</v>
      </c>
      <c r="CV26" s="25">
        <f t="shared" si="20"/>
        <v>99.344999999999999</v>
      </c>
      <c r="CW26" s="24">
        <f t="shared" si="20"/>
        <v>375.03295919999999</v>
      </c>
      <c r="CX26" s="27">
        <f t="shared" si="20"/>
        <v>0</v>
      </c>
      <c r="CY26" s="24">
        <f t="shared" si="20"/>
        <v>0</v>
      </c>
      <c r="CZ26" s="280">
        <f t="shared" si="20"/>
        <v>0</v>
      </c>
      <c r="DA26" s="30">
        <f t="shared" si="21"/>
        <v>0</v>
      </c>
      <c r="DB26" s="26">
        <f t="shared" si="21"/>
        <v>158.13999999999999</v>
      </c>
      <c r="DC26" s="277">
        <f t="shared" si="21"/>
        <v>132.13999999999999</v>
      </c>
      <c r="DD26" s="280">
        <f t="shared" si="21"/>
        <v>0</v>
      </c>
      <c r="DE26" s="508">
        <f t="shared" si="32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3"/>
        <v>0</v>
      </c>
    </row>
    <row r="27" spans="1:115" ht="16.5" customHeight="1" thickBot="1">
      <c r="A27" s="534">
        <v>21</v>
      </c>
      <c r="B27" s="103">
        <f>'[1]ноябрь 20'!K26</f>
        <v>459.07900000000001</v>
      </c>
      <c r="C27" s="104">
        <f t="shared" si="0"/>
        <v>2.5526041923067706</v>
      </c>
      <c r="D27" s="143">
        <f t="shared" si="1"/>
        <v>447.36053019999997</v>
      </c>
      <c r="E27" s="104">
        <f t="shared" si="35"/>
        <v>39.336312595435643</v>
      </c>
      <c r="F27" s="128">
        <f t="shared" si="3"/>
        <v>2.0053546446838171</v>
      </c>
      <c r="G27" s="106"/>
      <c r="H27" s="107">
        <f t="shared" si="4"/>
        <v>1.5249370422667798</v>
      </c>
      <c r="I27" s="103">
        <f>'[1]сентябрь 20'!AE26</f>
        <v>0</v>
      </c>
      <c r="J27" s="103">
        <f>'[1]ноябрь 20'!AA26</f>
        <v>14.856</v>
      </c>
      <c r="K27" s="106"/>
      <c r="L27" s="103">
        <f>'[1]ноябрь 20'!AI26</f>
        <v>107.173</v>
      </c>
      <c r="M27" s="103">
        <f t="shared" si="5"/>
        <v>0.48041760241703763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'[1]ноябрь 20'!S26</f>
        <v>270.89699999999999</v>
      </c>
      <c r="S27" s="108">
        <f t="shared" si="6"/>
        <v>1.7338693304096875</v>
      </c>
      <c r="T27" s="109">
        <f t="shared" si="7"/>
        <v>266.20000000000005</v>
      </c>
      <c r="U27" s="106"/>
      <c r="V27" s="109">
        <f t="shared" si="8"/>
        <v>266.20000000000005</v>
      </c>
      <c r="W27" s="110">
        <f t="shared" si="9"/>
        <v>1.1932778382933709</v>
      </c>
      <c r="X27" s="110">
        <f t="shared" si="26"/>
        <v>1.1932778382933709</v>
      </c>
      <c r="Y27" s="129">
        <v>179.48</v>
      </c>
      <c r="Z27" s="129">
        <v>42.8</v>
      </c>
      <c r="AA27" s="131">
        <v>1.33</v>
      </c>
      <c r="AB27" s="133">
        <v>658</v>
      </c>
      <c r="AC27" s="133">
        <v>1223</v>
      </c>
      <c r="AD27" s="144" t="s">
        <v>488</v>
      </c>
      <c r="AE27" s="131">
        <v>76.010000000000005</v>
      </c>
      <c r="AF27" s="133">
        <v>153</v>
      </c>
      <c r="AG27" s="134">
        <v>5</v>
      </c>
      <c r="AH27" s="131"/>
      <c r="AI27" s="115">
        <f t="shared" si="10"/>
        <v>0</v>
      </c>
      <c r="AJ27" s="131">
        <v>122.85</v>
      </c>
      <c r="AK27" s="115">
        <f t="shared" si="11"/>
        <v>550.69189494493071</v>
      </c>
      <c r="AL27" s="139">
        <v>35.29</v>
      </c>
      <c r="AM27" s="131"/>
      <c r="AN27" s="136">
        <v>16</v>
      </c>
      <c r="AO27" s="466">
        <f t="shared" si="27"/>
        <v>55.347000000000001</v>
      </c>
      <c r="AP27" s="110">
        <f t="shared" si="12"/>
        <v>0.19</v>
      </c>
      <c r="AQ27" s="137" t="s">
        <v>364</v>
      </c>
      <c r="AR27" s="150">
        <v>6.63</v>
      </c>
      <c r="AS27" s="138">
        <v>9.5500000000000007</v>
      </c>
      <c r="AT27" s="134"/>
      <c r="AU27" s="131">
        <v>6.87</v>
      </c>
      <c r="AV27" s="139">
        <v>291.3</v>
      </c>
      <c r="AW27" s="131">
        <v>3.13</v>
      </c>
      <c r="AX27" s="148"/>
      <c r="AY27" s="131"/>
      <c r="AZ27" s="109">
        <f t="shared" si="34"/>
        <v>0</v>
      </c>
      <c r="BA27" s="109">
        <f t="shared" si="13"/>
        <v>223.083</v>
      </c>
      <c r="BB27" s="115">
        <f t="shared" si="28"/>
        <v>202.11326699300793</v>
      </c>
      <c r="BC27" s="140">
        <f t="shared" si="14"/>
        <v>6.5378693661971825</v>
      </c>
      <c r="BD27" s="141">
        <f t="shared" si="36"/>
        <v>8.9233200000000004</v>
      </c>
      <c r="BE27" s="128">
        <f t="shared" si="16"/>
        <v>0.96357583001583647</v>
      </c>
      <c r="BF27" s="141">
        <f t="shared" si="17"/>
        <v>15.461189366197182</v>
      </c>
      <c r="BG27" s="535">
        <v>0.90100000000000002</v>
      </c>
      <c r="BH27" s="16">
        <f t="shared" si="29"/>
        <v>4618.7859999999991</v>
      </c>
      <c r="BI27" s="16">
        <f t="shared" si="18"/>
        <v>222.33333333333334</v>
      </c>
      <c r="BJ27" s="16">
        <f t="shared" si="30"/>
        <v>4669</v>
      </c>
      <c r="BK27" s="17">
        <f t="shared" si="19"/>
        <v>1</v>
      </c>
      <c r="BL27" s="16">
        <f t="shared" si="31"/>
        <v>4669</v>
      </c>
      <c r="BM27" s="254"/>
      <c r="BN27" s="197">
        <v>15.398</v>
      </c>
      <c r="BO27" s="197">
        <v>91.775000000000006</v>
      </c>
      <c r="BP27" s="197">
        <v>351.90600000000001</v>
      </c>
      <c r="BQ27" s="230"/>
      <c r="BR27" s="230"/>
      <c r="BS27" s="258"/>
      <c r="BT27" s="199"/>
      <c r="BU27" s="200"/>
      <c r="BV27" s="200"/>
      <c r="BW27" s="200"/>
      <c r="BX27" s="200">
        <v>3.33</v>
      </c>
      <c r="BY27" s="208"/>
      <c r="BZ27" s="208"/>
      <c r="CA27" s="201"/>
      <c r="CB27" s="202"/>
      <c r="CC27" s="200">
        <v>43.39</v>
      </c>
      <c r="CD27" s="200">
        <v>43.09</v>
      </c>
      <c r="CE27" s="200">
        <v>38.18</v>
      </c>
      <c r="CF27" s="208"/>
      <c r="CG27" s="208"/>
      <c r="CH27" s="209"/>
      <c r="CI27" s="199"/>
      <c r="CJ27" s="197"/>
      <c r="CK27" s="197">
        <v>134.62</v>
      </c>
      <c r="CL27" s="197">
        <v>131.58000000000001</v>
      </c>
      <c r="CM27" s="198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15.398</v>
      </c>
      <c r="CV27" s="25">
        <f t="shared" si="20"/>
        <v>91.775000000000006</v>
      </c>
      <c r="CW27" s="24">
        <f t="shared" si="20"/>
        <v>340.18753020000003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134.62</v>
      </c>
      <c r="DC27" s="277">
        <f t="shared" si="21"/>
        <v>131.58000000000001</v>
      </c>
      <c r="DD27" s="280">
        <f t="shared" si="21"/>
        <v>0</v>
      </c>
      <c r="DE27" s="508">
        <f t="shared" si="32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3"/>
        <v>0</v>
      </c>
    </row>
    <row r="28" spans="1:115" ht="16.5" customHeight="1" thickBot="1">
      <c r="A28" s="534">
        <v>22</v>
      </c>
      <c r="B28" s="103">
        <f>'[1]ноябрь 20'!K27</f>
        <v>504.07100000000003</v>
      </c>
      <c r="C28" s="104">
        <f t="shared" si="0"/>
        <v>1.9398401614058334</v>
      </c>
      <c r="D28" s="143">
        <f t="shared" si="1"/>
        <v>494.2928283</v>
      </c>
      <c r="E28" s="104">
        <f t="shared" si="2"/>
        <v>38.672202308801729</v>
      </c>
      <c r="F28" s="128">
        <f t="shared" si="3"/>
        <v>2.1542460282283105</v>
      </c>
      <c r="G28" s="106"/>
      <c r="H28" s="107">
        <f t="shared" si="4"/>
        <v>1.6417956304300927</v>
      </c>
      <c r="I28" s="103">
        <f>'[1]сентябрь 20'!AE27</f>
        <v>0</v>
      </c>
      <c r="J28" s="103">
        <f>'[1]ноябрь 20'!AA27</f>
        <v>16.803999999999998</v>
      </c>
      <c r="K28" s="106">
        <v>38.44</v>
      </c>
      <c r="L28" s="103">
        <f>'[1]ноябрь 20'!AI27</f>
        <v>117.58199999999999</v>
      </c>
      <c r="M28" s="103">
        <f t="shared" si="5"/>
        <v>0.51245039779821788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'[1]ноябрь 20'!S27</f>
        <v>296.74299999999999</v>
      </c>
      <c r="S28" s="108">
        <f t="shared" si="6"/>
        <v>2.0634016640662112</v>
      </c>
      <c r="T28" s="109">
        <f t="shared" si="7"/>
        <v>290.62</v>
      </c>
      <c r="U28" s="106"/>
      <c r="V28" s="109">
        <f t="shared" si="8"/>
        <v>290.62</v>
      </c>
      <c r="W28" s="110">
        <f t="shared" si="9"/>
        <v>1.2665912691408387</v>
      </c>
      <c r="X28" s="110">
        <f t="shared" si="26"/>
        <v>1.2665912691408387</v>
      </c>
      <c r="Y28" s="129">
        <v>191.93</v>
      </c>
      <c r="Z28" s="136">
        <v>184.08</v>
      </c>
      <c r="AA28" s="131">
        <v>0.8</v>
      </c>
      <c r="AB28" s="133">
        <v>650</v>
      </c>
      <c r="AC28" s="133">
        <v>1226</v>
      </c>
      <c r="AD28" s="144" t="s">
        <v>205</v>
      </c>
      <c r="AE28" s="131">
        <v>75.819999999999993</v>
      </c>
      <c r="AF28" s="133">
        <v>168</v>
      </c>
      <c r="AG28" s="134">
        <v>5</v>
      </c>
      <c r="AH28" s="131">
        <v>3.4</v>
      </c>
      <c r="AI28" s="115">
        <f t="shared" si="10"/>
        <v>14.818010856372069</v>
      </c>
      <c r="AJ28" s="131">
        <v>137.15</v>
      </c>
      <c r="AK28" s="115">
        <f t="shared" si="11"/>
        <v>597.73240851512628</v>
      </c>
      <c r="AL28" s="139">
        <v>33.68</v>
      </c>
      <c r="AM28" s="131"/>
      <c r="AN28" s="136">
        <v>18.420000000000002</v>
      </c>
      <c r="AO28" s="466">
        <f t="shared" si="27"/>
        <v>57.009500000000003</v>
      </c>
      <c r="AP28" s="110">
        <f t="shared" si="12"/>
        <v>0.19</v>
      </c>
      <c r="AQ28" s="137" t="s">
        <v>489</v>
      </c>
      <c r="AR28" s="150">
        <v>6.28</v>
      </c>
      <c r="AS28" s="138">
        <v>9.73</v>
      </c>
      <c r="AT28" s="134"/>
      <c r="AU28" s="131">
        <v>7.59</v>
      </c>
      <c r="AV28" s="139">
        <v>300.05</v>
      </c>
      <c r="AW28" s="131">
        <v>4.83</v>
      </c>
      <c r="AX28" s="148"/>
      <c r="AY28" s="131"/>
      <c r="AZ28" s="109">
        <f t="shared" si="34"/>
        <v>0</v>
      </c>
      <c r="BA28" s="109">
        <f t="shared" si="13"/>
        <v>229.45050000000001</v>
      </c>
      <c r="BB28" s="115">
        <f t="shared" si="28"/>
        <v>220.09677445686967</v>
      </c>
      <c r="BC28" s="140">
        <f t="shared" si="14"/>
        <v>8.0638404929577465</v>
      </c>
      <c r="BD28" s="141">
        <f t="shared" si="36"/>
        <v>9.1780200000000001</v>
      </c>
      <c r="BE28" s="128">
        <f t="shared" si="16"/>
        <v>0.91010096351617809</v>
      </c>
      <c r="BF28" s="141">
        <f t="shared" si="17"/>
        <v>17.241860492957748</v>
      </c>
      <c r="BG28" s="535">
        <v>0.90200000000000002</v>
      </c>
      <c r="BH28" s="16">
        <f t="shared" si="29"/>
        <v>4848.2364999999991</v>
      </c>
      <c r="BI28" s="16">
        <f t="shared" si="18"/>
        <v>222.33333333333334</v>
      </c>
      <c r="BJ28" s="16">
        <f t="shared" si="30"/>
        <v>4891.333333333333</v>
      </c>
      <c r="BK28" s="17">
        <f t="shared" si="19"/>
        <v>1</v>
      </c>
      <c r="BL28" s="16">
        <f t="shared" si="31"/>
        <v>4891.333333333333</v>
      </c>
      <c r="BM28" s="254"/>
      <c r="BN28" s="197">
        <v>16.806000000000001</v>
      </c>
      <c r="BO28" s="197">
        <v>100.776</v>
      </c>
      <c r="BP28" s="197">
        <v>386.48899999999998</v>
      </c>
      <c r="BQ28" s="230"/>
      <c r="BR28" s="230"/>
      <c r="BS28" s="258"/>
      <c r="BT28" s="199"/>
      <c r="BU28" s="200"/>
      <c r="BV28" s="200"/>
      <c r="BW28" s="200"/>
      <c r="BX28" s="200">
        <v>2.5299999999999998</v>
      </c>
      <c r="BY28" s="208"/>
      <c r="BZ28" s="208"/>
      <c r="CA28" s="201"/>
      <c r="CB28" s="202"/>
      <c r="CC28" s="200">
        <v>43.55</v>
      </c>
      <c r="CD28" s="200">
        <v>43.85</v>
      </c>
      <c r="CE28" s="200">
        <v>37.11</v>
      </c>
      <c r="CF28" s="208"/>
      <c r="CG28" s="208"/>
      <c r="CH28" s="209"/>
      <c r="CI28" s="199"/>
      <c r="CJ28" s="197"/>
      <c r="CK28" s="197">
        <v>146.13999999999999</v>
      </c>
      <c r="CL28" s="197">
        <v>144.47999999999999</v>
      </c>
      <c r="CM28" s="198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16.806000000000001</v>
      </c>
      <c r="CV28" s="30">
        <f t="shared" si="20"/>
        <v>100.776</v>
      </c>
      <c r="CW28" s="29">
        <f t="shared" si="20"/>
        <v>376.7108283</v>
      </c>
      <c r="CX28" s="27">
        <f t="shared" si="20"/>
        <v>0</v>
      </c>
      <c r="CY28" s="24">
        <f t="shared" si="20"/>
        <v>0</v>
      </c>
      <c r="CZ28" s="282">
        <f t="shared" si="20"/>
        <v>0</v>
      </c>
      <c r="DA28" s="25">
        <f t="shared" si="21"/>
        <v>0</v>
      </c>
      <c r="DB28" s="24">
        <f t="shared" si="21"/>
        <v>146.13999999999999</v>
      </c>
      <c r="DC28" s="277">
        <f t="shared" si="21"/>
        <v>144.47999999999999</v>
      </c>
      <c r="DD28" s="280">
        <f t="shared" si="21"/>
        <v>0</v>
      </c>
      <c r="DE28" s="508">
        <f t="shared" si="32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3"/>
        <v>0</v>
      </c>
    </row>
    <row r="29" spans="1:115" ht="16.5" customHeight="1" thickBot="1">
      <c r="A29" s="534">
        <v>23</v>
      </c>
      <c r="B29" s="103">
        <f>'[1]ноябрь 20'!K28</f>
        <v>494.80099999999999</v>
      </c>
      <c r="C29" s="104">
        <f t="shared" si="0"/>
        <v>0.85104838106632785</v>
      </c>
      <c r="D29" s="143">
        <f t="shared" si="1"/>
        <v>490.59000409999999</v>
      </c>
      <c r="E29" s="104">
        <f t="shared" si="2"/>
        <v>39.099814066665189</v>
      </c>
      <c r="F29" s="128">
        <f t="shared" si="3"/>
        <v>1.9510711189060099</v>
      </c>
      <c r="G29" s="106"/>
      <c r="H29" s="107">
        <f t="shared" si="4"/>
        <v>1.4919993084015886</v>
      </c>
      <c r="I29" s="103">
        <f>'[1]сентябрь 20'!AE28</f>
        <v>0</v>
      </c>
      <c r="J29" s="103">
        <f>'[1]ноябрь 20'!AA28</f>
        <v>16.969000000000001</v>
      </c>
      <c r="K29" s="106">
        <v>64.23</v>
      </c>
      <c r="L29" s="103">
        <f>'[1]ноябрь 20'!AI28</f>
        <v>115.432</v>
      </c>
      <c r="M29" s="103">
        <f t="shared" si="5"/>
        <v>0.45907181050442147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'[1]ноябрь 20'!S28</f>
        <v>290.14699999999999</v>
      </c>
      <c r="S29" s="108">
        <f t="shared" si="6"/>
        <v>2.2116375492422735</v>
      </c>
      <c r="T29" s="109">
        <f t="shared" si="7"/>
        <v>283.73</v>
      </c>
      <c r="U29" s="106">
        <v>53.74</v>
      </c>
      <c r="V29" s="109">
        <f t="shared" si="8"/>
        <v>283.73</v>
      </c>
      <c r="W29" s="110">
        <f t="shared" si="9"/>
        <v>1.1283911289280226</v>
      </c>
      <c r="X29" s="110">
        <f t="shared" si="26"/>
        <v>1.1283911289280226</v>
      </c>
      <c r="Y29" s="129">
        <v>251.45</v>
      </c>
      <c r="Z29" s="136">
        <v>206.81</v>
      </c>
      <c r="AA29" s="131">
        <v>0.73</v>
      </c>
      <c r="AB29" s="133">
        <v>648</v>
      </c>
      <c r="AC29" s="133">
        <v>1241</v>
      </c>
      <c r="AD29" s="144" t="s">
        <v>200</v>
      </c>
      <c r="AE29" s="131">
        <v>76.2</v>
      </c>
      <c r="AF29" s="133">
        <v>165</v>
      </c>
      <c r="AG29" s="134">
        <v>5</v>
      </c>
      <c r="AH29" s="131">
        <v>9.5500000000000007</v>
      </c>
      <c r="AI29" s="115">
        <f t="shared" si="10"/>
        <v>37.980246294937494</v>
      </c>
      <c r="AJ29" s="131">
        <v>139.69999999999999</v>
      </c>
      <c r="AK29" s="115">
        <f t="shared" si="11"/>
        <v>555.58538297411178</v>
      </c>
      <c r="AL29" s="139">
        <v>33.75</v>
      </c>
      <c r="AM29" s="131"/>
      <c r="AN29" s="136">
        <v>15.18</v>
      </c>
      <c r="AO29" s="466">
        <f t="shared" si="27"/>
        <v>61.113499999999995</v>
      </c>
      <c r="AP29" s="110">
        <f t="shared" si="12"/>
        <v>0.19</v>
      </c>
      <c r="AQ29" s="137" t="s">
        <v>374</v>
      </c>
      <c r="AR29" s="150">
        <v>6.67</v>
      </c>
      <c r="AS29" s="138">
        <v>9.85</v>
      </c>
      <c r="AT29" s="134"/>
      <c r="AU29" s="131">
        <v>7.34</v>
      </c>
      <c r="AV29" s="139">
        <v>321.64999999999998</v>
      </c>
      <c r="AW29" s="131">
        <v>6.09</v>
      </c>
      <c r="AX29" s="148"/>
      <c r="AY29" s="131"/>
      <c r="AZ29" s="109">
        <f t="shared" si="34"/>
        <v>0</v>
      </c>
      <c r="BA29" s="109">
        <f t="shared" si="13"/>
        <v>251.44649999999999</v>
      </c>
      <c r="BB29" s="115">
        <f t="shared" si="28"/>
        <v>219.76203076743636</v>
      </c>
      <c r="BC29" s="140">
        <f t="shared" si="14"/>
        <v>7.9432239436619705</v>
      </c>
      <c r="BD29" s="141">
        <f t="shared" si="36"/>
        <v>10.05786</v>
      </c>
      <c r="BE29" s="128">
        <f t="shared" si="16"/>
        <v>0.99886588112347718</v>
      </c>
      <c r="BF29" s="141">
        <f t="shared" si="17"/>
        <v>18.001083943661971</v>
      </c>
      <c r="BG29" s="535">
        <v>0.90600000000000003</v>
      </c>
      <c r="BH29" s="16">
        <f t="shared" si="29"/>
        <v>5099.6829999999991</v>
      </c>
      <c r="BI29" s="16">
        <f t="shared" si="18"/>
        <v>222.33333333333334</v>
      </c>
      <c r="BJ29" s="16">
        <f t="shared" si="30"/>
        <v>5113.6666666666661</v>
      </c>
      <c r="BK29" s="17">
        <f t="shared" si="19"/>
        <v>1</v>
      </c>
      <c r="BL29" s="16">
        <f t="shared" si="31"/>
        <v>5113.6666666666661</v>
      </c>
      <c r="BM29" s="254"/>
      <c r="BN29" s="197">
        <v>16.413</v>
      </c>
      <c r="BO29" s="197">
        <v>99.019000000000005</v>
      </c>
      <c r="BP29" s="197">
        <v>379.36900000000003</v>
      </c>
      <c r="BQ29" s="230"/>
      <c r="BR29" s="230"/>
      <c r="BS29" s="258"/>
      <c r="BT29" s="199"/>
      <c r="BU29" s="200"/>
      <c r="BV29" s="200"/>
      <c r="BW29" s="200"/>
      <c r="BX29" s="200">
        <v>1.1100000000000001</v>
      </c>
      <c r="BY29" s="208"/>
      <c r="BZ29" s="208"/>
      <c r="CA29" s="201"/>
      <c r="CB29" s="202"/>
      <c r="CC29" s="200">
        <v>43.24</v>
      </c>
      <c r="CD29" s="200">
        <v>43.7</v>
      </c>
      <c r="CE29" s="200">
        <v>37.72</v>
      </c>
      <c r="CF29" s="208"/>
      <c r="CG29" s="208"/>
      <c r="CH29" s="201"/>
      <c r="CI29" s="199"/>
      <c r="CJ29" s="197"/>
      <c r="CK29" s="197">
        <v>87.89</v>
      </c>
      <c r="CL29" s="230">
        <v>141.9</v>
      </c>
      <c r="CM29" s="198">
        <v>53.94</v>
      </c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16.413</v>
      </c>
      <c r="CV29" s="25">
        <f t="shared" si="20"/>
        <v>99.019000000000005</v>
      </c>
      <c r="CW29" s="24">
        <f t="shared" si="20"/>
        <v>375.15800410000003</v>
      </c>
      <c r="CX29" s="27">
        <f t="shared" si="20"/>
        <v>0</v>
      </c>
      <c r="CY29" s="29">
        <f t="shared" si="20"/>
        <v>0</v>
      </c>
      <c r="CZ29" s="280">
        <f t="shared" si="20"/>
        <v>0</v>
      </c>
      <c r="DA29" s="30">
        <f t="shared" si="21"/>
        <v>0</v>
      </c>
      <c r="DB29" s="29">
        <f t="shared" si="21"/>
        <v>87.89</v>
      </c>
      <c r="DC29" s="277">
        <f t="shared" si="21"/>
        <v>141.9</v>
      </c>
      <c r="DD29" s="280">
        <f t="shared" si="21"/>
        <v>53.94</v>
      </c>
      <c r="DE29" s="508">
        <f t="shared" si="32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3"/>
        <v>0</v>
      </c>
    </row>
    <row r="30" spans="1:115" ht="16.5" customHeight="1" thickBot="1">
      <c r="A30" s="534">
        <v>24</v>
      </c>
      <c r="B30" s="103">
        <f>'[1]ноябрь 20'!K29</f>
        <v>531.48299999999995</v>
      </c>
      <c r="C30" s="104">
        <f t="shared" si="0"/>
        <v>1.7042504840230073</v>
      </c>
      <c r="D30" s="143">
        <f t="shared" si="1"/>
        <v>522.4251984</v>
      </c>
      <c r="E30" s="104">
        <f t="shared" si="2"/>
        <v>39.130758801316318</v>
      </c>
      <c r="F30" s="128">
        <f t="shared" si="3"/>
        <v>2.1257578990842676</v>
      </c>
      <c r="G30" s="106"/>
      <c r="H30" s="107">
        <f t="shared" si="4"/>
        <v>1.5796508309953432</v>
      </c>
      <c r="I30" s="103">
        <f>'[1]сентябрь 20'!AE29</f>
        <v>0</v>
      </c>
      <c r="J30" s="103">
        <f>'[1]ноябрь 20'!AA29</f>
        <v>16.033000000000001</v>
      </c>
      <c r="K30" s="106">
        <v>50.88</v>
      </c>
      <c r="L30" s="103">
        <f>'[1]ноябрь 20'!AI29</f>
        <v>134.21100000000001</v>
      </c>
      <c r="M30" s="103">
        <f t="shared" si="5"/>
        <v>0.5461070680889244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'[1]ноябрь 20'!S29</f>
        <v>314.42</v>
      </c>
      <c r="S30" s="108">
        <f t="shared" si="6"/>
        <v>2.2454042363717286</v>
      </c>
      <c r="T30" s="109">
        <f t="shared" si="7"/>
        <v>307.36</v>
      </c>
      <c r="U30" s="106">
        <v>4.07</v>
      </c>
      <c r="V30" s="109">
        <f t="shared" si="8"/>
        <v>307.36</v>
      </c>
      <c r="W30" s="110">
        <f t="shared" si="9"/>
        <v>1.2506535861279016</v>
      </c>
      <c r="X30" s="110">
        <f t="shared" si="26"/>
        <v>1.2506535861279016</v>
      </c>
      <c r="Y30" s="154">
        <v>150.79</v>
      </c>
      <c r="Z30" s="157">
        <v>198.05</v>
      </c>
      <c r="AA30" s="149">
        <v>0.68</v>
      </c>
      <c r="AB30" s="147">
        <v>634</v>
      </c>
      <c r="AC30" s="147">
        <v>1237</v>
      </c>
      <c r="AD30" s="144" t="s">
        <v>252</v>
      </c>
      <c r="AE30" s="149">
        <v>75.5</v>
      </c>
      <c r="AF30" s="147">
        <v>177</v>
      </c>
      <c r="AG30" s="155">
        <v>5</v>
      </c>
      <c r="AH30" s="149">
        <v>5.2</v>
      </c>
      <c r="AI30" s="115">
        <f t="shared" si="10"/>
        <v>21.158897214553257</v>
      </c>
      <c r="AJ30" s="131">
        <v>146.05000000000001</v>
      </c>
      <c r="AK30" s="115">
        <f t="shared" si="11"/>
        <v>594.28018042028907</v>
      </c>
      <c r="AL30" s="139">
        <v>33.79</v>
      </c>
      <c r="AM30" s="131"/>
      <c r="AN30" s="157">
        <v>14.73</v>
      </c>
      <c r="AO30" s="466">
        <f t="shared" si="27"/>
        <v>60.220500000000001</v>
      </c>
      <c r="AP30" s="110">
        <f t="shared" si="12"/>
        <v>0.19</v>
      </c>
      <c r="AQ30" s="158" t="s">
        <v>491</v>
      </c>
      <c r="AR30" s="404">
        <v>6.63</v>
      </c>
      <c r="AS30" s="159">
        <v>9.41</v>
      </c>
      <c r="AT30" s="155"/>
      <c r="AU30" s="149">
        <v>8.85</v>
      </c>
      <c r="AV30" s="156">
        <v>316.95</v>
      </c>
      <c r="AW30" s="131">
        <v>3.76</v>
      </c>
      <c r="AX30" s="164"/>
      <c r="AY30" s="149"/>
      <c r="AZ30" s="109">
        <f t="shared" si="34"/>
        <v>0</v>
      </c>
      <c r="BA30" s="109">
        <f t="shared" si="13"/>
        <v>245.75949999999997</v>
      </c>
      <c r="BB30" s="115">
        <f t="shared" si="28"/>
        <v>236.37942831350406</v>
      </c>
      <c r="BC30" s="140">
        <f t="shared" si="14"/>
        <v>10.012653169014085</v>
      </c>
      <c r="BD30" s="141">
        <f t="shared" si="36"/>
        <v>9.8303799999999999</v>
      </c>
      <c r="BE30" s="128">
        <f t="shared" si="16"/>
        <v>0.90764261945608204</v>
      </c>
      <c r="BF30" s="141">
        <f t="shared" si="17"/>
        <v>19.843033169014085</v>
      </c>
      <c r="BG30" s="537">
        <v>0.90600000000000003</v>
      </c>
      <c r="BH30" s="16">
        <f t="shared" si="29"/>
        <v>5345.4424999999992</v>
      </c>
      <c r="BI30" s="16">
        <f t="shared" si="18"/>
        <v>222.33333333333334</v>
      </c>
      <c r="BJ30" s="16">
        <f t="shared" si="30"/>
        <v>5335.9999999999991</v>
      </c>
      <c r="BK30" s="17">
        <f t="shared" si="19"/>
        <v>1</v>
      </c>
      <c r="BL30" s="16">
        <f t="shared" si="31"/>
        <v>5335.9999999999991</v>
      </c>
      <c r="BM30" s="255"/>
      <c r="BN30" s="210">
        <v>28.004999999999999</v>
      </c>
      <c r="BO30" s="210">
        <v>106.206</v>
      </c>
      <c r="BP30" s="210">
        <v>397.27199999999999</v>
      </c>
      <c r="BQ30" s="233"/>
      <c r="BR30" s="233"/>
      <c r="BS30" s="260"/>
      <c r="BT30" s="212"/>
      <c r="BU30" s="213"/>
      <c r="BV30" s="213"/>
      <c r="BW30" s="213"/>
      <c r="BX30" s="213">
        <v>2.2799999999999998</v>
      </c>
      <c r="BY30" s="235"/>
      <c r="BZ30" s="235"/>
      <c r="CA30" s="214"/>
      <c r="CB30" s="215"/>
      <c r="CC30" s="213">
        <v>43.7</v>
      </c>
      <c r="CD30" s="216">
        <v>43.39</v>
      </c>
      <c r="CE30" s="213">
        <v>37.67</v>
      </c>
      <c r="CF30" s="235"/>
      <c r="CG30" s="235"/>
      <c r="CH30" s="214"/>
      <c r="CI30" s="212"/>
      <c r="CJ30" s="210"/>
      <c r="CK30" s="210"/>
      <c r="CL30" s="233">
        <v>152.22</v>
      </c>
      <c r="CM30" s="198">
        <v>155.13999999999999</v>
      </c>
      <c r="CN30" s="202"/>
      <c r="CO30" s="208"/>
      <c r="CP30" s="208"/>
      <c r="CQ30" s="201"/>
      <c r="CR30" s="201"/>
      <c r="CS30" s="284"/>
      <c r="CT30" s="286">
        <f t="shared" si="20"/>
        <v>0</v>
      </c>
      <c r="CU30" s="24">
        <f t="shared" si="20"/>
        <v>28.004999999999999</v>
      </c>
      <c r="CV30" s="25">
        <f t="shared" si="20"/>
        <v>106.206</v>
      </c>
      <c r="CW30" s="24">
        <f t="shared" si="20"/>
        <v>388.21419839999999</v>
      </c>
      <c r="CX30" s="27">
        <f t="shared" si="20"/>
        <v>0</v>
      </c>
      <c r="CY30" s="24">
        <f t="shared" si="20"/>
        <v>0</v>
      </c>
      <c r="CZ30" s="280">
        <f t="shared" si="20"/>
        <v>0</v>
      </c>
      <c r="DA30" s="25">
        <f t="shared" si="21"/>
        <v>0</v>
      </c>
      <c r="DB30" s="26">
        <f t="shared" si="21"/>
        <v>0</v>
      </c>
      <c r="DC30" s="277">
        <f t="shared" si="21"/>
        <v>152.22</v>
      </c>
      <c r="DD30" s="280">
        <f t="shared" si="21"/>
        <v>155.13999999999999</v>
      </c>
      <c r="DE30" s="508">
        <f t="shared" si="32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3"/>
        <v>0</v>
      </c>
    </row>
    <row r="31" spans="1:115" ht="16.5" customHeight="1" thickBot="1">
      <c r="A31" s="534">
        <v>25</v>
      </c>
      <c r="B31" s="103">
        <f>'[1]ноябрь 20'!K30</f>
        <v>515.94799999999998</v>
      </c>
      <c r="C31" s="104">
        <f t="shared" si="0"/>
        <v>0.99890456014947238</v>
      </c>
      <c r="D31" s="143">
        <f t="shared" si="1"/>
        <v>510.79417189999998</v>
      </c>
      <c r="E31" s="104">
        <f t="shared" si="2"/>
        <v>40.309293591602248</v>
      </c>
      <c r="F31" s="128">
        <f t="shared" si="3"/>
        <v>2.1589709347123631</v>
      </c>
      <c r="G31" s="106"/>
      <c r="H31" s="107">
        <f t="shared" si="4"/>
        <v>1.5453859158084717</v>
      </c>
      <c r="I31" s="103">
        <f>'[1]сентябрь 20'!AE30</f>
        <v>0</v>
      </c>
      <c r="J31" s="103">
        <f>'[1]ноябрь 20'!AA30</f>
        <v>11.273999999999999</v>
      </c>
      <c r="K31" s="106">
        <v>32.619999999999997</v>
      </c>
      <c r="L31" s="103">
        <f>'[1]ноябрь 20'!AI30</f>
        <v>145.16900000000001</v>
      </c>
      <c r="M31" s="103">
        <f t="shared" si="5"/>
        <v>0.61358501890389128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'[1]ноябрь 20'!S30</f>
        <v>309.79300000000001</v>
      </c>
      <c r="S31" s="108">
        <f t="shared" si="6"/>
        <v>2.7996113533875877</v>
      </c>
      <c r="T31" s="109">
        <f t="shared" si="7"/>
        <v>301.12</v>
      </c>
      <c r="U31" s="106">
        <v>5.23</v>
      </c>
      <c r="V31" s="109">
        <f t="shared" si="8"/>
        <v>301.12</v>
      </c>
      <c r="W31" s="110">
        <f t="shared" si="9"/>
        <v>1.2727422582806232</v>
      </c>
      <c r="X31" s="110">
        <f t="shared" si="26"/>
        <v>1.2727422582806232</v>
      </c>
      <c r="Y31" s="136">
        <v>196.84</v>
      </c>
      <c r="Z31" s="136">
        <v>236.59</v>
      </c>
      <c r="AA31" s="131">
        <v>0.34</v>
      </c>
      <c r="AB31" s="133">
        <v>643</v>
      </c>
      <c r="AC31" s="133">
        <v>1240</v>
      </c>
      <c r="AD31" s="144" t="s">
        <v>181</v>
      </c>
      <c r="AE31" s="131">
        <v>75.819999999999993</v>
      </c>
      <c r="AF31" s="133">
        <v>172</v>
      </c>
      <c r="AG31" s="134">
        <v>5</v>
      </c>
      <c r="AH31" s="131">
        <v>8</v>
      </c>
      <c r="AI31" s="115">
        <f t="shared" si="10"/>
        <v>33.813556277381061</v>
      </c>
      <c r="AJ31" s="131">
        <v>149.9</v>
      </c>
      <c r="AK31" s="115">
        <f t="shared" si="11"/>
        <v>633.58151074742761</v>
      </c>
      <c r="AL31" s="139">
        <v>40.729999999999997</v>
      </c>
      <c r="AM31" s="131"/>
      <c r="AN31" s="136">
        <v>14.59</v>
      </c>
      <c r="AO31" s="466">
        <f t="shared" si="27"/>
        <v>57.978499999999997</v>
      </c>
      <c r="AP31" s="110">
        <f t="shared" si="12"/>
        <v>0.19</v>
      </c>
      <c r="AQ31" s="137" t="s">
        <v>492</v>
      </c>
      <c r="AR31" s="150">
        <v>6.87</v>
      </c>
      <c r="AS31" s="138">
        <v>9.0399999999999991</v>
      </c>
      <c r="AT31" s="134"/>
      <c r="AU31" s="131">
        <v>9.44</v>
      </c>
      <c r="AV31" s="139">
        <v>305.14999999999998</v>
      </c>
      <c r="AW31" s="131">
        <v>4.01</v>
      </c>
      <c r="AX31" s="148"/>
      <c r="AY31" s="131"/>
      <c r="AZ31" s="109">
        <f t="shared" si="34"/>
        <v>0</v>
      </c>
      <c r="BA31" s="109">
        <f t="shared" si="13"/>
        <v>236.59149999999997</v>
      </c>
      <c r="BB31" s="115">
        <f t="shared" si="28"/>
        <v>237.07272099072671</v>
      </c>
      <c r="BC31" s="140">
        <f t="shared" si="14"/>
        <v>10.961701408450704</v>
      </c>
      <c r="BD31" s="141">
        <f t="shared" si="36"/>
        <v>9.4636599999999991</v>
      </c>
      <c r="BE31" s="128">
        <f t="shared" si="16"/>
        <v>0.8712279448974608</v>
      </c>
      <c r="BF31" s="141">
        <f t="shared" si="17"/>
        <v>20.425361408450705</v>
      </c>
      <c r="BG31" s="535">
        <v>0.90500000000000003</v>
      </c>
      <c r="BH31" s="16">
        <f t="shared" si="29"/>
        <v>5582.0339999999987</v>
      </c>
      <c r="BI31" s="16">
        <f t="shared" si="18"/>
        <v>222.33333333333334</v>
      </c>
      <c r="BJ31" s="16">
        <f t="shared" si="30"/>
        <v>5558.3333333333321</v>
      </c>
      <c r="BK31" s="17">
        <f>IF(BA31&lt;&gt;0,1,0)</f>
        <v>1</v>
      </c>
      <c r="BL31" s="16">
        <f t="shared" si="31"/>
        <v>5558.3333333333321</v>
      </c>
      <c r="BM31" s="254"/>
      <c r="BN31" s="197">
        <v>41.97</v>
      </c>
      <c r="BO31" s="197">
        <v>103.199</v>
      </c>
      <c r="BP31" s="197">
        <v>370.779</v>
      </c>
      <c r="BQ31" s="230"/>
      <c r="BR31" s="230"/>
      <c r="BS31" s="259"/>
      <c r="BT31" s="199"/>
      <c r="BU31" s="200"/>
      <c r="BV31" s="200"/>
      <c r="BW31" s="200"/>
      <c r="BX31" s="200">
        <v>1.39</v>
      </c>
      <c r="BY31" s="208"/>
      <c r="BZ31" s="208"/>
      <c r="CA31" s="201"/>
      <c r="CB31" s="202"/>
      <c r="CC31" s="200">
        <v>43.7</v>
      </c>
      <c r="CD31" s="200">
        <v>43.85</v>
      </c>
      <c r="CE31" s="200">
        <v>38.94</v>
      </c>
      <c r="CF31" s="208"/>
      <c r="CG31" s="208"/>
      <c r="CH31" s="209"/>
      <c r="CI31" s="199"/>
      <c r="CJ31" s="197"/>
      <c r="CK31" s="197"/>
      <c r="CL31" s="230">
        <v>147.91999999999999</v>
      </c>
      <c r="CM31" s="198">
        <v>153.19999999999999</v>
      </c>
      <c r="CN31" s="202"/>
      <c r="CO31" s="208"/>
      <c r="CP31" s="208"/>
      <c r="CQ31" s="201"/>
      <c r="CR31" s="201"/>
      <c r="CS31" s="284"/>
      <c r="CT31" s="286">
        <f t="shared" si="20"/>
        <v>0</v>
      </c>
      <c r="CU31" s="24">
        <f t="shared" si="20"/>
        <v>41.97</v>
      </c>
      <c r="CV31" s="25">
        <f t="shared" si="20"/>
        <v>103.199</v>
      </c>
      <c r="CW31" s="24">
        <f t="shared" si="20"/>
        <v>365.6251719</v>
      </c>
      <c r="CX31" s="27">
        <f t="shared" si="20"/>
        <v>0</v>
      </c>
      <c r="CY31" s="24">
        <f t="shared" si="20"/>
        <v>0</v>
      </c>
      <c r="CZ31" s="280">
        <f t="shared" si="20"/>
        <v>0</v>
      </c>
      <c r="DA31" s="28">
        <f t="shared" si="21"/>
        <v>0</v>
      </c>
      <c r="DB31" s="24">
        <f t="shared" si="21"/>
        <v>0</v>
      </c>
      <c r="DC31" s="277">
        <f t="shared" si="21"/>
        <v>147.91999999999999</v>
      </c>
      <c r="DD31" s="280">
        <f t="shared" si="21"/>
        <v>153.19999999999999</v>
      </c>
      <c r="DE31" s="508">
        <f t="shared" si="32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3"/>
        <v>0</v>
      </c>
    </row>
    <row r="32" spans="1:115" ht="16.5" customHeight="1" thickBot="1">
      <c r="A32" s="534">
        <v>26</v>
      </c>
      <c r="B32" s="103">
        <f>'[1]ноябрь 20'!K31</f>
        <v>503.91399999999999</v>
      </c>
      <c r="C32" s="104">
        <f t="shared" si="0"/>
        <v>1.399520553110253</v>
      </c>
      <c r="D32" s="143">
        <f t="shared" si="1"/>
        <v>496.86162000000002</v>
      </c>
      <c r="E32" s="104">
        <f t="shared" si="2"/>
        <v>40.761026048095502</v>
      </c>
      <c r="F32" s="128">
        <f t="shared" si="3"/>
        <v>2.1299257319104155</v>
      </c>
      <c r="G32" s="106"/>
      <c r="H32" s="107">
        <f t="shared" si="4"/>
        <v>1.4813606171217419</v>
      </c>
      <c r="I32" s="103">
        <f>'[1]сентябрь 20'!AE31</f>
        <v>0</v>
      </c>
      <c r="J32" s="103">
        <f>'[1]ноябрь 20'!AA31</f>
        <v>9.3970000000000002</v>
      </c>
      <c r="K32" s="106">
        <v>15.13</v>
      </c>
      <c r="L32" s="103">
        <f>'[1]ноябрь 20'!AI31</f>
        <v>151.29499999999999</v>
      </c>
      <c r="M32" s="103">
        <f t="shared" si="5"/>
        <v>0.64856511478867351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'[1]ноябрь 20'!S31</f>
        <v>304.28100000000001</v>
      </c>
      <c r="S32" s="108">
        <f t="shared" si="6"/>
        <v>2.8266635116882322</v>
      </c>
      <c r="T32" s="109">
        <f t="shared" si="7"/>
        <v>295.67999999999989</v>
      </c>
      <c r="U32" s="106">
        <v>9.7200000000000006</v>
      </c>
      <c r="V32" s="109">
        <f t="shared" si="8"/>
        <v>295.67999999999995</v>
      </c>
      <c r="W32" s="110">
        <f t="shared" si="9"/>
        <v>1.2675087289118274</v>
      </c>
      <c r="X32" s="110">
        <f t="shared" si="26"/>
        <v>1.2675087289118274</v>
      </c>
      <c r="Y32" s="136">
        <v>51.03</v>
      </c>
      <c r="Z32" s="136">
        <v>233.28</v>
      </c>
      <c r="AA32" s="131">
        <v>0.51</v>
      </c>
      <c r="AB32" s="133">
        <v>675</v>
      </c>
      <c r="AC32" s="133">
        <v>1236</v>
      </c>
      <c r="AD32" s="144" t="s">
        <v>222</v>
      </c>
      <c r="AE32" s="131">
        <v>74.84</v>
      </c>
      <c r="AF32" s="133">
        <v>168</v>
      </c>
      <c r="AG32" s="134">
        <v>5</v>
      </c>
      <c r="AH32" s="131">
        <v>6.4</v>
      </c>
      <c r="AI32" s="115">
        <f t="shared" si="10"/>
        <v>27.43525387255039</v>
      </c>
      <c r="AJ32" s="131">
        <v>123.75</v>
      </c>
      <c r="AK32" s="115">
        <f t="shared" si="11"/>
        <v>530.48635417626735</v>
      </c>
      <c r="AL32" s="139">
        <v>34.619999999999997</v>
      </c>
      <c r="AM32" s="131"/>
      <c r="AN32" s="136">
        <v>15.59</v>
      </c>
      <c r="AO32" s="466">
        <f t="shared" si="27"/>
        <v>57.503499999999995</v>
      </c>
      <c r="AP32" s="110">
        <f t="shared" si="12"/>
        <v>0.19</v>
      </c>
      <c r="AQ32" s="137" t="s">
        <v>442</v>
      </c>
      <c r="AR32" s="150">
        <v>7.53</v>
      </c>
      <c r="AS32" s="138">
        <v>8.7899999999999991</v>
      </c>
      <c r="AT32" s="134"/>
      <c r="AU32" s="131">
        <v>7.58</v>
      </c>
      <c r="AV32" s="139">
        <v>302.64999999999998</v>
      </c>
      <c r="AW32" s="131">
        <v>3.72</v>
      </c>
      <c r="AX32" s="148"/>
      <c r="AY32" s="131"/>
      <c r="AZ32" s="109">
        <f t="shared" si="34"/>
        <v>0</v>
      </c>
      <c r="BA32" s="109">
        <f t="shared" si="13"/>
        <v>233.27649999999997</v>
      </c>
      <c r="BB32" s="115">
        <f t="shared" si="28"/>
        <v>236.24412849891533</v>
      </c>
      <c r="BC32" s="140">
        <f t="shared" si="14"/>
        <v>7.266390845070422</v>
      </c>
      <c r="BD32" s="141">
        <f t="shared" si="36"/>
        <v>9.331059999999999</v>
      </c>
      <c r="BE32" s="128">
        <f t="shared" si="16"/>
        <v>0.8620336335721247</v>
      </c>
      <c r="BF32" s="141">
        <f t="shared" si="17"/>
        <v>16.597450845070419</v>
      </c>
      <c r="BG32" s="535">
        <v>0.90300000000000002</v>
      </c>
      <c r="BH32" s="16">
        <f t="shared" si="29"/>
        <v>5815.3104999999987</v>
      </c>
      <c r="BI32" s="16">
        <f t="shared" si="18"/>
        <v>222.33333333333334</v>
      </c>
      <c r="BJ32" s="16">
        <f t="shared" si="30"/>
        <v>5780.6666666666652</v>
      </c>
      <c r="BK32" s="17">
        <f>IF(BA32&lt;&gt;0,1,0)</f>
        <v>1</v>
      </c>
      <c r="BL32" s="16">
        <f t="shared" si="31"/>
        <v>5780.6666666666652</v>
      </c>
      <c r="BM32" s="254"/>
      <c r="BN32" s="197">
        <v>50.345999999999997</v>
      </c>
      <c r="BO32" s="197">
        <v>100.949</v>
      </c>
      <c r="BP32" s="197">
        <v>352.61900000000003</v>
      </c>
      <c r="BQ32" s="230"/>
      <c r="BR32" s="230"/>
      <c r="BS32" s="258"/>
      <c r="BT32" s="199"/>
      <c r="BU32" s="200"/>
      <c r="BV32" s="200"/>
      <c r="BW32" s="200"/>
      <c r="BX32" s="200">
        <v>2</v>
      </c>
      <c r="BY32" s="208"/>
      <c r="BZ32" s="208"/>
      <c r="CA32" s="201"/>
      <c r="CB32" s="202"/>
      <c r="CC32" s="200">
        <v>43.57</v>
      </c>
      <c r="CD32" s="200">
        <v>43.73</v>
      </c>
      <c r="CE32" s="200">
        <v>39.51</v>
      </c>
      <c r="CF32" s="208"/>
      <c r="CG32" s="208"/>
      <c r="CH32" s="209"/>
      <c r="CI32" s="199"/>
      <c r="CJ32" s="197"/>
      <c r="CK32" s="197"/>
      <c r="CL32" s="230">
        <v>144.47999999999999</v>
      </c>
      <c r="CM32" s="198">
        <v>151.19999999999999</v>
      </c>
      <c r="CN32" s="202"/>
      <c r="CO32" s="208"/>
      <c r="CP32" s="208"/>
      <c r="CQ32" s="201"/>
      <c r="CR32" s="201"/>
      <c r="CS32" s="284"/>
      <c r="CT32" s="286">
        <f t="shared" si="20"/>
        <v>0</v>
      </c>
      <c r="CU32" s="24">
        <f t="shared" si="20"/>
        <v>50.345999999999997</v>
      </c>
      <c r="CV32" s="25">
        <f t="shared" si="20"/>
        <v>100.949</v>
      </c>
      <c r="CW32" s="24">
        <f t="shared" si="20"/>
        <v>345.56662</v>
      </c>
      <c r="CX32" s="27">
        <f t="shared" si="20"/>
        <v>0</v>
      </c>
      <c r="CY32" s="24">
        <f t="shared" si="20"/>
        <v>0</v>
      </c>
      <c r="CZ32" s="280">
        <f t="shared" si="20"/>
        <v>0</v>
      </c>
      <c r="DA32" s="25">
        <f t="shared" si="21"/>
        <v>0</v>
      </c>
      <c r="DB32" s="24">
        <f t="shared" si="21"/>
        <v>0</v>
      </c>
      <c r="DC32" s="277">
        <f t="shared" si="21"/>
        <v>144.47999999999999</v>
      </c>
      <c r="DD32" s="280">
        <f t="shared" si="21"/>
        <v>151.19999999999999</v>
      </c>
      <c r="DE32" s="508">
        <f t="shared" si="32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3"/>
        <v>0</v>
      </c>
    </row>
    <row r="33" spans="1:115" ht="16.5" customHeight="1" thickBot="1">
      <c r="A33" s="534">
        <v>27</v>
      </c>
      <c r="B33" s="103">
        <f>'[1]ноябрь 20'!K32</f>
        <v>515.86699999999996</v>
      </c>
      <c r="C33" s="104">
        <f t="shared" si="0"/>
        <v>1.430421193834845</v>
      </c>
      <c r="D33" s="143">
        <f t="shared" si="1"/>
        <v>508.48792909999997</v>
      </c>
      <c r="E33" s="104">
        <f t="shared" si="2"/>
        <v>40.211739072280267</v>
      </c>
      <c r="F33" s="128">
        <f t="shared" si="3"/>
        <v>2.0485785673710288</v>
      </c>
      <c r="G33" s="106"/>
      <c r="H33" s="107">
        <f t="shared" si="4"/>
        <v>1.3792072562093347</v>
      </c>
      <c r="I33" s="103">
        <f>'[1]сентябрь 20'!AE32</f>
        <v>0</v>
      </c>
      <c r="J33" s="103">
        <f>'[1]ноябрь 20'!AA32</f>
        <v>10.135999999999999</v>
      </c>
      <c r="K33" s="106">
        <v>36.68</v>
      </c>
      <c r="L33" s="103">
        <f>'[1]ноябрь 20'!AI32</f>
        <v>166.148</v>
      </c>
      <c r="M33" s="103">
        <f t="shared" si="5"/>
        <v>0.66937131116169446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'[1]ноябрь 20'!S32</f>
        <v>310.23700000000002</v>
      </c>
      <c r="S33" s="108">
        <f t="shared" si="6"/>
        <v>2.9097109629090179</v>
      </c>
      <c r="T33" s="109">
        <f t="shared" si="7"/>
        <v>301.20999999999998</v>
      </c>
      <c r="U33" s="106">
        <v>48.03</v>
      </c>
      <c r="V33" s="109">
        <f t="shared" si="8"/>
        <v>301.20999999999998</v>
      </c>
      <c r="W33" s="110">
        <f t="shared" si="9"/>
        <v>1.2135044215700097</v>
      </c>
      <c r="X33" s="110">
        <f t="shared" si="26"/>
        <v>1.2135044215700097</v>
      </c>
      <c r="Y33" s="136">
        <v>158.76</v>
      </c>
      <c r="Z33" s="136">
        <v>151.16999999999999</v>
      </c>
      <c r="AA33" s="131">
        <v>0.71</v>
      </c>
      <c r="AB33" s="133">
        <v>660</v>
      </c>
      <c r="AC33" s="133">
        <v>1242</v>
      </c>
      <c r="AD33" s="144" t="s">
        <v>200</v>
      </c>
      <c r="AE33" s="131">
        <v>74.95</v>
      </c>
      <c r="AF33" s="133">
        <v>172</v>
      </c>
      <c r="AG33" s="134">
        <v>5</v>
      </c>
      <c r="AH33" s="131">
        <v>7.35</v>
      </c>
      <c r="AI33" s="115">
        <f t="shared" si="10"/>
        <v>29.611425578631426</v>
      </c>
      <c r="AJ33" s="131">
        <v>132.65</v>
      </c>
      <c r="AK33" s="115">
        <f t="shared" si="11"/>
        <v>534.41572830006248</v>
      </c>
      <c r="AL33" s="139">
        <v>38.369999999999997</v>
      </c>
      <c r="AM33" s="131"/>
      <c r="AN33" s="136">
        <v>16.25</v>
      </c>
      <c r="AO33" s="466">
        <f t="shared" si="27"/>
        <v>60.704999999999998</v>
      </c>
      <c r="AP33" s="110">
        <f t="shared" si="12"/>
        <v>0.19</v>
      </c>
      <c r="AQ33" s="137" t="s">
        <v>493</v>
      </c>
      <c r="AR33" s="150">
        <v>7.28</v>
      </c>
      <c r="AS33" s="138">
        <v>9.43</v>
      </c>
      <c r="AT33" s="134"/>
      <c r="AU33" s="131">
        <v>8.85</v>
      </c>
      <c r="AV33" s="139">
        <v>319.5</v>
      </c>
      <c r="AW33" s="131">
        <v>5.67</v>
      </c>
      <c r="AX33" s="116"/>
      <c r="AY33" s="131"/>
      <c r="AZ33" s="109">
        <f t="shared" si="34"/>
        <v>0</v>
      </c>
      <c r="BA33" s="109">
        <f t="shared" si="13"/>
        <v>248.215</v>
      </c>
      <c r="BB33" s="115">
        <f t="shared" si="28"/>
        <v>238.1639969009197</v>
      </c>
      <c r="BC33" s="140">
        <f t="shared" si="14"/>
        <v>9.093998239436619</v>
      </c>
      <c r="BD33" s="141">
        <f t="shared" si="36"/>
        <v>9.9286000000000012</v>
      </c>
      <c r="BE33" s="128">
        <f t="shared" si="16"/>
        <v>0.909842368366649</v>
      </c>
      <c r="BF33" s="141">
        <f t="shared" si="17"/>
        <v>19.022598239436618</v>
      </c>
      <c r="BG33" s="535">
        <v>0.90300000000000002</v>
      </c>
      <c r="BH33" s="16">
        <f t="shared" si="29"/>
        <v>6063.5254999999988</v>
      </c>
      <c r="BI33" s="16">
        <f t="shared" si="18"/>
        <v>222.33333333333334</v>
      </c>
      <c r="BJ33" s="16">
        <f t="shared" si="30"/>
        <v>6002.9999999999982</v>
      </c>
      <c r="BK33" s="17">
        <f t="shared" si="19"/>
        <v>1</v>
      </c>
      <c r="BL33" s="16">
        <f t="shared" si="31"/>
        <v>6002.9999999999982</v>
      </c>
      <c r="BM33" s="254"/>
      <c r="BN33" s="197">
        <v>63.018000000000001</v>
      </c>
      <c r="BO33" s="197">
        <v>103.13</v>
      </c>
      <c r="BP33" s="197">
        <v>349.71899999999999</v>
      </c>
      <c r="BQ33" s="230"/>
      <c r="BR33" s="230"/>
      <c r="BS33" s="258"/>
      <c r="BT33" s="199"/>
      <c r="BU33" s="200"/>
      <c r="BV33" s="200"/>
      <c r="BW33" s="200"/>
      <c r="BX33" s="200">
        <v>2.11</v>
      </c>
      <c r="BY33" s="208"/>
      <c r="BZ33" s="208"/>
      <c r="CA33" s="201"/>
      <c r="CB33" s="202"/>
      <c r="CC33" s="200">
        <v>43.89</v>
      </c>
      <c r="CD33" s="200">
        <v>44.04</v>
      </c>
      <c r="CE33" s="200">
        <v>38.42</v>
      </c>
      <c r="CF33" s="208"/>
      <c r="CG33" s="208"/>
      <c r="CH33" s="209"/>
      <c r="CI33" s="199"/>
      <c r="CJ33" s="197"/>
      <c r="CK33" s="197"/>
      <c r="CL33" s="230">
        <v>147.91999999999999</v>
      </c>
      <c r="CM33" s="198">
        <v>153.29</v>
      </c>
      <c r="CN33" s="202"/>
      <c r="CO33" s="208"/>
      <c r="CP33" s="208"/>
      <c r="CQ33" s="209"/>
      <c r="CR33" s="201"/>
      <c r="CS33" s="284"/>
      <c r="CT33" s="286">
        <f t="shared" si="20"/>
        <v>0</v>
      </c>
      <c r="CU33" s="24">
        <f t="shared" si="20"/>
        <v>63.018000000000001</v>
      </c>
      <c r="CV33" s="25">
        <f t="shared" si="20"/>
        <v>103.13</v>
      </c>
      <c r="CW33" s="24">
        <f t="shared" si="20"/>
        <v>342.33992910000001</v>
      </c>
      <c r="CX33" s="27">
        <f t="shared" si="20"/>
        <v>0</v>
      </c>
      <c r="CY33" s="24">
        <f t="shared" si="20"/>
        <v>0</v>
      </c>
      <c r="CZ33" s="280">
        <f t="shared" si="20"/>
        <v>0</v>
      </c>
      <c r="DA33" s="25">
        <f t="shared" si="21"/>
        <v>0</v>
      </c>
      <c r="DB33" s="24">
        <f t="shared" si="21"/>
        <v>0</v>
      </c>
      <c r="DC33" s="277">
        <f t="shared" si="21"/>
        <v>147.91999999999999</v>
      </c>
      <c r="DD33" s="280">
        <f t="shared" si="21"/>
        <v>153.29</v>
      </c>
      <c r="DE33" s="508">
        <f t="shared" si="32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3"/>
        <v>0</v>
      </c>
    </row>
    <row r="34" spans="1:115" ht="16.5" customHeight="1" thickBot="1">
      <c r="A34" s="534">
        <v>28</v>
      </c>
      <c r="B34" s="103">
        <f>'[1]ноябрь 20'!K33</f>
        <v>507.17200000000003</v>
      </c>
      <c r="C34" s="104">
        <f t="shared" si="0"/>
        <v>0.75631460332983691</v>
      </c>
      <c r="D34" s="143">
        <f t="shared" si="1"/>
        <v>503.33618409999997</v>
      </c>
      <c r="E34" s="104">
        <f t="shared" si="2"/>
        <v>40.448187360500974</v>
      </c>
      <c r="F34" s="128">
        <f t="shared" si="3"/>
        <v>2.0724297073567404</v>
      </c>
      <c r="G34" s="106"/>
      <c r="H34" s="107">
        <f t="shared" si="4"/>
        <v>1.4070476653388095</v>
      </c>
      <c r="I34" s="103">
        <f>'[1]сентябрь 20'!AE33</f>
        <v>0</v>
      </c>
      <c r="J34" s="103">
        <f>'[1]ноябрь 20'!AA33</f>
        <v>10.106</v>
      </c>
      <c r="K34" s="106">
        <v>32.549999999999997</v>
      </c>
      <c r="L34" s="103">
        <f>'[1]ноябрь 20'!AI33</f>
        <v>161.60300000000001</v>
      </c>
      <c r="M34" s="103">
        <f t="shared" si="5"/>
        <v>0.66538204201793127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'[1]ноябрь 20'!S33</f>
        <v>305.34100000000001</v>
      </c>
      <c r="S34" s="108">
        <f t="shared" si="6"/>
        <v>3.1410783353693073</v>
      </c>
      <c r="T34" s="109">
        <f t="shared" si="7"/>
        <v>295.75000000000006</v>
      </c>
      <c r="U34" s="106">
        <v>9.0399999999999991</v>
      </c>
      <c r="V34" s="109">
        <f t="shared" si="8"/>
        <v>295.75</v>
      </c>
      <c r="W34" s="110">
        <f t="shared" si="9"/>
        <v>1.2177171149471433</v>
      </c>
      <c r="X34" s="110">
        <f t="shared" si="26"/>
        <v>1.2177171149471433</v>
      </c>
      <c r="Y34" s="157"/>
      <c r="Z34" s="157">
        <v>242.87</v>
      </c>
      <c r="AA34" s="149">
        <v>0.48</v>
      </c>
      <c r="AB34" s="147">
        <v>666</v>
      </c>
      <c r="AC34" s="147">
        <v>1235</v>
      </c>
      <c r="AD34" s="144" t="s">
        <v>200</v>
      </c>
      <c r="AE34" s="149">
        <v>74.5</v>
      </c>
      <c r="AF34" s="147">
        <v>169</v>
      </c>
      <c r="AG34" s="155">
        <v>5</v>
      </c>
      <c r="AH34" s="149">
        <v>4.3499999999999996</v>
      </c>
      <c r="AI34" s="115">
        <f t="shared" si="10"/>
        <v>17.910632121792297</v>
      </c>
      <c r="AJ34" s="149">
        <v>135.05000000000001</v>
      </c>
      <c r="AK34" s="115">
        <f t="shared" si="11"/>
        <v>556.05307311449428</v>
      </c>
      <c r="AL34" s="156">
        <v>35.299999999999997</v>
      </c>
      <c r="AM34" s="149"/>
      <c r="AN34" s="157">
        <v>16.38</v>
      </c>
      <c r="AO34" s="466">
        <f t="shared" si="27"/>
        <v>59.707500000000003</v>
      </c>
      <c r="AP34" s="110">
        <f t="shared" si="12"/>
        <v>0.19</v>
      </c>
      <c r="AQ34" s="158" t="s">
        <v>347</v>
      </c>
      <c r="AR34" s="404">
        <v>7.4</v>
      </c>
      <c r="AS34" s="159">
        <v>8.67</v>
      </c>
      <c r="AT34" s="155"/>
      <c r="AU34" s="149">
        <v>7.28</v>
      </c>
      <c r="AV34" s="156">
        <v>314.25</v>
      </c>
      <c r="AW34" s="131">
        <v>4.71</v>
      </c>
      <c r="AX34" s="148"/>
      <c r="AY34" s="149"/>
      <c r="AZ34" s="109">
        <f t="shared" si="34"/>
        <v>0</v>
      </c>
      <c r="BA34" s="109">
        <f t="shared" si="13"/>
        <v>242.8725</v>
      </c>
      <c r="BB34" s="115">
        <f t="shared" si="28"/>
        <v>238.56964660754721</v>
      </c>
      <c r="BC34" s="140">
        <f t="shared" si="14"/>
        <v>7.6160591549295775</v>
      </c>
      <c r="BD34" s="141">
        <f t="shared" si="36"/>
        <v>9.7149000000000001</v>
      </c>
      <c r="BE34" s="128">
        <f t="shared" si="16"/>
        <v>0.88874546915346131</v>
      </c>
      <c r="BF34" s="141">
        <f t="shared" si="17"/>
        <v>17.330959154929577</v>
      </c>
      <c r="BG34" s="538">
        <v>0.90300000000000002</v>
      </c>
      <c r="BH34" s="16">
        <f t="shared" si="29"/>
        <v>6306.3979999999992</v>
      </c>
      <c r="BI34" s="16">
        <f t="shared" si="18"/>
        <v>222.33333333333334</v>
      </c>
      <c r="BJ34" s="16">
        <f t="shared" si="30"/>
        <v>6225.3333333333312</v>
      </c>
      <c r="BK34" s="17">
        <f t="shared" si="19"/>
        <v>1</v>
      </c>
      <c r="BL34" s="16">
        <f t="shared" si="31"/>
        <v>6225.3333333333312</v>
      </c>
      <c r="BM34" s="255"/>
      <c r="BN34" s="210">
        <v>60.222000000000001</v>
      </c>
      <c r="BO34" s="210">
        <v>101.381</v>
      </c>
      <c r="BP34" s="210">
        <v>345.56900000000002</v>
      </c>
      <c r="BQ34" s="233"/>
      <c r="BR34" s="233"/>
      <c r="BS34" s="260"/>
      <c r="BT34" s="212"/>
      <c r="BU34" s="213"/>
      <c r="BV34" s="213"/>
      <c r="BW34" s="213"/>
      <c r="BX34" s="213">
        <v>1.1100000000000001</v>
      </c>
      <c r="BY34" s="235"/>
      <c r="BZ34" s="235"/>
      <c r="CA34" s="214"/>
      <c r="CB34" s="215"/>
      <c r="CC34" s="213">
        <v>43.73</v>
      </c>
      <c r="CD34" s="213">
        <v>43.81</v>
      </c>
      <c r="CE34" s="213">
        <v>38.89</v>
      </c>
      <c r="CF34" s="235"/>
      <c r="CG34" s="235"/>
      <c r="CH34" s="211"/>
      <c r="CI34" s="212"/>
      <c r="CJ34" s="210"/>
      <c r="CK34" s="210"/>
      <c r="CL34" s="233">
        <v>145.34</v>
      </c>
      <c r="CM34" s="198">
        <v>150.41</v>
      </c>
      <c r="CN34" s="202"/>
      <c r="CO34" s="208"/>
      <c r="CP34" s="208"/>
      <c r="CQ34" s="209"/>
      <c r="CR34" s="201"/>
      <c r="CS34" s="284"/>
      <c r="CT34" s="286">
        <f t="shared" si="20"/>
        <v>0</v>
      </c>
      <c r="CU34" s="24">
        <f t="shared" si="20"/>
        <v>60.222000000000001</v>
      </c>
      <c r="CV34" s="25">
        <f t="shared" si="20"/>
        <v>101.381</v>
      </c>
      <c r="CW34" s="24">
        <f t="shared" si="20"/>
        <v>341.73318410000002</v>
      </c>
      <c r="CX34" s="27">
        <f t="shared" si="20"/>
        <v>0</v>
      </c>
      <c r="CY34" s="24">
        <f t="shared" si="20"/>
        <v>0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145.34</v>
      </c>
      <c r="DD34" s="280">
        <f t="shared" si="21"/>
        <v>150.41</v>
      </c>
      <c r="DE34" s="508">
        <f t="shared" si="32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3"/>
        <v>0</v>
      </c>
    </row>
    <row r="35" spans="1:115" ht="16.5" customHeight="1" thickBot="1">
      <c r="A35" s="534">
        <v>29</v>
      </c>
      <c r="B35" s="103">
        <f>'[1]ноябрь 20'!K34</f>
        <v>563.92499999999995</v>
      </c>
      <c r="C35" s="104">
        <f t="shared" si="0"/>
        <v>1.1533772044154809</v>
      </c>
      <c r="D35" s="143">
        <f t="shared" si="1"/>
        <v>557.42081759999996</v>
      </c>
      <c r="E35" s="104">
        <f t="shared" si="2"/>
        <v>40.78260798865098</v>
      </c>
      <c r="F35" s="128">
        <f t="shared" si="3"/>
        <v>2.1668363489354752</v>
      </c>
      <c r="G35" s="106"/>
      <c r="H35" s="107">
        <f t="shared" si="4"/>
        <v>1.4886932124656462</v>
      </c>
      <c r="I35" s="103">
        <f>'[1]сентябрь 20'!AE34</f>
        <v>0</v>
      </c>
      <c r="J35" s="103">
        <f>'[1]ноябрь 20'!AA34</f>
        <v>12.314</v>
      </c>
      <c r="K35" s="106">
        <v>24.85</v>
      </c>
      <c r="L35" s="103">
        <f>'[1]ноябрь 20'!AI34</f>
        <v>174.453</v>
      </c>
      <c r="M35" s="103">
        <f t="shared" si="5"/>
        <v>0.67814313646982904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'[1]ноябрь 20'!S34</f>
        <v>341.39299999999997</v>
      </c>
      <c r="S35" s="108">
        <f t="shared" si="6"/>
        <v>3.0325753603618</v>
      </c>
      <c r="T35" s="109">
        <f t="shared" si="7"/>
        <v>331.04</v>
      </c>
      <c r="U35" s="106"/>
      <c r="V35" s="109">
        <f t="shared" si="8"/>
        <v>331.04</v>
      </c>
      <c r="W35" s="110">
        <f t="shared" si="9"/>
        <v>1.2868365915001301</v>
      </c>
      <c r="X35" s="110">
        <f t="shared" si="26"/>
        <v>1.2868365915001301</v>
      </c>
      <c r="Y35" s="136">
        <v>159.63999999999999</v>
      </c>
      <c r="Z35" s="136">
        <v>199.61</v>
      </c>
      <c r="AA35" s="131">
        <v>0.69</v>
      </c>
      <c r="AB35" s="133">
        <v>618</v>
      </c>
      <c r="AC35" s="133">
        <v>1225</v>
      </c>
      <c r="AD35" s="144" t="s">
        <v>176</v>
      </c>
      <c r="AE35" s="131">
        <v>75.040000000000006</v>
      </c>
      <c r="AF35" s="133">
        <v>188</v>
      </c>
      <c r="AG35" s="134">
        <v>5</v>
      </c>
      <c r="AH35" s="166">
        <v>7.85</v>
      </c>
      <c r="AI35" s="115">
        <f t="shared" si="10"/>
        <v>30.514944548320507</v>
      </c>
      <c r="AJ35" s="166">
        <v>150.19999999999999</v>
      </c>
      <c r="AK35" s="115">
        <f t="shared" si="11"/>
        <v>583.8655632048077</v>
      </c>
      <c r="AL35" s="139">
        <v>37.380000000000003</v>
      </c>
      <c r="AM35" s="131"/>
      <c r="AN35" s="167">
        <v>13.41</v>
      </c>
      <c r="AO35" s="466">
        <f t="shared" si="27"/>
        <v>62.529000000000003</v>
      </c>
      <c r="AP35" s="110">
        <f t="shared" si="12"/>
        <v>0.19</v>
      </c>
      <c r="AQ35" s="168" t="s">
        <v>315</v>
      </c>
      <c r="AR35" s="405">
        <v>6.75</v>
      </c>
      <c r="AS35" s="169">
        <v>7.97</v>
      </c>
      <c r="AT35" s="170"/>
      <c r="AU35" s="166">
        <v>8.4700000000000006</v>
      </c>
      <c r="AV35" s="171">
        <v>329.1</v>
      </c>
      <c r="AW35" s="131">
        <v>4.09</v>
      </c>
      <c r="AX35" s="116"/>
      <c r="AY35" s="131"/>
      <c r="AZ35" s="109">
        <f t="shared" si="34"/>
        <v>0</v>
      </c>
      <c r="BA35" s="109">
        <f t="shared" si="13"/>
        <v>257.25100000000003</v>
      </c>
      <c r="BB35" s="115">
        <f t="shared" si="28"/>
        <v>264.47193767863223</v>
      </c>
      <c r="BC35" s="140">
        <f t="shared" si="14"/>
        <v>9.8550239436619709</v>
      </c>
      <c r="BD35" s="141">
        <f t="shared" si="36"/>
        <v>10.290040000000001</v>
      </c>
      <c r="BE35" s="128">
        <f t="shared" si="16"/>
        <v>0.84916428174279124</v>
      </c>
      <c r="BF35" s="141">
        <f t="shared" si="17"/>
        <v>20.145063943661974</v>
      </c>
      <c r="BG35" s="538">
        <v>0.9</v>
      </c>
      <c r="BH35" s="16">
        <f t="shared" si="29"/>
        <v>6563.6489999999994</v>
      </c>
      <c r="BI35" s="16">
        <f t="shared" si="18"/>
        <v>222.33333333333334</v>
      </c>
      <c r="BJ35" s="16">
        <f t="shared" si="30"/>
        <v>6447.6666666666642</v>
      </c>
      <c r="BK35" s="17">
        <f t="shared" si="19"/>
        <v>1</v>
      </c>
      <c r="BL35" s="16">
        <f t="shared" si="31"/>
        <v>6447.6666666666642</v>
      </c>
      <c r="BM35" s="254"/>
      <c r="BN35" s="197">
        <v>61.720999999999997</v>
      </c>
      <c r="BO35" s="197">
        <v>112.732</v>
      </c>
      <c r="BP35" s="197">
        <v>389.47199999999998</v>
      </c>
      <c r="BQ35" s="230"/>
      <c r="BR35" s="230"/>
      <c r="BS35" s="259"/>
      <c r="BT35" s="199"/>
      <c r="BU35" s="200"/>
      <c r="BV35" s="200"/>
      <c r="BW35" s="200"/>
      <c r="BX35" s="200">
        <v>1.67</v>
      </c>
      <c r="BY35" s="208"/>
      <c r="BZ35" s="208"/>
      <c r="CA35" s="201"/>
      <c r="CB35" s="202"/>
      <c r="CC35" s="200">
        <v>43.81</v>
      </c>
      <c r="CD35" s="200">
        <v>44.04</v>
      </c>
      <c r="CE35" s="200">
        <v>39.36</v>
      </c>
      <c r="CF35" s="208"/>
      <c r="CG35" s="208"/>
      <c r="CH35" s="209"/>
      <c r="CI35" s="199"/>
      <c r="CJ35" s="197"/>
      <c r="CK35" s="197"/>
      <c r="CL35" s="230">
        <v>161.68</v>
      </c>
      <c r="CM35" s="198">
        <v>169.36</v>
      </c>
      <c r="CN35" s="202"/>
      <c r="CO35" s="208"/>
      <c r="CP35" s="208"/>
      <c r="CQ35" s="209"/>
      <c r="CR35" s="201"/>
      <c r="CS35" s="284"/>
      <c r="CT35" s="286">
        <f t="shared" si="20"/>
        <v>0</v>
      </c>
      <c r="CU35" s="24">
        <f t="shared" si="20"/>
        <v>61.720999999999997</v>
      </c>
      <c r="CV35" s="24">
        <f t="shared" si="20"/>
        <v>112.732</v>
      </c>
      <c r="CW35" s="24">
        <f t="shared" si="20"/>
        <v>382.96781759999999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161.68</v>
      </c>
      <c r="DD35" s="280">
        <f t="shared" si="21"/>
        <v>169.36</v>
      </c>
      <c r="DE35" s="508">
        <f t="shared" si="32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3"/>
        <v>0</v>
      </c>
    </row>
    <row r="36" spans="1:115" ht="16.5" customHeight="1" thickBot="1">
      <c r="A36" s="534">
        <v>30</v>
      </c>
      <c r="B36" s="103">
        <f>'[1]ноябрь 20'!K35</f>
        <v>507.077</v>
      </c>
      <c r="C36" s="104">
        <f t="shared" si="0"/>
        <v>0.92584802702548141</v>
      </c>
      <c r="D36" s="143">
        <f t="shared" si="1"/>
        <v>502.3822376</v>
      </c>
      <c r="E36" s="104">
        <f t="shared" si="2"/>
        <v>40.137751919333752</v>
      </c>
      <c r="F36" s="128">
        <f t="shared" si="3"/>
        <v>2.3755543673160582</v>
      </c>
      <c r="G36" s="106"/>
      <c r="H36" s="107">
        <f t="shared" si="4"/>
        <v>1.7826425080385853</v>
      </c>
      <c r="I36" s="103">
        <f>'[1]сентябрь 20'!AE35</f>
        <v>0</v>
      </c>
      <c r="J36" s="103">
        <f>'[1]ноябрь 20'!AA35</f>
        <v>12.753</v>
      </c>
      <c r="K36" s="106">
        <v>53.29</v>
      </c>
      <c r="L36" s="103">
        <f>'[1]ноябрь 20'!AI35</f>
        <v>125.389</v>
      </c>
      <c r="M36" s="103">
        <f t="shared" si="5"/>
        <v>0.59291185927747303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'[1]ноябрь 20'!S35</f>
        <v>308.44600000000003</v>
      </c>
      <c r="S36" s="108">
        <f t="shared" si="6"/>
        <v>3.1532261724904864</v>
      </c>
      <c r="T36" s="109">
        <f t="shared" si="7"/>
        <v>298.72000000000003</v>
      </c>
      <c r="U36" s="106">
        <v>31.07</v>
      </c>
      <c r="V36" s="109">
        <f t="shared" si="8"/>
        <v>298.72000000000003</v>
      </c>
      <c r="W36" s="110">
        <f t="shared" si="9"/>
        <v>1.4125212786079064</v>
      </c>
      <c r="X36" s="110">
        <f t="shared" si="26"/>
        <v>1.4125212786079064</v>
      </c>
      <c r="Y36" s="136">
        <v>81.98</v>
      </c>
      <c r="Z36" s="136">
        <v>168.24</v>
      </c>
      <c r="AA36" s="131">
        <v>0.7</v>
      </c>
      <c r="AB36" s="133">
        <v>623</v>
      </c>
      <c r="AC36" s="133">
        <v>1224</v>
      </c>
      <c r="AD36" s="144" t="s">
        <v>109</v>
      </c>
      <c r="AE36" s="131">
        <v>74.89</v>
      </c>
      <c r="AF36" s="133">
        <v>169</v>
      </c>
      <c r="AG36" s="134">
        <v>5</v>
      </c>
      <c r="AH36" s="131">
        <v>6.5</v>
      </c>
      <c r="AI36" s="115">
        <f t="shared" si="10"/>
        <v>30.735766975600534</v>
      </c>
      <c r="AJ36" s="131">
        <v>129.9</v>
      </c>
      <c r="AK36" s="115">
        <f t="shared" si="11"/>
        <v>614.24248155853991</v>
      </c>
      <c r="AL36" s="139">
        <v>35.54</v>
      </c>
      <c r="AM36" s="131"/>
      <c r="AN36" s="136">
        <v>17.55</v>
      </c>
      <c r="AO36" s="466">
        <v>78.22</v>
      </c>
      <c r="AP36" s="110">
        <f t="shared" si="12"/>
        <v>0.25458096013018716</v>
      </c>
      <c r="AQ36" s="137" t="s">
        <v>494</v>
      </c>
      <c r="AR36" s="150">
        <v>7.34</v>
      </c>
      <c r="AS36" s="138">
        <v>8.8000000000000007</v>
      </c>
      <c r="AT36" s="134"/>
      <c r="AU36" s="131">
        <v>7.56</v>
      </c>
      <c r="AV36" s="139">
        <v>307.25</v>
      </c>
      <c r="AW36" s="131"/>
      <c r="AX36" s="116"/>
      <c r="AY36" s="131"/>
      <c r="AZ36" s="109">
        <f t="shared" si="34"/>
        <v>0</v>
      </c>
      <c r="BA36" s="109">
        <f t="shared" si="13"/>
        <v>211.48</v>
      </c>
      <c r="BB36" s="115">
        <f t="shared" si="28"/>
        <v>235.05945962801545</v>
      </c>
      <c r="BC36" s="140">
        <f t="shared" si="14"/>
        <v>7.6073830985915487</v>
      </c>
      <c r="BD36" s="141">
        <f t="shared" si="36"/>
        <v>8.4591999999999992</v>
      </c>
      <c r="BE36" s="128">
        <f t="shared" si="16"/>
        <v>0.78542697363538028</v>
      </c>
      <c r="BF36" s="141">
        <f t="shared" si="17"/>
        <v>16.066583098591547</v>
      </c>
      <c r="BG36" s="538">
        <v>0.89600000000000002</v>
      </c>
      <c r="BH36" s="16">
        <f t="shared" si="29"/>
        <v>6775.128999999999</v>
      </c>
      <c r="BI36" s="16">
        <f t="shared" si="18"/>
        <v>222.33333333333334</v>
      </c>
      <c r="BJ36" s="16">
        <f t="shared" si="30"/>
        <v>6669.9999999999973</v>
      </c>
      <c r="BK36" s="17">
        <f t="shared" si="19"/>
        <v>1</v>
      </c>
      <c r="BL36" s="16">
        <f t="shared" si="31"/>
        <v>6669.9999999999973</v>
      </c>
      <c r="BM36" s="254">
        <v>39.664000000000001</v>
      </c>
      <c r="BN36" s="197">
        <v>24.003</v>
      </c>
      <c r="BO36" s="197">
        <v>101.386</v>
      </c>
      <c r="BP36" s="197">
        <v>342.024</v>
      </c>
      <c r="BQ36" s="230"/>
      <c r="BR36" s="230"/>
      <c r="BS36" s="258"/>
      <c r="BT36" s="199"/>
      <c r="BU36" s="200">
        <v>1.23</v>
      </c>
      <c r="BV36" s="200"/>
      <c r="BW36" s="200"/>
      <c r="BX36" s="200">
        <v>1.23</v>
      </c>
      <c r="BY36" s="208"/>
      <c r="BZ36" s="208"/>
      <c r="CA36" s="201"/>
      <c r="CB36" s="202">
        <v>39.04</v>
      </c>
      <c r="CC36" s="200">
        <v>43.73</v>
      </c>
      <c r="CD36" s="200">
        <v>43.42</v>
      </c>
      <c r="CE36" s="200">
        <v>39.04</v>
      </c>
      <c r="CF36" s="208"/>
      <c r="CG36" s="208"/>
      <c r="CH36" s="209"/>
      <c r="CI36" s="199"/>
      <c r="CJ36" s="197"/>
      <c r="CK36" s="197"/>
      <c r="CL36" s="230">
        <v>145.34</v>
      </c>
      <c r="CM36" s="198">
        <v>153.38</v>
      </c>
      <c r="CN36" s="202"/>
      <c r="CO36" s="208"/>
      <c r="CP36" s="208"/>
      <c r="CQ36" s="209"/>
      <c r="CR36" s="201"/>
      <c r="CS36" s="284"/>
      <c r="CT36" s="286">
        <f t="shared" si="20"/>
        <v>39.176132799999998</v>
      </c>
      <c r="CU36" s="27">
        <f t="shared" si="20"/>
        <v>24.003</v>
      </c>
      <c r="CV36" s="28">
        <f t="shared" si="20"/>
        <v>101.386</v>
      </c>
      <c r="CW36" s="27">
        <f t="shared" si="20"/>
        <v>337.81710479999998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145.34</v>
      </c>
      <c r="DD36" s="280">
        <f t="shared" si="21"/>
        <v>153.38</v>
      </c>
      <c r="DE36" s="508">
        <f t="shared" si="32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3"/>
        <v>0</v>
      </c>
    </row>
    <row r="37" spans="1:115" ht="16.5" customHeight="1" thickBot="1">
      <c r="A37" s="539">
        <v>31</v>
      </c>
      <c r="B37" s="103">
        <f>'[1]ноябрь 20'!K36</f>
        <v>0</v>
      </c>
      <c r="C37" s="541">
        <f t="shared" si="0"/>
        <v>0</v>
      </c>
      <c r="D37" s="542">
        <f t="shared" si="1"/>
        <v>0</v>
      </c>
      <c r="E37" s="541">
        <f t="shared" si="2"/>
        <v>0</v>
      </c>
      <c r="F37" s="505">
        <f t="shared" si="3"/>
        <v>0</v>
      </c>
      <c r="G37" s="543"/>
      <c r="H37" s="544">
        <f t="shared" si="4"/>
        <v>0</v>
      </c>
      <c r="I37" s="540">
        <f>'[1]сентябрь 20'!AE36</f>
        <v>0</v>
      </c>
      <c r="J37" s="103">
        <f>'[1]ноябрь 20'!AA36</f>
        <v>0</v>
      </c>
      <c r="K37" s="543"/>
      <c r="L37" s="505">
        <f>'[1]ноябрь 20'!AI36</f>
        <v>0</v>
      </c>
      <c r="M37" s="540">
        <f t="shared" si="5"/>
        <v>0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568">
        <f>'[1]ноябрь 20'!S36</f>
        <v>0</v>
      </c>
      <c r="S37" s="546">
        <f t="shared" si="6"/>
        <v>0</v>
      </c>
      <c r="T37" s="547">
        <f t="shared" si="7"/>
        <v>0</v>
      </c>
      <c r="U37" s="548"/>
      <c r="V37" s="547">
        <f t="shared" si="8"/>
        <v>0</v>
      </c>
      <c r="W37" s="549">
        <f t="shared" si="9"/>
        <v>0</v>
      </c>
      <c r="X37" s="227">
        <f t="shared" si="26"/>
        <v>0</v>
      </c>
      <c r="Y37" s="550"/>
      <c r="Z37" s="550"/>
      <c r="AA37" s="548"/>
      <c r="AB37" s="551"/>
      <c r="AC37" s="551"/>
      <c r="AD37" s="552"/>
      <c r="AE37" s="548"/>
      <c r="AF37" s="551"/>
      <c r="AG37" s="553"/>
      <c r="AH37" s="548"/>
      <c r="AI37" s="554">
        <f t="shared" si="10"/>
        <v>0</v>
      </c>
      <c r="AJ37" s="548"/>
      <c r="AK37" s="555">
        <f t="shared" si="11"/>
        <v>0</v>
      </c>
      <c r="AL37" s="556"/>
      <c r="AM37" s="548"/>
      <c r="AN37" s="550"/>
      <c r="AO37" s="619">
        <f t="shared" si="27"/>
        <v>0</v>
      </c>
      <c r="AP37" s="549">
        <f t="shared" si="12"/>
        <v>0</v>
      </c>
      <c r="AQ37" s="558"/>
      <c r="AR37" s="559"/>
      <c r="AS37" s="560"/>
      <c r="AT37" s="553"/>
      <c r="AU37" s="548"/>
      <c r="AV37" s="548"/>
      <c r="AW37" s="548"/>
      <c r="AX37" s="548"/>
      <c r="AY37" s="548"/>
      <c r="AZ37" s="547">
        <f t="shared" si="34"/>
        <v>0</v>
      </c>
      <c r="BA37" s="547">
        <f t="shared" si="13"/>
        <v>0</v>
      </c>
      <c r="BB37" s="554">
        <f t="shared" si="28"/>
        <v>0</v>
      </c>
      <c r="BC37" s="561">
        <f t="shared" si="14"/>
        <v>0</v>
      </c>
      <c r="BD37" s="555">
        <f t="shared" si="36"/>
        <v>0</v>
      </c>
      <c r="BE37" s="505">
        <f t="shared" si="16"/>
        <v>0</v>
      </c>
      <c r="BF37" s="555">
        <f t="shared" si="17"/>
        <v>0</v>
      </c>
      <c r="BG37" s="562"/>
      <c r="BH37" s="16">
        <f t="shared" si="29"/>
        <v>6775.128999999999</v>
      </c>
      <c r="BI37" s="16">
        <f t="shared" si="18"/>
        <v>0</v>
      </c>
      <c r="BJ37" s="16">
        <f t="shared" si="30"/>
        <v>6669.9999999999973</v>
      </c>
      <c r="BK37" s="17">
        <f t="shared" si="19"/>
        <v>0</v>
      </c>
      <c r="BL37" s="16">
        <f t="shared" si="31"/>
        <v>6669.9999999999973</v>
      </c>
      <c r="BM37" s="256"/>
      <c r="BN37" s="257"/>
      <c r="BO37" s="257"/>
      <c r="BP37" s="257"/>
      <c r="BQ37" s="261"/>
      <c r="BR37" s="261"/>
      <c r="BS37" s="262"/>
      <c r="BT37" s="219"/>
      <c r="BU37" s="220"/>
      <c r="BV37" s="220"/>
      <c r="BW37" s="220"/>
      <c r="BX37" s="220"/>
      <c r="BY37" s="224"/>
      <c r="BZ37" s="224"/>
      <c r="CA37" s="221"/>
      <c r="CB37" s="222"/>
      <c r="CC37" s="220"/>
      <c r="CD37" s="220"/>
      <c r="CE37" s="220"/>
      <c r="CF37" s="224"/>
      <c r="CG37" s="224"/>
      <c r="CH37" s="221"/>
      <c r="CI37" s="219"/>
      <c r="CJ37" s="217"/>
      <c r="CK37" s="217"/>
      <c r="CL37" s="234"/>
      <c r="CM37" s="223"/>
      <c r="CN37" s="222"/>
      <c r="CO37" s="224"/>
      <c r="CP37" s="224"/>
      <c r="CQ37" s="218"/>
      <c r="CR37" s="221"/>
      <c r="CS37" s="284"/>
      <c r="CT37" s="287">
        <f t="shared" si="20"/>
        <v>0</v>
      </c>
      <c r="CU37" s="32">
        <f t="shared" si="20"/>
        <v>0</v>
      </c>
      <c r="CV37" s="30">
        <f t="shared" si="20"/>
        <v>0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0</v>
      </c>
      <c r="DD37" s="280">
        <f t="shared" si="21"/>
        <v>0</v>
      </c>
      <c r="DE37" s="563">
        <f t="shared" si="32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3"/>
        <v>0</v>
      </c>
    </row>
    <row r="38" spans="1:115" ht="16.5" customHeight="1" thickBot="1">
      <c r="A38" s="55" t="s">
        <v>58</v>
      </c>
      <c r="B38" s="575">
        <f>SUM(B7:B37)</f>
        <v>14633.788</v>
      </c>
      <c r="C38" s="616"/>
      <c r="D38" s="340">
        <f>SUM(D7:D37)</f>
        <v>14462.330386877016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375.21600000000001</v>
      </c>
      <c r="K38" s="340">
        <f>SUM(K7:K37)</f>
        <v>647.70999999999992</v>
      </c>
      <c r="L38" s="340">
        <f>SUM(L7:L37)</f>
        <v>3745.5799999999995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575">
        <f>SUM(R7:R37)</f>
        <v>8982.4189999999999</v>
      </c>
      <c r="S38" s="340"/>
      <c r="T38" s="343">
        <f>SUM(T7:T37)</f>
        <v>8722.6600001999996</v>
      </c>
      <c r="U38" s="340">
        <f>SUM(U7:U37)</f>
        <v>655.72</v>
      </c>
      <c r="V38" s="343">
        <f>SUM(V7:V37)</f>
        <v>8722.6600001999996</v>
      </c>
      <c r="W38" s="346"/>
      <c r="X38" s="344"/>
      <c r="Y38" s="343">
        <f>SUM(Y7:Y37)</f>
        <v>5287.4299999999994</v>
      </c>
      <c r="Z38" s="343">
        <f>SUM(Z7:Z37)</f>
        <v>5420.2699999999995</v>
      </c>
      <c r="AA38" s="345"/>
      <c r="AB38" s="346"/>
      <c r="AC38" s="347"/>
      <c r="AD38" s="348"/>
      <c r="AE38" s="345"/>
      <c r="AF38" s="345"/>
      <c r="AG38" s="347">
        <f>SUM(AG7:AG37)</f>
        <v>146</v>
      </c>
      <c r="AH38" s="343">
        <f>SUM(AH7:AH37)</f>
        <v>233.75000000000003</v>
      </c>
      <c r="AI38" s="351"/>
      <c r="AJ38" s="343">
        <f>SUM(AJ7:AJ37)</f>
        <v>3969.6000000000004</v>
      </c>
      <c r="AK38" s="343"/>
      <c r="AL38" s="617">
        <f>SUM(AL7:AL37)</f>
        <v>1021.7500000000001</v>
      </c>
      <c r="AM38" s="343">
        <f>SUM(AM7:AM37)</f>
        <v>0</v>
      </c>
      <c r="AN38" s="343">
        <f>SUM(AN7:AN37)</f>
        <v>433.74</v>
      </c>
      <c r="AO38" s="618">
        <f>SUM(AO7:AO37)</f>
        <v>1738.0009999999995</v>
      </c>
      <c r="AP38" s="530"/>
      <c r="AQ38" s="351"/>
      <c r="AR38" s="343"/>
      <c r="AS38" s="351"/>
      <c r="AT38" s="351"/>
      <c r="AU38" s="352"/>
      <c r="AV38" s="343">
        <f>SUM(AV7:AV37)</f>
        <v>8827.65</v>
      </c>
      <c r="AW38" s="343">
        <f>SUM(AW7:AW37)</f>
        <v>119.22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6775.128999999999</v>
      </c>
      <c r="BB38" s="343">
        <f>SUM(BB7:BB37)</f>
        <v>6599.0888741444851</v>
      </c>
      <c r="BC38" s="351">
        <f>SUM(BC7:BC36)</f>
        <v>237.60776584507042</v>
      </c>
      <c r="BD38" s="351">
        <f>SUM(BD7:BD36)</f>
        <v>271.00515999999999</v>
      </c>
      <c r="BE38" s="340"/>
      <c r="BF38" s="351">
        <f>SUM(BF7:BF37)</f>
        <v>508.61292584507038</v>
      </c>
      <c r="BG38" s="353"/>
      <c r="BH38" s="16"/>
      <c r="BI38" s="16">
        <f t="shared" si="18"/>
        <v>0</v>
      </c>
      <c r="BJ38" s="16"/>
      <c r="BK38" s="17">
        <f>SUM(BK7:BK37)</f>
        <v>30</v>
      </c>
      <c r="BL38" s="33"/>
      <c r="BM38" s="228">
        <f t="shared" ref="BM38:BS38" si="37">SUM(BM7:BM37)</f>
        <v>39.664000100000003</v>
      </c>
      <c r="BN38" s="38">
        <f t="shared" si="37"/>
        <v>801.59400000000016</v>
      </c>
      <c r="BO38" s="38">
        <f t="shared" si="37"/>
        <v>2943.9859999999999</v>
      </c>
      <c r="BP38" s="457">
        <f t="shared" si="37"/>
        <v>10848.543999999998</v>
      </c>
      <c r="BQ38" s="38">
        <f t="shared" si="37"/>
        <v>9.9999999999999995E-8</v>
      </c>
      <c r="BR38" s="38">
        <f t="shared" si="37"/>
        <v>9.9999999999999995E-8</v>
      </c>
      <c r="BS38" s="38">
        <f t="shared" si="37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1611.1800000999999</v>
      </c>
      <c r="CL38" s="39">
        <f>SUM(CL7:CL37)</f>
        <v>3717.34</v>
      </c>
      <c r="CM38" s="40">
        <f>SUM(CM7:CM37)</f>
        <v>3394.1399999999994</v>
      </c>
      <c r="CN38" s="34"/>
      <c r="CO38" s="35"/>
      <c r="CP38" s="236"/>
      <c r="CQ38" s="36"/>
      <c r="CR38" s="36"/>
      <c r="CT38" s="189">
        <f t="shared" ref="CT38:DE38" si="38">SUM(CT7:CT37)</f>
        <v>39.176132899999999</v>
      </c>
      <c r="CU38" s="190">
        <f t="shared" si="38"/>
        <v>801.59399997541311</v>
      </c>
      <c r="CV38" s="191">
        <f t="shared" si="38"/>
        <v>2943.9859999016035</v>
      </c>
      <c r="CW38" s="192">
        <f t="shared" si="38"/>
        <v>10677.574254199997</v>
      </c>
      <c r="CX38" s="192">
        <f t="shared" si="38"/>
        <v>9.99999999E-8</v>
      </c>
      <c r="CY38" s="192">
        <f t="shared" si="38"/>
        <v>9.99999999E-8</v>
      </c>
      <c r="CZ38" s="278">
        <f t="shared" si="38"/>
        <v>9.99999999E-8</v>
      </c>
      <c r="DA38" s="278">
        <f t="shared" si="38"/>
        <v>9.99999999E-8</v>
      </c>
      <c r="DB38" s="192">
        <f t="shared" si="38"/>
        <v>1611.1800000999999</v>
      </c>
      <c r="DC38" s="192">
        <f t="shared" si="38"/>
        <v>3717.3399998852001</v>
      </c>
      <c r="DD38" s="498">
        <f t="shared" si="38"/>
        <v>3394.1399998259994</v>
      </c>
      <c r="DE38" s="564">
        <f t="shared" si="38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487.79293333333334</v>
      </c>
      <c r="C39" s="84">
        <f>(BM38*BU39+BN38*BV39+BP38*BX39+BS38*CA39+BO38*BW39+BR38*BZ39+BQ38*BY39)/B38</f>
        <v>1.1716557129499414</v>
      </c>
      <c r="D39" s="82"/>
      <c r="E39" s="354">
        <f>(BM38*CB39+BN38*CC39+BP38*CE39+BS38*CH39+BO38*CD39+BR38*CG39+BQ38*CF39)/B38</f>
        <v>39.501432605146384</v>
      </c>
      <c r="F39" s="355">
        <f>IF(BA38=0,0,D38/BA38)</f>
        <v>2.1346206672783676</v>
      </c>
      <c r="G39" s="354">
        <f>G38/AV2</f>
        <v>0</v>
      </c>
      <c r="H39" s="355">
        <f>IF(BA38=0,0,(CZ38+CW38+CY38+CT38+CX38)/BA38)</f>
        <v>1.5817780572738911</v>
      </c>
      <c r="I39" s="354">
        <f>I38/AV2</f>
        <v>0</v>
      </c>
      <c r="J39" s="572">
        <f>J38/AV2</f>
        <v>12.507200000000001</v>
      </c>
      <c r="K39" s="354">
        <f>K38/AV2</f>
        <v>21.59033333333333</v>
      </c>
      <c r="L39" s="354">
        <f>L38/AV2</f>
        <v>124.85266666666665</v>
      </c>
      <c r="M39" s="355">
        <f>IF($BA$38=0,0,(CV38+CU38)/$BA$38)</f>
        <v>0.55284261006351576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299.41396666666668</v>
      </c>
      <c r="S39" s="354">
        <f>(SUMPRODUCT(R7:R37,S7:S37))/R38</f>
        <v>2.8918601971250717</v>
      </c>
      <c r="T39" s="357"/>
      <c r="U39" s="354">
        <f>U38/AV2</f>
        <v>21.857333333333333</v>
      </c>
      <c r="V39" s="354">
        <f>V38/AV2:AV2</f>
        <v>290.75533333999999</v>
      </c>
      <c r="W39" s="358">
        <f>IF($BA$38=0,0,T38/$BA$38)</f>
        <v>1.2874529769396275</v>
      </c>
      <c r="X39" s="358">
        <f>Q39+W39</f>
        <v>1.2874529769396275</v>
      </c>
      <c r="Y39" s="354">
        <f>Y38/AV2</f>
        <v>176.24766666666665</v>
      </c>
      <c r="Z39" s="354">
        <f>Z38/AV2</f>
        <v>180.67566666666664</v>
      </c>
      <c r="AA39" s="354">
        <f>(SUMPRODUCT(AA7:AA37,BA7:BA37))/BA38</f>
        <v>0.73398498833011161</v>
      </c>
      <c r="AB39" s="359">
        <f>AVERAGE(AB7:AB37)</f>
        <v>640.6</v>
      </c>
      <c r="AC39" s="359">
        <f>AVERAGE(AC7:AC37)</f>
        <v>1224.4000000000001</v>
      </c>
      <c r="AD39" s="359"/>
      <c r="AE39" s="354">
        <f>(SUMPRODUCT(AE7:AE37,BA7:BA37))/BA38</f>
        <v>75.585919147812533</v>
      </c>
      <c r="AF39" s="360">
        <f>AVERAGE(AF7:AF37)</f>
        <v>162.73333333333332</v>
      </c>
      <c r="AG39" s="360">
        <f>AVERAGE(AG7:AG37)</f>
        <v>4.8666666666666663</v>
      </c>
      <c r="AH39" s="354">
        <f>AH38/AV2</f>
        <v>7.7916666666666679</v>
      </c>
      <c r="AI39" s="361">
        <f>IF(BA38=0,0,AH38/BA38*1000)</f>
        <v>34.501188095459149</v>
      </c>
      <c r="AJ39" s="361">
        <f>AJ38/AV2</f>
        <v>132.32000000000002</v>
      </c>
      <c r="AK39" s="361">
        <f>IF(BA38=0,0,AJ38/BA38*1000)</f>
        <v>585.90766316036218</v>
      </c>
      <c r="AL39" s="354">
        <f>AL38/AV2</f>
        <v>34.058333333333337</v>
      </c>
      <c r="AM39" s="359"/>
      <c r="AN39" s="354">
        <f>AN38/AV2</f>
        <v>14.458</v>
      </c>
      <c r="AO39" s="354">
        <f>AO38/AV2</f>
        <v>57.93336666666665</v>
      </c>
      <c r="AP39" s="346">
        <f>IF(AO39=0,0,AO39/AV39)</f>
        <v>0.1968815030047634</v>
      </c>
      <c r="AQ39" s="361">
        <f>SUM(AQ8:AQ38)</f>
        <v>0</v>
      </c>
      <c r="AR39" s="354">
        <f>AVERAGE(AR7:AR37)</f>
        <v>7.0796666666666663</v>
      </c>
      <c r="AS39" s="354">
        <f>AVERAGE(AS7:AS37)</f>
        <v>9.2340000000000018</v>
      </c>
      <c r="AT39" s="362"/>
      <c r="AU39" s="354">
        <f>AVERAGE(AU7:AU37)</f>
        <v>7.7020000000000008</v>
      </c>
      <c r="AV39" s="363">
        <f>AV38/AV2</f>
        <v>294.255</v>
      </c>
      <c r="AW39" s="363">
        <f>AW38/AV2</f>
        <v>3.9739999999999998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225.83763333333329</v>
      </c>
      <c r="BB39" s="354">
        <f>BB38/AV2</f>
        <v>219.96962913814951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0.89641134043866144</v>
      </c>
      <c r="BF39" s="354">
        <f>BF38/AV2</f>
        <v>16.953764194835678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1.2299999968989515</v>
      </c>
      <c r="BV39" s="42">
        <f t="shared" ref="BV39:CA39" si="39">(SUMPRODUCT(BN7:BN37,BV7:BV37))/BN38</f>
        <v>3.0672634775210384E-9</v>
      </c>
      <c r="BW39" s="42">
        <f t="shared" si="39"/>
        <v>3.3422713287359384E-9</v>
      </c>
      <c r="BX39" s="42">
        <f>(SUMPRODUCT(BP7:BP37,BX7:BX37))/BP38</f>
        <v>1.5759695107472489</v>
      </c>
      <c r="BY39" s="42">
        <f t="shared" si="39"/>
        <v>9.9999999999999982E-8</v>
      </c>
      <c r="BZ39" s="46">
        <f t="shared" si="39"/>
        <v>9.9999999999999982E-8</v>
      </c>
      <c r="CA39" s="240">
        <f t="shared" si="39"/>
        <v>9.9999999999999982E-8</v>
      </c>
      <c r="CB39" s="41">
        <f t="shared" ref="CB39:CH39" si="40">(SUMPRODUCT(BM7:BM37,CB7:CB37))/BM38</f>
        <v>39.039999901573211</v>
      </c>
      <c r="CC39" s="42">
        <f t="shared" si="40"/>
        <v>43.607877030017676</v>
      </c>
      <c r="CD39" s="42">
        <f>(SUMPRODUCT(BO7:BO37,CD7:CD37))/BO38</f>
        <v>43.561829787913396</v>
      </c>
      <c r="CE39" s="42">
        <f t="shared" si="40"/>
        <v>38.097820156326968</v>
      </c>
      <c r="CF39" s="42">
        <f t="shared" si="40"/>
        <v>9.9999999999999982E-8</v>
      </c>
      <c r="CG39" s="46">
        <f t="shared" si="40"/>
        <v>9.9999999999999982E-8</v>
      </c>
      <c r="CH39" s="240">
        <f t="shared" si="40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6.2066311643511809E-18</v>
      </c>
      <c r="CP39" s="46">
        <f>(SUMPRODUCT(CL7:CL37,CP7:CP37))/CL38</f>
        <v>3.0882297556855165E-9</v>
      </c>
      <c r="CQ39" s="44">
        <f>(SUMPRODUCT(CM7:CM37,CQ7:CQ37))/CM38</f>
        <v>5.1264827025402616E-9</v>
      </c>
      <c r="CR39" s="44" t="e">
        <f>(SUMPRODUCT(O7:O37,CR7:CR37))/O38</f>
        <v>#DIV/0!</v>
      </c>
      <c r="CT39" s="667">
        <f>CT38+CU38</f>
        <v>840.77013287541308</v>
      </c>
      <c r="CU39" s="667"/>
      <c r="CV39" s="668">
        <f>CV38+CW38+CZ38+CY38+CX38</f>
        <v>13621.560254401604</v>
      </c>
      <c r="CW39" s="668"/>
      <c r="CX39" s="668"/>
      <c r="CY39" s="668"/>
      <c r="CZ39" s="668"/>
      <c r="DA39" s="669">
        <f>DA38+DB38+DD38+DC38</f>
        <v>8722.6599999112004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39.299999999999997</v>
      </c>
      <c r="F40" s="366">
        <v>2.16</v>
      </c>
      <c r="G40" s="366"/>
      <c r="H40" s="366">
        <v>1.7604</v>
      </c>
      <c r="I40" s="366"/>
      <c r="J40" s="570">
        <v>8.8930000000000007</v>
      </c>
      <c r="K40" s="366">
        <v>23.481999999999999</v>
      </c>
      <c r="L40" s="366"/>
      <c r="M40" s="366">
        <v>0.39960000000000001</v>
      </c>
      <c r="N40" s="365"/>
      <c r="O40" s="366"/>
      <c r="P40" s="366"/>
      <c r="Q40" s="366"/>
      <c r="R40" s="367"/>
      <c r="S40" s="368"/>
      <c r="T40" s="367"/>
      <c r="U40" s="450">
        <v>20.231999999999999</v>
      </c>
      <c r="V40" s="367"/>
      <c r="W40" s="369">
        <v>1.3</v>
      </c>
      <c r="X40" s="484"/>
      <c r="Y40" s="370">
        <v>6670</v>
      </c>
      <c r="Z40" s="370">
        <v>6670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625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6670</v>
      </c>
      <c r="AW40" s="379">
        <v>80.040000000000006</v>
      </c>
      <c r="AX40" s="380"/>
      <c r="AY40" s="381"/>
      <c r="AZ40" s="382"/>
      <c r="BA40" s="365">
        <v>222.33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14462.330387277018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-2.5379332721632508E-2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2.8918601971250717</v>
      </c>
      <c r="T41" s="386"/>
      <c r="U41" s="388"/>
      <c r="V41" s="388"/>
      <c r="W41" s="385">
        <f>W39-W40</f>
        <v>-1.2547023060372586E-2</v>
      </c>
      <c r="X41" s="385"/>
      <c r="Y41" s="385"/>
      <c r="Z41" s="385"/>
      <c r="AA41" s="385"/>
      <c r="AB41" s="385"/>
      <c r="AC41" s="389">
        <f>AC39-AC40</f>
        <v>-25.599999999999909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2157.6499999999996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222.33333333333334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30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0.1968815030047634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V44" s="247"/>
      <c r="CW44">
        <v>14462.33</v>
      </c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60.463356164383562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29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230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105.12900000000172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1.5761469265367576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'[4]ноябрь 20'!$G$38</f>
        <v>1738.0009999999995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'[4]ноябрь 20'!$C$38</f>
        <v>1738.0000000000002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-9.9999999929423211E-4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P88"/>
  <sheetViews>
    <sheetView showZeros="0" zoomScale="90" zoomScaleNormal="90" workbookViewId="0">
      <pane xSplit="1" ySplit="6" topLeftCell="W27" activePane="bottomRight" state="frozen"/>
      <selection pane="topRight" activeCell="B1" sqref="B1"/>
      <selection pane="bottomLeft" activeCell="A7" sqref="A7"/>
      <selection pane="bottomRight" activeCell="BG33" sqref="BG33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8.140625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8.14062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9.140625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69" width="11.140625" customWidth="1"/>
    <col min="70" max="70" width="10.42578125" customWidth="1"/>
    <col min="71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20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20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30</v>
      </c>
      <c r="AW2" s="321"/>
      <c r="AX2" s="321"/>
      <c r="AY2" s="322"/>
      <c r="AZ2" s="321"/>
      <c r="BA2" s="526" t="s">
        <v>471</v>
      </c>
      <c r="BB2" s="526"/>
      <c r="BC2" s="526"/>
      <c r="BD2" s="526"/>
      <c r="BE2" s="526" t="s">
        <v>107</v>
      </c>
      <c r="BF2" s="324"/>
      <c r="BG2" s="49"/>
      <c r="BO2" s="2"/>
    </row>
    <row r="3" spans="1:120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20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20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20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627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479</v>
      </c>
      <c r="BP6" s="396" t="s">
        <v>99</v>
      </c>
      <c r="BQ6" s="232" t="s">
        <v>296</v>
      </c>
      <c r="BR6" s="624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624" t="s">
        <v>147</v>
      </c>
      <c r="CA6" s="398" t="s">
        <v>96</v>
      </c>
      <c r="CB6" s="226" t="s">
        <v>384</v>
      </c>
      <c r="CC6" s="481" t="s">
        <v>455</v>
      </c>
      <c r="CD6" s="232" t="s">
        <v>479</v>
      </c>
      <c r="CE6" s="396" t="s">
        <v>99</v>
      </c>
      <c r="CF6" s="232" t="s">
        <v>296</v>
      </c>
      <c r="CG6" s="624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480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20" ht="16.5" customHeight="1" thickBot="1">
      <c r="A7" s="532">
        <v>1</v>
      </c>
      <c r="B7" s="103">
        <f>BM7+BN7+BO7+BP7+BQ7+BR7+BS7</f>
        <v>548.83300039999983</v>
      </c>
      <c r="C7" s="104">
        <f t="shared" ref="C7:C37" si="0">IF(B7=0,0,(BM7*BU7+BN7*BV7+BP7*BX7+BS7*CA7+BO7*BW7+BR7*BZ7+BQ7*BY7)/B7)</f>
        <v>2.5415665912302536</v>
      </c>
      <c r="D7" s="447">
        <f t="shared" ref="D7:D37" si="1">B7*((100-C7)/100)</f>
        <v>534.88404422018687</v>
      </c>
      <c r="E7" s="104">
        <f t="shared" ref="E7:E37" si="2">IF(B7=0,0,(BM7*CB7+BN7*CC7+BP7*CE7+BS7*CH7+BO7*CD7+BR7*CG7+BQ7*CF7)/B7)</f>
        <v>40.059213556721851</v>
      </c>
      <c r="F7" s="103">
        <f t="shared" ref="F7:F37" si="3">IF(BA7=0,0,D7/BA7)</f>
        <v>2.283014506560018</v>
      </c>
      <c r="G7" s="106"/>
      <c r="H7" s="107">
        <f t="shared" ref="H7:H37" si="4">IF(BA7=0,0,(CZ7+CW7+CY7+CT7+CX7)/BA7)</f>
        <v>1.5155291207208208</v>
      </c>
      <c r="I7" s="103">
        <f>'[1]сентябрь 20'!AE6</f>
        <v>0</v>
      </c>
      <c r="J7" s="103">
        <f>'[1]ноябрь 20'!AA6</f>
        <v>11.483000000000001</v>
      </c>
      <c r="K7" s="106">
        <v>31.33</v>
      </c>
      <c r="L7" s="103">
        <f>BN7+BO7</f>
        <v>179.81299999999999</v>
      </c>
      <c r="M7" s="103">
        <f t="shared" ref="M7:M37" si="5">IF(BA7=0,0,(CV7+CU7)/BA7)</f>
        <v>0.76748538583919812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v>326.32</v>
      </c>
      <c r="S7" s="108">
        <f t="shared" ref="S7:S37" si="6">IF(R7=0,0,(1-(V7/R7))*100)</f>
        <v>2.3259376685462296</v>
      </c>
      <c r="T7" s="109">
        <f t="shared" ref="T7:T37" si="7">R7*((100-S7)/100)</f>
        <v>318.73000019999995</v>
      </c>
      <c r="U7" s="106"/>
      <c r="V7" s="109">
        <f t="shared" ref="V7:V37" si="8">CJ7+CK7+CM7+CL7</f>
        <v>318.73000019999995</v>
      </c>
      <c r="W7" s="110">
        <f t="shared" ref="W7:W37" si="9">IF(BA7=0,0,T7/BA7)</f>
        <v>1.3604167519959363</v>
      </c>
      <c r="X7" s="110">
        <f>Q7+W7</f>
        <v>1.3604167519959363</v>
      </c>
      <c r="Y7" s="136">
        <v>234.29</v>
      </c>
      <c r="Z7" s="111">
        <v>195.54</v>
      </c>
      <c r="AA7" s="106">
        <v>0.67</v>
      </c>
      <c r="AB7" s="112">
        <v>659</v>
      </c>
      <c r="AC7" s="112">
        <v>1217</v>
      </c>
      <c r="AD7" s="113" t="s">
        <v>454</v>
      </c>
      <c r="AE7" s="106">
        <v>76.040000000000006</v>
      </c>
      <c r="AF7" s="112">
        <v>164</v>
      </c>
      <c r="AG7" s="114">
        <v>5</v>
      </c>
      <c r="AH7" s="106">
        <v>6.5</v>
      </c>
      <c r="AI7" s="115">
        <f t="shared" ref="AI7:AI37" si="10">IF(BA7=0,0,AH7/BA7*1000)</f>
        <v>27.74357256117991</v>
      </c>
      <c r="AJ7" s="106">
        <v>135.65</v>
      </c>
      <c r="AK7" s="115">
        <f t="shared" ref="AK7:AK37" si="11">IF(BA7=0,0,AJ7/BA7*1000)</f>
        <v>578.98701814216224</v>
      </c>
      <c r="AL7" s="106">
        <v>28.4</v>
      </c>
      <c r="AM7" s="116"/>
      <c r="AN7" s="117">
        <v>9.1</v>
      </c>
      <c r="AO7" s="466">
        <f>AV7*0.19</f>
        <v>55.451500000000003</v>
      </c>
      <c r="AP7" s="110">
        <f t="shared" ref="AP7:AP37" si="12">IF(AO7=0,0,AO7/AV7)</f>
        <v>0.19</v>
      </c>
      <c r="AQ7" s="119" t="s">
        <v>475</v>
      </c>
      <c r="AR7" s="403">
        <v>7.01</v>
      </c>
      <c r="AS7" s="120">
        <v>9.19</v>
      </c>
      <c r="AT7" s="106"/>
      <c r="AU7" s="106">
        <v>7.6</v>
      </c>
      <c r="AV7" s="314">
        <v>291.85000000000002</v>
      </c>
      <c r="AW7" s="121">
        <v>6.99</v>
      </c>
      <c r="AX7" s="122"/>
      <c r="AY7" s="123"/>
      <c r="AZ7" s="124"/>
      <c r="BA7" s="109">
        <f t="shared" ref="BA7:BA37" si="13">AV7-AO7-AN7+AY7+AW7</f>
        <v>234.28850000000003</v>
      </c>
      <c r="BB7" s="115">
        <f>IF(AE7=0,0,((D7*0.97)*(E7/100)*0.9)/(AE7/100))</f>
        <v>245.99948471529558</v>
      </c>
      <c r="BC7" s="125">
        <f t="shared" ref="BC7:BC37" si="14">(AJ7*AU7)/100*(55/71)</f>
        <v>7.9861549295774648</v>
      </c>
      <c r="BD7" s="115">
        <f t="shared" ref="BD7:BD37" si="15">BA7*$BD$6</f>
        <v>9.3715400000000013</v>
      </c>
      <c r="BE7" s="103">
        <f t="shared" ref="BE7:BE37" si="16">IF((D7*E7)=0,0,(BA7*AE7)/(D7*E7))</f>
        <v>0.83144019889600451</v>
      </c>
      <c r="BF7" s="115">
        <f t="shared" ref="BF7:BF37" si="17">BC7+BD7</f>
        <v>17.357694929577466</v>
      </c>
      <c r="BG7" s="533">
        <v>0.83099999999999996</v>
      </c>
      <c r="BH7" s="16">
        <f>BA7</f>
        <v>234.28850000000003</v>
      </c>
      <c r="BI7" s="16">
        <f t="shared" ref="BI7:BI38" si="18">IF(A7&lt;=$BG$43,$AV$43,0)</f>
        <v>222.33333333333334</v>
      </c>
      <c r="BJ7" s="16">
        <f>BI7</f>
        <v>222.33333333333334</v>
      </c>
      <c r="BK7" s="17">
        <f t="shared" ref="BK7:BK37" si="19">IF(BA7&lt;&gt;0,1,0)</f>
        <v>1</v>
      </c>
      <c r="BL7" s="16">
        <f>BI7*BK7</f>
        <v>222.33333333333334</v>
      </c>
      <c r="BM7" s="336">
        <v>9.9999999999999995E-8</v>
      </c>
      <c r="BN7" s="336">
        <v>24.587</v>
      </c>
      <c r="BO7" s="431">
        <f>DN7</f>
        <v>155.226</v>
      </c>
      <c r="BP7" s="336">
        <v>369.02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9.9999999999999995E-8</v>
      </c>
      <c r="BV7" s="336">
        <v>9.9999999999999995E-8</v>
      </c>
      <c r="BW7" s="336">
        <v>9.9999999999999995E-8</v>
      </c>
      <c r="BX7" s="336">
        <v>3.78</v>
      </c>
      <c r="BY7" s="336">
        <v>9.9999999999999995E-8</v>
      </c>
      <c r="BZ7" s="336">
        <v>9.9999999999999995E-8</v>
      </c>
      <c r="CA7" s="336">
        <v>9.9999999999999995E-8</v>
      </c>
      <c r="CB7" s="336">
        <v>9.9999999999999995E-8</v>
      </c>
      <c r="CC7" s="336">
        <v>44.03</v>
      </c>
      <c r="CD7" s="336">
        <v>43.66</v>
      </c>
      <c r="CE7" s="336">
        <v>38.28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431">
        <f>DP7</f>
        <v>144.72999999999999</v>
      </c>
      <c r="CM7" s="336">
        <v>174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9.99999999E-8</v>
      </c>
      <c r="CU7" s="22">
        <f t="shared" si="20"/>
        <v>24.586999975413001</v>
      </c>
      <c r="CV7" s="22">
        <f t="shared" si="20"/>
        <v>155.22599984477401</v>
      </c>
      <c r="CW7" s="27">
        <f t="shared" si="20"/>
        <v>355.07104399999997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144.72999985526999</v>
      </c>
      <c r="DD7" s="279">
        <f t="shared" si="21"/>
        <v>173.99999982599999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336">
        <v>98.396000000000001</v>
      </c>
      <c r="DN7" s="247">
        <f>DM7+56.83</f>
        <v>155.226</v>
      </c>
      <c r="DO7" s="336">
        <v>114.8</v>
      </c>
      <c r="DP7" s="247">
        <f>DO7+29.93</f>
        <v>144.72999999999999</v>
      </c>
    </row>
    <row r="8" spans="1:120" ht="16.5" customHeight="1" thickBot="1">
      <c r="A8" s="534">
        <v>2</v>
      </c>
      <c r="B8" s="103">
        <f t="shared" ref="B8:B36" si="24">BM8+BN8+BO8+BP8+BQ8+BR8+BS8</f>
        <v>576.62900000000002</v>
      </c>
      <c r="C8" s="104">
        <f t="shared" si="0"/>
        <v>1.4119802507331403</v>
      </c>
      <c r="D8" s="447">
        <f t="shared" si="1"/>
        <v>568.4871124</v>
      </c>
      <c r="E8" s="104">
        <f t="shared" si="2"/>
        <v>40.056028018015049</v>
      </c>
      <c r="F8" s="128">
        <f t="shared" si="3"/>
        <v>2.5072755084129046</v>
      </c>
      <c r="G8" s="106"/>
      <c r="H8" s="107">
        <f t="shared" si="4"/>
        <v>1.6822374684102586</v>
      </c>
      <c r="I8" s="103">
        <f>'[1]сентябрь 20'!AE7</f>
        <v>0</v>
      </c>
      <c r="J8" s="103">
        <f>'[1]ноябрь 20'!AA7</f>
        <v>12.169</v>
      </c>
      <c r="K8" s="106"/>
      <c r="L8" s="103">
        <f t="shared" ref="L8:L36" si="25">BN8+BO8</f>
        <v>187.06499999999997</v>
      </c>
      <c r="M8" s="103">
        <f t="shared" si="5"/>
        <v>0.82503804000264602</v>
      </c>
      <c r="N8" s="103">
        <f>'[1]август 20'!W7</f>
        <v>0</v>
      </c>
      <c r="O8" s="103">
        <f>'[1]сентябрь 20'!AM7</f>
        <v>0</v>
      </c>
      <c r="P8" s="447">
        <f t="shared" ref="P8:P37" si="26">O8*((100-CR8)/100)</f>
        <v>0</v>
      </c>
      <c r="Q8" s="103">
        <f t="shared" ref="Q8:Q37" si="27">IF(O8=0,0,P8/BA8)</f>
        <v>0</v>
      </c>
      <c r="R8" s="103">
        <v>345.87</v>
      </c>
      <c r="S8" s="108">
        <f t="shared" si="6"/>
        <v>2.4488969844161157</v>
      </c>
      <c r="T8" s="109">
        <f t="shared" si="7"/>
        <v>337.40000000000003</v>
      </c>
      <c r="U8" s="106">
        <v>108.86</v>
      </c>
      <c r="V8" s="109">
        <f t="shared" si="8"/>
        <v>337.4</v>
      </c>
      <c r="W8" s="110">
        <f t="shared" si="9"/>
        <v>1.4880807991708382</v>
      </c>
      <c r="X8" s="110">
        <f t="shared" ref="X8:X37" si="28">Q8+W8</f>
        <v>1.4880807991708382</v>
      </c>
      <c r="Y8" s="136">
        <v>226.74</v>
      </c>
      <c r="Z8" s="130">
        <v>226.74</v>
      </c>
      <c r="AA8" s="131">
        <v>0.28999999999999998</v>
      </c>
      <c r="AB8" s="112">
        <v>597</v>
      </c>
      <c r="AC8" s="112">
        <v>1199</v>
      </c>
      <c r="AD8" s="132" t="s">
        <v>252</v>
      </c>
      <c r="AE8" s="131">
        <v>75.31</v>
      </c>
      <c r="AF8" s="133">
        <v>173</v>
      </c>
      <c r="AG8" s="134">
        <v>5</v>
      </c>
      <c r="AH8" s="131">
        <v>6.4</v>
      </c>
      <c r="AI8" s="115">
        <f t="shared" si="10"/>
        <v>28.226784572298058</v>
      </c>
      <c r="AJ8" s="131">
        <v>155.94999999999999</v>
      </c>
      <c r="AK8" s="115">
        <f t="shared" si="11"/>
        <v>687.80735219529402</v>
      </c>
      <c r="AL8" s="131">
        <v>25.53</v>
      </c>
      <c r="AM8" s="116"/>
      <c r="AN8" s="135">
        <v>15.21</v>
      </c>
      <c r="AO8" s="466">
        <f t="shared" ref="AO8:AO37" si="29">AV8*0.19</f>
        <v>55.954999999999998</v>
      </c>
      <c r="AP8" s="110">
        <f t="shared" si="12"/>
        <v>0.19</v>
      </c>
      <c r="AQ8" s="137" t="s">
        <v>465</v>
      </c>
      <c r="AR8" s="150">
        <v>6.68</v>
      </c>
      <c r="AS8" s="138">
        <v>8.75</v>
      </c>
      <c r="AT8" s="131"/>
      <c r="AU8" s="131">
        <v>9.18</v>
      </c>
      <c r="AV8" s="315">
        <v>294.5</v>
      </c>
      <c r="AW8" s="131">
        <v>3.4</v>
      </c>
      <c r="AX8" s="116"/>
      <c r="AY8" s="131"/>
      <c r="AZ8" s="109"/>
      <c r="BA8" s="109">
        <f t="shared" si="13"/>
        <v>226.73500000000001</v>
      </c>
      <c r="BB8" s="115">
        <f t="shared" ref="BB8:BB37" si="30">IF(AE8=0,0,((D8*0.97)*(E8/100)*0.9)/(AE8/100))</f>
        <v>263.96728280439066</v>
      </c>
      <c r="BC8" s="140">
        <f t="shared" si="14"/>
        <v>11.090021830985913</v>
      </c>
      <c r="BD8" s="141">
        <f t="shared" si="15"/>
        <v>9.0693999999999999</v>
      </c>
      <c r="BE8" s="128">
        <f t="shared" si="16"/>
        <v>0.74986435022207076</v>
      </c>
      <c r="BF8" s="141">
        <f t="shared" si="17"/>
        <v>20.159421830985913</v>
      </c>
      <c r="BG8" s="535">
        <v>0.78900000000000003</v>
      </c>
      <c r="BH8" s="16">
        <f t="shared" ref="BH8:BH37" si="31">BH7+BA8</f>
        <v>461.02350000000001</v>
      </c>
      <c r="BI8" s="16">
        <f t="shared" si="18"/>
        <v>222.33333333333334</v>
      </c>
      <c r="BJ8" s="16">
        <f t="shared" ref="BJ8:BJ37" si="32">BI8+BJ7</f>
        <v>444.66666666666669</v>
      </c>
      <c r="BK8" s="17">
        <f t="shared" si="19"/>
        <v>1</v>
      </c>
      <c r="BL8" s="16">
        <f t="shared" ref="BL8:BL37" si="33">BL7+BI8*BK8</f>
        <v>444.66666666666669</v>
      </c>
      <c r="BM8" s="249"/>
      <c r="BN8" s="195">
        <v>26.056999999999999</v>
      </c>
      <c r="BO8" s="266">
        <f t="shared" ref="BO8:BO36" si="34">DN8</f>
        <v>161.00799999999998</v>
      </c>
      <c r="BP8" s="196">
        <v>389.56400000000002</v>
      </c>
      <c r="BQ8" s="230"/>
      <c r="BR8" s="230"/>
      <c r="BS8" s="250"/>
      <c r="BT8" s="199"/>
      <c r="BU8" s="200"/>
      <c r="BV8" s="200"/>
      <c r="BW8" s="200"/>
      <c r="BX8" s="200">
        <v>2.09</v>
      </c>
      <c r="BY8" s="208"/>
      <c r="BZ8" s="208"/>
      <c r="CA8" s="198"/>
      <c r="CB8" s="202"/>
      <c r="CC8" s="200">
        <v>43.46</v>
      </c>
      <c r="CD8" s="200">
        <v>43.27</v>
      </c>
      <c r="CE8" s="200">
        <v>38.5</v>
      </c>
      <c r="CF8" s="197"/>
      <c r="CG8" s="197"/>
      <c r="CH8" s="197"/>
      <c r="CI8" s="203"/>
      <c r="CJ8" s="204"/>
      <c r="CK8" s="230"/>
      <c r="CL8" s="266">
        <f t="shared" ref="CL8:CL36" si="35">DP8</f>
        <v>152.08000000000001</v>
      </c>
      <c r="CM8" s="453">
        <v>185.32</v>
      </c>
      <c r="CN8" s="205"/>
      <c r="CO8" s="206"/>
      <c r="CP8" s="269"/>
      <c r="CQ8" s="207"/>
      <c r="CR8" s="207"/>
      <c r="CS8" s="284"/>
      <c r="CT8" s="286">
        <f t="shared" si="20"/>
        <v>0</v>
      </c>
      <c r="CU8" s="24">
        <f t="shared" si="20"/>
        <v>26.056999999999999</v>
      </c>
      <c r="CV8" s="25">
        <f t="shared" si="20"/>
        <v>161.00799999999998</v>
      </c>
      <c r="CW8" s="24">
        <f t="shared" si="20"/>
        <v>381.4221124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152.08000000000001</v>
      </c>
      <c r="DD8" s="280">
        <f t="shared" si="21"/>
        <v>185.32</v>
      </c>
      <c r="DE8" s="508">
        <f t="shared" ref="DE8:DE37" si="36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7">IF(I8=0,0,(DJ8*DI8%)/(AE8/100))</f>
        <v>0</v>
      </c>
      <c r="DM8" s="197">
        <v>104.178</v>
      </c>
      <c r="DN8" s="247">
        <f t="shared" ref="DN8:DN35" si="38">DM8+56.83</f>
        <v>161.00799999999998</v>
      </c>
      <c r="DO8" s="197">
        <v>122.15</v>
      </c>
      <c r="DP8" s="247">
        <f t="shared" ref="DP8:DP35" si="39">DO8+29.93</f>
        <v>152.08000000000001</v>
      </c>
    </row>
    <row r="9" spans="1:120" ht="16.5" customHeight="1" thickBot="1">
      <c r="A9" s="534">
        <v>3</v>
      </c>
      <c r="B9" s="103">
        <f t="shared" si="24"/>
        <v>572.75600000000009</v>
      </c>
      <c r="C9" s="104">
        <f t="shared" si="0"/>
        <v>0.89200643904210519</v>
      </c>
      <c r="D9" s="448">
        <f t="shared" si="1"/>
        <v>567.64697960000012</v>
      </c>
      <c r="E9" s="104">
        <f t="shared" si="2"/>
        <v>39.930146135527167</v>
      </c>
      <c r="F9" s="128">
        <f t="shared" si="3"/>
        <v>2.4750087947975059</v>
      </c>
      <c r="G9" s="106"/>
      <c r="H9" s="107">
        <f t="shared" si="4"/>
        <v>1.6652953200654894</v>
      </c>
      <c r="I9" s="103">
        <f>'[1]сентябрь 20'!AE8</f>
        <v>0</v>
      </c>
      <c r="J9" s="103">
        <f>'[1]ноябрь 20'!AA8</f>
        <v>10.317</v>
      </c>
      <c r="K9" s="106"/>
      <c r="L9" s="103">
        <f t="shared" si="25"/>
        <v>185.709</v>
      </c>
      <c r="M9" s="103">
        <f t="shared" si="5"/>
        <v>0.80971347473201616</v>
      </c>
      <c r="N9" s="103">
        <f>'[1]август 20'!W8</f>
        <v>0</v>
      </c>
      <c r="O9" s="103">
        <f>'[1]сентябрь 20'!AM8</f>
        <v>0</v>
      </c>
      <c r="P9" s="447">
        <f t="shared" si="26"/>
        <v>0</v>
      </c>
      <c r="Q9" s="103">
        <f t="shared" si="27"/>
        <v>0</v>
      </c>
      <c r="R9" s="103">
        <v>351.73</v>
      </c>
      <c r="S9" s="108">
        <f t="shared" si="6"/>
        <v>3.0762232394166089</v>
      </c>
      <c r="T9" s="109">
        <f t="shared" si="7"/>
        <v>340.90999999999997</v>
      </c>
      <c r="U9" s="106">
        <v>67.33</v>
      </c>
      <c r="V9" s="109">
        <f t="shared" si="8"/>
        <v>340.90999999999997</v>
      </c>
      <c r="W9" s="110">
        <f t="shared" si="9"/>
        <v>1.4864084167751246</v>
      </c>
      <c r="X9" s="110">
        <f t="shared" si="28"/>
        <v>1.4864084167751246</v>
      </c>
      <c r="Y9" s="136">
        <v>149.85</v>
      </c>
      <c r="Z9" s="130">
        <v>229.35</v>
      </c>
      <c r="AA9" s="131">
        <v>0.39</v>
      </c>
      <c r="AB9" s="112">
        <v>576</v>
      </c>
      <c r="AC9" s="112">
        <v>1214</v>
      </c>
      <c r="AD9" s="144" t="s">
        <v>426</v>
      </c>
      <c r="AE9" s="131">
        <v>75.83</v>
      </c>
      <c r="AF9" s="133">
        <v>172</v>
      </c>
      <c r="AG9" s="134">
        <v>5</v>
      </c>
      <c r="AH9" s="131">
        <v>6.95</v>
      </c>
      <c r="AI9" s="115">
        <f t="shared" si="10"/>
        <v>30.302832115769903</v>
      </c>
      <c r="AJ9" s="131">
        <v>143.5</v>
      </c>
      <c r="AK9" s="115">
        <f t="shared" si="11"/>
        <v>625.67718109539294</v>
      </c>
      <c r="AL9" s="131">
        <v>34.11</v>
      </c>
      <c r="AM9" s="116"/>
      <c r="AN9" s="135">
        <v>14.29</v>
      </c>
      <c r="AO9" s="466">
        <f t="shared" si="29"/>
        <v>56.268499999999996</v>
      </c>
      <c r="AP9" s="110">
        <f t="shared" si="12"/>
        <v>0.19</v>
      </c>
      <c r="AQ9" s="137" t="s">
        <v>331</v>
      </c>
      <c r="AR9" s="150">
        <v>7.01</v>
      </c>
      <c r="AS9" s="131">
        <v>8.3800000000000008</v>
      </c>
      <c r="AT9" s="131"/>
      <c r="AU9" s="131">
        <v>8.18</v>
      </c>
      <c r="AV9" s="315">
        <v>296.14999999999998</v>
      </c>
      <c r="AW9" s="131">
        <v>3.76</v>
      </c>
      <c r="AX9" s="116"/>
      <c r="AY9" s="131"/>
      <c r="AZ9" s="109"/>
      <c r="BA9" s="109">
        <f t="shared" si="13"/>
        <v>229.35149999999999</v>
      </c>
      <c r="BB9" s="115">
        <f t="shared" si="30"/>
        <v>260.94706631964459</v>
      </c>
      <c r="BC9" s="140">
        <f t="shared" si="14"/>
        <v>9.0930492957746463</v>
      </c>
      <c r="BD9" s="141">
        <f t="shared" si="15"/>
        <v>9.174059999999999</v>
      </c>
      <c r="BE9" s="128">
        <f t="shared" si="16"/>
        <v>0.76729684040493362</v>
      </c>
      <c r="BF9" s="141">
        <f t="shared" si="17"/>
        <v>18.267109295774645</v>
      </c>
      <c r="BG9" s="535">
        <v>0.78200000000000003</v>
      </c>
      <c r="BH9" s="16">
        <f t="shared" si="31"/>
        <v>690.375</v>
      </c>
      <c r="BI9" s="16">
        <f t="shared" si="18"/>
        <v>222.33333333333334</v>
      </c>
      <c r="BJ9" s="16">
        <f t="shared" si="32"/>
        <v>667</v>
      </c>
      <c r="BK9" s="17">
        <f t="shared" si="19"/>
        <v>1</v>
      </c>
      <c r="BL9" s="16">
        <f t="shared" si="33"/>
        <v>667</v>
      </c>
      <c r="BM9" s="249"/>
      <c r="BN9" s="195">
        <v>25.777000000000001</v>
      </c>
      <c r="BO9" s="266">
        <f t="shared" si="34"/>
        <v>159.93200000000002</v>
      </c>
      <c r="BP9" s="196">
        <v>387.04700000000003</v>
      </c>
      <c r="BQ9" s="230"/>
      <c r="BR9" s="230"/>
      <c r="BS9" s="250"/>
      <c r="BT9" s="199"/>
      <c r="BU9" s="200"/>
      <c r="BV9" s="200"/>
      <c r="BW9" s="200"/>
      <c r="BX9" s="200">
        <v>1.32</v>
      </c>
      <c r="BY9" s="208"/>
      <c r="BZ9" s="208"/>
      <c r="CA9" s="201"/>
      <c r="CB9" s="202"/>
      <c r="CC9" s="200">
        <v>43.89</v>
      </c>
      <c r="CD9" s="200">
        <v>43.6</v>
      </c>
      <c r="CE9" s="200">
        <v>38.15</v>
      </c>
      <c r="CF9" s="200"/>
      <c r="CG9" s="200"/>
      <c r="CH9" s="200"/>
      <c r="CI9" s="203"/>
      <c r="CJ9" s="204"/>
      <c r="CK9" s="230"/>
      <c r="CL9" s="266">
        <f t="shared" si="35"/>
        <v>154.77000000000001</v>
      </c>
      <c r="CM9" s="453">
        <v>186.14</v>
      </c>
      <c r="CN9" s="202"/>
      <c r="CO9" s="208"/>
      <c r="CP9" s="208"/>
      <c r="CQ9" s="201"/>
      <c r="CR9" s="201"/>
      <c r="CS9" s="284"/>
      <c r="CT9" s="286">
        <f t="shared" si="20"/>
        <v>0</v>
      </c>
      <c r="CU9" s="27">
        <f t="shared" si="20"/>
        <v>25.777000000000001</v>
      </c>
      <c r="CV9" s="28">
        <f t="shared" si="20"/>
        <v>159.93200000000002</v>
      </c>
      <c r="CW9" s="27">
        <f t="shared" si="20"/>
        <v>381.93797960000006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154.77000000000001</v>
      </c>
      <c r="DD9" s="280">
        <f t="shared" si="21"/>
        <v>186.14</v>
      </c>
      <c r="DE9" s="508">
        <f t="shared" si="36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7"/>
        <v>0</v>
      </c>
      <c r="DM9" s="197">
        <v>103.102</v>
      </c>
      <c r="DN9" s="247">
        <f t="shared" si="38"/>
        <v>159.93200000000002</v>
      </c>
      <c r="DO9" s="197">
        <v>124.84</v>
      </c>
      <c r="DP9" s="247">
        <f t="shared" si="39"/>
        <v>154.77000000000001</v>
      </c>
    </row>
    <row r="10" spans="1:120" ht="16.5" customHeight="1" thickBot="1">
      <c r="A10" s="534">
        <v>4</v>
      </c>
      <c r="B10" s="103">
        <f t="shared" si="24"/>
        <v>572.82899999999995</v>
      </c>
      <c r="C10" s="104">
        <f t="shared" si="0"/>
        <v>1.0134987928334636</v>
      </c>
      <c r="D10" s="448">
        <f t="shared" si="1"/>
        <v>567.02338499999996</v>
      </c>
      <c r="E10" s="104">
        <f t="shared" si="2"/>
        <v>39.734279531937112</v>
      </c>
      <c r="F10" s="128">
        <f t="shared" si="3"/>
        <v>2.336617175282329</v>
      </c>
      <c r="G10" s="106"/>
      <c r="H10" s="107">
        <f t="shared" si="4"/>
        <v>1.5710130692693942</v>
      </c>
      <c r="I10" s="103">
        <f>'[1]сентябрь 20'!AE9</f>
        <v>0</v>
      </c>
      <c r="J10" s="103">
        <f>'[1]ноябрь 20'!AA9</f>
        <v>9.8450000000000006</v>
      </c>
      <c r="K10" s="106">
        <v>37.880000000000003</v>
      </c>
      <c r="L10" s="103">
        <f t="shared" si="25"/>
        <v>185.78799999999998</v>
      </c>
      <c r="M10" s="103">
        <f t="shared" si="5"/>
        <v>0.76560410601293516</v>
      </c>
      <c r="N10" s="103">
        <f>'[1]август 20'!W9</f>
        <v>0</v>
      </c>
      <c r="O10" s="103">
        <f>'[1]сентябрь 20'!AM9</f>
        <v>0</v>
      </c>
      <c r="P10" s="447">
        <f t="shared" si="26"/>
        <v>0</v>
      </c>
      <c r="Q10" s="103">
        <f t="shared" si="27"/>
        <v>0</v>
      </c>
      <c r="R10" s="103">
        <v>356.82</v>
      </c>
      <c r="S10" s="108">
        <f t="shared" si="6"/>
        <v>3.5956504680230927</v>
      </c>
      <c r="T10" s="109">
        <f t="shared" si="7"/>
        <v>343.99</v>
      </c>
      <c r="U10" s="106"/>
      <c r="V10" s="109">
        <f t="shared" si="8"/>
        <v>343.99</v>
      </c>
      <c r="W10" s="110">
        <f t="shared" si="9"/>
        <v>1.4175304994261719</v>
      </c>
      <c r="X10" s="110">
        <f t="shared" si="28"/>
        <v>1.4175304994261719</v>
      </c>
      <c r="Y10" s="136">
        <v>199.65</v>
      </c>
      <c r="Z10" s="130">
        <v>242.67</v>
      </c>
      <c r="AA10" s="131">
        <v>0.38</v>
      </c>
      <c r="AB10" s="112">
        <v>647</v>
      </c>
      <c r="AC10" s="112">
        <v>1226</v>
      </c>
      <c r="AD10" s="144" t="s">
        <v>476</v>
      </c>
      <c r="AE10" s="131">
        <v>75.69</v>
      </c>
      <c r="AF10" s="133">
        <v>172</v>
      </c>
      <c r="AG10" s="134">
        <v>5</v>
      </c>
      <c r="AH10" s="131">
        <v>9.6</v>
      </c>
      <c r="AI10" s="115">
        <f t="shared" si="10"/>
        <v>39.560140685750312</v>
      </c>
      <c r="AJ10" s="131">
        <v>147.69999999999999</v>
      </c>
      <c r="AK10" s="115">
        <f t="shared" si="11"/>
        <v>608.6492478422208</v>
      </c>
      <c r="AL10" s="131">
        <v>36.43</v>
      </c>
      <c r="AM10" s="116"/>
      <c r="AN10" s="135">
        <v>12.63</v>
      </c>
      <c r="AO10" s="466">
        <f t="shared" si="29"/>
        <v>58.871500000000005</v>
      </c>
      <c r="AP10" s="110">
        <f t="shared" si="12"/>
        <v>0.19</v>
      </c>
      <c r="AQ10" s="137" t="s">
        <v>477</v>
      </c>
      <c r="AR10" s="150">
        <v>7.97</v>
      </c>
      <c r="AS10" s="138">
        <v>9.14</v>
      </c>
      <c r="AT10" s="131"/>
      <c r="AU10" s="131">
        <v>7.34</v>
      </c>
      <c r="AV10" s="315">
        <v>309.85000000000002</v>
      </c>
      <c r="AW10" s="131">
        <v>4.32</v>
      </c>
      <c r="AX10" s="116"/>
      <c r="AY10" s="131"/>
      <c r="AZ10" s="109"/>
      <c r="BA10" s="109">
        <f t="shared" si="13"/>
        <v>242.66850000000002</v>
      </c>
      <c r="BB10" s="115">
        <f>IF(AE10=0,0,((D10*0.97)*(E10/100)*0.9)/(AE10/100))</f>
        <v>259.86156611549512</v>
      </c>
      <c r="BC10" s="140">
        <f t="shared" si="14"/>
        <v>8.3980971830985904</v>
      </c>
      <c r="BD10" s="141">
        <f t="shared" si="15"/>
        <v>9.7067400000000017</v>
      </c>
      <c r="BE10" s="128">
        <f t="shared" si="16"/>
        <v>0.81524022065596169</v>
      </c>
      <c r="BF10" s="141">
        <f t="shared" si="17"/>
        <v>18.104837183098592</v>
      </c>
      <c r="BG10" s="535">
        <v>0.79</v>
      </c>
      <c r="BH10" s="16">
        <f t="shared" si="31"/>
        <v>933.04349999999999</v>
      </c>
      <c r="BI10" s="16">
        <f t="shared" si="18"/>
        <v>222.33333333333334</v>
      </c>
      <c r="BJ10" s="16">
        <f t="shared" si="32"/>
        <v>889.33333333333337</v>
      </c>
      <c r="BK10" s="17">
        <f t="shared" si="19"/>
        <v>1</v>
      </c>
      <c r="BL10" s="16">
        <f t="shared" si="33"/>
        <v>889.33333333333337</v>
      </c>
      <c r="BM10" s="249"/>
      <c r="BN10" s="195">
        <v>25.78</v>
      </c>
      <c r="BO10" s="266">
        <f t="shared" si="34"/>
        <v>160.00799999999998</v>
      </c>
      <c r="BP10" s="244">
        <v>387.041</v>
      </c>
      <c r="BQ10" s="195"/>
      <c r="BR10" s="230"/>
      <c r="BS10" s="250"/>
      <c r="BT10" s="199"/>
      <c r="BU10" s="200"/>
      <c r="BV10" s="200"/>
      <c r="BW10" s="200"/>
      <c r="BX10" s="200">
        <v>1.5</v>
      </c>
      <c r="BY10" s="208"/>
      <c r="BZ10" s="208"/>
      <c r="CA10" s="201"/>
      <c r="CB10" s="202"/>
      <c r="CC10" s="200">
        <v>44.01</v>
      </c>
      <c r="CD10" s="200">
        <v>43.7</v>
      </c>
      <c r="CE10" s="200">
        <v>37.81</v>
      </c>
      <c r="CF10" s="200"/>
      <c r="CG10" s="200"/>
      <c r="CH10" s="200"/>
      <c r="CI10" s="203"/>
      <c r="CJ10" s="204"/>
      <c r="CK10" s="230"/>
      <c r="CL10" s="266">
        <f t="shared" si="35"/>
        <v>150.33000000000001</v>
      </c>
      <c r="CM10" s="453">
        <v>193.66</v>
      </c>
      <c r="CN10" s="202"/>
      <c r="CO10" s="208"/>
      <c r="CP10" s="208"/>
      <c r="CQ10" s="201"/>
      <c r="CR10" s="201"/>
      <c r="CS10" s="284"/>
      <c r="CT10" s="286">
        <f t="shared" si="20"/>
        <v>0</v>
      </c>
      <c r="CU10" s="29">
        <f t="shared" si="20"/>
        <v>25.78</v>
      </c>
      <c r="CV10" s="30">
        <f t="shared" si="20"/>
        <v>160.00799999999998</v>
      </c>
      <c r="CW10" s="29">
        <f t="shared" si="20"/>
        <v>381.23538500000001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150.33000000000001</v>
      </c>
      <c r="DD10" s="280">
        <f t="shared" si="21"/>
        <v>193.66</v>
      </c>
      <c r="DE10" s="508">
        <f t="shared" si="36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7"/>
        <v>0</v>
      </c>
      <c r="DM10" s="197">
        <v>103.178</v>
      </c>
      <c r="DN10" s="247">
        <f t="shared" si="38"/>
        <v>160.00799999999998</v>
      </c>
      <c r="DO10" s="197">
        <v>120.4</v>
      </c>
      <c r="DP10" s="247">
        <f t="shared" si="39"/>
        <v>150.33000000000001</v>
      </c>
    </row>
    <row r="11" spans="1:120" ht="16.5" customHeight="1" thickBot="1">
      <c r="A11" s="534">
        <v>5</v>
      </c>
      <c r="B11" s="103">
        <f t="shared" si="24"/>
        <v>563.78399999999999</v>
      </c>
      <c r="C11" s="104">
        <f t="shared" si="0"/>
        <v>0.49234187206447855</v>
      </c>
      <c r="D11" s="448">
        <f t="shared" si="1"/>
        <v>561.00825529999997</v>
      </c>
      <c r="E11" s="104">
        <f t="shared" si="2"/>
        <v>40.930075241581882</v>
      </c>
      <c r="F11" s="128">
        <f t="shared" si="3"/>
        <v>2.264399026040206</v>
      </c>
      <c r="G11" s="106"/>
      <c r="H11" s="107">
        <f>IF(BA11=0,0,(CZ11+CW11+CY11+CT11+CX11)/BA11)</f>
        <v>1.5235558828099931</v>
      </c>
      <c r="I11" s="103">
        <f>'[1]сентябрь 20'!AE10</f>
        <v>0</v>
      </c>
      <c r="J11" s="103">
        <f>'[1]ноябрь 20'!AA10</f>
        <v>8.4090000000000007</v>
      </c>
      <c r="K11" s="106"/>
      <c r="L11" s="103">
        <f t="shared" si="25"/>
        <v>183.54500000000002</v>
      </c>
      <c r="M11" s="103">
        <f t="shared" si="5"/>
        <v>0.74084314323021272</v>
      </c>
      <c r="N11" s="103">
        <f>'[1]август 20'!W10</f>
        <v>0</v>
      </c>
      <c r="O11" s="103">
        <f>'[1]сентябрь 20'!AM10</f>
        <v>0</v>
      </c>
      <c r="P11" s="447">
        <f t="shared" si="26"/>
        <v>0</v>
      </c>
      <c r="Q11" s="103">
        <f t="shared" si="27"/>
        <v>0</v>
      </c>
      <c r="R11" s="103">
        <v>351.75</v>
      </c>
      <c r="S11" s="108">
        <f t="shared" si="6"/>
        <v>3.0362473347548047</v>
      </c>
      <c r="T11" s="109">
        <f t="shared" si="7"/>
        <v>341.07</v>
      </c>
      <c r="U11" s="106">
        <v>49.55</v>
      </c>
      <c r="V11" s="109">
        <f t="shared" si="8"/>
        <v>341.07</v>
      </c>
      <c r="W11" s="110">
        <f t="shared" si="9"/>
        <v>1.3766616952874151</v>
      </c>
      <c r="X11" s="110">
        <f t="shared" si="28"/>
        <v>1.3766616952874151</v>
      </c>
      <c r="Y11" s="136">
        <v>247.75</v>
      </c>
      <c r="Z11" s="130">
        <v>208.44</v>
      </c>
      <c r="AA11" s="131">
        <v>0.78</v>
      </c>
      <c r="AB11" s="112">
        <v>646</v>
      </c>
      <c r="AC11" s="112">
        <v>1221</v>
      </c>
      <c r="AD11" s="144" t="s">
        <v>476</v>
      </c>
      <c r="AE11" s="131">
        <v>76.53</v>
      </c>
      <c r="AF11" s="133">
        <v>169</v>
      </c>
      <c r="AG11" s="134">
        <v>5</v>
      </c>
      <c r="AH11" s="131">
        <v>8.9499999999999993</v>
      </c>
      <c r="AI11" s="115">
        <f t="shared" si="10"/>
        <v>36.124907417311299</v>
      </c>
      <c r="AJ11" s="131">
        <v>138.65</v>
      </c>
      <c r="AK11" s="115">
        <f t="shared" si="11"/>
        <v>559.63334228047063</v>
      </c>
      <c r="AL11" s="131">
        <v>39.21</v>
      </c>
      <c r="AM11" s="116"/>
      <c r="AN11" s="135">
        <v>11.24</v>
      </c>
      <c r="AO11" s="466">
        <f t="shared" si="29"/>
        <v>59.878499999999995</v>
      </c>
      <c r="AP11" s="110">
        <f t="shared" si="12"/>
        <v>0.19</v>
      </c>
      <c r="AQ11" s="137" t="s">
        <v>382</v>
      </c>
      <c r="AR11" s="150">
        <v>7.82</v>
      </c>
      <c r="AS11" s="138">
        <v>9.6199999999999992</v>
      </c>
      <c r="AT11" s="131"/>
      <c r="AU11" s="131">
        <v>7.56</v>
      </c>
      <c r="AV11" s="315">
        <v>315.14999999999998</v>
      </c>
      <c r="AW11" s="131">
        <v>3.72</v>
      </c>
      <c r="AX11" s="145"/>
      <c r="AY11" s="131"/>
      <c r="AZ11" s="109"/>
      <c r="BA11" s="109">
        <f t="shared" si="13"/>
        <v>247.75149999999996</v>
      </c>
      <c r="BB11" s="115">
        <f t="shared" si="30"/>
        <v>261.93547782313112</v>
      </c>
      <c r="BC11" s="140">
        <f t="shared" si="14"/>
        <v>8.1198126760563376</v>
      </c>
      <c r="BD11" s="141">
        <f t="shared" si="15"/>
        <v>9.9100599999999996</v>
      </c>
      <c r="BE11" s="128">
        <f t="shared" si="16"/>
        <v>0.82572647774749042</v>
      </c>
      <c r="BF11" s="141">
        <f t="shared" si="17"/>
        <v>18.029872676056335</v>
      </c>
      <c r="BG11" s="535">
        <v>0.79800000000000004</v>
      </c>
      <c r="BH11" s="16">
        <f t="shared" si="31"/>
        <v>1180.7950000000001</v>
      </c>
      <c r="BI11" s="16">
        <f t="shared" si="18"/>
        <v>222.33333333333334</v>
      </c>
      <c r="BJ11" s="16">
        <f t="shared" si="32"/>
        <v>1111.6666666666667</v>
      </c>
      <c r="BK11" s="17">
        <f t="shared" si="19"/>
        <v>1</v>
      </c>
      <c r="BL11" s="16">
        <f t="shared" si="33"/>
        <v>1111.6666666666667</v>
      </c>
      <c r="BM11" s="249"/>
      <c r="BN11" s="195">
        <v>25.19</v>
      </c>
      <c r="BO11" s="266">
        <f t="shared" si="34"/>
        <v>158.35500000000002</v>
      </c>
      <c r="BP11" s="196">
        <v>380.23899999999998</v>
      </c>
      <c r="BQ11" s="230"/>
      <c r="BR11" s="230"/>
      <c r="BS11" s="250"/>
      <c r="BT11" s="199"/>
      <c r="BU11" s="200"/>
      <c r="BV11" s="200"/>
      <c r="BW11" s="200"/>
      <c r="BX11" s="200">
        <v>0.73</v>
      </c>
      <c r="BY11" s="208"/>
      <c r="BZ11" s="208"/>
      <c r="CA11" s="201"/>
      <c r="CB11" s="202"/>
      <c r="CC11" s="200">
        <v>44.01</v>
      </c>
      <c r="CD11" s="200">
        <v>43.85</v>
      </c>
      <c r="CE11" s="200">
        <v>39.51</v>
      </c>
      <c r="CF11" s="200"/>
      <c r="CG11" s="200"/>
      <c r="CH11" s="200"/>
      <c r="CI11" s="203"/>
      <c r="CJ11" s="204"/>
      <c r="CK11" s="230"/>
      <c r="CL11" s="266">
        <f t="shared" si="35"/>
        <v>148.22999999999999</v>
      </c>
      <c r="CM11" s="453">
        <v>192.84</v>
      </c>
      <c r="CN11" s="202"/>
      <c r="CO11" s="208"/>
      <c r="CP11" s="208"/>
      <c r="CQ11" s="201"/>
      <c r="CR11" s="201"/>
      <c r="CS11" s="284"/>
      <c r="CT11" s="286">
        <f t="shared" si="20"/>
        <v>0</v>
      </c>
      <c r="CU11" s="24">
        <f t="shared" si="20"/>
        <v>25.19</v>
      </c>
      <c r="CV11" s="25">
        <f t="shared" si="20"/>
        <v>158.35500000000002</v>
      </c>
      <c r="CW11" s="24">
        <f t="shared" si="20"/>
        <v>377.46325529999996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148.22999999999999</v>
      </c>
      <c r="DD11" s="280">
        <f t="shared" si="21"/>
        <v>192.84</v>
      </c>
      <c r="DE11" s="508">
        <f t="shared" si="36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7"/>
        <v>0</v>
      </c>
      <c r="DM11" s="197">
        <v>101.52500000000001</v>
      </c>
      <c r="DN11" s="247">
        <f t="shared" si="38"/>
        <v>158.35500000000002</v>
      </c>
      <c r="DO11" s="230">
        <v>118.3</v>
      </c>
      <c r="DP11" s="247">
        <f t="shared" si="39"/>
        <v>148.22999999999999</v>
      </c>
    </row>
    <row r="12" spans="1:120" ht="16.5" customHeight="1" thickBot="1">
      <c r="A12" s="534">
        <v>6</v>
      </c>
      <c r="B12" s="103">
        <f t="shared" si="24"/>
        <v>531.13799999999992</v>
      </c>
      <c r="C12" s="104">
        <f t="shared" si="0"/>
        <v>0.54219603944737538</v>
      </c>
      <c r="D12" s="448">
        <f t="shared" si="1"/>
        <v>528.25819079999997</v>
      </c>
      <c r="E12" s="104">
        <f t="shared" si="2"/>
        <v>39.278078032451091</v>
      </c>
      <c r="F12" s="128">
        <f t="shared" si="3"/>
        <v>2.5177391972432792</v>
      </c>
      <c r="G12" s="106"/>
      <c r="H12" s="107">
        <f t="shared" si="4"/>
        <v>1.6807808364054915</v>
      </c>
      <c r="I12" s="103">
        <f>'[1]сентябрь 20'!AE11</f>
        <v>0</v>
      </c>
      <c r="J12" s="103">
        <f>'[1]ноябрь 20'!AA11</f>
        <v>7.9</v>
      </c>
      <c r="K12" s="106">
        <v>26.67</v>
      </c>
      <c r="L12" s="103">
        <f t="shared" si="25"/>
        <v>175.60599999999999</v>
      </c>
      <c r="M12" s="103">
        <f t="shared" si="5"/>
        <v>0.83695836083778774</v>
      </c>
      <c r="N12" s="103">
        <f>'[1]август 20'!W11</f>
        <v>0</v>
      </c>
      <c r="O12" s="103">
        <f>'[1]сентябрь 20'!AM11</f>
        <v>0</v>
      </c>
      <c r="P12" s="447">
        <f t="shared" si="26"/>
        <v>0</v>
      </c>
      <c r="Q12" s="103">
        <f t="shared" si="27"/>
        <v>0</v>
      </c>
      <c r="R12" s="103">
        <v>330.57</v>
      </c>
      <c r="S12" s="108">
        <f t="shared" si="6"/>
        <v>3.4788395801191863</v>
      </c>
      <c r="T12" s="109">
        <f t="shared" si="7"/>
        <v>319.07</v>
      </c>
      <c r="U12" s="106">
        <v>4.71</v>
      </c>
      <c r="V12" s="109">
        <f t="shared" si="8"/>
        <v>319.07</v>
      </c>
      <c r="W12" s="110">
        <f t="shared" si="9"/>
        <v>1.5207242588095675</v>
      </c>
      <c r="X12" s="110">
        <f t="shared" si="28"/>
        <v>1.5207242588095675</v>
      </c>
      <c r="Y12" s="136">
        <v>209.81</v>
      </c>
      <c r="Z12" s="130">
        <v>209.81</v>
      </c>
      <c r="AA12" s="131">
        <v>0.7</v>
      </c>
      <c r="AB12" s="112">
        <v>656</v>
      </c>
      <c r="AC12" s="133">
        <v>1227</v>
      </c>
      <c r="AD12" s="144" t="s">
        <v>207</v>
      </c>
      <c r="AE12" s="131">
        <v>75.69</v>
      </c>
      <c r="AF12" s="133">
        <v>158</v>
      </c>
      <c r="AG12" s="134">
        <v>5</v>
      </c>
      <c r="AH12" s="131">
        <v>9.15</v>
      </c>
      <c r="AI12" s="115">
        <f t="shared" si="10"/>
        <v>43.609950694542093</v>
      </c>
      <c r="AJ12" s="131">
        <v>117.7</v>
      </c>
      <c r="AK12" s="115">
        <f t="shared" si="11"/>
        <v>560.97171549154143</v>
      </c>
      <c r="AL12" s="131">
        <v>34.6</v>
      </c>
      <c r="AM12" s="116"/>
      <c r="AN12" s="135">
        <v>12.94</v>
      </c>
      <c r="AO12" s="466">
        <f t="shared" si="29"/>
        <v>51.575499999999998</v>
      </c>
      <c r="AP12" s="110">
        <f t="shared" si="12"/>
        <v>0.19</v>
      </c>
      <c r="AQ12" s="137" t="s">
        <v>376</v>
      </c>
      <c r="AR12" s="150">
        <v>7.2</v>
      </c>
      <c r="AS12" s="138">
        <v>8.84</v>
      </c>
      <c r="AT12" s="131"/>
      <c r="AU12" s="131">
        <v>7.91</v>
      </c>
      <c r="AV12" s="315">
        <v>271.45</v>
      </c>
      <c r="AW12" s="131">
        <v>2.88</v>
      </c>
      <c r="AX12" s="116"/>
      <c r="AY12" s="131"/>
      <c r="AZ12" s="109"/>
      <c r="BA12" s="109">
        <f t="shared" si="13"/>
        <v>209.81449999999998</v>
      </c>
      <c r="BB12" s="115">
        <f t="shared" si="30"/>
        <v>239.31625976620833</v>
      </c>
      <c r="BC12" s="140">
        <f t="shared" si="14"/>
        <v>7.2120260563380292</v>
      </c>
      <c r="BD12" s="141">
        <f t="shared" si="15"/>
        <v>8.3925799999999988</v>
      </c>
      <c r="BE12" s="128">
        <f t="shared" si="16"/>
        <v>0.76538075047194709</v>
      </c>
      <c r="BF12" s="141">
        <f t="shared" si="17"/>
        <v>15.604606056338028</v>
      </c>
      <c r="BG12" s="535">
        <v>0.79300000000000004</v>
      </c>
      <c r="BH12" s="16">
        <f t="shared" si="31"/>
        <v>1390.6095</v>
      </c>
      <c r="BI12" s="16">
        <f t="shared" si="18"/>
        <v>222.33333333333334</v>
      </c>
      <c r="BJ12" s="16">
        <f t="shared" si="32"/>
        <v>1334</v>
      </c>
      <c r="BK12" s="17">
        <f t="shared" si="19"/>
        <v>1</v>
      </c>
      <c r="BL12" s="16">
        <f t="shared" si="33"/>
        <v>1334</v>
      </c>
      <c r="BM12" s="249"/>
      <c r="BN12" s="195">
        <v>23.954999999999998</v>
      </c>
      <c r="BO12" s="266">
        <f t="shared" si="34"/>
        <v>151.65100000000001</v>
      </c>
      <c r="BP12" s="196">
        <v>355.53199999999998</v>
      </c>
      <c r="BQ12" s="230"/>
      <c r="BR12" s="230"/>
      <c r="BS12" s="250"/>
      <c r="BT12" s="199"/>
      <c r="BU12" s="200"/>
      <c r="BV12" s="200"/>
      <c r="BW12" s="200"/>
      <c r="BX12" s="200">
        <v>0.81</v>
      </c>
      <c r="BY12" s="208"/>
      <c r="BZ12" s="208"/>
      <c r="CA12" s="201"/>
      <c r="CB12" s="202"/>
      <c r="CC12" s="200">
        <v>43.7</v>
      </c>
      <c r="CD12" s="200">
        <v>43.85</v>
      </c>
      <c r="CE12" s="200">
        <v>37.03</v>
      </c>
      <c r="CF12" s="200"/>
      <c r="CG12" s="200"/>
      <c r="CH12" s="200"/>
      <c r="CI12" s="203"/>
      <c r="CJ12" s="204"/>
      <c r="CK12" s="230"/>
      <c r="CL12" s="266">
        <f t="shared" si="35"/>
        <v>140.53</v>
      </c>
      <c r="CM12" s="453">
        <v>178.54</v>
      </c>
      <c r="CN12" s="202"/>
      <c r="CO12" s="202"/>
      <c r="CP12" s="270"/>
      <c r="CQ12" s="201"/>
      <c r="CR12" s="201"/>
      <c r="CS12" s="284"/>
      <c r="CT12" s="286">
        <f t="shared" si="20"/>
        <v>0</v>
      </c>
      <c r="CU12" s="24">
        <f t="shared" si="20"/>
        <v>23.954999999999998</v>
      </c>
      <c r="CV12" s="25">
        <f t="shared" si="20"/>
        <v>151.65100000000001</v>
      </c>
      <c r="CW12" s="24">
        <f t="shared" si="20"/>
        <v>352.65219079999997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140.53</v>
      </c>
      <c r="DD12" s="280">
        <f t="shared" si="21"/>
        <v>178.54</v>
      </c>
      <c r="DE12" s="508">
        <f t="shared" si="36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7"/>
        <v>0</v>
      </c>
      <c r="DM12" s="271">
        <v>94.820999999999998</v>
      </c>
      <c r="DN12" s="247">
        <f t="shared" si="38"/>
        <v>151.65100000000001</v>
      </c>
      <c r="DO12" s="230">
        <v>110.6</v>
      </c>
      <c r="DP12" s="247">
        <f t="shared" si="39"/>
        <v>140.53</v>
      </c>
    </row>
    <row r="13" spans="1:120" ht="16.5" customHeight="1" thickBot="1">
      <c r="A13" s="534">
        <v>7</v>
      </c>
      <c r="B13" s="103">
        <f t="shared" si="24"/>
        <v>557.75800000000004</v>
      </c>
      <c r="C13" s="104">
        <f t="shared" si="0"/>
        <v>0.82841158710408458</v>
      </c>
      <c r="D13" s="448">
        <f t="shared" si="1"/>
        <v>553.13746810000009</v>
      </c>
      <c r="E13" s="104">
        <f t="shared" si="2"/>
        <v>39.334274201356145</v>
      </c>
      <c r="F13" s="128">
        <f t="shared" si="3"/>
        <v>2.4750153502305494</v>
      </c>
      <c r="G13" s="106"/>
      <c r="H13" s="107">
        <f t="shared" si="4"/>
        <v>1.6601859518498714</v>
      </c>
      <c r="I13" s="103">
        <f>'[1]сентябрь 20'!AE12</f>
        <v>0</v>
      </c>
      <c r="J13" s="103">
        <f>'[1]ноябрь 20'!AA12</f>
        <v>7.3220000000000001</v>
      </c>
      <c r="K13" s="106"/>
      <c r="L13" s="103">
        <f t="shared" si="25"/>
        <v>182.10500000000002</v>
      </c>
      <c r="M13" s="103">
        <f t="shared" si="5"/>
        <v>0.81482939838067747</v>
      </c>
      <c r="N13" s="103">
        <f>'[1]август 20'!W12</f>
        <v>0</v>
      </c>
      <c r="O13" s="103">
        <f>'[1]сентябрь 20'!AM12</f>
        <v>0</v>
      </c>
      <c r="P13" s="447">
        <f t="shared" si="26"/>
        <v>0</v>
      </c>
      <c r="Q13" s="103">
        <f t="shared" si="27"/>
        <v>0</v>
      </c>
      <c r="R13" s="103">
        <v>350.5</v>
      </c>
      <c r="S13" s="108">
        <f t="shared" si="6"/>
        <v>3.4122681883024142</v>
      </c>
      <c r="T13" s="109">
        <f t="shared" si="7"/>
        <v>338.54</v>
      </c>
      <c r="U13" s="106"/>
      <c r="V13" s="109">
        <f t="shared" si="8"/>
        <v>338.54</v>
      </c>
      <c r="W13" s="110">
        <f t="shared" si="9"/>
        <v>1.5147983005836991</v>
      </c>
      <c r="X13" s="110">
        <f t="shared" si="28"/>
        <v>1.5147983005836991</v>
      </c>
      <c r="Y13" s="136">
        <v>223.49</v>
      </c>
      <c r="Z13" s="130">
        <v>223.49</v>
      </c>
      <c r="AA13" s="131">
        <v>0.62</v>
      </c>
      <c r="AB13" s="146">
        <v>650</v>
      </c>
      <c r="AC13" s="147">
        <v>1226</v>
      </c>
      <c r="AD13" s="144" t="s">
        <v>181</v>
      </c>
      <c r="AE13" s="131">
        <v>75.900000000000006</v>
      </c>
      <c r="AF13" s="133">
        <v>168</v>
      </c>
      <c r="AG13" s="134">
        <v>5</v>
      </c>
      <c r="AH13" s="131">
        <v>18.55</v>
      </c>
      <c r="AI13" s="115">
        <f t="shared" si="10"/>
        <v>83.002033661687307</v>
      </c>
      <c r="AJ13" s="131">
        <v>129.35</v>
      </c>
      <c r="AK13" s="115">
        <f t="shared" si="11"/>
        <v>578.77698405063347</v>
      </c>
      <c r="AL13" s="131">
        <v>36.6</v>
      </c>
      <c r="AM13" s="116"/>
      <c r="AN13" s="135">
        <v>14.52</v>
      </c>
      <c r="AO13" s="466">
        <f t="shared" si="29"/>
        <v>54.881500000000003</v>
      </c>
      <c r="AP13" s="110">
        <f t="shared" si="12"/>
        <v>0.19</v>
      </c>
      <c r="AQ13" s="137" t="s">
        <v>353</v>
      </c>
      <c r="AR13" s="150">
        <v>7.58</v>
      </c>
      <c r="AS13" s="138">
        <v>9.39</v>
      </c>
      <c r="AT13" s="131"/>
      <c r="AU13" s="131">
        <v>7.43</v>
      </c>
      <c r="AV13" s="315">
        <v>288.85000000000002</v>
      </c>
      <c r="AW13" s="131">
        <v>4.04</v>
      </c>
      <c r="AX13" s="148"/>
      <c r="AY13" s="149"/>
      <c r="AZ13" s="109"/>
      <c r="BA13" s="109">
        <f t="shared" si="13"/>
        <v>223.48849999999999</v>
      </c>
      <c r="BB13" s="115">
        <f t="shared" si="30"/>
        <v>250.25149821403892</v>
      </c>
      <c r="BC13" s="140">
        <f t="shared" si="14"/>
        <v>7.4449123239436608</v>
      </c>
      <c r="BD13" s="141">
        <f t="shared" si="15"/>
        <v>8.9395399999999992</v>
      </c>
      <c r="BE13" s="128">
        <f t="shared" si="16"/>
        <v>0.77963753221220389</v>
      </c>
      <c r="BF13" s="141">
        <f t="shared" si="17"/>
        <v>16.384452323943659</v>
      </c>
      <c r="BG13" s="535">
        <v>0.79100000000000004</v>
      </c>
      <c r="BH13" s="16">
        <f t="shared" si="31"/>
        <v>1614.098</v>
      </c>
      <c r="BI13" s="16">
        <f t="shared" si="18"/>
        <v>222.33333333333334</v>
      </c>
      <c r="BJ13" s="16">
        <f t="shared" si="32"/>
        <v>1556.3333333333333</v>
      </c>
      <c r="BK13" s="17">
        <f t="shared" si="19"/>
        <v>1</v>
      </c>
      <c r="BL13" s="16">
        <f t="shared" si="33"/>
        <v>1556.3333333333333</v>
      </c>
      <c r="BM13" s="249"/>
      <c r="BN13" s="195">
        <v>25.233000000000001</v>
      </c>
      <c r="BO13" s="266">
        <f t="shared" si="34"/>
        <v>156.87200000000001</v>
      </c>
      <c r="BP13" s="196">
        <v>375.65300000000002</v>
      </c>
      <c r="BQ13" s="313"/>
      <c r="BR13" s="230"/>
      <c r="BS13" s="250"/>
      <c r="BT13" s="199"/>
      <c r="BU13" s="200"/>
      <c r="BV13" s="200"/>
      <c r="BW13" s="200"/>
      <c r="BX13" s="200">
        <v>1.23</v>
      </c>
      <c r="BY13" s="208"/>
      <c r="BZ13" s="208"/>
      <c r="CA13" s="201"/>
      <c r="CB13" s="202"/>
      <c r="CC13" s="200">
        <v>43.7</v>
      </c>
      <c r="CD13" s="202">
        <v>43.24</v>
      </c>
      <c r="CE13" s="200">
        <v>37.409999999999997</v>
      </c>
      <c r="CF13" s="200"/>
      <c r="CG13" s="200"/>
      <c r="CH13" s="200"/>
      <c r="CI13" s="203"/>
      <c r="CJ13" s="204"/>
      <c r="CK13" s="230"/>
      <c r="CL13" s="266">
        <f t="shared" si="35"/>
        <v>146.83000000000001</v>
      </c>
      <c r="CM13" s="454">
        <v>191.71</v>
      </c>
      <c r="CN13" s="202"/>
      <c r="CO13" s="202"/>
      <c r="CP13" s="270"/>
      <c r="CQ13" s="201"/>
      <c r="CR13" s="201"/>
      <c r="CS13" s="284"/>
      <c r="CT13" s="286">
        <f t="shared" si="20"/>
        <v>0</v>
      </c>
      <c r="CU13" s="24">
        <f t="shared" si="20"/>
        <v>25.233000000000001</v>
      </c>
      <c r="CV13" s="25">
        <f t="shared" si="20"/>
        <v>156.87200000000001</v>
      </c>
      <c r="CW13" s="24">
        <f t="shared" si="20"/>
        <v>371.03246809999996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146.83000000000001</v>
      </c>
      <c r="DD13" s="280">
        <f t="shared" si="21"/>
        <v>191.71</v>
      </c>
      <c r="DE13" s="508">
        <f t="shared" si="36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7"/>
        <v>0</v>
      </c>
      <c r="DM13" s="266">
        <v>100.042</v>
      </c>
      <c r="DN13" s="247">
        <f t="shared" si="38"/>
        <v>156.87200000000001</v>
      </c>
      <c r="DO13" s="264">
        <v>116.9</v>
      </c>
      <c r="DP13" s="247">
        <f t="shared" si="39"/>
        <v>146.83000000000001</v>
      </c>
    </row>
    <row r="14" spans="1:120" ht="16.5" customHeight="1" thickBot="1">
      <c r="A14" s="534">
        <v>8</v>
      </c>
      <c r="B14" s="103">
        <f t="shared" si="24"/>
        <v>563.96900000000005</v>
      </c>
      <c r="C14" s="104">
        <f>IF(B14=0,0,(BM14*BU14+BN14*BV14+BP14*BX14+BS14*CA14+BO14*BW14+BR14*BZ14+BQ14*BY14)/B14)</f>
        <v>0.38432037931162877</v>
      </c>
      <c r="D14" s="448">
        <f>B14*((100-C14)/100)</f>
        <v>561.80155220000006</v>
      </c>
      <c r="E14" s="104">
        <f>IF(B14=0,0,(BM14*CB14+BN14*CC14+BP14*CE14+BS14*CH14+BO14*CD14+BR14*CG14+BQ14*CF14)/B14)</f>
        <v>39.807377018949616</v>
      </c>
      <c r="F14" s="128">
        <f>IF(BA14=0,0,D14/BA14)</f>
        <v>2.3607190222666707</v>
      </c>
      <c r="G14" s="106"/>
      <c r="H14" s="107">
        <f>IF(BA14=0,0,(CZ14+CW14+CY14+CT14+CX14)/BA14)</f>
        <v>1.5887391416889727</v>
      </c>
      <c r="I14" s="103">
        <f>'[1]сентябрь 20'!AE13</f>
        <v>0</v>
      </c>
      <c r="J14" s="103">
        <f>'[1]ноябрь 20'!AA13</f>
        <v>12.442</v>
      </c>
      <c r="K14" s="106">
        <v>26.87</v>
      </c>
      <c r="L14" s="103">
        <f t="shared" si="25"/>
        <v>183.71499999999997</v>
      </c>
      <c r="M14" s="103">
        <f>IF(BA14=0,0,(CV14+CU14)/BA14)</f>
        <v>0.77197988057769784</v>
      </c>
      <c r="N14" s="103">
        <f>'[1]август 20'!W13</f>
        <v>0</v>
      </c>
      <c r="O14" s="103">
        <f>'[1]сентябрь 20'!AM13</f>
        <v>0</v>
      </c>
      <c r="P14" s="447">
        <f t="shared" si="26"/>
        <v>0</v>
      </c>
      <c r="Q14" s="103">
        <f t="shared" si="27"/>
        <v>0</v>
      </c>
      <c r="R14" s="103">
        <v>351.8</v>
      </c>
      <c r="S14" s="108">
        <f>IF(R14=0,0,(1-(V14/R14))*100)</f>
        <v>3.4963047185901153</v>
      </c>
      <c r="T14" s="109">
        <f>R14*((100-S14)/100)</f>
        <v>339.5</v>
      </c>
      <c r="U14" s="106"/>
      <c r="V14" s="109">
        <f>CJ14+CK14+CM14+CL14</f>
        <v>339.5</v>
      </c>
      <c r="W14" s="110">
        <f>IF(BA14=0,0,T14/BA14)</f>
        <v>1.4265964643939171</v>
      </c>
      <c r="X14" s="110">
        <f t="shared" si="28"/>
        <v>1.4265964643939171</v>
      </c>
      <c r="Y14" s="136">
        <v>237.98</v>
      </c>
      <c r="Z14" s="130">
        <v>191.63</v>
      </c>
      <c r="AA14" s="131">
        <v>0.66</v>
      </c>
      <c r="AB14" s="146">
        <v>639</v>
      </c>
      <c r="AC14" s="147">
        <v>1237</v>
      </c>
      <c r="AD14" s="144" t="s">
        <v>252</v>
      </c>
      <c r="AE14" s="131">
        <v>75.78</v>
      </c>
      <c r="AF14" s="133">
        <v>169</v>
      </c>
      <c r="AG14" s="134">
        <v>5</v>
      </c>
      <c r="AH14" s="131">
        <v>9.4</v>
      </c>
      <c r="AI14" s="115">
        <f t="shared" si="10"/>
        <v>39.499283550229222</v>
      </c>
      <c r="AJ14" s="131">
        <v>136.69999999999999</v>
      </c>
      <c r="AK14" s="115">
        <f>IF(BA14=0,0,AJ14/BA14*1000)</f>
        <v>574.42043205492905</v>
      </c>
      <c r="AL14" s="131">
        <v>31.97</v>
      </c>
      <c r="AM14" s="116"/>
      <c r="AN14" s="135">
        <v>13.98</v>
      </c>
      <c r="AO14" s="466">
        <f t="shared" si="29"/>
        <v>58.310999999999993</v>
      </c>
      <c r="AP14" s="110">
        <f>IF(AO14=0,0,AO14/AV14)</f>
        <v>0.19</v>
      </c>
      <c r="AQ14" s="137" t="s">
        <v>374</v>
      </c>
      <c r="AR14" s="150">
        <v>7.61</v>
      </c>
      <c r="AS14" s="138">
        <v>9.48</v>
      </c>
      <c r="AT14" s="131"/>
      <c r="AU14" s="131">
        <v>7.6</v>
      </c>
      <c r="AV14" s="315">
        <v>306.89999999999998</v>
      </c>
      <c r="AW14" s="131">
        <v>3.37</v>
      </c>
      <c r="AX14" s="148"/>
      <c r="AY14" s="149"/>
      <c r="AZ14" s="109"/>
      <c r="BA14" s="109">
        <f>AV14-AO14-AN14+AY14+AW14</f>
        <v>237.97900000000001</v>
      </c>
      <c r="BB14" s="115">
        <f>IF(AE14=0,0,((D14*0.97)*(E14/100)*0.9)/(AE14/100))</f>
        <v>257.63575786590036</v>
      </c>
      <c r="BC14" s="140">
        <f>(AJ14*AU14)/100*(55/71)</f>
        <v>8.0479718309859134</v>
      </c>
      <c r="BD14" s="141">
        <f>BA14*$BD$6</f>
        <v>9.5191600000000012</v>
      </c>
      <c r="BE14" s="128">
        <f>IF((D14*E14)=0,0,(BA14*AE14)/(D14*E14))</f>
        <v>0.80639298178530416</v>
      </c>
      <c r="BF14" s="141">
        <f>BC14+BD14</f>
        <v>17.567131830985915</v>
      </c>
      <c r="BG14" s="535">
        <v>0.79300000000000004</v>
      </c>
      <c r="BH14" s="16">
        <f>BH13+BA14</f>
        <v>1852.077</v>
      </c>
      <c r="BI14" s="16">
        <f>IF(A14&lt;=$BG$43,$AV$43,0)</f>
        <v>222.33333333333334</v>
      </c>
      <c r="BJ14" s="16">
        <f>BI14+BJ13</f>
        <v>1778.6666666666665</v>
      </c>
      <c r="BK14" s="17">
        <f>IF(BA14&lt;&gt;0,1,0)</f>
        <v>1</v>
      </c>
      <c r="BL14" s="16">
        <f>BL13+BI14*BK14</f>
        <v>1778.6666666666665</v>
      </c>
      <c r="BM14" s="249"/>
      <c r="BN14" s="195">
        <v>25.481000000000002</v>
      </c>
      <c r="BO14" s="266">
        <f t="shared" si="34"/>
        <v>158.23399999999998</v>
      </c>
      <c r="BP14" s="196">
        <v>380.25400000000002</v>
      </c>
      <c r="BQ14" s="313"/>
      <c r="BR14" s="230"/>
      <c r="BS14" s="250"/>
      <c r="BT14" s="199"/>
      <c r="BU14" s="200"/>
      <c r="BV14" s="200"/>
      <c r="BW14" s="200"/>
      <c r="BX14" s="200">
        <v>0.56999999999999995</v>
      </c>
      <c r="BY14" s="208"/>
      <c r="BZ14" s="208"/>
      <c r="CA14" s="201"/>
      <c r="CB14" s="202"/>
      <c r="CC14" s="200">
        <v>43.09</v>
      </c>
      <c r="CD14" s="200">
        <v>43.55</v>
      </c>
      <c r="CE14" s="200">
        <v>38.03</v>
      </c>
      <c r="CF14" s="200"/>
      <c r="CG14" s="200"/>
      <c r="CH14" s="200"/>
      <c r="CI14" s="203"/>
      <c r="CJ14" s="204"/>
      <c r="CK14" s="230"/>
      <c r="CL14" s="266">
        <f t="shared" si="35"/>
        <v>148.22999999999999</v>
      </c>
      <c r="CM14" s="454">
        <v>191.27</v>
      </c>
      <c r="CN14" s="202"/>
      <c r="CO14" s="202"/>
      <c r="CP14" s="270"/>
      <c r="CQ14" s="201"/>
      <c r="CR14" s="201"/>
      <c r="CS14" s="284"/>
      <c r="CT14" s="286">
        <f t="shared" si="20"/>
        <v>0</v>
      </c>
      <c r="CU14" s="27">
        <f t="shared" si="20"/>
        <v>25.481000000000002</v>
      </c>
      <c r="CV14" s="28">
        <f t="shared" si="20"/>
        <v>158.23399999999998</v>
      </c>
      <c r="CW14" s="27">
        <f t="shared" si="20"/>
        <v>378.08655220000003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148.22999999999999</v>
      </c>
      <c r="DD14" s="280">
        <f t="shared" si="21"/>
        <v>191.27</v>
      </c>
      <c r="DE14" s="508">
        <f t="shared" si="36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7"/>
        <v>0</v>
      </c>
      <c r="DM14" s="230">
        <v>101.404</v>
      </c>
      <c r="DN14" s="247">
        <f t="shared" si="38"/>
        <v>158.23399999999998</v>
      </c>
      <c r="DO14" s="264">
        <v>118.3</v>
      </c>
      <c r="DP14" s="247">
        <f t="shared" si="39"/>
        <v>148.22999999999999</v>
      </c>
    </row>
    <row r="15" spans="1:120" ht="16.5" customHeight="1" thickBot="1">
      <c r="A15" s="536">
        <v>9</v>
      </c>
      <c r="B15" s="103">
        <f t="shared" si="24"/>
        <v>539.65099999999995</v>
      </c>
      <c r="C15" s="104">
        <f t="shared" si="0"/>
        <v>0.44970430889593466</v>
      </c>
      <c r="D15" s="448">
        <f t="shared" si="1"/>
        <v>537.22416620000001</v>
      </c>
      <c r="E15" s="104">
        <f t="shared" si="2"/>
        <v>39.431911457590189</v>
      </c>
      <c r="F15" s="128">
        <f t="shared" si="3"/>
        <v>2.2503090944505062</v>
      </c>
      <c r="G15" s="106"/>
      <c r="H15" s="107">
        <f t="shared" si="4"/>
        <v>1.5070661059298338</v>
      </c>
      <c r="I15" s="103">
        <f>'[1]сентябрь 20'!AE14</f>
        <v>0</v>
      </c>
      <c r="J15" s="103">
        <f>'[1]ноябрь 20'!AA14</f>
        <v>12.798</v>
      </c>
      <c r="K15" s="106"/>
      <c r="L15" s="103">
        <f t="shared" si="25"/>
        <v>177.43699999999998</v>
      </c>
      <c r="M15" s="103">
        <f t="shared" si="5"/>
        <v>0.7432429885206725</v>
      </c>
      <c r="N15" s="103">
        <f>'[1]август 20'!W14</f>
        <v>0</v>
      </c>
      <c r="O15" s="103">
        <f>'[1]сентябрь 20'!AM14</f>
        <v>0</v>
      </c>
      <c r="P15" s="447">
        <f t="shared" si="26"/>
        <v>0</v>
      </c>
      <c r="Q15" s="103">
        <f t="shared" si="27"/>
        <v>0</v>
      </c>
      <c r="R15" s="103">
        <v>338.3</v>
      </c>
      <c r="S15" s="108">
        <f t="shared" si="6"/>
        <v>3.5205438959503454</v>
      </c>
      <c r="T15" s="109">
        <f t="shared" si="7"/>
        <v>326.39000000000004</v>
      </c>
      <c r="U15" s="106">
        <v>51.97</v>
      </c>
      <c r="V15" s="109">
        <f t="shared" si="8"/>
        <v>326.39</v>
      </c>
      <c r="W15" s="110">
        <f t="shared" si="9"/>
        <v>1.3671730192871969</v>
      </c>
      <c r="X15" s="110">
        <f t="shared" si="28"/>
        <v>1.3671730192871969</v>
      </c>
      <c r="Y15" s="136">
        <v>238.73</v>
      </c>
      <c r="Z15" s="130">
        <v>195.64</v>
      </c>
      <c r="AA15" s="131">
        <v>0.92</v>
      </c>
      <c r="AB15" s="112">
        <v>663</v>
      </c>
      <c r="AC15" s="133">
        <v>1235</v>
      </c>
      <c r="AD15" s="144" t="s">
        <v>478</v>
      </c>
      <c r="AE15" s="131">
        <v>75.760000000000005</v>
      </c>
      <c r="AF15" s="133">
        <v>161</v>
      </c>
      <c r="AG15" s="134">
        <v>5</v>
      </c>
      <c r="AH15" s="131">
        <v>8.9</v>
      </c>
      <c r="AI15" s="115">
        <f t="shared" si="10"/>
        <v>37.280063334219953</v>
      </c>
      <c r="AJ15" s="131">
        <v>138.69999999999999</v>
      </c>
      <c r="AK15" s="115">
        <f t="shared" si="11"/>
        <v>580.98256005127053</v>
      </c>
      <c r="AL15" s="131">
        <v>34.61</v>
      </c>
      <c r="AM15" s="116"/>
      <c r="AN15" s="135">
        <v>15.32</v>
      </c>
      <c r="AO15" s="466">
        <f t="shared" si="29"/>
        <v>58.776500000000006</v>
      </c>
      <c r="AP15" s="110">
        <f t="shared" si="12"/>
        <v>0.19</v>
      </c>
      <c r="AQ15" s="137" t="s">
        <v>475</v>
      </c>
      <c r="AR15" s="150">
        <v>7.66</v>
      </c>
      <c r="AS15" s="138">
        <v>9.5500000000000007</v>
      </c>
      <c r="AT15" s="131"/>
      <c r="AU15" s="131">
        <v>6.96</v>
      </c>
      <c r="AV15" s="315">
        <v>309.35000000000002</v>
      </c>
      <c r="AW15" s="131">
        <v>3.48</v>
      </c>
      <c r="AX15" s="116"/>
      <c r="AY15" s="131"/>
      <c r="AZ15" s="109"/>
      <c r="BA15" s="109">
        <f t="shared" si="13"/>
        <v>238.73350000000002</v>
      </c>
      <c r="BB15" s="115">
        <f t="shared" si="30"/>
        <v>244.10554690677998</v>
      </c>
      <c r="BC15" s="140">
        <f t="shared" si="14"/>
        <v>7.4780788732394354</v>
      </c>
      <c r="BD15" s="141">
        <f t="shared" si="15"/>
        <v>9.5493400000000008</v>
      </c>
      <c r="BE15" s="128">
        <f t="shared" si="16"/>
        <v>0.85378783129246205</v>
      </c>
      <c r="BF15" s="141">
        <f t="shared" si="17"/>
        <v>17.027418873239437</v>
      </c>
      <c r="BG15" s="535">
        <v>0.79900000000000004</v>
      </c>
      <c r="BH15" s="16">
        <f t="shared" si="31"/>
        <v>2090.8105</v>
      </c>
      <c r="BI15" s="16">
        <f t="shared" si="18"/>
        <v>222.33333333333334</v>
      </c>
      <c r="BJ15" s="16">
        <f t="shared" si="32"/>
        <v>2000.9999999999998</v>
      </c>
      <c r="BK15" s="17">
        <f t="shared" si="19"/>
        <v>1</v>
      </c>
      <c r="BL15" s="16">
        <f t="shared" si="33"/>
        <v>2000.9999999999998</v>
      </c>
      <c r="BM15" s="249"/>
      <c r="BN15" s="195">
        <v>23.981999999999999</v>
      </c>
      <c r="BO15" s="266">
        <f t="shared" si="34"/>
        <v>153.45499999999998</v>
      </c>
      <c r="BP15" s="196">
        <v>362.214</v>
      </c>
      <c r="BQ15" s="230"/>
      <c r="BR15" s="195"/>
      <c r="BS15" s="329"/>
      <c r="BT15" s="199"/>
      <c r="BU15" s="200"/>
      <c r="BV15" s="200"/>
      <c r="BW15" s="200"/>
      <c r="BX15" s="200">
        <v>0.67</v>
      </c>
      <c r="BY15" s="208"/>
      <c r="BZ15" s="208"/>
      <c r="CA15" s="330"/>
      <c r="CB15" s="202"/>
      <c r="CC15" s="200">
        <v>43.24</v>
      </c>
      <c r="CD15" s="200">
        <v>43.09</v>
      </c>
      <c r="CE15" s="200">
        <v>37.630000000000003</v>
      </c>
      <c r="CF15" s="200"/>
      <c r="CG15" s="200"/>
      <c r="CH15" s="200"/>
      <c r="CI15" s="203"/>
      <c r="CJ15" s="204"/>
      <c r="CK15" s="230"/>
      <c r="CL15" s="266">
        <f t="shared" si="35"/>
        <v>143.33000000000001</v>
      </c>
      <c r="CM15" s="454">
        <v>183.06</v>
      </c>
      <c r="CN15" s="202"/>
      <c r="CO15" s="208"/>
      <c r="CP15" s="208"/>
      <c r="CQ15" s="201"/>
      <c r="CR15" s="201"/>
      <c r="CS15" s="284"/>
      <c r="CT15" s="286">
        <f t="shared" si="20"/>
        <v>0</v>
      </c>
      <c r="CU15" s="29">
        <f t="shared" si="20"/>
        <v>23.981999999999999</v>
      </c>
      <c r="CV15" s="30">
        <f t="shared" si="20"/>
        <v>153.45499999999998</v>
      </c>
      <c r="CW15" s="29">
        <f t="shared" si="20"/>
        <v>359.7871662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143.33000000000001</v>
      </c>
      <c r="DD15" s="280">
        <f t="shared" si="21"/>
        <v>183.06</v>
      </c>
      <c r="DE15" s="508">
        <f t="shared" si="36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7"/>
        <v>0</v>
      </c>
      <c r="DM15" s="195">
        <v>96.625</v>
      </c>
      <c r="DN15" s="247">
        <f t="shared" si="38"/>
        <v>153.45499999999998</v>
      </c>
      <c r="DO15" s="266">
        <v>113.4</v>
      </c>
      <c r="DP15" s="247">
        <f t="shared" si="39"/>
        <v>143.33000000000001</v>
      </c>
    </row>
    <row r="16" spans="1:120" ht="16.5" customHeight="1" thickBot="1">
      <c r="A16" s="534">
        <v>10</v>
      </c>
      <c r="B16" s="103">
        <f t="shared" si="24"/>
        <v>584.85300000000007</v>
      </c>
      <c r="C16" s="104">
        <f t="shared" si="0"/>
        <v>0.51460514009503244</v>
      </c>
      <c r="D16" s="448">
        <f t="shared" si="1"/>
        <v>581.84331640000005</v>
      </c>
      <c r="E16" s="104">
        <f t="shared" si="2"/>
        <v>40.273813146209385</v>
      </c>
      <c r="F16" s="128">
        <f t="shared" si="3"/>
        <v>2.4111860942356307</v>
      </c>
      <c r="G16" s="106"/>
      <c r="H16" s="107">
        <f t="shared" si="4"/>
        <v>1.6286159562388629</v>
      </c>
      <c r="I16" s="103">
        <f>'[1]сентябрь 20'!AE15</f>
        <v>0</v>
      </c>
      <c r="J16" s="103">
        <f>'[1]ноябрь 20'!AA15</f>
        <v>13.186</v>
      </c>
      <c r="K16" s="106"/>
      <c r="L16" s="103">
        <f t="shared" si="25"/>
        <v>188.84199999999998</v>
      </c>
      <c r="M16" s="103">
        <f t="shared" si="5"/>
        <v>0.78257013799676756</v>
      </c>
      <c r="N16" s="103">
        <f>'[1]август 20'!W15</f>
        <v>0</v>
      </c>
      <c r="O16" s="103">
        <f>'[1]сентябрь 20'!AM15</f>
        <v>0</v>
      </c>
      <c r="P16" s="447">
        <f t="shared" si="26"/>
        <v>0</v>
      </c>
      <c r="Q16" s="103">
        <f t="shared" si="27"/>
        <v>0</v>
      </c>
      <c r="R16" s="103">
        <v>365.28</v>
      </c>
      <c r="S16" s="108">
        <f t="shared" si="6"/>
        <v>3.463096802452903</v>
      </c>
      <c r="T16" s="109">
        <f t="shared" si="7"/>
        <v>352.63</v>
      </c>
      <c r="U16" s="106">
        <v>55.12</v>
      </c>
      <c r="V16" s="109">
        <f t="shared" si="8"/>
        <v>352.63</v>
      </c>
      <c r="W16" s="110">
        <f t="shared" si="9"/>
        <v>1.4613153205420413</v>
      </c>
      <c r="X16" s="110">
        <f t="shared" si="28"/>
        <v>1.4613153205420413</v>
      </c>
      <c r="Y16" s="136">
        <v>200.5</v>
      </c>
      <c r="Z16" s="130">
        <v>200.5</v>
      </c>
      <c r="AA16" s="131">
        <v>0.85</v>
      </c>
      <c r="AB16" s="112">
        <v>617</v>
      </c>
      <c r="AC16" s="133">
        <v>1233</v>
      </c>
      <c r="AD16" s="144" t="s">
        <v>478</v>
      </c>
      <c r="AE16" s="131">
        <v>75.41</v>
      </c>
      <c r="AF16" s="133">
        <v>176</v>
      </c>
      <c r="AG16" s="134">
        <v>5</v>
      </c>
      <c r="AH16" s="131">
        <v>6.15</v>
      </c>
      <c r="AI16" s="115">
        <f t="shared" si="10"/>
        <v>25.485889519704944</v>
      </c>
      <c r="AJ16" s="131">
        <v>145.69999999999999</v>
      </c>
      <c r="AK16" s="115">
        <f t="shared" si="11"/>
        <v>603.78765902780651</v>
      </c>
      <c r="AL16" s="139">
        <v>40.76</v>
      </c>
      <c r="AM16" s="131"/>
      <c r="AN16" s="136">
        <v>17.89</v>
      </c>
      <c r="AO16" s="466">
        <v>76.73</v>
      </c>
      <c r="AP16" s="110">
        <f t="shared" si="12"/>
        <v>0.23094055680963133</v>
      </c>
      <c r="AQ16" s="137" t="s">
        <v>474</v>
      </c>
      <c r="AR16" s="150">
        <v>7.21</v>
      </c>
      <c r="AS16" s="138">
        <v>9.15</v>
      </c>
      <c r="AT16" s="131"/>
      <c r="AU16" s="131">
        <v>7.84</v>
      </c>
      <c r="AV16" s="315">
        <v>332.25</v>
      </c>
      <c r="AW16" s="131">
        <v>3.68</v>
      </c>
      <c r="AX16" s="116"/>
      <c r="AY16" s="131"/>
      <c r="AZ16" s="109"/>
      <c r="BA16" s="109">
        <f t="shared" si="13"/>
        <v>241.31</v>
      </c>
      <c r="BB16" s="115">
        <f t="shared" si="30"/>
        <v>271.2777056281821</v>
      </c>
      <c r="BC16" s="140">
        <f t="shared" si="14"/>
        <v>8.848709859154928</v>
      </c>
      <c r="BD16" s="141">
        <f t="shared" si="15"/>
        <v>9.6524000000000001</v>
      </c>
      <c r="BE16" s="128">
        <f t="shared" si="16"/>
        <v>0.77656079224121422</v>
      </c>
      <c r="BF16" s="141">
        <f t="shared" si="17"/>
        <v>18.50110985915493</v>
      </c>
      <c r="BG16" s="535">
        <v>0.79700000000000004</v>
      </c>
      <c r="BH16" s="16">
        <f t="shared" si="31"/>
        <v>2332.1205</v>
      </c>
      <c r="BI16" s="16">
        <f t="shared" si="18"/>
        <v>222.33333333333334</v>
      </c>
      <c r="BJ16" s="16">
        <f t="shared" si="32"/>
        <v>2223.333333333333</v>
      </c>
      <c r="BK16" s="17">
        <f t="shared" si="19"/>
        <v>1</v>
      </c>
      <c r="BL16" s="16">
        <f t="shared" si="33"/>
        <v>2223.333333333333</v>
      </c>
      <c r="BM16" s="249"/>
      <c r="BN16" s="195">
        <v>26.344000000000001</v>
      </c>
      <c r="BO16" s="266">
        <f t="shared" si="34"/>
        <v>162.49799999999999</v>
      </c>
      <c r="BP16" s="196">
        <v>396.01100000000002</v>
      </c>
      <c r="BQ16" s="230"/>
      <c r="BR16" s="230"/>
      <c r="BS16" s="250"/>
      <c r="BT16" s="199"/>
      <c r="BU16" s="200"/>
      <c r="BV16" s="200"/>
      <c r="BW16" s="200"/>
      <c r="BX16" s="200">
        <v>0.76</v>
      </c>
      <c r="BY16" s="208"/>
      <c r="BZ16" s="208"/>
      <c r="CA16" s="201"/>
      <c r="CB16" s="202"/>
      <c r="CC16" s="200">
        <v>43.7</v>
      </c>
      <c r="CD16" s="200">
        <v>43.7</v>
      </c>
      <c r="CE16" s="200">
        <v>38.64</v>
      </c>
      <c r="CF16" s="200"/>
      <c r="CG16" s="200"/>
      <c r="CH16" s="200"/>
      <c r="CI16" s="203"/>
      <c r="CJ16" s="204"/>
      <c r="CK16" s="230"/>
      <c r="CL16" s="266">
        <f t="shared" si="35"/>
        <v>153.13</v>
      </c>
      <c r="CM16" s="454">
        <v>199.5</v>
      </c>
      <c r="CN16" s="202"/>
      <c r="CO16" s="208"/>
      <c r="CP16" s="208"/>
      <c r="CQ16" s="201"/>
      <c r="CR16" s="201"/>
      <c r="CS16" s="284"/>
      <c r="CT16" s="286">
        <f t="shared" si="20"/>
        <v>0</v>
      </c>
      <c r="CU16" s="24">
        <f t="shared" si="20"/>
        <v>26.344000000000001</v>
      </c>
      <c r="CV16" s="25">
        <f t="shared" si="20"/>
        <v>162.49799999999999</v>
      </c>
      <c r="CW16" s="24">
        <f t="shared" si="20"/>
        <v>393.00131640000001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153.13</v>
      </c>
      <c r="DD16" s="280">
        <f t="shared" si="21"/>
        <v>199.5</v>
      </c>
      <c r="DE16" s="508">
        <f t="shared" si="36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7"/>
        <v>0</v>
      </c>
      <c r="DM16" s="230">
        <v>105.66800000000001</v>
      </c>
      <c r="DN16" s="247">
        <f t="shared" si="38"/>
        <v>162.49799999999999</v>
      </c>
      <c r="DO16" s="266">
        <v>123.2</v>
      </c>
      <c r="DP16" s="247">
        <f t="shared" si="39"/>
        <v>153.13</v>
      </c>
    </row>
    <row r="17" spans="1:120" ht="16.5" customHeight="1" thickBot="1">
      <c r="A17" s="534">
        <v>11</v>
      </c>
      <c r="B17" s="103">
        <f t="shared" si="24"/>
        <v>197.96199999999999</v>
      </c>
      <c r="C17" s="104">
        <f t="shared" si="0"/>
        <v>0.64637405158565786</v>
      </c>
      <c r="D17" s="448">
        <f t="shared" si="1"/>
        <v>196.68242499999999</v>
      </c>
      <c r="E17" s="104">
        <f t="shared" si="2"/>
        <v>39.75657126115113</v>
      </c>
      <c r="F17" s="128">
        <f t="shared" si="3"/>
        <v>2.1975076115192311</v>
      </c>
      <c r="G17" s="106"/>
      <c r="H17" s="107">
        <f t="shared" si="4"/>
        <v>1.167234714114131</v>
      </c>
      <c r="I17" s="103">
        <f>'[1]сентябрь 20'!AE16</f>
        <v>0</v>
      </c>
      <c r="J17" s="103">
        <f>'[1]ноябрь 20'!AA16</f>
        <v>3.839</v>
      </c>
      <c r="K17" s="106">
        <v>19.68</v>
      </c>
      <c r="L17" s="103">
        <f t="shared" si="25"/>
        <v>92.211999999999989</v>
      </c>
      <c r="M17" s="103">
        <f t="shared" si="5"/>
        <v>1.0302728974051003</v>
      </c>
      <c r="N17" s="103">
        <f>'[1]август 20'!W16</f>
        <v>0</v>
      </c>
      <c r="O17" s="103">
        <f>'[1]сентябрь 20'!AM16</f>
        <v>0</v>
      </c>
      <c r="P17" s="447">
        <f t="shared" si="26"/>
        <v>0</v>
      </c>
      <c r="Q17" s="103">
        <f t="shared" si="27"/>
        <v>0</v>
      </c>
      <c r="R17" s="103">
        <v>127.18</v>
      </c>
      <c r="S17" s="108">
        <f t="shared" si="6"/>
        <v>3.2709545526026229</v>
      </c>
      <c r="T17" s="109">
        <f t="shared" si="7"/>
        <v>123.02</v>
      </c>
      <c r="U17" s="106">
        <v>2.2000000000000002</v>
      </c>
      <c r="V17" s="109">
        <f t="shared" si="8"/>
        <v>123.02</v>
      </c>
      <c r="W17" s="110">
        <f t="shared" si="9"/>
        <v>1.3744867461802743</v>
      </c>
      <c r="X17" s="110">
        <f t="shared" si="28"/>
        <v>1.3744867461802743</v>
      </c>
      <c r="Y17" s="136">
        <v>89.5</v>
      </c>
      <c r="Z17" s="130">
        <v>89.5</v>
      </c>
      <c r="AA17" s="131">
        <v>0.6</v>
      </c>
      <c r="AB17" s="112">
        <v>620</v>
      </c>
      <c r="AC17" s="133">
        <v>1233</v>
      </c>
      <c r="AD17" s="144" t="s">
        <v>163</v>
      </c>
      <c r="AE17" s="131">
        <v>75.64</v>
      </c>
      <c r="AF17" s="133">
        <v>49</v>
      </c>
      <c r="AG17" s="134">
        <v>2</v>
      </c>
      <c r="AH17" s="131">
        <v>9.5</v>
      </c>
      <c r="AI17" s="115">
        <f t="shared" si="10"/>
        <v>106.14228652830927</v>
      </c>
      <c r="AJ17" s="131">
        <v>63.95</v>
      </c>
      <c r="AK17" s="115">
        <f t="shared" si="11"/>
        <v>714.50518141951352</v>
      </c>
      <c r="AL17" s="139">
        <v>12.41</v>
      </c>
      <c r="AM17" s="131"/>
      <c r="AN17" s="136">
        <v>9.3800000000000008</v>
      </c>
      <c r="AO17" s="466">
        <f t="shared" si="29"/>
        <v>22.467500000000001</v>
      </c>
      <c r="AP17" s="110">
        <f t="shared" si="12"/>
        <v>0.19</v>
      </c>
      <c r="AQ17" s="137" t="s">
        <v>449</v>
      </c>
      <c r="AR17" s="150">
        <v>6.89</v>
      </c>
      <c r="AS17" s="138">
        <v>9.07</v>
      </c>
      <c r="AT17" s="131"/>
      <c r="AU17" s="131">
        <v>8.08</v>
      </c>
      <c r="AV17" s="315">
        <v>118.25</v>
      </c>
      <c r="AW17" s="131">
        <v>3.1</v>
      </c>
      <c r="AX17" s="116"/>
      <c r="AY17" s="131"/>
      <c r="AZ17" s="109"/>
      <c r="BA17" s="109">
        <f t="shared" si="13"/>
        <v>89.502499999999998</v>
      </c>
      <c r="BB17" s="115">
        <f t="shared" si="30"/>
        <v>90.24791977752237</v>
      </c>
      <c r="BC17" s="140">
        <f t="shared" si="14"/>
        <v>4.0027295774647884</v>
      </c>
      <c r="BD17" s="141">
        <f t="shared" si="15"/>
        <v>3.5800999999999998</v>
      </c>
      <c r="BE17" s="128">
        <f t="shared" si="16"/>
        <v>0.86578929123927462</v>
      </c>
      <c r="BF17" s="141">
        <f t="shared" si="17"/>
        <v>7.5828295774647883</v>
      </c>
      <c r="BG17" s="535">
        <v>0.79900000000000004</v>
      </c>
      <c r="BH17" s="16">
        <f t="shared" si="31"/>
        <v>2421.623</v>
      </c>
      <c r="BI17" s="16">
        <f t="shared" si="18"/>
        <v>222.33333333333334</v>
      </c>
      <c r="BJ17" s="16">
        <f t="shared" si="32"/>
        <v>2445.6666666666665</v>
      </c>
      <c r="BK17" s="17">
        <f t="shared" si="19"/>
        <v>1</v>
      </c>
      <c r="BL17" s="16">
        <f t="shared" si="33"/>
        <v>2445.6666666666665</v>
      </c>
      <c r="BM17" s="249"/>
      <c r="BN17" s="195">
        <v>7.19</v>
      </c>
      <c r="BO17" s="266">
        <f t="shared" si="34"/>
        <v>85.021999999999991</v>
      </c>
      <c r="BP17" s="196">
        <v>105.75</v>
      </c>
      <c r="BQ17" s="230"/>
      <c r="BR17" s="230"/>
      <c r="BS17" s="250"/>
      <c r="BT17" s="199"/>
      <c r="BU17" s="200"/>
      <c r="BV17" s="200"/>
      <c r="BW17" s="200"/>
      <c r="BX17" s="200">
        <v>1.21</v>
      </c>
      <c r="BY17" s="208"/>
      <c r="BZ17" s="208"/>
      <c r="CA17" s="201"/>
      <c r="CB17" s="202"/>
      <c r="CC17" s="200">
        <v>42.93</v>
      </c>
      <c r="CD17" s="200">
        <v>42.78</v>
      </c>
      <c r="CE17" s="200">
        <v>37.11</v>
      </c>
      <c r="CF17" s="208"/>
      <c r="CG17" s="208"/>
      <c r="CH17" s="201"/>
      <c r="CI17" s="199"/>
      <c r="CJ17" s="197"/>
      <c r="CK17" s="244"/>
      <c r="CL17" s="266">
        <f t="shared" si="35"/>
        <v>68.83</v>
      </c>
      <c r="CM17" s="454">
        <v>54.19</v>
      </c>
      <c r="CN17" s="231"/>
      <c r="CO17" s="208"/>
      <c r="CP17" s="208"/>
      <c r="CQ17" s="201"/>
      <c r="CR17" s="201"/>
      <c r="CS17" s="284"/>
      <c r="CT17" s="286">
        <f t="shared" si="20"/>
        <v>0</v>
      </c>
      <c r="CU17" s="24">
        <f t="shared" si="20"/>
        <v>7.19</v>
      </c>
      <c r="CV17" s="25">
        <f t="shared" si="20"/>
        <v>85.021999999999991</v>
      </c>
      <c r="CW17" s="24">
        <f t="shared" si="20"/>
        <v>104.47042500000001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68.83</v>
      </c>
      <c r="DD17" s="280">
        <f t="shared" si="21"/>
        <v>54.19</v>
      </c>
      <c r="DE17" s="508">
        <f t="shared" si="36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7"/>
        <v>0</v>
      </c>
      <c r="DM17" s="195">
        <v>28.192</v>
      </c>
      <c r="DN17" s="247">
        <f t="shared" si="38"/>
        <v>85.021999999999991</v>
      </c>
      <c r="DO17" s="266">
        <v>38.9</v>
      </c>
      <c r="DP17" s="247">
        <f t="shared" si="39"/>
        <v>68.83</v>
      </c>
    </row>
    <row r="18" spans="1:120" ht="16.5" customHeight="1" thickBot="1">
      <c r="A18" s="534">
        <v>12</v>
      </c>
      <c r="B18" s="103">
        <f t="shared" si="24"/>
        <v>471.60500000000002</v>
      </c>
      <c r="C18" s="104">
        <f t="shared" si="0"/>
        <v>1.0935785244007166</v>
      </c>
      <c r="D18" s="143">
        <f t="shared" si="1"/>
        <v>466.44762900000006</v>
      </c>
      <c r="E18" s="104">
        <f t="shared" si="2"/>
        <v>39.478104642656454</v>
      </c>
      <c r="F18" s="128">
        <f t="shared" si="3"/>
        <v>2.8848623831082092</v>
      </c>
      <c r="G18" s="106"/>
      <c r="H18" s="107">
        <f t="shared" si="4"/>
        <v>1.8896122717826926</v>
      </c>
      <c r="I18" s="103">
        <f>'[1]сентябрь 20'!AE17</f>
        <v>0</v>
      </c>
      <c r="J18" s="103">
        <f>'[1]ноябрь 20'!AA17</f>
        <v>11.170999999999999</v>
      </c>
      <c r="K18" s="106"/>
      <c r="L18" s="103">
        <f t="shared" si="25"/>
        <v>160.91999999999999</v>
      </c>
      <c r="M18" s="103">
        <f t="shared" si="5"/>
        <v>0.99525011132551577</v>
      </c>
      <c r="N18" s="103">
        <f>'[1]август 20'!W17</f>
        <v>0</v>
      </c>
      <c r="O18" s="103">
        <f>'[1]сентябрь 20'!AM17</f>
        <v>0</v>
      </c>
      <c r="P18" s="447">
        <f t="shared" si="26"/>
        <v>0</v>
      </c>
      <c r="Q18" s="103">
        <f t="shared" si="27"/>
        <v>0</v>
      </c>
      <c r="R18" s="103">
        <v>301.13</v>
      </c>
      <c r="S18" s="108">
        <f t="shared" si="6"/>
        <v>3.0618005512569213</v>
      </c>
      <c r="T18" s="109">
        <f t="shared" si="7"/>
        <v>291.91000000000003</v>
      </c>
      <c r="U18" s="106">
        <v>15.49</v>
      </c>
      <c r="V18" s="109">
        <f t="shared" si="8"/>
        <v>291.91000000000003</v>
      </c>
      <c r="W18" s="110">
        <f t="shared" si="9"/>
        <v>1.8053906288654695</v>
      </c>
      <c r="X18" s="110">
        <f t="shared" si="28"/>
        <v>1.8053906288654695</v>
      </c>
      <c r="Y18" s="136">
        <v>161.69</v>
      </c>
      <c r="Z18" s="130">
        <v>54.71</v>
      </c>
      <c r="AA18" s="131">
        <v>0.95</v>
      </c>
      <c r="AB18" s="112">
        <v>599</v>
      </c>
      <c r="AC18" s="133">
        <v>1152</v>
      </c>
      <c r="AD18" s="144" t="s">
        <v>144</v>
      </c>
      <c r="AE18" s="131">
        <v>75.489999999999995</v>
      </c>
      <c r="AF18" s="133">
        <v>140</v>
      </c>
      <c r="AG18" s="134">
        <v>4</v>
      </c>
      <c r="AH18" s="131">
        <v>9.1</v>
      </c>
      <c r="AI18" s="115">
        <f t="shared" si="10"/>
        <v>56.281232991935092</v>
      </c>
      <c r="AJ18" s="131">
        <v>86.05</v>
      </c>
      <c r="AK18" s="115">
        <f t="shared" si="11"/>
        <v>532.1978130720895</v>
      </c>
      <c r="AL18" s="139">
        <v>24.86</v>
      </c>
      <c r="AM18" s="131"/>
      <c r="AN18" s="136">
        <v>7.43</v>
      </c>
      <c r="AO18" s="466">
        <f t="shared" si="29"/>
        <v>38.722000000000001</v>
      </c>
      <c r="AP18" s="110">
        <f t="shared" si="12"/>
        <v>0.19</v>
      </c>
      <c r="AQ18" s="137" t="s">
        <v>442</v>
      </c>
      <c r="AR18" s="150">
        <v>7.57</v>
      </c>
      <c r="AS18" s="138">
        <v>8.75</v>
      </c>
      <c r="AT18" s="131"/>
      <c r="AU18" s="131">
        <v>8.6999999999999993</v>
      </c>
      <c r="AV18" s="315">
        <v>203.8</v>
      </c>
      <c r="AW18" s="131">
        <v>4.04</v>
      </c>
      <c r="AX18" s="116"/>
      <c r="AY18" s="131"/>
      <c r="AZ18" s="109">
        <f t="shared" ref="AZ18:AZ37" si="40">IF(BA18=0,0,AY18/BA18*100)</f>
        <v>0</v>
      </c>
      <c r="BA18" s="109">
        <f t="shared" si="13"/>
        <v>161.68799999999999</v>
      </c>
      <c r="BB18" s="115">
        <f>IF(AE18=0,0,((D18*0.97)*(E18/100)*0.9)/(AE18/100))</f>
        <v>212.95311740452263</v>
      </c>
      <c r="BC18" s="140">
        <f t="shared" si="14"/>
        <v>5.7992852112676045</v>
      </c>
      <c r="BD18" s="141">
        <f t="shared" si="15"/>
        <v>6.4675199999999995</v>
      </c>
      <c r="BE18" s="128">
        <f t="shared" si="16"/>
        <v>0.66283896531022191</v>
      </c>
      <c r="BF18" s="141">
        <f t="shared" si="17"/>
        <v>12.266805211267604</v>
      </c>
      <c r="BG18" s="535">
        <v>0.78900000000000003</v>
      </c>
      <c r="BH18" s="16">
        <f t="shared" si="31"/>
        <v>2583.3110000000001</v>
      </c>
      <c r="BI18" s="16">
        <f t="shared" si="18"/>
        <v>222.33333333333334</v>
      </c>
      <c r="BJ18" s="16">
        <f t="shared" si="32"/>
        <v>2668</v>
      </c>
      <c r="BK18" s="17">
        <f t="shared" si="19"/>
        <v>1</v>
      </c>
      <c r="BL18" s="16">
        <f t="shared" si="33"/>
        <v>2668</v>
      </c>
      <c r="BM18" s="249"/>
      <c r="BN18" s="195">
        <v>21.167000000000002</v>
      </c>
      <c r="BO18" s="266">
        <f t="shared" si="34"/>
        <v>139.75299999999999</v>
      </c>
      <c r="BP18" s="196">
        <v>310.685</v>
      </c>
      <c r="BQ18" s="230"/>
      <c r="BR18" s="230"/>
      <c r="BS18" s="250"/>
      <c r="BT18" s="199"/>
      <c r="BU18" s="200"/>
      <c r="BV18" s="200"/>
      <c r="BW18" s="200"/>
      <c r="BX18" s="200">
        <v>1.66</v>
      </c>
      <c r="BY18" s="208"/>
      <c r="BZ18" s="208"/>
      <c r="CA18" s="201"/>
      <c r="CB18" s="202"/>
      <c r="CC18" s="200">
        <v>43.17</v>
      </c>
      <c r="CD18" s="200">
        <v>43.85</v>
      </c>
      <c r="CE18" s="200">
        <v>37.26</v>
      </c>
      <c r="CF18" s="208"/>
      <c r="CG18" s="208"/>
      <c r="CH18" s="209"/>
      <c r="CI18" s="199"/>
      <c r="CJ18" s="197"/>
      <c r="CK18" s="230"/>
      <c r="CL18" s="266">
        <f t="shared" si="35"/>
        <v>129.58000000000001</v>
      </c>
      <c r="CM18" s="453">
        <v>162.33000000000001</v>
      </c>
      <c r="CN18" s="202"/>
      <c r="CO18" s="208"/>
      <c r="CP18" s="208"/>
      <c r="CQ18" s="201"/>
      <c r="CR18" s="201"/>
      <c r="CS18" s="284"/>
      <c r="CT18" s="286">
        <f t="shared" si="20"/>
        <v>0</v>
      </c>
      <c r="CU18" s="24">
        <f t="shared" si="20"/>
        <v>21.167000000000002</v>
      </c>
      <c r="CV18" s="25">
        <f t="shared" si="20"/>
        <v>139.75299999999999</v>
      </c>
      <c r="CW18" s="24">
        <f t="shared" si="20"/>
        <v>305.52762899999999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129.58000000000001</v>
      </c>
      <c r="DD18" s="280">
        <f t="shared" si="21"/>
        <v>162.33000000000001</v>
      </c>
      <c r="DE18" s="508">
        <f t="shared" si="36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7"/>
        <v>0</v>
      </c>
      <c r="DM18" s="195">
        <v>82.923000000000002</v>
      </c>
      <c r="DN18" s="247">
        <f t="shared" si="38"/>
        <v>139.75299999999999</v>
      </c>
      <c r="DO18" s="289">
        <v>99.65</v>
      </c>
      <c r="DP18" s="247">
        <f t="shared" si="39"/>
        <v>129.58000000000001</v>
      </c>
    </row>
    <row r="19" spans="1:120" ht="16.5" customHeight="1" thickBot="1">
      <c r="A19" s="534">
        <v>13</v>
      </c>
      <c r="B19" s="103">
        <f t="shared" si="24"/>
        <v>545.95100000000002</v>
      </c>
      <c r="C19" s="104">
        <f t="shared" si="0"/>
        <v>0.81332817414017</v>
      </c>
      <c r="D19" s="143">
        <f t="shared" si="1"/>
        <v>541.51062669999999</v>
      </c>
      <c r="E19" s="104">
        <f>IF(B19=0,0,(BM19*CB19+BN19*CC19+BP19*CE19+BS19*CH19+BO19*CD19+BR19*CG19+BQ19*CF19)/B19)</f>
        <v>39.666225045837443</v>
      </c>
      <c r="F19" s="128">
        <f t="shared" si="3"/>
        <v>2.5335786233791144</v>
      </c>
      <c r="G19" s="106"/>
      <c r="H19" s="107">
        <f t="shared" si="4"/>
        <v>1.6961900062460962</v>
      </c>
      <c r="I19" s="103">
        <f>'[1]сентябрь 20'!AE18</f>
        <v>0</v>
      </c>
      <c r="J19" s="103">
        <f>'[1]ноябрь 20'!AA18</f>
        <v>12.968999999999999</v>
      </c>
      <c r="K19" s="106"/>
      <c r="L19" s="103">
        <f t="shared" si="25"/>
        <v>178.97800000000001</v>
      </c>
      <c r="M19" s="103">
        <f t="shared" si="5"/>
        <v>0.83738861713301838</v>
      </c>
      <c r="N19" s="103">
        <f>'[1]август 20'!W18</f>
        <v>0</v>
      </c>
      <c r="O19" s="103">
        <f>'[1]сентябрь 20'!AM18</f>
        <v>0</v>
      </c>
      <c r="P19" s="447">
        <f t="shared" si="26"/>
        <v>0</v>
      </c>
      <c r="Q19" s="103">
        <f t="shared" si="27"/>
        <v>0</v>
      </c>
      <c r="R19" s="103">
        <v>340.92</v>
      </c>
      <c r="S19" s="108">
        <f t="shared" si="6"/>
        <v>3.1063005983808401</v>
      </c>
      <c r="T19" s="109">
        <f t="shared" si="7"/>
        <v>330.33000000000004</v>
      </c>
      <c r="U19" s="106">
        <v>18.649999999999999</v>
      </c>
      <c r="V19" s="109">
        <f t="shared" si="8"/>
        <v>330.33000000000004</v>
      </c>
      <c r="W19" s="110">
        <f t="shared" si="9"/>
        <v>1.5455228122872644</v>
      </c>
      <c r="X19" s="110">
        <f t="shared" si="28"/>
        <v>1.5455228122872644</v>
      </c>
      <c r="Y19" s="136">
        <v>134.44</v>
      </c>
      <c r="Z19" s="130">
        <v>127.05</v>
      </c>
      <c r="AA19" s="131">
        <v>0.83</v>
      </c>
      <c r="AB19" s="112">
        <v>613</v>
      </c>
      <c r="AC19" s="133">
        <v>1213</v>
      </c>
      <c r="AD19" s="144" t="s">
        <v>184</v>
      </c>
      <c r="AE19" s="131">
        <v>75.45</v>
      </c>
      <c r="AF19" s="133">
        <v>163</v>
      </c>
      <c r="AG19" s="134">
        <v>5</v>
      </c>
      <c r="AH19" s="131">
        <v>7.75</v>
      </c>
      <c r="AI19" s="115">
        <f t="shared" si="10"/>
        <v>36.260108967475851</v>
      </c>
      <c r="AJ19" s="131">
        <v>133.69999999999999</v>
      </c>
      <c r="AK19" s="115">
        <f t="shared" si="11"/>
        <v>625.54536373567998</v>
      </c>
      <c r="AL19" s="139">
        <v>34.909999999999997</v>
      </c>
      <c r="AM19" s="131"/>
      <c r="AN19" s="136">
        <v>17.07</v>
      </c>
      <c r="AO19" s="466">
        <f t="shared" si="29"/>
        <v>53.456500000000005</v>
      </c>
      <c r="AP19" s="110">
        <f t="shared" si="12"/>
        <v>0.19</v>
      </c>
      <c r="AQ19" s="137" t="s">
        <v>364</v>
      </c>
      <c r="AR19" s="150">
        <v>7.52</v>
      </c>
      <c r="AS19" s="138">
        <v>9.68</v>
      </c>
      <c r="AT19" s="134"/>
      <c r="AU19" s="131">
        <v>7.75</v>
      </c>
      <c r="AV19" s="315">
        <v>281.35000000000002</v>
      </c>
      <c r="AW19" s="131">
        <v>2.91</v>
      </c>
      <c r="AX19" s="116"/>
      <c r="AY19" s="131"/>
      <c r="AZ19" s="109">
        <f t="shared" si="40"/>
        <v>0</v>
      </c>
      <c r="BA19" s="109">
        <f t="shared" si="13"/>
        <v>213.73350000000002</v>
      </c>
      <c r="BB19" s="115">
        <f t="shared" si="30"/>
        <v>248.5323090881848</v>
      </c>
      <c r="BC19" s="140">
        <f t="shared" si="14"/>
        <v>8.0267077464788716</v>
      </c>
      <c r="BD19" s="141">
        <f t="shared" si="15"/>
        <v>8.5493400000000008</v>
      </c>
      <c r="BE19" s="128">
        <f t="shared" si="16"/>
        <v>0.75076494554997253</v>
      </c>
      <c r="BF19" s="141">
        <f t="shared" si="17"/>
        <v>16.576047746478871</v>
      </c>
      <c r="BG19" s="535">
        <v>0.78600000000000003</v>
      </c>
      <c r="BH19" s="16">
        <f t="shared" si="31"/>
        <v>2797.0445</v>
      </c>
      <c r="BI19" s="16">
        <f t="shared" si="18"/>
        <v>222.33333333333334</v>
      </c>
      <c r="BJ19" s="16">
        <f t="shared" si="32"/>
        <v>2890.3333333333335</v>
      </c>
      <c r="BK19" s="17">
        <f t="shared" si="19"/>
        <v>1</v>
      </c>
      <c r="BL19" s="16">
        <f t="shared" si="33"/>
        <v>2890.3333333333335</v>
      </c>
      <c r="BM19" s="254"/>
      <c r="BN19" s="230">
        <v>24.359000000000002</v>
      </c>
      <c r="BO19" s="266">
        <f t="shared" si="34"/>
        <v>154.619</v>
      </c>
      <c r="BP19" s="196">
        <v>366.97300000000001</v>
      </c>
      <c r="BQ19" s="230"/>
      <c r="BR19" s="230"/>
      <c r="BS19" s="258"/>
      <c r="BT19" s="199"/>
      <c r="BU19" s="200"/>
      <c r="BV19" s="200"/>
      <c r="BW19" s="200"/>
      <c r="BX19" s="200">
        <v>1.21</v>
      </c>
      <c r="BY19" s="208"/>
      <c r="BZ19" s="208"/>
      <c r="CA19" s="201"/>
      <c r="CB19" s="202"/>
      <c r="CC19" s="200">
        <v>43.09</v>
      </c>
      <c r="CD19" s="200">
        <v>43.39</v>
      </c>
      <c r="CE19" s="200">
        <v>37.869999999999997</v>
      </c>
      <c r="CF19" s="208"/>
      <c r="CG19" s="208"/>
      <c r="CH19" s="209"/>
      <c r="CI19" s="199"/>
      <c r="CJ19" s="197"/>
      <c r="CK19" s="230">
        <v>24.64</v>
      </c>
      <c r="CL19" s="266">
        <f t="shared" si="35"/>
        <v>144.03</v>
      </c>
      <c r="CM19" s="453">
        <v>161.66</v>
      </c>
      <c r="CN19" s="202"/>
      <c r="CO19" s="208"/>
      <c r="CP19" s="208"/>
      <c r="CQ19" s="201"/>
      <c r="CR19" s="201"/>
      <c r="CS19" s="284"/>
      <c r="CT19" s="286">
        <f t="shared" si="20"/>
        <v>0</v>
      </c>
      <c r="CU19" s="24">
        <f t="shared" si="20"/>
        <v>24.359000000000002</v>
      </c>
      <c r="CV19" s="25">
        <f t="shared" si="20"/>
        <v>154.619</v>
      </c>
      <c r="CW19" s="24">
        <f t="shared" si="20"/>
        <v>362.53262670000004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24.64</v>
      </c>
      <c r="DC19" s="277">
        <f t="shared" si="21"/>
        <v>144.03</v>
      </c>
      <c r="DD19" s="280">
        <f t="shared" si="21"/>
        <v>161.66</v>
      </c>
      <c r="DE19" s="508">
        <f t="shared" si="36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7"/>
        <v>0</v>
      </c>
      <c r="DM19" s="197">
        <v>97.789000000000001</v>
      </c>
      <c r="DN19" s="247">
        <f t="shared" si="38"/>
        <v>154.619</v>
      </c>
      <c r="DO19" s="197">
        <v>114.1</v>
      </c>
      <c r="DP19" s="247">
        <f t="shared" si="39"/>
        <v>144.03</v>
      </c>
    </row>
    <row r="20" spans="1:120" ht="16.5" customHeight="1" thickBot="1">
      <c r="A20" s="534">
        <v>14</v>
      </c>
      <c r="B20" s="103">
        <f t="shared" si="24"/>
        <v>557.92100000000005</v>
      </c>
      <c r="C20" s="104">
        <f t="shared" si="0"/>
        <v>1.1652300594528615</v>
      </c>
      <c r="D20" s="143">
        <f t="shared" si="1"/>
        <v>551.41993679999996</v>
      </c>
      <c r="E20" s="104">
        <f t="shared" ref="E20:E27" si="41">IF(B20=0,0,(BM20*CB20+BN20*CC20+BP20*CE20+BS20*CH20+BO20*CD20+BR20*CG20+BQ20*CF20)/B20)</f>
        <v>39.672040503942313</v>
      </c>
      <c r="F20" s="128">
        <f t="shared" si="3"/>
        <v>2.2088472341337479</v>
      </c>
      <c r="G20" s="106"/>
      <c r="H20" s="107">
        <f t="shared" si="4"/>
        <v>1.4792529959962588</v>
      </c>
      <c r="I20" s="103">
        <f>'[1]сентябрь 20'!AE19</f>
        <v>0</v>
      </c>
      <c r="J20" s="103">
        <f>'[1]ноябрь 20'!AA19</f>
        <v>14.374000000000001</v>
      </c>
      <c r="K20" s="106">
        <v>32.450000000000003</v>
      </c>
      <c r="L20" s="103">
        <f t="shared" si="25"/>
        <v>182.137</v>
      </c>
      <c r="M20" s="103">
        <f t="shared" si="5"/>
        <v>0.72959423813748936</v>
      </c>
      <c r="N20" s="103">
        <f>'[1]август 20'!W19</f>
        <v>0</v>
      </c>
      <c r="O20" s="103">
        <f>'[1]сентябрь 20'!AM19</f>
        <v>0</v>
      </c>
      <c r="P20" s="447">
        <f t="shared" si="26"/>
        <v>0</v>
      </c>
      <c r="Q20" s="103">
        <f t="shared" si="27"/>
        <v>0</v>
      </c>
      <c r="R20" s="103">
        <v>341.9</v>
      </c>
      <c r="S20" s="108">
        <f t="shared" si="6"/>
        <v>2.9072828312371901</v>
      </c>
      <c r="T20" s="109">
        <f t="shared" si="7"/>
        <v>331.96</v>
      </c>
      <c r="U20" s="106"/>
      <c r="V20" s="109">
        <f t="shared" si="8"/>
        <v>331.96000000000004</v>
      </c>
      <c r="W20" s="110">
        <f t="shared" si="9"/>
        <v>1.3297468569929281</v>
      </c>
      <c r="X20" s="110">
        <f t="shared" si="28"/>
        <v>1.3297468569929281</v>
      </c>
      <c r="Y20" s="136">
        <v>109.87</v>
      </c>
      <c r="Z20" s="130">
        <v>101.8</v>
      </c>
      <c r="AA20" s="131">
        <v>1.18</v>
      </c>
      <c r="AB20" s="112">
        <v>580</v>
      </c>
      <c r="AC20" s="133">
        <v>1225</v>
      </c>
      <c r="AD20" s="151" t="s">
        <v>252</v>
      </c>
      <c r="AE20" s="131">
        <v>74.739999999999995</v>
      </c>
      <c r="AF20" s="133">
        <v>167</v>
      </c>
      <c r="AG20" s="134">
        <v>5</v>
      </c>
      <c r="AH20" s="131">
        <v>9.25</v>
      </c>
      <c r="AI20" s="115">
        <f t="shared" si="10"/>
        <v>37.053134194434826</v>
      </c>
      <c r="AJ20" s="131">
        <v>117.45</v>
      </c>
      <c r="AK20" s="115">
        <f t="shared" si="11"/>
        <v>470.47466066339138</v>
      </c>
      <c r="AL20" s="139">
        <v>33.840000000000003</v>
      </c>
      <c r="AM20" s="131"/>
      <c r="AN20" s="136">
        <v>14.38</v>
      </c>
      <c r="AO20" s="466">
        <f t="shared" si="29"/>
        <v>60.828499999999998</v>
      </c>
      <c r="AP20" s="110">
        <f t="shared" si="12"/>
        <v>0.19</v>
      </c>
      <c r="AQ20" s="137" t="s">
        <v>362</v>
      </c>
      <c r="AR20" s="150">
        <v>7.82</v>
      </c>
      <c r="AS20" s="138">
        <v>9.4600000000000009</v>
      </c>
      <c r="AT20" s="131"/>
      <c r="AU20" s="131">
        <v>5.45</v>
      </c>
      <c r="AV20" s="315">
        <v>320.14999999999998</v>
      </c>
      <c r="AW20" s="131">
        <v>4.7</v>
      </c>
      <c r="AX20" s="148"/>
      <c r="AY20" s="131"/>
      <c r="AZ20" s="109">
        <f t="shared" si="40"/>
        <v>0</v>
      </c>
      <c r="BA20" s="109">
        <f t="shared" si="13"/>
        <v>249.64149999999995</v>
      </c>
      <c r="BB20" s="115">
        <f t="shared" si="30"/>
        <v>255.52191464877873</v>
      </c>
      <c r="BC20" s="140">
        <f t="shared" si="14"/>
        <v>4.9585404929577468</v>
      </c>
      <c r="BD20" s="141">
        <f t="shared" si="15"/>
        <v>9.9856599999999975</v>
      </c>
      <c r="BE20" s="128">
        <f t="shared" si="16"/>
        <v>0.85290934751940883</v>
      </c>
      <c r="BF20" s="141">
        <f t="shared" si="17"/>
        <v>14.944200492957744</v>
      </c>
      <c r="BG20" s="535">
        <v>0.79100000000000004</v>
      </c>
      <c r="BH20" s="16">
        <f t="shared" si="31"/>
        <v>3046.6859999999997</v>
      </c>
      <c r="BI20" s="16">
        <f t="shared" si="18"/>
        <v>222.33333333333334</v>
      </c>
      <c r="BJ20" s="16">
        <f t="shared" si="32"/>
        <v>3112.666666666667</v>
      </c>
      <c r="BK20" s="17">
        <f t="shared" si="19"/>
        <v>1</v>
      </c>
      <c r="BL20" s="16">
        <f t="shared" si="33"/>
        <v>3112.666666666667</v>
      </c>
      <c r="BM20" s="254"/>
      <c r="BN20" s="230">
        <v>20.597999999999999</v>
      </c>
      <c r="BO20" s="266">
        <f t="shared" si="34"/>
        <v>161.53899999999999</v>
      </c>
      <c r="BP20" s="196">
        <v>375.78399999999999</v>
      </c>
      <c r="BQ20" s="230"/>
      <c r="BR20" s="230"/>
      <c r="BS20" s="259"/>
      <c r="BT20" s="199"/>
      <c r="BU20" s="200"/>
      <c r="BV20" s="200"/>
      <c r="BW20" s="200"/>
      <c r="BX20" s="200">
        <v>1.73</v>
      </c>
      <c r="BY20" s="208"/>
      <c r="BZ20" s="208"/>
      <c r="CA20" s="201"/>
      <c r="CB20" s="202"/>
      <c r="CC20" s="200">
        <v>43.39</v>
      </c>
      <c r="CD20" s="200">
        <v>43.39</v>
      </c>
      <c r="CE20" s="200">
        <v>37.869999999999997</v>
      </c>
      <c r="CF20" s="208"/>
      <c r="CG20" s="208"/>
      <c r="CH20" s="209"/>
      <c r="CI20" s="199"/>
      <c r="CJ20" s="197"/>
      <c r="CK20" s="230">
        <v>185.13</v>
      </c>
      <c r="CL20" s="266">
        <f t="shared" si="35"/>
        <v>146.83000000000001</v>
      </c>
      <c r="CM20" s="453"/>
      <c r="CN20" s="202"/>
      <c r="CO20" s="208"/>
      <c r="CP20" s="208"/>
      <c r="CQ20" s="201"/>
      <c r="CR20" s="201"/>
      <c r="CS20" s="284"/>
      <c r="CT20" s="286">
        <f t="shared" si="20"/>
        <v>0</v>
      </c>
      <c r="CU20" s="24">
        <f t="shared" si="20"/>
        <v>20.597999999999999</v>
      </c>
      <c r="CV20" s="25">
        <f t="shared" si="20"/>
        <v>161.53899999999999</v>
      </c>
      <c r="CW20" s="24">
        <f t="shared" si="20"/>
        <v>369.28293679999996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185.13</v>
      </c>
      <c r="DC20" s="277">
        <f t="shared" si="21"/>
        <v>146.83000000000001</v>
      </c>
      <c r="DD20" s="280">
        <f t="shared" si="21"/>
        <v>0</v>
      </c>
      <c r="DE20" s="508">
        <f t="shared" si="36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7"/>
        <v>0</v>
      </c>
      <c r="DM20" s="197">
        <v>104.709</v>
      </c>
      <c r="DN20" s="247">
        <f t="shared" si="38"/>
        <v>161.53899999999999</v>
      </c>
      <c r="DO20" s="197">
        <v>116.9</v>
      </c>
      <c r="DP20" s="247">
        <f t="shared" si="39"/>
        <v>146.83000000000001</v>
      </c>
    </row>
    <row r="21" spans="1:120" ht="16.5" customHeight="1" thickBot="1">
      <c r="A21" s="534">
        <v>15</v>
      </c>
      <c r="B21" s="103">
        <f t="shared" si="24"/>
        <v>527.94900000000007</v>
      </c>
      <c r="C21" s="104">
        <f t="shared" si="0"/>
        <v>1.3457374291835005</v>
      </c>
      <c r="D21" s="143">
        <f t="shared" si="1"/>
        <v>520.84419270000001</v>
      </c>
      <c r="E21" s="104">
        <f t="shared" si="41"/>
        <v>39.452977048919493</v>
      </c>
      <c r="F21" s="128">
        <f t="shared" si="3"/>
        <v>2.1811900577497294</v>
      </c>
      <c r="G21" s="106"/>
      <c r="H21" s="107">
        <f t="shared" si="4"/>
        <v>1.4505198845005427</v>
      </c>
      <c r="I21" s="103">
        <f>'[1]сентябрь 20'!AE20</f>
        <v>0</v>
      </c>
      <c r="J21" s="103">
        <f>'[1]ноябрь 20'!AA20</f>
        <v>15.090999999999999</v>
      </c>
      <c r="K21" s="106">
        <v>33.99</v>
      </c>
      <c r="L21" s="103">
        <f t="shared" si="25"/>
        <v>174.476</v>
      </c>
      <c r="M21" s="103">
        <f t="shared" si="5"/>
        <v>0.73067017324918659</v>
      </c>
      <c r="N21" s="103">
        <f>'[1]август 20'!W20</f>
        <v>0</v>
      </c>
      <c r="O21" s="103">
        <f>'[1]сентябрь 20'!AM20</f>
        <v>0</v>
      </c>
      <c r="P21" s="447">
        <f t="shared" si="26"/>
        <v>0</v>
      </c>
      <c r="Q21" s="103">
        <f t="shared" si="27"/>
        <v>0</v>
      </c>
      <c r="R21" s="103">
        <v>320.55</v>
      </c>
      <c r="S21" s="108">
        <f t="shared" si="6"/>
        <v>3.1789112462954239</v>
      </c>
      <c r="T21" s="109">
        <f t="shared" si="7"/>
        <v>310.36</v>
      </c>
      <c r="U21" s="106"/>
      <c r="V21" s="109">
        <f t="shared" si="8"/>
        <v>310.36</v>
      </c>
      <c r="W21" s="110">
        <f t="shared" si="9"/>
        <v>1.2997248616979846</v>
      </c>
      <c r="X21" s="110">
        <f t="shared" si="28"/>
        <v>1.2997248616979846</v>
      </c>
      <c r="Y21" s="136">
        <v>238.79</v>
      </c>
      <c r="Z21" s="130">
        <v>238.79</v>
      </c>
      <c r="AA21" s="131">
        <v>0.86</v>
      </c>
      <c r="AB21" s="112">
        <v>630</v>
      </c>
      <c r="AC21" s="133">
        <v>1224</v>
      </c>
      <c r="AD21" s="151" t="s">
        <v>149</v>
      </c>
      <c r="AE21" s="131">
        <v>75.91</v>
      </c>
      <c r="AF21" s="133">
        <v>157</v>
      </c>
      <c r="AG21" s="134">
        <v>5</v>
      </c>
      <c r="AH21" s="131">
        <v>8.8000000000000007</v>
      </c>
      <c r="AI21" s="115">
        <f t="shared" si="10"/>
        <v>36.852618839226267</v>
      </c>
      <c r="AJ21" s="131">
        <v>137.15</v>
      </c>
      <c r="AK21" s="115">
        <f t="shared" si="11"/>
        <v>574.35644020453219</v>
      </c>
      <c r="AL21" s="139">
        <v>35.96</v>
      </c>
      <c r="AM21" s="131"/>
      <c r="AN21" s="136">
        <v>15.83</v>
      </c>
      <c r="AO21" s="466">
        <f t="shared" si="29"/>
        <v>58.500999999999998</v>
      </c>
      <c r="AP21" s="110">
        <f t="shared" si="12"/>
        <v>0.19</v>
      </c>
      <c r="AQ21" s="137" t="s">
        <v>483</v>
      </c>
      <c r="AR21" s="150">
        <v>6.66</v>
      </c>
      <c r="AS21" s="138">
        <v>9.83</v>
      </c>
      <c r="AT21" s="131"/>
      <c r="AU21" s="131">
        <v>7.02</v>
      </c>
      <c r="AV21" s="315">
        <v>307.89999999999998</v>
      </c>
      <c r="AW21" s="131">
        <v>5.22</v>
      </c>
      <c r="AX21" s="116"/>
      <c r="AY21" s="131"/>
      <c r="AZ21" s="109">
        <f t="shared" si="40"/>
        <v>0</v>
      </c>
      <c r="BA21" s="109">
        <f t="shared" si="13"/>
        <v>238.78899999999996</v>
      </c>
      <c r="BB21" s="115">
        <f t="shared" si="30"/>
        <v>236.32129528537448</v>
      </c>
      <c r="BC21" s="140">
        <f t="shared" si="14"/>
        <v>7.4582556338028159</v>
      </c>
      <c r="BD21" s="141">
        <f t="shared" si="15"/>
        <v>9.5515599999999985</v>
      </c>
      <c r="BE21" s="128">
        <f t="shared" si="16"/>
        <v>0.88211600545040403</v>
      </c>
      <c r="BF21" s="141">
        <f t="shared" si="17"/>
        <v>17.009815633802816</v>
      </c>
      <c r="BG21" s="535">
        <v>0.79700000000000004</v>
      </c>
      <c r="BH21" s="16">
        <f t="shared" si="31"/>
        <v>3285.4749999999995</v>
      </c>
      <c r="BI21" s="16">
        <f t="shared" si="18"/>
        <v>222.33333333333334</v>
      </c>
      <c r="BJ21" s="16">
        <f t="shared" si="32"/>
        <v>3335.0000000000005</v>
      </c>
      <c r="BK21" s="17">
        <f t="shared" si="19"/>
        <v>1</v>
      </c>
      <c r="BL21" s="16">
        <f t="shared" si="33"/>
        <v>3335.0000000000005</v>
      </c>
      <c r="BM21" s="254"/>
      <c r="BN21" s="230">
        <v>15.603</v>
      </c>
      <c r="BO21" s="266">
        <f t="shared" si="34"/>
        <v>158.87299999999999</v>
      </c>
      <c r="BP21" s="196">
        <v>353.47300000000001</v>
      </c>
      <c r="BQ21" s="230"/>
      <c r="BR21" s="230"/>
      <c r="BS21" s="259"/>
      <c r="BT21" s="199"/>
      <c r="BU21" s="200"/>
      <c r="BV21" s="200"/>
      <c r="BW21" s="200"/>
      <c r="BX21" s="200">
        <v>2.0099999999999998</v>
      </c>
      <c r="BY21" s="208"/>
      <c r="BZ21" s="208"/>
      <c r="CA21" s="201"/>
      <c r="CB21" s="202"/>
      <c r="CC21" s="200">
        <v>43.55</v>
      </c>
      <c r="CD21" s="200">
        <v>43.24</v>
      </c>
      <c r="CE21" s="200">
        <v>37.57</v>
      </c>
      <c r="CF21" s="208"/>
      <c r="CG21" s="208"/>
      <c r="CH21" s="209"/>
      <c r="CI21" s="199"/>
      <c r="CJ21" s="197"/>
      <c r="CK21" s="230">
        <v>171.13</v>
      </c>
      <c r="CL21" s="266">
        <f t="shared" si="35"/>
        <v>139.22999999999999</v>
      </c>
      <c r="CM21" s="453"/>
      <c r="CN21" s="202"/>
      <c r="CO21" s="208"/>
      <c r="CP21" s="208"/>
      <c r="CQ21" s="201"/>
      <c r="CR21" s="201"/>
      <c r="CS21" s="284"/>
      <c r="CT21" s="286">
        <f t="shared" si="20"/>
        <v>0</v>
      </c>
      <c r="CU21" s="27">
        <f t="shared" si="20"/>
        <v>15.603</v>
      </c>
      <c r="CV21" s="28">
        <f t="shared" si="20"/>
        <v>158.87299999999999</v>
      </c>
      <c r="CW21" s="27">
        <f t="shared" si="20"/>
        <v>346.36819270000001</v>
      </c>
      <c r="CX21" s="27">
        <f t="shared" si="20"/>
        <v>0</v>
      </c>
      <c r="CY21" s="24">
        <f t="shared" si="20"/>
        <v>0</v>
      </c>
      <c r="CZ21" s="281">
        <f t="shared" si="20"/>
        <v>0</v>
      </c>
      <c r="DA21" s="237">
        <f t="shared" si="21"/>
        <v>0</v>
      </c>
      <c r="DB21" s="24">
        <f t="shared" si="21"/>
        <v>171.13</v>
      </c>
      <c r="DC21" s="277">
        <f t="shared" si="21"/>
        <v>139.22999999999999</v>
      </c>
      <c r="DD21" s="280">
        <f t="shared" si="21"/>
        <v>0</v>
      </c>
      <c r="DE21" s="508">
        <f t="shared" si="36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7"/>
        <v>0</v>
      </c>
      <c r="DM21" s="197">
        <v>102.04300000000001</v>
      </c>
      <c r="DN21" s="247">
        <f t="shared" si="38"/>
        <v>158.87299999999999</v>
      </c>
      <c r="DO21" s="197">
        <v>109.3</v>
      </c>
      <c r="DP21" s="247">
        <f t="shared" si="39"/>
        <v>139.22999999999999</v>
      </c>
    </row>
    <row r="22" spans="1:120" ht="16.5" customHeight="1" thickBot="1">
      <c r="A22" s="534">
        <v>16</v>
      </c>
      <c r="B22" s="103">
        <f t="shared" si="24"/>
        <v>591</v>
      </c>
      <c r="C22" s="104">
        <f t="shared" si="0"/>
        <v>0.8560363790186124</v>
      </c>
      <c r="D22" s="143">
        <f t="shared" si="1"/>
        <v>585.9408249999999</v>
      </c>
      <c r="E22" s="104">
        <f>IF(B22=0,0,(BM22*CB22+BN22*CC22+BP22*CE22+BS22*CH22+BO22*CD22+BR22*CG22+BQ22*CF22)/B22)</f>
        <v>39.391875211505919</v>
      </c>
      <c r="F22" s="128">
        <f t="shared" si="3"/>
        <v>2.4565843949211477</v>
      </c>
      <c r="G22" s="106"/>
      <c r="H22" s="107">
        <f t="shared" si="4"/>
        <v>1.6756554523024416</v>
      </c>
      <c r="I22" s="103">
        <f>'[1]сентябрь 20'!AE21</f>
        <v>0</v>
      </c>
      <c r="J22" s="103">
        <f>'[1]ноябрь 20'!AA21</f>
        <v>17.838000000000001</v>
      </c>
      <c r="K22" s="106"/>
      <c r="L22" s="103">
        <f t="shared" si="25"/>
        <v>186.26599999999999</v>
      </c>
      <c r="M22" s="103">
        <f t="shared" si="5"/>
        <v>0.78092894261870649</v>
      </c>
      <c r="N22" s="103">
        <f>'[1]август 20'!W21</f>
        <v>0</v>
      </c>
      <c r="O22" s="103">
        <f>'[1]сентябрь 20'!AM21</f>
        <v>0</v>
      </c>
      <c r="P22" s="447">
        <f t="shared" si="26"/>
        <v>0</v>
      </c>
      <c r="Q22" s="103">
        <f t="shared" si="27"/>
        <v>0</v>
      </c>
      <c r="R22" s="103">
        <v>358.2</v>
      </c>
      <c r="S22" s="108">
        <f t="shared" si="6"/>
        <v>2.9424902289224009</v>
      </c>
      <c r="T22" s="109">
        <f t="shared" si="7"/>
        <v>347.65999999999997</v>
      </c>
      <c r="U22" s="106">
        <v>3.94</v>
      </c>
      <c r="V22" s="109">
        <f t="shared" si="8"/>
        <v>347.65999999999997</v>
      </c>
      <c r="W22" s="110">
        <f t="shared" si="9"/>
        <v>1.4575808585078303</v>
      </c>
      <c r="X22" s="110">
        <f t="shared" si="28"/>
        <v>1.4575808585078303</v>
      </c>
      <c r="Y22" s="136">
        <v>90.74</v>
      </c>
      <c r="Z22" s="129">
        <v>43.82</v>
      </c>
      <c r="AA22" s="131">
        <v>1.26</v>
      </c>
      <c r="AB22" s="112">
        <v>627</v>
      </c>
      <c r="AC22" s="152">
        <v>1223</v>
      </c>
      <c r="AD22" s="144" t="s">
        <v>221</v>
      </c>
      <c r="AE22" s="131">
        <v>75.05</v>
      </c>
      <c r="AF22" s="133">
        <v>178</v>
      </c>
      <c r="AG22" s="134">
        <v>5</v>
      </c>
      <c r="AH22" s="131">
        <v>16.399999999999999</v>
      </c>
      <c r="AI22" s="115">
        <f t="shared" si="10"/>
        <v>68.75776931349138</v>
      </c>
      <c r="AJ22" s="131">
        <v>126.6</v>
      </c>
      <c r="AK22" s="115">
        <f t="shared" si="11"/>
        <v>530.77643872487863</v>
      </c>
      <c r="AL22" s="139">
        <v>32.78</v>
      </c>
      <c r="AM22" s="131"/>
      <c r="AN22" s="136">
        <v>16.29</v>
      </c>
      <c r="AO22" s="466">
        <f t="shared" si="29"/>
        <v>58.871500000000005</v>
      </c>
      <c r="AP22" s="110">
        <f t="shared" si="12"/>
        <v>0.19</v>
      </c>
      <c r="AQ22" s="137" t="s">
        <v>132</v>
      </c>
      <c r="AR22" s="150">
        <v>6.88</v>
      </c>
      <c r="AS22" s="138">
        <v>9.5</v>
      </c>
      <c r="AT22" s="134"/>
      <c r="AU22" s="131">
        <v>6.51</v>
      </c>
      <c r="AV22" s="315">
        <v>309.85000000000002</v>
      </c>
      <c r="AW22" s="131">
        <v>3.83</v>
      </c>
      <c r="AX22" s="116"/>
      <c r="AY22" s="131"/>
      <c r="AZ22" s="109">
        <f t="shared" si="40"/>
        <v>0</v>
      </c>
      <c r="BA22" s="109">
        <f t="shared" si="13"/>
        <v>238.51850000000005</v>
      </c>
      <c r="BB22" s="115">
        <f t="shared" si="30"/>
        <v>268.48743186597625</v>
      </c>
      <c r="BC22" s="140">
        <f t="shared" si="14"/>
        <v>6.3843845070422525</v>
      </c>
      <c r="BD22" s="141">
        <f t="shared" si="15"/>
        <v>9.5407400000000013</v>
      </c>
      <c r="BE22" s="128">
        <f t="shared" si="16"/>
        <v>0.77555455409154039</v>
      </c>
      <c r="BF22" s="141">
        <f t="shared" si="17"/>
        <v>15.925124507042254</v>
      </c>
      <c r="BG22" s="535">
        <v>0.79600000000000004</v>
      </c>
      <c r="BH22" s="16">
        <f t="shared" si="31"/>
        <v>3523.9934999999996</v>
      </c>
      <c r="BI22" s="16">
        <f t="shared" si="18"/>
        <v>222.33333333333334</v>
      </c>
      <c r="BJ22" s="16">
        <f t="shared" si="32"/>
        <v>3557.3333333333339</v>
      </c>
      <c r="BK22" s="17">
        <f t="shared" si="19"/>
        <v>1</v>
      </c>
      <c r="BL22" s="16">
        <f t="shared" si="33"/>
        <v>3557.3333333333339</v>
      </c>
      <c r="BM22" s="254"/>
      <c r="BN22" s="230">
        <v>17.998999999999999</v>
      </c>
      <c r="BO22" s="266">
        <f t="shared" si="34"/>
        <v>168.267</v>
      </c>
      <c r="BP22" s="196">
        <v>404.73399999999998</v>
      </c>
      <c r="BQ22" s="230"/>
      <c r="BR22" s="230"/>
      <c r="BS22" s="258"/>
      <c r="BT22" s="199"/>
      <c r="BU22" s="200"/>
      <c r="BV22" s="200"/>
      <c r="BW22" s="200"/>
      <c r="BX22" s="200">
        <v>1.25</v>
      </c>
      <c r="BY22" s="208"/>
      <c r="BZ22" s="208"/>
      <c r="CA22" s="201"/>
      <c r="CB22" s="202"/>
      <c r="CC22" s="200">
        <v>43.24</v>
      </c>
      <c r="CD22" s="200">
        <v>43.17</v>
      </c>
      <c r="CE22" s="200">
        <v>37.65</v>
      </c>
      <c r="CF22" s="208"/>
      <c r="CG22" s="208"/>
      <c r="CH22" s="201"/>
      <c r="CI22" s="199"/>
      <c r="CJ22" s="197"/>
      <c r="CK22" s="230">
        <v>193.13</v>
      </c>
      <c r="CL22" s="266">
        <f t="shared" si="35"/>
        <v>154.53</v>
      </c>
      <c r="CM22" s="453"/>
      <c r="CN22" s="202"/>
      <c r="CO22" s="200"/>
      <c r="CP22" s="208"/>
      <c r="CQ22" s="201"/>
      <c r="CR22" s="201"/>
      <c r="CS22" s="284"/>
      <c r="CT22" s="286">
        <f t="shared" si="20"/>
        <v>0</v>
      </c>
      <c r="CU22" s="29">
        <f t="shared" si="20"/>
        <v>17.998999999999999</v>
      </c>
      <c r="CV22" s="30">
        <f t="shared" si="20"/>
        <v>168.267</v>
      </c>
      <c r="CW22" s="29">
        <f t="shared" si="20"/>
        <v>399.674825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21"/>
        <v>0</v>
      </c>
      <c r="DB22" s="24">
        <f t="shared" si="21"/>
        <v>193.13</v>
      </c>
      <c r="DC22" s="277">
        <f t="shared" si="21"/>
        <v>154.53</v>
      </c>
      <c r="DD22" s="280">
        <f t="shared" si="21"/>
        <v>0</v>
      </c>
      <c r="DE22" s="508">
        <f t="shared" si="36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7"/>
        <v>0</v>
      </c>
      <c r="DM22" s="197">
        <v>111.437</v>
      </c>
      <c r="DN22" s="247">
        <f t="shared" si="38"/>
        <v>168.267</v>
      </c>
      <c r="DO22" s="197">
        <v>124.6</v>
      </c>
      <c r="DP22" s="247">
        <f t="shared" si="39"/>
        <v>154.53</v>
      </c>
    </row>
    <row r="23" spans="1:120" ht="16.5" customHeight="1" thickBot="1">
      <c r="A23" s="534">
        <v>17</v>
      </c>
      <c r="B23" s="103">
        <f t="shared" si="24"/>
        <v>542.92900000000009</v>
      </c>
      <c r="C23" s="104">
        <f t="shared" si="0"/>
        <v>0.77569971395891524</v>
      </c>
      <c r="D23" s="143">
        <f t="shared" si="1"/>
        <v>538.71750130000009</v>
      </c>
      <c r="E23" s="104">
        <f t="shared" si="41"/>
        <v>39.591791431292116</v>
      </c>
      <c r="F23" s="128">
        <f t="shared" si="3"/>
        <v>2.4043609204738945</v>
      </c>
      <c r="G23" s="106"/>
      <c r="H23" s="107">
        <f t="shared" si="4"/>
        <v>1.6446039819957734</v>
      </c>
      <c r="I23" s="103">
        <f>'[1]сентябрь 20'!AE22</f>
        <v>0</v>
      </c>
      <c r="J23" s="103">
        <f>'[1]ноябрь 20'!AA22</f>
        <v>17.004999999999999</v>
      </c>
      <c r="K23" s="106"/>
      <c r="L23" s="103">
        <f t="shared" si="25"/>
        <v>170.23000000000002</v>
      </c>
      <c r="M23" s="103">
        <f t="shared" si="5"/>
        <v>0.75975693847812076</v>
      </c>
      <c r="N23" s="103">
        <f>'[1]август 20'!W22</f>
        <v>0</v>
      </c>
      <c r="O23" s="103">
        <f>'[1]сентябрь 20'!AM22</f>
        <v>0</v>
      </c>
      <c r="P23" s="447">
        <f t="shared" si="26"/>
        <v>0</v>
      </c>
      <c r="Q23" s="103">
        <f t="shared" si="27"/>
        <v>0</v>
      </c>
      <c r="R23" s="103">
        <v>324.85000000000002</v>
      </c>
      <c r="S23" s="108">
        <f t="shared" si="6"/>
        <v>2.8443897183315414</v>
      </c>
      <c r="T23" s="109">
        <f t="shared" si="7"/>
        <v>315.61</v>
      </c>
      <c r="U23" s="106"/>
      <c r="V23" s="109">
        <f t="shared" si="8"/>
        <v>315.61</v>
      </c>
      <c r="W23" s="110">
        <f t="shared" si="9"/>
        <v>1.4086053419084748</v>
      </c>
      <c r="X23" s="110">
        <f t="shared" si="28"/>
        <v>1.4086053419084748</v>
      </c>
      <c r="Y23" s="136">
        <v>224.06</v>
      </c>
      <c r="Z23" s="129">
        <v>129.63999999999999</v>
      </c>
      <c r="AA23" s="131">
        <v>1.04</v>
      </c>
      <c r="AB23" s="112">
        <v>665</v>
      </c>
      <c r="AC23" s="133">
        <v>1224</v>
      </c>
      <c r="AD23" s="144" t="s">
        <v>484</v>
      </c>
      <c r="AE23" s="131">
        <v>76.23</v>
      </c>
      <c r="AF23" s="133">
        <v>162</v>
      </c>
      <c r="AG23" s="134">
        <v>5</v>
      </c>
      <c r="AH23" s="131"/>
      <c r="AI23" s="115">
        <f t="shared" si="10"/>
        <v>0</v>
      </c>
      <c r="AJ23" s="131">
        <v>135.35</v>
      </c>
      <c r="AK23" s="115">
        <f t="shared" si="11"/>
        <v>604.08330860020931</v>
      </c>
      <c r="AL23" s="139">
        <v>41.34</v>
      </c>
      <c r="AM23" s="131"/>
      <c r="AN23" s="136">
        <v>18.940000000000001</v>
      </c>
      <c r="AO23" s="466">
        <f t="shared" si="29"/>
        <v>55.451500000000003</v>
      </c>
      <c r="AP23" s="110">
        <f t="shared" si="12"/>
        <v>0.19</v>
      </c>
      <c r="AQ23" s="137" t="s">
        <v>382</v>
      </c>
      <c r="AR23" s="150">
        <v>6.5</v>
      </c>
      <c r="AS23" s="138">
        <v>9.9499999999999993</v>
      </c>
      <c r="AT23" s="134"/>
      <c r="AU23" s="131">
        <v>6.83</v>
      </c>
      <c r="AV23" s="315">
        <v>291.85000000000002</v>
      </c>
      <c r="AW23" s="131">
        <v>6.6</v>
      </c>
      <c r="AX23" s="116"/>
      <c r="AY23" s="131"/>
      <c r="AZ23" s="109">
        <f t="shared" si="40"/>
        <v>0</v>
      </c>
      <c r="BA23" s="109">
        <f t="shared" si="13"/>
        <v>224.05850000000001</v>
      </c>
      <c r="BB23" s="115">
        <f t="shared" si="30"/>
        <v>244.26124230579396</v>
      </c>
      <c r="BC23" s="140">
        <f t="shared" si="14"/>
        <v>7.1611588028169004</v>
      </c>
      <c r="BD23" s="141">
        <f t="shared" si="15"/>
        <v>8.9623400000000011</v>
      </c>
      <c r="BE23" s="128">
        <f t="shared" si="16"/>
        <v>0.8007945454364056</v>
      </c>
      <c r="BF23" s="141">
        <f t="shared" si="17"/>
        <v>16.123498802816901</v>
      </c>
      <c r="BG23" s="535">
        <v>0.79600000000000004</v>
      </c>
      <c r="BH23" s="16">
        <f t="shared" si="31"/>
        <v>3748.0519999999997</v>
      </c>
      <c r="BI23" s="16">
        <f t="shared" si="18"/>
        <v>222.33333333333334</v>
      </c>
      <c r="BJ23" s="16">
        <f t="shared" si="32"/>
        <v>3779.6666666666674</v>
      </c>
      <c r="BK23" s="17">
        <f t="shared" si="19"/>
        <v>1</v>
      </c>
      <c r="BL23" s="16">
        <f t="shared" si="33"/>
        <v>3779.6666666666674</v>
      </c>
      <c r="BM23" s="254"/>
      <c r="BN23" s="230">
        <v>16.196999999999999</v>
      </c>
      <c r="BO23" s="266">
        <f t="shared" si="34"/>
        <v>154.03300000000002</v>
      </c>
      <c r="BP23" s="196">
        <v>372.69900000000001</v>
      </c>
      <c r="BQ23" s="230"/>
      <c r="BR23" s="230"/>
      <c r="BS23" s="258"/>
      <c r="BT23" s="199"/>
      <c r="BU23" s="200"/>
      <c r="BV23" s="200"/>
      <c r="BW23" s="200"/>
      <c r="BX23" s="200">
        <v>1.1299999999999999</v>
      </c>
      <c r="BY23" s="208"/>
      <c r="BZ23" s="208"/>
      <c r="CA23" s="201"/>
      <c r="CB23" s="202"/>
      <c r="CC23" s="200">
        <v>43.09</v>
      </c>
      <c r="CD23" s="200">
        <v>43.39</v>
      </c>
      <c r="CE23" s="200">
        <v>37.869999999999997</v>
      </c>
      <c r="CF23" s="208"/>
      <c r="CG23" s="208"/>
      <c r="CH23" s="209"/>
      <c r="CI23" s="199"/>
      <c r="CJ23" s="197"/>
      <c r="CK23" s="230">
        <v>172.28</v>
      </c>
      <c r="CL23" s="266">
        <f t="shared" si="35"/>
        <v>143.33000000000001</v>
      </c>
      <c r="CM23" s="453"/>
      <c r="CN23" s="202"/>
      <c r="CO23" s="208"/>
      <c r="CP23" s="208"/>
      <c r="CQ23" s="201"/>
      <c r="CR23" s="201"/>
      <c r="CS23" s="284"/>
      <c r="CT23" s="286">
        <f t="shared" si="20"/>
        <v>0</v>
      </c>
      <c r="CU23" s="24">
        <f t="shared" si="20"/>
        <v>16.196999999999999</v>
      </c>
      <c r="CV23" s="25">
        <f t="shared" si="20"/>
        <v>154.03300000000002</v>
      </c>
      <c r="CW23" s="24">
        <f t="shared" si="20"/>
        <v>368.48750130000002</v>
      </c>
      <c r="CX23" s="27">
        <f t="shared" si="20"/>
        <v>0</v>
      </c>
      <c r="CY23" s="24">
        <f t="shared" si="20"/>
        <v>0</v>
      </c>
      <c r="CZ23" s="280">
        <f t="shared" si="20"/>
        <v>0</v>
      </c>
      <c r="DA23" s="237">
        <f t="shared" si="21"/>
        <v>0</v>
      </c>
      <c r="DB23" s="29">
        <f t="shared" si="21"/>
        <v>172.28</v>
      </c>
      <c r="DC23" s="277">
        <f t="shared" si="21"/>
        <v>143.33000000000001</v>
      </c>
      <c r="DD23" s="280">
        <f t="shared" si="21"/>
        <v>0</v>
      </c>
      <c r="DE23" s="508">
        <f t="shared" si="36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7"/>
        <v>0</v>
      </c>
      <c r="DM23" s="197">
        <v>97.203000000000003</v>
      </c>
      <c r="DN23" s="247">
        <f t="shared" si="38"/>
        <v>154.03300000000002</v>
      </c>
      <c r="DO23" s="197">
        <v>113.4</v>
      </c>
      <c r="DP23" s="247">
        <f t="shared" si="39"/>
        <v>143.33000000000001</v>
      </c>
    </row>
    <row r="24" spans="1:120" ht="16.5" customHeight="1" thickBot="1">
      <c r="A24" s="534">
        <v>18</v>
      </c>
      <c r="B24" s="103">
        <f t="shared" si="24"/>
        <v>507.04999999999995</v>
      </c>
      <c r="C24" s="104">
        <f t="shared" si="0"/>
        <v>1.143745192781777</v>
      </c>
      <c r="D24" s="143">
        <f t="shared" si="1"/>
        <v>501.25063999999998</v>
      </c>
      <c r="E24" s="104">
        <f t="shared" si="41"/>
        <v>39.311209841238536</v>
      </c>
      <c r="F24" s="128">
        <f t="shared" si="3"/>
        <v>2.2415537245519692</v>
      </c>
      <c r="G24" s="106"/>
      <c r="H24" s="107">
        <f t="shared" si="4"/>
        <v>1.5177731617605956</v>
      </c>
      <c r="I24" s="103">
        <f>'[1]сентябрь 20'!AE23</f>
        <v>0</v>
      </c>
      <c r="J24" s="103">
        <f>'[1]ноябрь 20'!AA23</f>
        <v>14.465999999999999</v>
      </c>
      <c r="K24" s="106">
        <v>37.71</v>
      </c>
      <c r="L24" s="103">
        <f t="shared" si="25"/>
        <v>161.85</v>
      </c>
      <c r="M24" s="103">
        <f t="shared" si="5"/>
        <v>0.7237805627913737</v>
      </c>
      <c r="N24" s="103">
        <f>'[1]август 20'!W23</f>
        <v>0</v>
      </c>
      <c r="O24" s="103">
        <f>'[1]сентябрь 20'!AM23</f>
        <v>0</v>
      </c>
      <c r="P24" s="447">
        <f t="shared" si="26"/>
        <v>0</v>
      </c>
      <c r="Q24" s="103">
        <f t="shared" si="27"/>
        <v>0</v>
      </c>
      <c r="R24" s="103">
        <v>303.05</v>
      </c>
      <c r="S24" s="108">
        <f t="shared" si="6"/>
        <v>2.6794258373205704</v>
      </c>
      <c r="T24" s="109">
        <f t="shared" si="7"/>
        <v>294.93</v>
      </c>
      <c r="U24" s="106">
        <v>72.260000000000005</v>
      </c>
      <c r="V24" s="109">
        <f t="shared" si="8"/>
        <v>294.93</v>
      </c>
      <c r="W24" s="110">
        <f t="shared" si="9"/>
        <v>1.3189039319373486</v>
      </c>
      <c r="X24" s="110">
        <f t="shared" si="28"/>
        <v>1.3189039319373486</v>
      </c>
      <c r="Y24" s="136">
        <v>223.62</v>
      </c>
      <c r="Z24" s="129">
        <v>223.62</v>
      </c>
      <c r="AA24" s="131">
        <v>0.56000000000000005</v>
      </c>
      <c r="AB24" s="133">
        <v>690</v>
      </c>
      <c r="AC24" s="133">
        <v>1220</v>
      </c>
      <c r="AD24" s="144" t="s">
        <v>171</v>
      </c>
      <c r="AE24" s="131">
        <v>75.44</v>
      </c>
      <c r="AF24" s="133">
        <v>150</v>
      </c>
      <c r="AG24" s="134">
        <v>5</v>
      </c>
      <c r="AH24" s="131">
        <v>7.25</v>
      </c>
      <c r="AI24" s="115">
        <f t="shared" si="10"/>
        <v>32.421433921763729</v>
      </c>
      <c r="AJ24" s="131">
        <v>158.19999999999999</v>
      </c>
      <c r="AK24" s="115">
        <f t="shared" si="11"/>
        <v>707.45804778248578</v>
      </c>
      <c r="AL24" s="139">
        <v>34.83</v>
      </c>
      <c r="AM24" s="131"/>
      <c r="AN24" s="136">
        <v>11.65</v>
      </c>
      <c r="AO24" s="466">
        <f t="shared" si="29"/>
        <v>54.482500000000002</v>
      </c>
      <c r="AP24" s="110">
        <f t="shared" si="12"/>
        <v>0.19</v>
      </c>
      <c r="AQ24" s="137" t="s">
        <v>485</v>
      </c>
      <c r="AR24" s="150">
        <v>6.11</v>
      </c>
      <c r="AS24" s="138">
        <v>9.1999999999999993</v>
      </c>
      <c r="AT24" s="134"/>
      <c r="AU24" s="131">
        <v>8.9</v>
      </c>
      <c r="AV24" s="315">
        <v>286.75</v>
      </c>
      <c r="AW24" s="131">
        <v>3</v>
      </c>
      <c r="AX24" s="116"/>
      <c r="AY24" s="131"/>
      <c r="AZ24" s="109">
        <f t="shared" si="40"/>
        <v>0</v>
      </c>
      <c r="BA24" s="109">
        <f t="shared" si="13"/>
        <v>223.61749999999998</v>
      </c>
      <c r="BB24" s="115">
        <f t="shared" si="30"/>
        <v>228.02576110019928</v>
      </c>
      <c r="BC24" s="140">
        <f t="shared" si="14"/>
        <v>10.906887323943662</v>
      </c>
      <c r="BD24" s="141">
        <f t="shared" si="15"/>
        <v>8.9446999999999992</v>
      </c>
      <c r="BE24" s="128">
        <f t="shared" si="16"/>
        <v>0.85612290715792005</v>
      </c>
      <c r="BF24" s="141">
        <f t="shared" si="17"/>
        <v>19.851587323943662</v>
      </c>
      <c r="BG24" s="535">
        <v>0.79900000000000004</v>
      </c>
      <c r="BH24" s="16">
        <f t="shared" si="31"/>
        <v>3971.6694999999995</v>
      </c>
      <c r="BI24" s="16">
        <f t="shared" si="18"/>
        <v>222.33333333333334</v>
      </c>
      <c r="BJ24" s="16">
        <f t="shared" si="32"/>
        <v>4002.0000000000009</v>
      </c>
      <c r="BK24" s="17">
        <f t="shared" si="19"/>
        <v>1</v>
      </c>
      <c r="BL24" s="16">
        <f t="shared" si="33"/>
        <v>4002.0000000000009</v>
      </c>
      <c r="BM24" s="254"/>
      <c r="BN24" s="230">
        <v>14.987</v>
      </c>
      <c r="BO24" s="266">
        <f t="shared" si="34"/>
        <v>146.863</v>
      </c>
      <c r="BP24" s="196">
        <v>345.2</v>
      </c>
      <c r="BQ24" s="230"/>
      <c r="BR24" s="230"/>
      <c r="BS24" s="258"/>
      <c r="BT24" s="199"/>
      <c r="BU24" s="200"/>
      <c r="BV24" s="200"/>
      <c r="BW24" s="200"/>
      <c r="BX24" s="200">
        <v>1.68</v>
      </c>
      <c r="BY24" s="208"/>
      <c r="BZ24" s="208"/>
      <c r="CA24" s="201"/>
      <c r="CB24" s="202"/>
      <c r="CC24" s="200">
        <v>43.55</v>
      </c>
      <c r="CD24" s="200">
        <v>43.7</v>
      </c>
      <c r="CE24" s="200">
        <v>37.26</v>
      </c>
      <c r="CF24" s="208"/>
      <c r="CG24" s="208"/>
      <c r="CH24" s="209"/>
      <c r="CI24" s="199"/>
      <c r="CJ24" s="197"/>
      <c r="CK24" s="230">
        <v>160</v>
      </c>
      <c r="CL24" s="266">
        <f t="shared" si="35"/>
        <v>134.93</v>
      </c>
      <c r="CM24" s="453"/>
      <c r="CN24" s="202"/>
      <c r="CO24" s="208"/>
      <c r="CP24" s="208"/>
      <c r="CQ24" s="201"/>
      <c r="CR24" s="201"/>
      <c r="CS24" s="284"/>
      <c r="CT24" s="286">
        <f t="shared" si="20"/>
        <v>0</v>
      </c>
      <c r="CU24" s="29">
        <f t="shared" si="20"/>
        <v>14.987</v>
      </c>
      <c r="CV24" s="30">
        <f t="shared" si="20"/>
        <v>146.863</v>
      </c>
      <c r="CW24" s="29">
        <f t="shared" si="20"/>
        <v>339.40063999999995</v>
      </c>
      <c r="CX24" s="27">
        <f t="shared" si="20"/>
        <v>0</v>
      </c>
      <c r="CY24" s="27">
        <f t="shared" si="20"/>
        <v>0</v>
      </c>
      <c r="CZ24" s="282">
        <f t="shared" si="20"/>
        <v>0</v>
      </c>
      <c r="DA24" s="25">
        <f t="shared" si="21"/>
        <v>0</v>
      </c>
      <c r="DB24" s="26">
        <f t="shared" si="21"/>
        <v>160</v>
      </c>
      <c r="DC24" s="277">
        <f t="shared" si="21"/>
        <v>134.93</v>
      </c>
      <c r="DD24" s="280">
        <f t="shared" si="21"/>
        <v>0</v>
      </c>
      <c r="DE24" s="508">
        <f t="shared" si="36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7"/>
        <v>0</v>
      </c>
      <c r="DM24" s="197">
        <v>90.033000000000001</v>
      </c>
      <c r="DN24" s="247">
        <f t="shared" si="38"/>
        <v>146.863</v>
      </c>
      <c r="DO24" s="197">
        <v>105</v>
      </c>
      <c r="DP24" s="247">
        <f t="shared" si="39"/>
        <v>134.93</v>
      </c>
    </row>
    <row r="25" spans="1:120" ht="16.5" customHeight="1" thickBot="1">
      <c r="A25" s="534">
        <v>19</v>
      </c>
      <c r="B25" s="103">
        <f t="shared" si="24"/>
        <v>560.96600000000001</v>
      </c>
      <c r="C25" s="104">
        <f t="shared" si="0"/>
        <v>1.3780407368717533</v>
      </c>
      <c r="D25" s="143">
        <f t="shared" si="1"/>
        <v>553.23566000000005</v>
      </c>
      <c r="E25" s="104">
        <f t="shared" si="41"/>
        <v>39.192227300763321</v>
      </c>
      <c r="F25" s="128">
        <f t="shared" si="3"/>
        <v>2.4519216339772245</v>
      </c>
      <c r="G25" s="106"/>
      <c r="H25" s="107">
        <f t="shared" si="4"/>
        <v>1.6787695975996471</v>
      </c>
      <c r="I25" s="103">
        <f>'[1]сентябрь 20'!AE24</f>
        <v>0</v>
      </c>
      <c r="J25" s="103">
        <f>'[1]ноябрь 20'!AA24</f>
        <v>16.375</v>
      </c>
      <c r="K25" s="106">
        <v>21.94</v>
      </c>
      <c r="L25" s="103">
        <f t="shared" si="25"/>
        <v>174.44899999999998</v>
      </c>
      <c r="M25" s="103">
        <f t="shared" si="5"/>
        <v>0.7731520363775769</v>
      </c>
      <c r="N25" s="103">
        <f>'[1]август 20'!W24</f>
        <v>0</v>
      </c>
      <c r="O25" s="103">
        <f>'[1]сентябрь 20'!AM24</f>
        <v>0</v>
      </c>
      <c r="P25" s="447">
        <f t="shared" si="26"/>
        <v>0</v>
      </c>
      <c r="Q25" s="103">
        <f t="shared" si="27"/>
        <v>0</v>
      </c>
      <c r="R25" s="103">
        <v>334.11</v>
      </c>
      <c r="S25" s="108">
        <f t="shared" si="6"/>
        <v>2.5440723115141672</v>
      </c>
      <c r="T25" s="109">
        <f t="shared" si="7"/>
        <v>325.61</v>
      </c>
      <c r="U25" s="106">
        <v>40.56</v>
      </c>
      <c r="V25" s="109">
        <f t="shared" si="8"/>
        <v>325.61</v>
      </c>
      <c r="W25" s="110">
        <f t="shared" si="9"/>
        <v>1.4430924485947345</v>
      </c>
      <c r="X25" s="110">
        <f t="shared" si="28"/>
        <v>1.4430924485947345</v>
      </c>
      <c r="Y25" s="136">
        <v>225.63</v>
      </c>
      <c r="Z25" s="129">
        <v>225.63</v>
      </c>
      <c r="AA25" s="131">
        <v>0.67</v>
      </c>
      <c r="AB25" s="133">
        <v>690</v>
      </c>
      <c r="AC25" s="133">
        <v>1230</v>
      </c>
      <c r="AD25" s="144" t="s">
        <v>192</v>
      </c>
      <c r="AE25" s="131">
        <v>76.31</v>
      </c>
      <c r="AF25" s="133">
        <v>168</v>
      </c>
      <c r="AG25" s="134">
        <v>5</v>
      </c>
      <c r="AH25" s="131">
        <v>9.3000000000000007</v>
      </c>
      <c r="AI25" s="115">
        <f t="shared" si="10"/>
        <v>41.217283780998834</v>
      </c>
      <c r="AJ25" s="131">
        <v>132.65</v>
      </c>
      <c r="AK25" s="115">
        <f t="shared" si="11"/>
        <v>587.90028962897804</v>
      </c>
      <c r="AL25" s="139">
        <v>36.08</v>
      </c>
      <c r="AM25" s="131"/>
      <c r="AN25" s="136">
        <v>13.84</v>
      </c>
      <c r="AO25" s="466">
        <f t="shared" si="29"/>
        <v>55.356500000000004</v>
      </c>
      <c r="AP25" s="110">
        <f t="shared" si="12"/>
        <v>0.19</v>
      </c>
      <c r="AQ25" s="137" t="s">
        <v>486</v>
      </c>
      <c r="AR25" s="150">
        <v>6.52</v>
      </c>
      <c r="AS25" s="138">
        <v>9.35</v>
      </c>
      <c r="AT25" s="153"/>
      <c r="AU25" s="131">
        <v>7.86</v>
      </c>
      <c r="AV25" s="315">
        <v>291.35000000000002</v>
      </c>
      <c r="AW25" s="131">
        <v>3.48</v>
      </c>
      <c r="AX25" s="148"/>
      <c r="AY25" s="131"/>
      <c r="AZ25" s="109">
        <f t="shared" si="40"/>
        <v>0</v>
      </c>
      <c r="BA25" s="109">
        <f t="shared" si="13"/>
        <v>225.6335</v>
      </c>
      <c r="BB25" s="115">
        <f t="shared" si="30"/>
        <v>248.05209598914462</v>
      </c>
      <c r="BC25" s="140">
        <f t="shared" si="14"/>
        <v>8.0767035211267615</v>
      </c>
      <c r="BD25" s="141">
        <f t="shared" si="15"/>
        <v>9.0253399999999999</v>
      </c>
      <c r="BE25" s="128">
        <f t="shared" si="16"/>
        <v>0.7940995004074477</v>
      </c>
      <c r="BF25" s="141">
        <f t="shared" si="17"/>
        <v>17.10204352112676</v>
      </c>
      <c r="BG25" s="535">
        <v>0.79900000000000004</v>
      </c>
      <c r="BH25" s="16">
        <f t="shared" si="31"/>
        <v>4197.3029999999999</v>
      </c>
      <c r="BI25" s="16">
        <f t="shared" si="18"/>
        <v>222.33333333333334</v>
      </c>
      <c r="BJ25" s="16">
        <f t="shared" si="32"/>
        <v>4224.3333333333339</v>
      </c>
      <c r="BK25" s="17">
        <f t="shared" si="19"/>
        <v>1</v>
      </c>
      <c r="BL25" s="16">
        <f t="shared" si="33"/>
        <v>4224.3333333333339</v>
      </c>
      <c r="BM25" s="254"/>
      <c r="BN25" s="230">
        <v>16.798999999999999</v>
      </c>
      <c r="BO25" s="266">
        <f t="shared" si="34"/>
        <v>157.64999999999998</v>
      </c>
      <c r="BP25" s="196">
        <v>386.517</v>
      </c>
      <c r="BQ25" s="230"/>
      <c r="BR25" s="230"/>
      <c r="BS25" s="258"/>
      <c r="BT25" s="199"/>
      <c r="BU25" s="200"/>
      <c r="BV25" s="200"/>
      <c r="BW25" s="200"/>
      <c r="BX25" s="200">
        <v>2</v>
      </c>
      <c r="BY25" s="208"/>
      <c r="BZ25" s="208"/>
      <c r="CA25" s="201"/>
      <c r="CB25" s="202"/>
      <c r="CC25" s="200">
        <v>43.39</v>
      </c>
      <c r="CD25" s="200">
        <v>43.85</v>
      </c>
      <c r="CE25" s="200">
        <v>37.11</v>
      </c>
      <c r="CF25" s="208"/>
      <c r="CG25" s="208"/>
      <c r="CH25" s="201"/>
      <c r="CI25" s="199"/>
      <c r="CJ25" s="197"/>
      <c r="CK25" s="230">
        <v>178.08</v>
      </c>
      <c r="CL25" s="266">
        <f t="shared" si="35"/>
        <v>147.53</v>
      </c>
      <c r="CM25" s="453"/>
      <c r="CN25" s="202"/>
      <c r="CO25" s="208"/>
      <c r="CP25" s="208"/>
      <c r="CQ25" s="201"/>
      <c r="CR25" s="201"/>
      <c r="CS25" s="284"/>
      <c r="CT25" s="286">
        <f t="shared" si="20"/>
        <v>0</v>
      </c>
      <c r="CU25" s="24">
        <f t="shared" si="20"/>
        <v>16.798999999999999</v>
      </c>
      <c r="CV25" s="25">
        <f t="shared" si="20"/>
        <v>157.64999999999998</v>
      </c>
      <c r="CW25" s="24">
        <f t="shared" si="20"/>
        <v>378.78665999999998</v>
      </c>
      <c r="CX25" s="27">
        <f t="shared" si="20"/>
        <v>0</v>
      </c>
      <c r="CY25" s="30">
        <f t="shared" si="20"/>
        <v>0</v>
      </c>
      <c r="CZ25" s="280">
        <f t="shared" si="20"/>
        <v>0</v>
      </c>
      <c r="DA25" s="25">
        <f t="shared" si="21"/>
        <v>0</v>
      </c>
      <c r="DB25" s="26">
        <f t="shared" si="21"/>
        <v>178.08</v>
      </c>
      <c r="DC25" s="277">
        <f t="shared" si="21"/>
        <v>147.53</v>
      </c>
      <c r="DD25" s="280">
        <f t="shared" si="21"/>
        <v>0</v>
      </c>
      <c r="DE25" s="508">
        <f t="shared" si="36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7"/>
        <v>0</v>
      </c>
      <c r="DM25" s="197">
        <v>100.82</v>
      </c>
      <c r="DN25" s="247">
        <f t="shared" si="38"/>
        <v>157.64999999999998</v>
      </c>
      <c r="DO25" s="197">
        <v>117.6</v>
      </c>
      <c r="DP25" s="247">
        <f t="shared" si="39"/>
        <v>147.53</v>
      </c>
    </row>
    <row r="26" spans="1:120" ht="16.5" customHeight="1" thickBot="1">
      <c r="A26" s="534">
        <v>20</v>
      </c>
      <c r="B26" s="103">
        <f t="shared" si="24"/>
        <v>551.51800000000003</v>
      </c>
      <c r="C26" s="104">
        <f t="shared" si="0"/>
        <v>0.70769055588394214</v>
      </c>
      <c r="D26" s="143">
        <f t="shared" si="1"/>
        <v>547.61495920000004</v>
      </c>
      <c r="E26" s="104">
        <f t="shared" si="41"/>
        <v>40.146868243647532</v>
      </c>
      <c r="F26" s="128">
        <f t="shared" si="3"/>
        <v>2.7601560443548387</v>
      </c>
      <c r="G26" s="106"/>
      <c r="H26" s="107">
        <f t="shared" si="4"/>
        <v>1.8902870927419353</v>
      </c>
      <c r="I26" s="103">
        <f>'[1]сентябрь 20'!AE25</f>
        <v>0</v>
      </c>
      <c r="J26" s="103">
        <f>'[1]ноябрь 20'!AA25</f>
        <v>15.574999999999999</v>
      </c>
      <c r="K26" s="106">
        <v>30.52</v>
      </c>
      <c r="L26" s="103">
        <f t="shared" si="25"/>
        <v>172.58200000000002</v>
      </c>
      <c r="M26" s="103">
        <f t="shared" si="5"/>
        <v>0.86986895161290334</v>
      </c>
      <c r="N26" s="103">
        <f>'[1]август 20'!W25</f>
        <v>0</v>
      </c>
      <c r="O26" s="103">
        <f>'[1]сентябрь 20'!AM25</f>
        <v>0</v>
      </c>
      <c r="P26" s="447">
        <f t="shared" si="26"/>
        <v>0</v>
      </c>
      <c r="Q26" s="103">
        <f t="shared" si="27"/>
        <v>0</v>
      </c>
      <c r="R26" s="103">
        <v>327.14999999999998</v>
      </c>
      <c r="S26" s="108">
        <f t="shared" si="6"/>
        <v>2.12135106220388</v>
      </c>
      <c r="T26" s="109">
        <f t="shared" si="7"/>
        <v>320.20999999999998</v>
      </c>
      <c r="U26" s="106">
        <v>4.18</v>
      </c>
      <c r="V26" s="109">
        <f t="shared" si="8"/>
        <v>320.20999999999998</v>
      </c>
      <c r="W26" s="110">
        <f t="shared" si="9"/>
        <v>1.6139616935483869</v>
      </c>
      <c r="X26" s="110">
        <f t="shared" si="28"/>
        <v>1.6139616935483869</v>
      </c>
      <c r="Y26" s="136">
        <v>198.4</v>
      </c>
      <c r="Z26" s="154">
        <v>198.4</v>
      </c>
      <c r="AA26" s="149">
        <v>0.83</v>
      </c>
      <c r="AB26" s="147">
        <v>679</v>
      </c>
      <c r="AC26" s="147">
        <v>1224</v>
      </c>
      <c r="AD26" s="144" t="s">
        <v>167</v>
      </c>
      <c r="AE26" s="149">
        <v>75.97</v>
      </c>
      <c r="AF26" s="147">
        <v>165</v>
      </c>
      <c r="AG26" s="155">
        <v>5</v>
      </c>
      <c r="AH26" s="149">
        <v>7.25</v>
      </c>
      <c r="AI26" s="115">
        <f t="shared" si="10"/>
        <v>36.542338709677423</v>
      </c>
      <c r="AJ26" s="149">
        <v>121.7</v>
      </c>
      <c r="AK26" s="115">
        <f t="shared" si="11"/>
        <v>613.4072580645161</v>
      </c>
      <c r="AL26" s="156">
        <v>34.07</v>
      </c>
      <c r="AM26" s="149"/>
      <c r="AN26" s="157">
        <v>13.71</v>
      </c>
      <c r="AO26" s="466">
        <v>82.83</v>
      </c>
      <c r="AP26" s="110">
        <f t="shared" si="12"/>
        <v>0.28342172797262616</v>
      </c>
      <c r="AQ26" s="158" t="s">
        <v>487</v>
      </c>
      <c r="AR26" s="404">
        <v>6.79</v>
      </c>
      <c r="AS26" s="159">
        <v>9.5</v>
      </c>
      <c r="AT26" s="155"/>
      <c r="AU26" s="149">
        <v>6.53</v>
      </c>
      <c r="AV26" s="315">
        <v>292.25</v>
      </c>
      <c r="AW26" s="131">
        <v>2.69</v>
      </c>
      <c r="AX26" s="148"/>
      <c r="AY26" s="149"/>
      <c r="AZ26" s="160">
        <f t="shared" si="40"/>
        <v>0</v>
      </c>
      <c r="BA26" s="109">
        <f t="shared" si="13"/>
        <v>198.4</v>
      </c>
      <c r="BB26" s="115">
        <f t="shared" si="30"/>
        <v>252.63824354502714</v>
      </c>
      <c r="BC26" s="140">
        <f t="shared" si="14"/>
        <v>6.1561345070422533</v>
      </c>
      <c r="BD26" s="140">
        <f t="shared" si="15"/>
        <v>7.9360000000000008</v>
      </c>
      <c r="BE26" s="161">
        <f t="shared" si="16"/>
        <v>0.68557791397536527</v>
      </c>
      <c r="BF26" s="140">
        <f t="shared" si="17"/>
        <v>14.092134507042253</v>
      </c>
      <c r="BG26" s="537">
        <v>0.79300000000000004</v>
      </c>
      <c r="BH26" s="16">
        <f t="shared" si="31"/>
        <v>4395.7029999999995</v>
      </c>
      <c r="BI26" s="16">
        <f t="shared" si="18"/>
        <v>222.33333333333334</v>
      </c>
      <c r="BJ26" s="16">
        <f t="shared" si="32"/>
        <v>4446.666666666667</v>
      </c>
      <c r="BK26" s="17">
        <f t="shared" si="19"/>
        <v>1</v>
      </c>
      <c r="BL26" s="16">
        <f t="shared" si="33"/>
        <v>4446.666666666667</v>
      </c>
      <c r="BM26" s="254"/>
      <c r="BN26" s="230">
        <v>16.407</v>
      </c>
      <c r="BO26" s="266">
        <f t="shared" si="34"/>
        <v>156.17500000000001</v>
      </c>
      <c r="BP26" s="196">
        <v>378.93599999999998</v>
      </c>
      <c r="BQ26" s="230"/>
      <c r="BR26" s="230"/>
      <c r="BS26" s="258"/>
      <c r="BT26" s="199"/>
      <c r="BU26" s="200"/>
      <c r="BV26" s="200"/>
      <c r="BW26" s="200"/>
      <c r="BX26" s="200">
        <v>1.03</v>
      </c>
      <c r="BY26" s="208"/>
      <c r="BZ26" s="208"/>
      <c r="CA26" s="201"/>
      <c r="CB26" s="202"/>
      <c r="CC26" s="200">
        <v>43.47</v>
      </c>
      <c r="CD26" s="200">
        <v>43.09</v>
      </c>
      <c r="CE26" s="200">
        <v>38.79</v>
      </c>
      <c r="CF26" s="208"/>
      <c r="CG26" s="208"/>
      <c r="CH26" s="209"/>
      <c r="CI26" s="199"/>
      <c r="CJ26" s="197"/>
      <c r="CK26" s="230">
        <v>158.13999999999999</v>
      </c>
      <c r="CL26" s="266">
        <f t="shared" si="35"/>
        <v>162.07</v>
      </c>
      <c r="CM26" s="453"/>
      <c r="CN26" s="202"/>
      <c r="CO26" s="208"/>
      <c r="CP26" s="208"/>
      <c r="CQ26" s="201"/>
      <c r="CR26" s="201"/>
      <c r="CS26" s="284"/>
      <c r="CT26" s="286">
        <f t="shared" si="20"/>
        <v>0</v>
      </c>
      <c r="CU26" s="24">
        <f t="shared" si="20"/>
        <v>16.407</v>
      </c>
      <c r="CV26" s="25">
        <f t="shared" si="20"/>
        <v>156.17500000000001</v>
      </c>
      <c r="CW26" s="24">
        <f t="shared" si="20"/>
        <v>375.03295919999999</v>
      </c>
      <c r="CX26" s="27">
        <f t="shared" si="20"/>
        <v>0</v>
      </c>
      <c r="CY26" s="24">
        <f t="shared" si="20"/>
        <v>0</v>
      </c>
      <c r="CZ26" s="280">
        <f t="shared" si="20"/>
        <v>0</v>
      </c>
      <c r="DA26" s="30">
        <f t="shared" si="21"/>
        <v>0</v>
      </c>
      <c r="DB26" s="26">
        <f t="shared" si="21"/>
        <v>158.13999999999999</v>
      </c>
      <c r="DC26" s="277">
        <f t="shared" si="21"/>
        <v>162.07</v>
      </c>
      <c r="DD26" s="280">
        <f t="shared" si="21"/>
        <v>0</v>
      </c>
      <c r="DE26" s="508">
        <f t="shared" si="36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7"/>
        <v>0</v>
      </c>
      <c r="DM26" s="197">
        <v>99.344999999999999</v>
      </c>
      <c r="DN26" s="247">
        <f t="shared" si="38"/>
        <v>156.17500000000001</v>
      </c>
      <c r="DO26" s="197">
        <v>132.13999999999999</v>
      </c>
      <c r="DP26" s="247">
        <f t="shared" si="39"/>
        <v>162.07</v>
      </c>
    </row>
    <row r="27" spans="1:120" ht="16.5" customHeight="1" thickBot="1">
      <c r="A27" s="534">
        <v>21</v>
      </c>
      <c r="B27" s="103">
        <f t="shared" si="24"/>
        <v>515.90899999999999</v>
      </c>
      <c r="C27" s="104">
        <f t="shared" si="0"/>
        <v>2.2714218592813848</v>
      </c>
      <c r="D27" s="143">
        <f t="shared" si="1"/>
        <v>504.19053020000001</v>
      </c>
      <c r="E27" s="104">
        <f t="shared" si="41"/>
        <v>39.74980035238773</v>
      </c>
      <c r="F27" s="128">
        <f t="shared" si="3"/>
        <v>2.2601028774043743</v>
      </c>
      <c r="G27" s="106"/>
      <c r="H27" s="107">
        <f t="shared" si="4"/>
        <v>1.5249370422667798</v>
      </c>
      <c r="I27" s="103">
        <f>'[1]сентябрь 20'!AE26</f>
        <v>0</v>
      </c>
      <c r="J27" s="103">
        <f>'[1]ноябрь 20'!AA26</f>
        <v>14.856</v>
      </c>
      <c r="K27" s="106"/>
      <c r="L27" s="103">
        <f t="shared" si="25"/>
        <v>164.00300000000001</v>
      </c>
      <c r="M27" s="103">
        <f t="shared" si="5"/>
        <v>0.73516583513759459</v>
      </c>
      <c r="N27" s="103">
        <f>'[1]август 20'!W26</f>
        <v>0</v>
      </c>
      <c r="O27" s="103">
        <f>'[1]сентябрь 20'!AM26</f>
        <v>0</v>
      </c>
      <c r="P27" s="447">
        <f t="shared" si="26"/>
        <v>0</v>
      </c>
      <c r="Q27" s="103">
        <f t="shared" si="27"/>
        <v>0</v>
      </c>
      <c r="R27" s="103">
        <v>301.33999999999997</v>
      </c>
      <c r="S27" s="108">
        <f t="shared" si="6"/>
        <v>1.728944049910397</v>
      </c>
      <c r="T27" s="109">
        <f t="shared" si="7"/>
        <v>296.13</v>
      </c>
      <c r="U27" s="106"/>
      <c r="V27" s="109">
        <f t="shared" si="8"/>
        <v>296.13</v>
      </c>
      <c r="W27" s="110">
        <f t="shared" si="9"/>
        <v>1.3274431489624938</v>
      </c>
      <c r="X27" s="110">
        <f t="shared" si="28"/>
        <v>1.3274431489624938</v>
      </c>
      <c r="Y27" s="129">
        <v>179.48</v>
      </c>
      <c r="Z27" s="129">
        <v>42.8</v>
      </c>
      <c r="AA27" s="131">
        <v>1.33</v>
      </c>
      <c r="AB27" s="133">
        <v>658</v>
      </c>
      <c r="AC27" s="133">
        <v>1223</v>
      </c>
      <c r="AD27" s="144" t="s">
        <v>488</v>
      </c>
      <c r="AE27" s="131">
        <v>76.010000000000005</v>
      </c>
      <c r="AF27" s="133">
        <v>153</v>
      </c>
      <c r="AG27" s="134">
        <v>5</v>
      </c>
      <c r="AH27" s="131"/>
      <c r="AI27" s="115">
        <f t="shared" si="10"/>
        <v>0</v>
      </c>
      <c r="AJ27" s="131">
        <v>122.85</v>
      </c>
      <c r="AK27" s="115">
        <f t="shared" si="11"/>
        <v>550.69189494493071</v>
      </c>
      <c r="AL27" s="139">
        <v>35.29</v>
      </c>
      <c r="AM27" s="131"/>
      <c r="AN27" s="136">
        <v>16</v>
      </c>
      <c r="AO27" s="466">
        <f t="shared" si="29"/>
        <v>55.347000000000001</v>
      </c>
      <c r="AP27" s="110">
        <f t="shared" si="12"/>
        <v>0.19</v>
      </c>
      <c r="AQ27" s="137" t="s">
        <v>364</v>
      </c>
      <c r="AR27" s="150">
        <v>6.63</v>
      </c>
      <c r="AS27" s="138">
        <v>9.5500000000000007</v>
      </c>
      <c r="AT27" s="134"/>
      <c r="AU27" s="131">
        <v>6.87</v>
      </c>
      <c r="AV27" s="139">
        <v>291.3</v>
      </c>
      <c r="AW27" s="131">
        <v>3.13</v>
      </c>
      <c r="AX27" s="148"/>
      <c r="AY27" s="131"/>
      <c r="AZ27" s="109">
        <f t="shared" si="40"/>
        <v>0</v>
      </c>
      <c r="BA27" s="109">
        <f t="shared" si="13"/>
        <v>223.083</v>
      </c>
      <c r="BB27" s="115">
        <f t="shared" si="30"/>
        <v>230.18294770171914</v>
      </c>
      <c r="BC27" s="140">
        <f t="shared" si="14"/>
        <v>6.5378693661971825</v>
      </c>
      <c r="BD27" s="141">
        <f t="shared" si="15"/>
        <v>8.9233200000000004</v>
      </c>
      <c r="BE27" s="128">
        <f t="shared" si="16"/>
        <v>0.84607248688276948</v>
      </c>
      <c r="BF27" s="141">
        <f t="shared" si="17"/>
        <v>15.461189366197182</v>
      </c>
      <c r="BG27" s="535">
        <v>0.79500000000000004</v>
      </c>
      <c r="BH27" s="16">
        <f t="shared" si="31"/>
        <v>4618.7859999999991</v>
      </c>
      <c r="BI27" s="16">
        <f t="shared" si="18"/>
        <v>222.33333333333334</v>
      </c>
      <c r="BJ27" s="16">
        <f t="shared" si="32"/>
        <v>4669</v>
      </c>
      <c r="BK27" s="17">
        <f t="shared" si="19"/>
        <v>1</v>
      </c>
      <c r="BL27" s="16">
        <f t="shared" si="33"/>
        <v>4669</v>
      </c>
      <c r="BM27" s="254"/>
      <c r="BN27" s="230">
        <v>15.398</v>
      </c>
      <c r="BO27" s="266">
        <f t="shared" si="34"/>
        <v>148.60500000000002</v>
      </c>
      <c r="BP27" s="196">
        <v>351.90600000000001</v>
      </c>
      <c r="BQ27" s="230"/>
      <c r="BR27" s="230"/>
      <c r="BS27" s="258"/>
      <c r="BT27" s="199"/>
      <c r="BU27" s="200"/>
      <c r="BV27" s="200"/>
      <c r="BW27" s="200"/>
      <c r="BX27" s="200">
        <v>3.33</v>
      </c>
      <c r="BY27" s="208"/>
      <c r="BZ27" s="208"/>
      <c r="CA27" s="201"/>
      <c r="CB27" s="202"/>
      <c r="CC27" s="200">
        <v>43.39</v>
      </c>
      <c r="CD27" s="200">
        <v>43.09</v>
      </c>
      <c r="CE27" s="200">
        <v>38.18</v>
      </c>
      <c r="CF27" s="208"/>
      <c r="CG27" s="208"/>
      <c r="CH27" s="209"/>
      <c r="CI27" s="199"/>
      <c r="CJ27" s="197"/>
      <c r="CK27" s="230">
        <v>134.62</v>
      </c>
      <c r="CL27" s="266">
        <f t="shared" si="35"/>
        <v>161.51000000000002</v>
      </c>
      <c r="CM27" s="453"/>
      <c r="CN27" s="202"/>
      <c r="CO27" s="208"/>
      <c r="CP27" s="208"/>
      <c r="CQ27" s="201"/>
      <c r="CR27" s="201"/>
      <c r="CS27" s="284"/>
      <c r="CT27" s="286">
        <f t="shared" si="20"/>
        <v>0</v>
      </c>
      <c r="CU27" s="24">
        <f t="shared" si="20"/>
        <v>15.398</v>
      </c>
      <c r="CV27" s="25">
        <f t="shared" si="20"/>
        <v>148.60500000000002</v>
      </c>
      <c r="CW27" s="24">
        <f t="shared" si="20"/>
        <v>340.18753020000003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134.62</v>
      </c>
      <c r="DC27" s="277">
        <f t="shared" si="21"/>
        <v>161.51000000000002</v>
      </c>
      <c r="DD27" s="280">
        <f t="shared" si="21"/>
        <v>0</v>
      </c>
      <c r="DE27" s="508">
        <f t="shared" si="36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7"/>
        <v>0</v>
      </c>
      <c r="DM27" s="197">
        <v>91.775000000000006</v>
      </c>
      <c r="DN27" s="247">
        <f t="shared" si="38"/>
        <v>148.60500000000002</v>
      </c>
      <c r="DO27" s="197">
        <v>131.58000000000001</v>
      </c>
      <c r="DP27" s="247">
        <f t="shared" si="39"/>
        <v>161.51000000000002</v>
      </c>
    </row>
    <row r="28" spans="1:120" ht="16.5" customHeight="1" thickBot="1">
      <c r="A28" s="534">
        <v>22</v>
      </c>
      <c r="B28" s="103">
        <f t="shared" si="24"/>
        <v>560.90099999999995</v>
      </c>
      <c r="C28" s="104">
        <f t="shared" si="0"/>
        <v>1.743297248534055</v>
      </c>
      <c r="D28" s="143">
        <f t="shared" si="1"/>
        <v>551.12282830000004</v>
      </c>
      <c r="E28" s="104">
        <f t="shared" si="2"/>
        <v>39.196812253855846</v>
      </c>
      <c r="F28" s="128">
        <f t="shared" si="3"/>
        <v>2.4019247214540829</v>
      </c>
      <c r="G28" s="106"/>
      <c r="H28" s="107">
        <f t="shared" si="4"/>
        <v>1.6417956304300927</v>
      </c>
      <c r="I28" s="103">
        <f>'[1]сентябрь 20'!AE27</f>
        <v>0</v>
      </c>
      <c r="J28" s="103">
        <f>'[1]ноябрь 20'!AA27</f>
        <v>16.803999999999998</v>
      </c>
      <c r="K28" s="106">
        <v>38.44</v>
      </c>
      <c r="L28" s="103">
        <f t="shared" si="25"/>
        <v>174.41200000000001</v>
      </c>
      <c r="M28" s="103">
        <f t="shared" si="5"/>
        <v>0.76012909102398996</v>
      </c>
      <c r="N28" s="103">
        <f>'[1]август 20'!W27</f>
        <v>0</v>
      </c>
      <c r="O28" s="103">
        <f>'[1]сентябрь 20'!AM27</f>
        <v>0</v>
      </c>
      <c r="P28" s="447">
        <f t="shared" si="26"/>
        <v>0</v>
      </c>
      <c r="Q28" s="103">
        <f t="shared" si="27"/>
        <v>0</v>
      </c>
      <c r="R28" s="103">
        <v>327.3</v>
      </c>
      <c r="S28" s="108">
        <f t="shared" si="6"/>
        <v>2.0623281393217452</v>
      </c>
      <c r="T28" s="109">
        <f t="shared" si="7"/>
        <v>320.54999999999995</v>
      </c>
      <c r="U28" s="106"/>
      <c r="V28" s="109">
        <f t="shared" si="8"/>
        <v>320.54999999999995</v>
      </c>
      <c r="W28" s="110">
        <f t="shared" si="9"/>
        <v>1.3970333470617844</v>
      </c>
      <c r="X28" s="110">
        <f t="shared" si="28"/>
        <v>1.3970333470617844</v>
      </c>
      <c r="Y28" s="129">
        <v>191.93</v>
      </c>
      <c r="Z28" s="136">
        <v>184.08</v>
      </c>
      <c r="AA28" s="131">
        <v>0.8</v>
      </c>
      <c r="AB28" s="133">
        <v>650</v>
      </c>
      <c r="AC28" s="133">
        <v>1226</v>
      </c>
      <c r="AD28" s="144" t="s">
        <v>205</v>
      </c>
      <c r="AE28" s="131">
        <v>75.819999999999993</v>
      </c>
      <c r="AF28" s="133">
        <v>168</v>
      </c>
      <c r="AG28" s="134">
        <v>5</v>
      </c>
      <c r="AH28" s="131">
        <v>3.4</v>
      </c>
      <c r="AI28" s="115">
        <f t="shared" si="10"/>
        <v>14.818010856372069</v>
      </c>
      <c r="AJ28" s="131">
        <v>137.15</v>
      </c>
      <c r="AK28" s="115">
        <f t="shared" si="11"/>
        <v>597.73240851512628</v>
      </c>
      <c r="AL28" s="139">
        <v>33.68</v>
      </c>
      <c r="AM28" s="131"/>
      <c r="AN28" s="136">
        <v>18.420000000000002</v>
      </c>
      <c r="AO28" s="466">
        <f t="shared" si="29"/>
        <v>57.009500000000003</v>
      </c>
      <c r="AP28" s="110">
        <f t="shared" si="12"/>
        <v>0.19</v>
      </c>
      <c r="AQ28" s="137" t="s">
        <v>489</v>
      </c>
      <c r="AR28" s="150">
        <v>6.28</v>
      </c>
      <c r="AS28" s="138">
        <v>9.73</v>
      </c>
      <c r="AT28" s="134"/>
      <c r="AU28" s="131">
        <v>7.59</v>
      </c>
      <c r="AV28" s="139">
        <v>300.05</v>
      </c>
      <c r="AW28" s="131">
        <v>4.83</v>
      </c>
      <c r="AX28" s="148"/>
      <c r="AY28" s="131"/>
      <c r="AZ28" s="109">
        <f t="shared" si="40"/>
        <v>0</v>
      </c>
      <c r="BA28" s="109">
        <f t="shared" si="13"/>
        <v>229.45050000000001</v>
      </c>
      <c r="BB28" s="115">
        <f t="shared" si="30"/>
        <v>248.7308264299474</v>
      </c>
      <c r="BC28" s="140">
        <f t="shared" si="14"/>
        <v>8.0638404929577465</v>
      </c>
      <c r="BD28" s="141">
        <f t="shared" si="15"/>
        <v>9.1780200000000001</v>
      </c>
      <c r="BE28" s="128">
        <f t="shared" si="16"/>
        <v>0.80532955796058281</v>
      </c>
      <c r="BF28" s="141">
        <f t="shared" si="17"/>
        <v>17.241860492957748</v>
      </c>
      <c r="BG28" s="535">
        <v>0.79600000000000004</v>
      </c>
      <c r="BH28" s="16">
        <f t="shared" si="31"/>
        <v>4848.2364999999991</v>
      </c>
      <c r="BI28" s="16">
        <f t="shared" si="18"/>
        <v>222.33333333333334</v>
      </c>
      <c r="BJ28" s="16">
        <f t="shared" si="32"/>
        <v>4891.333333333333</v>
      </c>
      <c r="BK28" s="17">
        <f t="shared" si="19"/>
        <v>1</v>
      </c>
      <c r="BL28" s="16">
        <f t="shared" si="33"/>
        <v>4891.333333333333</v>
      </c>
      <c r="BM28" s="254"/>
      <c r="BN28" s="230">
        <v>16.806000000000001</v>
      </c>
      <c r="BO28" s="266">
        <f t="shared" si="34"/>
        <v>157.60599999999999</v>
      </c>
      <c r="BP28" s="196">
        <v>386.48899999999998</v>
      </c>
      <c r="BQ28" s="230"/>
      <c r="BR28" s="230"/>
      <c r="BS28" s="258"/>
      <c r="BT28" s="199"/>
      <c r="BU28" s="200"/>
      <c r="BV28" s="200"/>
      <c r="BW28" s="200"/>
      <c r="BX28" s="200">
        <v>2.5299999999999998</v>
      </c>
      <c r="BY28" s="208"/>
      <c r="BZ28" s="208"/>
      <c r="CA28" s="201"/>
      <c r="CB28" s="202"/>
      <c r="CC28" s="200">
        <v>43.55</v>
      </c>
      <c r="CD28" s="200">
        <v>43.85</v>
      </c>
      <c r="CE28" s="200">
        <v>37.11</v>
      </c>
      <c r="CF28" s="208"/>
      <c r="CG28" s="208"/>
      <c r="CH28" s="209"/>
      <c r="CI28" s="199"/>
      <c r="CJ28" s="197"/>
      <c r="CK28" s="230">
        <v>146.13999999999999</v>
      </c>
      <c r="CL28" s="266">
        <f t="shared" si="35"/>
        <v>174.41</v>
      </c>
      <c r="CM28" s="453"/>
      <c r="CN28" s="202"/>
      <c r="CO28" s="208"/>
      <c r="CP28" s="208"/>
      <c r="CQ28" s="201"/>
      <c r="CR28" s="201"/>
      <c r="CS28" s="284"/>
      <c r="CT28" s="286">
        <f t="shared" si="20"/>
        <v>0</v>
      </c>
      <c r="CU28" s="29">
        <f t="shared" si="20"/>
        <v>16.806000000000001</v>
      </c>
      <c r="CV28" s="30">
        <f t="shared" si="20"/>
        <v>157.60599999999999</v>
      </c>
      <c r="CW28" s="29">
        <f t="shared" si="20"/>
        <v>376.7108283</v>
      </c>
      <c r="CX28" s="27">
        <f t="shared" si="20"/>
        <v>0</v>
      </c>
      <c r="CY28" s="24">
        <f t="shared" si="20"/>
        <v>0</v>
      </c>
      <c r="CZ28" s="282">
        <f t="shared" si="20"/>
        <v>0</v>
      </c>
      <c r="DA28" s="25">
        <f t="shared" si="21"/>
        <v>0</v>
      </c>
      <c r="DB28" s="24">
        <f t="shared" si="21"/>
        <v>146.13999999999999</v>
      </c>
      <c r="DC28" s="277">
        <f t="shared" si="21"/>
        <v>174.41</v>
      </c>
      <c r="DD28" s="280">
        <f t="shared" si="21"/>
        <v>0</v>
      </c>
      <c r="DE28" s="508">
        <f t="shared" si="36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7"/>
        <v>0</v>
      </c>
      <c r="DM28" s="197">
        <v>100.776</v>
      </c>
      <c r="DN28" s="247">
        <f t="shared" si="38"/>
        <v>157.60599999999999</v>
      </c>
      <c r="DO28" s="197">
        <v>144.47999999999999</v>
      </c>
      <c r="DP28" s="247">
        <f t="shared" si="39"/>
        <v>174.41</v>
      </c>
    </row>
    <row r="29" spans="1:120" ht="16.5" customHeight="1" thickBot="1">
      <c r="A29" s="534">
        <v>23</v>
      </c>
      <c r="B29" s="103">
        <f t="shared" si="24"/>
        <v>551.63100000000009</v>
      </c>
      <c r="C29" s="104">
        <f t="shared" si="0"/>
        <v>0.76337187358941039</v>
      </c>
      <c r="D29" s="143">
        <f t="shared" si="1"/>
        <v>547.42000410000014</v>
      </c>
      <c r="E29" s="104">
        <f t="shared" si="2"/>
        <v>39.573733347110661</v>
      </c>
      <c r="F29" s="128">
        <f t="shared" si="3"/>
        <v>2.1770834117794449</v>
      </c>
      <c r="G29" s="106"/>
      <c r="H29" s="107">
        <f t="shared" si="4"/>
        <v>1.4919993084015886</v>
      </c>
      <c r="I29" s="103">
        <f>'[1]сентябрь 20'!AE28</f>
        <v>0</v>
      </c>
      <c r="J29" s="103">
        <f>'[1]ноябрь 20'!AA28</f>
        <v>16.969000000000001</v>
      </c>
      <c r="K29" s="106">
        <v>64.23</v>
      </c>
      <c r="L29" s="103">
        <f t="shared" si="25"/>
        <v>172.262</v>
      </c>
      <c r="M29" s="103">
        <f t="shared" si="5"/>
        <v>0.68508410337785575</v>
      </c>
      <c r="N29" s="103">
        <f>'[1]август 20'!W28</f>
        <v>0</v>
      </c>
      <c r="O29" s="103">
        <f>'[1]сентябрь 20'!AM28</f>
        <v>0</v>
      </c>
      <c r="P29" s="447">
        <f t="shared" si="26"/>
        <v>0</v>
      </c>
      <c r="Q29" s="103">
        <f t="shared" si="27"/>
        <v>0</v>
      </c>
      <c r="R29" s="103">
        <v>320.74</v>
      </c>
      <c r="S29" s="108">
        <f t="shared" si="6"/>
        <v>2.2073953981418093</v>
      </c>
      <c r="T29" s="109">
        <f t="shared" si="7"/>
        <v>313.65999999999997</v>
      </c>
      <c r="U29" s="106">
        <v>53.74</v>
      </c>
      <c r="V29" s="109">
        <f t="shared" si="8"/>
        <v>313.65999999999997</v>
      </c>
      <c r="W29" s="110">
        <f t="shared" si="9"/>
        <v>1.2474224139130987</v>
      </c>
      <c r="X29" s="110">
        <f t="shared" si="28"/>
        <v>1.2474224139130987</v>
      </c>
      <c r="Y29" s="129">
        <v>251.45</v>
      </c>
      <c r="Z29" s="136">
        <v>206.81</v>
      </c>
      <c r="AA29" s="131">
        <v>0.73</v>
      </c>
      <c r="AB29" s="133">
        <v>648</v>
      </c>
      <c r="AC29" s="133">
        <v>1241</v>
      </c>
      <c r="AD29" s="144" t="s">
        <v>200</v>
      </c>
      <c r="AE29" s="131">
        <v>76.2</v>
      </c>
      <c r="AF29" s="133">
        <v>165</v>
      </c>
      <c r="AG29" s="134">
        <v>5</v>
      </c>
      <c r="AH29" s="131">
        <v>9.5500000000000007</v>
      </c>
      <c r="AI29" s="115">
        <f t="shared" si="10"/>
        <v>37.980246294937494</v>
      </c>
      <c r="AJ29" s="131">
        <v>139.69999999999999</v>
      </c>
      <c r="AK29" s="115">
        <f t="shared" si="11"/>
        <v>555.58538297411178</v>
      </c>
      <c r="AL29" s="139">
        <v>33.75</v>
      </c>
      <c r="AM29" s="131"/>
      <c r="AN29" s="136">
        <v>15.18</v>
      </c>
      <c r="AO29" s="466">
        <f t="shared" si="29"/>
        <v>61.113499999999995</v>
      </c>
      <c r="AP29" s="110">
        <f t="shared" si="12"/>
        <v>0.19</v>
      </c>
      <c r="AQ29" s="137" t="s">
        <v>374</v>
      </c>
      <c r="AR29" s="150">
        <v>6.67</v>
      </c>
      <c r="AS29" s="138">
        <v>9.85</v>
      </c>
      <c r="AT29" s="134"/>
      <c r="AU29" s="131">
        <v>7.34</v>
      </c>
      <c r="AV29" s="139">
        <v>321.64999999999998</v>
      </c>
      <c r="AW29" s="131">
        <v>6.09</v>
      </c>
      <c r="AX29" s="148"/>
      <c r="AY29" s="131"/>
      <c r="AZ29" s="109">
        <f t="shared" si="40"/>
        <v>0</v>
      </c>
      <c r="BA29" s="109">
        <f t="shared" si="13"/>
        <v>251.44649999999999</v>
      </c>
      <c r="BB29" s="115">
        <f t="shared" si="30"/>
        <v>248.19153157079293</v>
      </c>
      <c r="BC29" s="140">
        <f t="shared" si="14"/>
        <v>7.9432239436619705</v>
      </c>
      <c r="BD29" s="141">
        <f t="shared" si="15"/>
        <v>10.05786</v>
      </c>
      <c r="BE29" s="128">
        <f t="shared" si="16"/>
        <v>0.88444917161642667</v>
      </c>
      <c r="BF29" s="141">
        <f t="shared" si="17"/>
        <v>18.001083943661971</v>
      </c>
      <c r="BG29" s="535">
        <v>0.8</v>
      </c>
      <c r="BH29" s="16">
        <f t="shared" si="31"/>
        <v>5099.6829999999991</v>
      </c>
      <c r="BI29" s="16">
        <f t="shared" si="18"/>
        <v>222.33333333333334</v>
      </c>
      <c r="BJ29" s="16">
        <f t="shared" si="32"/>
        <v>5113.6666666666661</v>
      </c>
      <c r="BK29" s="17">
        <f t="shared" si="19"/>
        <v>1</v>
      </c>
      <c r="BL29" s="16">
        <f t="shared" si="33"/>
        <v>5113.6666666666661</v>
      </c>
      <c r="BM29" s="254"/>
      <c r="BN29" s="230">
        <v>16.413</v>
      </c>
      <c r="BO29" s="266">
        <f t="shared" si="34"/>
        <v>155.84899999999999</v>
      </c>
      <c r="BP29" s="196">
        <v>379.36900000000003</v>
      </c>
      <c r="BQ29" s="230"/>
      <c r="BR29" s="230"/>
      <c r="BS29" s="258"/>
      <c r="BT29" s="199"/>
      <c r="BU29" s="200"/>
      <c r="BV29" s="200"/>
      <c r="BW29" s="200"/>
      <c r="BX29" s="200">
        <v>1.1100000000000001</v>
      </c>
      <c r="BY29" s="208"/>
      <c r="BZ29" s="208"/>
      <c r="CA29" s="201"/>
      <c r="CB29" s="202"/>
      <c r="CC29" s="200">
        <v>43.24</v>
      </c>
      <c r="CD29" s="200">
        <v>43.7</v>
      </c>
      <c r="CE29" s="200">
        <v>37.72</v>
      </c>
      <c r="CF29" s="208"/>
      <c r="CG29" s="208"/>
      <c r="CH29" s="201"/>
      <c r="CI29" s="199"/>
      <c r="CJ29" s="197"/>
      <c r="CK29" s="230">
        <v>87.89</v>
      </c>
      <c r="CL29" s="266">
        <f t="shared" si="35"/>
        <v>171.83</v>
      </c>
      <c r="CM29" s="453">
        <v>53.94</v>
      </c>
      <c r="CN29" s="202"/>
      <c r="CO29" s="208"/>
      <c r="CP29" s="208"/>
      <c r="CQ29" s="201"/>
      <c r="CR29" s="201"/>
      <c r="CS29" s="284"/>
      <c r="CT29" s="286">
        <f t="shared" si="20"/>
        <v>0</v>
      </c>
      <c r="CU29" s="24">
        <f t="shared" si="20"/>
        <v>16.413</v>
      </c>
      <c r="CV29" s="25">
        <f t="shared" si="20"/>
        <v>155.84899999999999</v>
      </c>
      <c r="CW29" s="24">
        <f t="shared" si="20"/>
        <v>375.15800410000003</v>
      </c>
      <c r="CX29" s="27">
        <f t="shared" si="20"/>
        <v>0</v>
      </c>
      <c r="CY29" s="29">
        <f t="shared" si="20"/>
        <v>0</v>
      </c>
      <c r="CZ29" s="280">
        <f t="shared" si="20"/>
        <v>0</v>
      </c>
      <c r="DA29" s="30">
        <f t="shared" si="21"/>
        <v>0</v>
      </c>
      <c r="DB29" s="29">
        <f t="shared" si="21"/>
        <v>87.89</v>
      </c>
      <c r="DC29" s="277">
        <f t="shared" si="21"/>
        <v>171.83</v>
      </c>
      <c r="DD29" s="280">
        <f t="shared" si="21"/>
        <v>53.94</v>
      </c>
      <c r="DE29" s="508">
        <f t="shared" si="36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7"/>
        <v>0</v>
      </c>
      <c r="DM29" s="197">
        <v>99.019000000000005</v>
      </c>
      <c r="DN29" s="247">
        <f t="shared" si="38"/>
        <v>155.84899999999999</v>
      </c>
      <c r="DO29" s="230">
        <v>141.9</v>
      </c>
      <c r="DP29" s="247">
        <f t="shared" si="39"/>
        <v>171.83</v>
      </c>
    </row>
    <row r="30" spans="1:120" ht="16.5" customHeight="1" thickBot="1">
      <c r="A30" s="534">
        <v>24</v>
      </c>
      <c r="B30" s="103">
        <f t="shared" si="24"/>
        <v>588.31299999999999</v>
      </c>
      <c r="C30" s="104">
        <f t="shared" si="0"/>
        <v>1.5396228878165192</v>
      </c>
      <c r="D30" s="143">
        <f t="shared" si="1"/>
        <v>579.25519840000004</v>
      </c>
      <c r="E30" s="104">
        <f t="shared" si="2"/>
        <v>39.542194002172316</v>
      </c>
      <c r="F30" s="128">
        <f t="shared" si="3"/>
        <v>2.3570002315271643</v>
      </c>
      <c r="G30" s="106"/>
      <c r="H30" s="107">
        <f t="shared" si="4"/>
        <v>1.5796508309953432</v>
      </c>
      <c r="I30" s="103">
        <f>'[1]сентябрь 20'!AE29</f>
        <v>0</v>
      </c>
      <c r="J30" s="103">
        <f>'[1]ноябрь 20'!AA29</f>
        <v>16.033000000000001</v>
      </c>
      <c r="K30" s="106">
        <v>50.88</v>
      </c>
      <c r="L30" s="103">
        <f t="shared" si="25"/>
        <v>191.041</v>
      </c>
      <c r="M30" s="103">
        <f t="shared" si="5"/>
        <v>0.77734940053182078</v>
      </c>
      <c r="N30" s="103">
        <f>'[1]август 20'!W29</f>
        <v>0</v>
      </c>
      <c r="O30" s="103">
        <f>'[1]сентябрь 20'!AM29</f>
        <v>0</v>
      </c>
      <c r="P30" s="447">
        <f t="shared" si="26"/>
        <v>0</v>
      </c>
      <c r="Q30" s="103">
        <f t="shared" si="27"/>
        <v>0</v>
      </c>
      <c r="R30" s="103">
        <v>345.06</v>
      </c>
      <c r="S30" s="108">
        <f t="shared" si="6"/>
        <v>2.2517822987306646</v>
      </c>
      <c r="T30" s="109">
        <f t="shared" si="7"/>
        <v>337.28999999999996</v>
      </c>
      <c r="U30" s="106">
        <v>4.07</v>
      </c>
      <c r="V30" s="109">
        <f t="shared" si="8"/>
        <v>337.28999999999996</v>
      </c>
      <c r="W30" s="110">
        <f t="shared" si="9"/>
        <v>1.3724393156724359</v>
      </c>
      <c r="X30" s="110">
        <f t="shared" si="28"/>
        <v>1.3724393156724359</v>
      </c>
      <c r="Y30" s="154">
        <v>150.79</v>
      </c>
      <c r="Z30" s="157">
        <v>198.05</v>
      </c>
      <c r="AA30" s="149">
        <v>0.68</v>
      </c>
      <c r="AB30" s="147">
        <v>634</v>
      </c>
      <c r="AC30" s="147">
        <v>1237</v>
      </c>
      <c r="AD30" s="144" t="s">
        <v>252</v>
      </c>
      <c r="AE30" s="149">
        <v>75.5</v>
      </c>
      <c r="AF30" s="147">
        <v>177</v>
      </c>
      <c r="AG30" s="155">
        <v>5</v>
      </c>
      <c r="AH30" s="149">
        <v>5.2</v>
      </c>
      <c r="AI30" s="115">
        <f t="shared" si="10"/>
        <v>21.158897214553257</v>
      </c>
      <c r="AJ30" s="131">
        <v>146.05000000000001</v>
      </c>
      <c r="AK30" s="115">
        <f t="shared" si="11"/>
        <v>594.28018042028907</v>
      </c>
      <c r="AL30" s="139">
        <v>33.79</v>
      </c>
      <c r="AM30" s="131"/>
      <c r="AN30" s="157">
        <v>14.73</v>
      </c>
      <c r="AO30" s="466">
        <f t="shared" si="29"/>
        <v>60.220500000000001</v>
      </c>
      <c r="AP30" s="110">
        <f t="shared" si="12"/>
        <v>0.19</v>
      </c>
      <c r="AQ30" s="158" t="s">
        <v>491</v>
      </c>
      <c r="AR30" s="404">
        <v>6.63</v>
      </c>
      <c r="AS30" s="159">
        <v>9.41</v>
      </c>
      <c r="AT30" s="155"/>
      <c r="AU30" s="149">
        <v>8.85</v>
      </c>
      <c r="AV30" s="156">
        <v>316.95</v>
      </c>
      <c r="AW30" s="131">
        <v>3.76</v>
      </c>
      <c r="AX30" s="164"/>
      <c r="AY30" s="149"/>
      <c r="AZ30" s="109">
        <f t="shared" si="40"/>
        <v>0</v>
      </c>
      <c r="BA30" s="109">
        <f t="shared" si="13"/>
        <v>245.75949999999997</v>
      </c>
      <c r="BB30" s="115">
        <f t="shared" si="30"/>
        <v>264.84879086156769</v>
      </c>
      <c r="BC30" s="140">
        <f t="shared" si="14"/>
        <v>10.012653169014085</v>
      </c>
      <c r="BD30" s="141">
        <f t="shared" si="15"/>
        <v>9.8303799999999999</v>
      </c>
      <c r="BE30" s="128">
        <f t="shared" si="16"/>
        <v>0.81007748912903599</v>
      </c>
      <c r="BF30" s="141">
        <f t="shared" si="17"/>
        <v>19.843033169014085</v>
      </c>
      <c r="BG30" s="537">
        <v>0.8</v>
      </c>
      <c r="BH30" s="16">
        <f t="shared" si="31"/>
        <v>5345.4424999999992</v>
      </c>
      <c r="BI30" s="16">
        <f t="shared" si="18"/>
        <v>222.33333333333334</v>
      </c>
      <c r="BJ30" s="16">
        <f t="shared" si="32"/>
        <v>5335.9999999999991</v>
      </c>
      <c r="BK30" s="17">
        <f t="shared" si="19"/>
        <v>1</v>
      </c>
      <c r="BL30" s="16">
        <f t="shared" si="33"/>
        <v>5335.9999999999991</v>
      </c>
      <c r="BM30" s="255"/>
      <c r="BN30" s="233">
        <v>28.004999999999999</v>
      </c>
      <c r="BO30" s="266">
        <f t="shared" si="34"/>
        <v>163.036</v>
      </c>
      <c r="BP30" s="429">
        <v>397.27199999999999</v>
      </c>
      <c r="BQ30" s="233"/>
      <c r="BR30" s="233"/>
      <c r="BS30" s="260"/>
      <c r="BT30" s="212"/>
      <c r="BU30" s="213"/>
      <c r="BV30" s="213"/>
      <c r="BW30" s="213"/>
      <c r="BX30" s="213">
        <v>2.2799999999999998</v>
      </c>
      <c r="BY30" s="235"/>
      <c r="BZ30" s="235"/>
      <c r="CA30" s="214"/>
      <c r="CB30" s="215"/>
      <c r="CC30" s="213">
        <v>43.7</v>
      </c>
      <c r="CD30" s="216">
        <v>43.39</v>
      </c>
      <c r="CE30" s="213">
        <v>37.67</v>
      </c>
      <c r="CF30" s="235"/>
      <c r="CG30" s="235"/>
      <c r="CH30" s="214"/>
      <c r="CI30" s="212"/>
      <c r="CJ30" s="210"/>
      <c r="CK30" s="233"/>
      <c r="CL30" s="266">
        <f t="shared" si="35"/>
        <v>182.15</v>
      </c>
      <c r="CM30" s="453">
        <v>155.13999999999999</v>
      </c>
      <c r="CN30" s="202"/>
      <c r="CO30" s="208"/>
      <c r="CP30" s="208"/>
      <c r="CQ30" s="201"/>
      <c r="CR30" s="201"/>
      <c r="CS30" s="284"/>
      <c r="CT30" s="286">
        <f t="shared" si="20"/>
        <v>0</v>
      </c>
      <c r="CU30" s="24">
        <f t="shared" si="20"/>
        <v>28.004999999999999</v>
      </c>
      <c r="CV30" s="25">
        <f t="shared" si="20"/>
        <v>163.036</v>
      </c>
      <c r="CW30" s="24">
        <f t="shared" si="20"/>
        <v>388.21419839999999</v>
      </c>
      <c r="CX30" s="27">
        <f t="shared" si="20"/>
        <v>0</v>
      </c>
      <c r="CY30" s="24">
        <f t="shared" si="20"/>
        <v>0</v>
      </c>
      <c r="CZ30" s="280">
        <f t="shared" si="20"/>
        <v>0</v>
      </c>
      <c r="DA30" s="25">
        <f t="shared" si="21"/>
        <v>0</v>
      </c>
      <c r="DB30" s="26">
        <f t="shared" si="21"/>
        <v>0</v>
      </c>
      <c r="DC30" s="277">
        <f t="shared" si="21"/>
        <v>182.15</v>
      </c>
      <c r="DD30" s="280">
        <f t="shared" si="21"/>
        <v>155.13999999999999</v>
      </c>
      <c r="DE30" s="508">
        <f t="shared" si="36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7"/>
        <v>0</v>
      </c>
      <c r="DM30" s="210">
        <v>106.206</v>
      </c>
      <c r="DN30" s="247">
        <f t="shared" si="38"/>
        <v>163.036</v>
      </c>
      <c r="DO30" s="233">
        <v>152.22</v>
      </c>
      <c r="DP30" s="247">
        <f t="shared" si="39"/>
        <v>182.15</v>
      </c>
    </row>
    <row r="31" spans="1:120" ht="16.5" customHeight="1" thickBot="1">
      <c r="A31" s="534">
        <v>25</v>
      </c>
      <c r="B31" s="103">
        <f t="shared" si="24"/>
        <v>572.77800000000002</v>
      </c>
      <c r="C31" s="104">
        <f t="shared" si="0"/>
        <v>0.89979505148591588</v>
      </c>
      <c r="D31" s="143">
        <f t="shared" si="1"/>
        <v>567.62417190000008</v>
      </c>
      <c r="E31" s="104">
        <f t="shared" si="2"/>
        <v>40.660596094822075</v>
      </c>
      <c r="F31" s="128">
        <f t="shared" si="3"/>
        <v>2.3991739851178093</v>
      </c>
      <c r="G31" s="106"/>
      <c r="H31" s="107">
        <f t="shared" si="4"/>
        <v>1.5453859158084717</v>
      </c>
      <c r="I31" s="103">
        <f>'[1]сентябрь 20'!AE30</f>
        <v>0</v>
      </c>
      <c r="J31" s="103">
        <f>'[1]ноябрь 20'!AA30</f>
        <v>11.273999999999999</v>
      </c>
      <c r="K31" s="106">
        <v>32.619999999999997</v>
      </c>
      <c r="L31" s="103">
        <f t="shared" si="25"/>
        <v>201.999</v>
      </c>
      <c r="M31" s="103">
        <f t="shared" si="5"/>
        <v>0.85378806930933704</v>
      </c>
      <c r="N31" s="103">
        <f>'[1]август 20'!W30</f>
        <v>0</v>
      </c>
      <c r="O31" s="103">
        <f>'[1]сентябрь 20'!AM30</f>
        <v>0</v>
      </c>
      <c r="P31" s="447">
        <f t="shared" si="26"/>
        <v>0</v>
      </c>
      <c r="Q31" s="103">
        <f t="shared" si="27"/>
        <v>0</v>
      </c>
      <c r="R31" s="103">
        <v>340.58</v>
      </c>
      <c r="S31" s="108">
        <f t="shared" si="6"/>
        <v>2.7981678313465319</v>
      </c>
      <c r="T31" s="109">
        <f t="shared" si="7"/>
        <v>331.04999999999995</v>
      </c>
      <c r="U31" s="106">
        <v>5.23</v>
      </c>
      <c r="V31" s="109">
        <f t="shared" si="8"/>
        <v>331.04999999999995</v>
      </c>
      <c r="W31" s="110">
        <f t="shared" si="9"/>
        <v>1.3992472257033748</v>
      </c>
      <c r="X31" s="110">
        <f t="shared" si="28"/>
        <v>1.3992472257033748</v>
      </c>
      <c r="Y31" s="136">
        <v>196.84</v>
      </c>
      <c r="Z31" s="136">
        <v>236.59</v>
      </c>
      <c r="AA31" s="131">
        <v>0.34</v>
      </c>
      <c r="AB31" s="133">
        <v>643</v>
      </c>
      <c r="AC31" s="133">
        <v>1240</v>
      </c>
      <c r="AD31" s="144" t="s">
        <v>181</v>
      </c>
      <c r="AE31" s="131">
        <v>75.819999999999993</v>
      </c>
      <c r="AF31" s="133">
        <v>172</v>
      </c>
      <c r="AG31" s="134">
        <v>5</v>
      </c>
      <c r="AH31" s="131">
        <v>8</v>
      </c>
      <c r="AI31" s="115">
        <f t="shared" si="10"/>
        <v>33.813556277381061</v>
      </c>
      <c r="AJ31" s="131">
        <v>149.9</v>
      </c>
      <c r="AK31" s="115">
        <f t="shared" si="11"/>
        <v>633.58151074742761</v>
      </c>
      <c r="AL31" s="139">
        <v>40.729999999999997</v>
      </c>
      <c r="AM31" s="131"/>
      <c r="AN31" s="136">
        <v>14.59</v>
      </c>
      <c r="AO31" s="466">
        <f t="shared" si="29"/>
        <v>57.978499999999997</v>
      </c>
      <c r="AP31" s="110">
        <f t="shared" si="12"/>
        <v>0.19</v>
      </c>
      <c r="AQ31" s="137" t="s">
        <v>492</v>
      </c>
      <c r="AR31" s="150">
        <v>6.87</v>
      </c>
      <c r="AS31" s="138">
        <v>9.0399999999999991</v>
      </c>
      <c r="AT31" s="134"/>
      <c r="AU31" s="131">
        <v>9.44</v>
      </c>
      <c r="AV31" s="139">
        <v>305.14999999999998</v>
      </c>
      <c r="AW31" s="131">
        <v>4.01</v>
      </c>
      <c r="AX31" s="148"/>
      <c r="AY31" s="131"/>
      <c r="AZ31" s="109">
        <f t="shared" si="40"/>
        <v>0</v>
      </c>
      <c r="BA31" s="109">
        <f t="shared" si="13"/>
        <v>236.59149999999997</v>
      </c>
      <c r="BB31" s="115">
        <f t="shared" si="30"/>
        <v>265.74499029937647</v>
      </c>
      <c r="BC31" s="140">
        <f t="shared" si="14"/>
        <v>10.961701408450704</v>
      </c>
      <c r="BD31" s="141">
        <f t="shared" si="15"/>
        <v>9.4636599999999991</v>
      </c>
      <c r="BE31" s="128">
        <f t="shared" si="16"/>
        <v>0.77722774479141177</v>
      </c>
      <c r="BF31" s="141">
        <f t="shared" si="17"/>
        <v>20.425361408450705</v>
      </c>
      <c r="BG31" s="535">
        <v>0.79900000000000004</v>
      </c>
      <c r="BH31" s="16">
        <f t="shared" si="31"/>
        <v>5582.0339999999987</v>
      </c>
      <c r="BI31" s="16">
        <f t="shared" si="18"/>
        <v>222.33333333333334</v>
      </c>
      <c r="BJ31" s="16">
        <f t="shared" si="32"/>
        <v>5558.3333333333321</v>
      </c>
      <c r="BK31" s="17">
        <f>IF(BA31&lt;&gt;0,1,0)</f>
        <v>1</v>
      </c>
      <c r="BL31" s="16">
        <f t="shared" si="33"/>
        <v>5558.3333333333321</v>
      </c>
      <c r="BM31" s="254"/>
      <c r="BN31" s="230">
        <v>41.97</v>
      </c>
      <c r="BO31" s="266">
        <f t="shared" si="34"/>
        <v>160.029</v>
      </c>
      <c r="BP31" s="196">
        <v>370.779</v>
      </c>
      <c r="BQ31" s="230"/>
      <c r="BR31" s="230"/>
      <c r="BS31" s="259"/>
      <c r="BT31" s="199"/>
      <c r="BU31" s="200"/>
      <c r="BV31" s="200"/>
      <c r="BW31" s="200"/>
      <c r="BX31" s="200">
        <v>1.39</v>
      </c>
      <c r="BY31" s="208"/>
      <c r="BZ31" s="208"/>
      <c r="CA31" s="201"/>
      <c r="CB31" s="202"/>
      <c r="CC31" s="200">
        <v>43.7</v>
      </c>
      <c r="CD31" s="200">
        <v>43.85</v>
      </c>
      <c r="CE31" s="200">
        <v>38.94</v>
      </c>
      <c r="CF31" s="208"/>
      <c r="CG31" s="208"/>
      <c r="CH31" s="209"/>
      <c r="CI31" s="199"/>
      <c r="CJ31" s="197"/>
      <c r="CK31" s="230"/>
      <c r="CL31" s="266">
        <f t="shared" si="35"/>
        <v>177.85</v>
      </c>
      <c r="CM31" s="453">
        <v>153.19999999999999</v>
      </c>
      <c r="CN31" s="202"/>
      <c r="CO31" s="208"/>
      <c r="CP31" s="208"/>
      <c r="CQ31" s="201"/>
      <c r="CR31" s="201"/>
      <c r="CS31" s="284"/>
      <c r="CT31" s="286">
        <f t="shared" si="20"/>
        <v>0</v>
      </c>
      <c r="CU31" s="24">
        <f t="shared" si="20"/>
        <v>41.97</v>
      </c>
      <c r="CV31" s="25">
        <f t="shared" si="20"/>
        <v>160.029</v>
      </c>
      <c r="CW31" s="24">
        <f t="shared" si="20"/>
        <v>365.6251719</v>
      </c>
      <c r="CX31" s="27">
        <f t="shared" si="20"/>
        <v>0</v>
      </c>
      <c r="CY31" s="24">
        <f t="shared" si="20"/>
        <v>0</v>
      </c>
      <c r="CZ31" s="280">
        <f t="shared" si="20"/>
        <v>0</v>
      </c>
      <c r="DA31" s="28">
        <f t="shared" si="21"/>
        <v>0</v>
      </c>
      <c r="DB31" s="24">
        <f t="shared" si="21"/>
        <v>0</v>
      </c>
      <c r="DC31" s="277">
        <f t="shared" si="21"/>
        <v>177.85</v>
      </c>
      <c r="DD31" s="280">
        <f t="shared" si="21"/>
        <v>153.19999999999999</v>
      </c>
      <c r="DE31" s="508">
        <f t="shared" si="36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7"/>
        <v>0</v>
      </c>
      <c r="DM31" s="197">
        <v>103.199</v>
      </c>
      <c r="DN31" s="247">
        <f t="shared" si="38"/>
        <v>160.029</v>
      </c>
      <c r="DO31" s="230">
        <v>147.91999999999999</v>
      </c>
      <c r="DP31" s="247">
        <f t="shared" si="39"/>
        <v>177.85</v>
      </c>
    </row>
    <row r="32" spans="1:120" ht="16.5" customHeight="1" thickBot="1">
      <c r="A32" s="534">
        <v>26</v>
      </c>
      <c r="B32" s="103">
        <f t="shared" si="24"/>
        <v>560.74400000000003</v>
      </c>
      <c r="C32" s="104">
        <f t="shared" si="0"/>
        <v>1.2576826501933147</v>
      </c>
      <c r="D32" s="143">
        <f t="shared" si="1"/>
        <v>553.69162000000006</v>
      </c>
      <c r="E32" s="104">
        <f t="shared" si="2"/>
        <v>41.061924122237592</v>
      </c>
      <c r="F32" s="128">
        <f t="shared" si="3"/>
        <v>2.3735422127818282</v>
      </c>
      <c r="G32" s="106"/>
      <c r="H32" s="107">
        <f t="shared" si="4"/>
        <v>1.4813606171217419</v>
      </c>
      <c r="I32" s="103">
        <f>'[1]сентябрь 20'!AE31</f>
        <v>0</v>
      </c>
      <c r="J32" s="103">
        <f>'[1]ноябрь 20'!AA31</f>
        <v>9.3970000000000002</v>
      </c>
      <c r="K32" s="106">
        <v>15.13</v>
      </c>
      <c r="L32" s="103">
        <f t="shared" si="25"/>
        <v>208.125</v>
      </c>
      <c r="M32" s="103">
        <f t="shared" si="5"/>
        <v>0.89218159566008592</v>
      </c>
      <c r="N32" s="103">
        <f>'[1]август 20'!W31</f>
        <v>0</v>
      </c>
      <c r="O32" s="103">
        <f>'[1]сентябрь 20'!AM31</f>
        <v>0</v>
      </c>
      <c r="P32" s="447">
        <f t="shared" si="26"/>
        <v>0</v>
      </c>
      <c r="Q32" s="103">
        <f t="shared" si="27"/>
        <v>0</v>
      </c>
      <c r="R32" s="103">
        <v>335.1</v>
      </c>
      <c r="S32" s="108">
        <f t="shared" si="6"/>
        <v>2.8319904506117655</v>
      </c>
      <c r="T32" s="109">
        <f>R32*((100-S32)/100)</f>
        <v>325.61</v>
      </c>
      <c r="U32" s="106">
        <v>9.7200000000000006</v>
      </c>
      <c r="V32" s="109">
        <f t="shared" si="8"/>
        <v>325.61</v>
      </c>
      <c r="W32" s="110">
        <f t="shared" si="9"/>
        <v>1.3958114083501769</v>
      </c>
      <c r="X32" s="110">
        <f t="shared" si="28"/>
        <v>1.3958114083501769</v>
      </c>
      <c r="Y32" s="136">
        <v>51.03</v>
      </c>
      <c r="Z32" s="136">
        <v>233.28</v>
      </c>
      <c r="AA32" s="131">
        <v>0.51</v>
      </c>
      <c r="AB32" s="133">
        <v>675</v>
      </c>
      <c r="AC32" s="133">
        <v>1236</v>
      </c>
      <c r="AD32" s="144" t="s">
        <v>222</v>
      </c>
      <c r="AE32" s="131">
        <v>74.84</v>
      </c>
      <c r="AF32" s="133">
        <v>168</v>
      </c>
      <c r="AG32" s="134">
        <v>5</v>
      </c>
      <c r="AH32" s="131">
        <v>6.4</v>
      </c>
      <c r="AI32" s="115">
        <f t="shared" si="10"/>
        <v>27.43525387255039</v>
      </c>
      <c r="AJ32" s="131">
        <v>123.75</v>
      </c>
      <c r="AK32" s="115">
        <f t="shared" si="11"/>
        <v>530.48635417626735</v>
      </c>
      <c r="AL32" s="139">
        <v>34.619999999999997</v>
      </c>
      <c r="AM32" s="131"/>
      <c r="AN32" s="136">
        <v>15.59</v>
      </c>
      <c r="AO32" s="466">
        <f t="shared" si="29"/>
        <v>57.503499999999995</v>
      </c>
      <c r="AP32" s="110">
        <f t="shared" si="12"/>
        <v>0.19</v>
      </c>
      <c r="AQ32" s="137" t="s">
        <v>442</v>
      </c>
      <c r="AR32" s="150">
        <v>7.53</v>
      </c>
      <c r="AS32" s="138">
        <v>8.7899999999999991</v>
      </c>
      <c r="AT32" s="134"/>
      <c r="AU32" s="131">
        <v>7.58</v>
      </c>
      <c r="AV32" s="139">
        <v>302.64999999999998</v>
      </c>
      <c r="AW32" s="131">
        <v>3.72</v>
      </c>
      <c r="AX32" s="148"/>
      <c r="AY32" s="131"/>
      <c r="AZ32" s="109">
        <f t="shared" si="40"/>
        <v>0</v>
      </c>
      <c r="BA32" s="109">
        <f t="shared" si="13"/>
        <v>233.27649999999997</v>
      </c>
      <c r="BB32" s="115">
        <f t="shared" si="30"/>
        <v>265.20866635540943</v>
      </c>
      <c r="BC32" s="140">
        <f t="shared" si="14"/>
        <v>7.266390845070422</v>
      </c>
      <c r="BD32" s="141">
        <f t="shared" si="15"/>
        <v>9.331059999999999</v>
      </c>
      <c r="BE32" s="128">
        <f t="shared" si="16"/>
        <v>0.76788736695008875</v>
      </c>
      <c r="BF32" s="141">
        <f t="shared" si="17"/>
        <v>16.597450845070419</v>
      </c>
      <c r="BG32" s="535">
        <v>0.79800000000000004</v>
      </c>
      <c r="BH32" s="16">
        <f t="shared" si="31"/>
        <v>5815.3104999999987</v>
      </c>
      <c r="BI32" s="16">
        <f t="shared" si="18"/>
        <v>222.33333333333334</v>
      </c>
      <c r="BJ32" s="16">
        <f t="shared" si="32"/>
        <v>5780.6666666666652</v>
      </c>
      <c r="BK32" s="17">
        <f>IF(BA32&lt;&gt;0,1,0)</f>
        <v>1</v>
      </c>
      <c r="BL32" s="16">
        <f t="shared" si="33"/>
        <v>5780.6666666666652</v>
      </c>
      <c r="BM32" s="254"/>
      <c r="BN32" s="230">
        <v>50.345999999999997</v>
      </c>
      <c r="BO32" s="266">
        <f t="shared" si="34"/>
        <v>157.779</v>
      </c>
      <c r="BP32" s="196">
        <v>352.61900000000003</v>
      </c>
      <c r="BQ32" s="230"/>
      <c r="BR32" s="230"/>
      <c r="BS32" s="258"/>
      <c r="BT32" s="199"/>
      <c r="BU32" s="200"/>
      <c r="BV32" s="200"/>
      <c r="BW32" s="200"/>
      <c r="BX32" s="200">
        <v>2</v>
      </c>
      <c r="BY32" s="208"/>
      <c r="BZ32" s="208"/>
      <c r="CA32" s="201"/>
      <c r="CB32" s="202"/>
      <c r="CC32" s="200">
        <v>43.57</v>
      </c>
      <c r="CD32" s="200">
        <v>43.73</v>
      </c>
      <c r="CE32" s="200">
        <v>39.51</v>
      </c>
      <c r="CF32" s="208"/>
      <c r="CG32" s="208"/>
      <c r="CH32" s="209"/>
      <c r="CI32" s="199"/>
      <c r="CJ32" s="197"/>
      <c r="CK32" s="230"/>
      <c r="CL32" s="266">
        <f t="shared" si="35"/>
        <v>174.41</v>
      </c>
      <c r="CM32" s="453">
        <v>151.19999999999999</v>
      </c>
      <c r="CN32" s="202"/>
      <c r="CO32" s="208"/>
      <c r="CP32" s="208"/>
      <c r="CQ32" s="201"/>
      <c r="CR32" s="201"/>
      <c r="CS32" s="284"/>
      <c r="CT32" s="286">
        <f t="shared" si="20"/>
        <v>0</v>
      </c>
      <c r="CU32" s="24">
        <f t="shared" si="20"/>
        <v>50.345999999999997</v>
      </c>
      <c r="CV32" s="25">
        <f t="shared" si="20"/>
        <v>157.779</v>
      </c>
      <c r="CW32" s="24">
        <f t="shared" si="20"/>
        <v>345.56662</v>
      </c>
      <c r="CX32" s="27">
        <f t="shared" si="20"/>
        <v>0</v>
      </c>
      <c r="CY32" s="24">
        <f t="shared" si="20"/>
        <v>0</v>
      </c>
      <c r="CZ32" s="280">
        <f t="shared" si="20"/>
        <v>0</v>
      </c>
      <c r="DA32" s="25">
        <f t="shared" si="21"/>
        <v>0</v>
      </c>
      <c r="DB32" s="24">
        <f t="shared" si="21"/>
        <v>0</v>
      </c>
      <c r="DC32" s="277">
        <f t="shared" si="21"/>
        <v>174.41</v>
      </c>
      <c r="DD32" s="280">
        <f t="shared" si="21"/>
        <v>151.19999999999999</v>
      </c>
      <c r="DE32" s="508">
        <f t="shared" si="36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7"/>
        <v>0</v>
      </c>
      <c r="DM32" s="197">
        <v>100.949</v>
      </c>
      <c r="DN32" s="247">
        <f t="shared" si="38"/>
        <v>157.779</v>
      </c>
      <c r="DO32" s="230">
        <v>144.47999999999999</v>
      </c>
      <c r="DP32" s="247">
        <f t="shared" si="39"/>
        <v>174.41</v>
      </c>
    </row>
    <row r="33" spans="1:120" ht="16.5" customHeight="1" thickBot="1">
      <c r="A33" s="534">
        <v>27</v>
      </c>
      <c r="B33" s="103">
        <f t="shared" si="24"/>
        <v>572.697</v>
      </c>
      <c r="C33" s="104">
        <f t="shared" si="0"/>
        <v>1.2884773099911471</v>
      </c>
      <c r="D33" s="143">
        <f t="shared" si="1"/>
        <v>565.31792910000001</v>
      </c>
      <c r="E33" s="104">
        <f t="shared" si="2"/>
        <v>40.591625938323403</v>
      </c>
      <c r="F33" s="128">
        <f t="shared" si="3"/>
        <v>2.2775333041919303</v>
      </c>
      <c r="G33" s="106"/>
      <c r="H33" s="107">
        <f t="shared" si="4"/>
        <v>1.3792072562093347</v>
      </c>
      <c r="I33" s="103">
        <f>'[1]сентябрь 20'!AE32</f>
        <v>0</v>
      </c>
      <c r="J33" s="103">
        <f>'[1]ноябрь 20'!AA32</f>
        <v>10.135999999999999</v>
      </c>
      <c r="K33" s="106">
        <v>36.68</v>
      </c>
      <c r="L33" s="103">
        <f t="shared" si="25"/>
        <v>222.97799999999998</v>
      </c>
      <c r="M33" s="103">
        <f t="shared" si="5"/>
        <v>0.89832604798259563</v>
      </c>
      <c r="N33" s="103">
        <f>'[1]август 20'!W32</f>
        <v>0</v>
      </c>
      <c r="O33" s="103">
        <f>'[1]сентябрь 20'!AM32</f>
        <v>0</v>
      </c>
      <c r="P33" s="447">
        <f t="shared" si="26"/>
        <v>0</v>
      </c>
      <c r="Q33" s="103">
        <f t="shared" si="27"/>
        <v>0</v>
      </c>
      <c r="R33" s="103">
        <v>341.05</v>
      </c>
      <c r="S33" s="108">
        <f t="shared" si="6"/>
        <v>2.9057322973171207</v>
      </c>
      <c r="T33" s="109">
        <f t="shared" si="7"/>
        <v>331.14</v>
      </c>
      <c r="U33" s="106">
        <v>48.03</v>
      </c>
      <c r="V33" s="109">
        <f t="shared" si="8"/>
        <v>331.14</v>
      </c>
      <c r="W33" s="110">
        <f t="shared" si="9"/>
        <v>1.3340853695385049</v>
      </c>
      <c r="X33" s="110">
        <f t="shared" si="28"/>
        <v>1.3340853695385049</v>
      </c>
      <c r="Y33" s="136">
        <v>158.76</v>
      </c>
      <c r="Z33" s="136">
        <v>151.16999999999999</v>
      </c>
      <c r="AA33" s="131">
        <v>0.71</v>
      </c>
      <c r="AB33" s="133">
        <v>660</v>
      </c>
      <c r="AC33" s="133">
        <v>1242</v>
      </c>
      <c r="AD33" s="144" t="s">
        <v>200</v>
      </c>
      <c r="AE33" s="131">
        <v>74.95</v>
      </c>
      <c r="AF33" s="133">
        <v>172</v>
      </c>
      <c r="AG33" s="134">
        <v>5</v>
      </c>
      <c r="AH33" s="131">
        <v>7.35</v>
      </c>
      <c r="AI33" s="115">
        <f t="shared" si="10"/>
        <v>29.611425578631426</v>
      </c>
      <c r="AJ33" s="131">
        <v>132.65</v>
      </c>
      <c r="AK33" s="115">
        <f t="shared" si="11"/>
        <v>534.41572830006248</v>
      </c>
      <c r="AL33" s="139">
        <v>38.369999999999997</v>
      </c>
      <c r="AM33" s="131"/>
      <c r="AN33" s="136">
        <v>16.25</v>
      </c>
      <c r="AO33" s="466">
        <f t="shared" si="29"/>
        <v>60.704999999999998</v>
      </c>
      <c r="AP33" s="110">
        <f t="shared" si="12"/>
        <v>0.19</v>
      </c>
      <c r="AQ33" s="137" t="s">
        <v>493</v>
      </c>
      <c r="AR33" s="150">
        <v>7.28</v>
      </c>
      <c r="AS33" s="138">
        <v>9.43</v>
      </c>
      <c r="AT33" s="134"/>
      <c r="AU33" s="131">
        <v>8.85</v>
      </c>
      <c r="AV33" s="139">
        <v>319.5</v>
      </c>
      <c r="AW33" s="131">
        <v>5.67</v>
      </c>
      <c r="AX33" s="116"/>
      <c r="AY33" s="131"/>
      <c r="AZ33" s="109">
        <f t="shared" si="40"/>
        <v>0</v>
      </c>
      <c r="BA33" s="109">
        <f t="shared" si="13"/>
        <v>248.215</v>
      </c>
      <c r="BB33" s="115">
        <f t="shared" si="30"/>
        <v>267.28329322407558</v>
      </c>
      <c r="BC33" s="140">
        <f t="shared" si="14"/>
        <v>9.093998239436619</v>
      </c>
      <c r="BD33" s="141">
        <f t="shared" si="15"/>
        <v>9.9286000000000012</v>
      </c>
      <c r="BE33" s="128">
        <f t="shared" si="16"/>
        <v>0.81071919006302273</v>
      </c>
      <c r="BF33" s="141">
        <f t="shared" si="17"/>
        <v>19.022598239436618</v>
      </c>
      <c r="BG33" s="535">
        <v>0.79800000000000004</v>
      </c>
      <c r="BH33" s="16">
        <f t="shared" si="31"/>
        <v>6063.5254999999988</v>
      </c>
      <c r="BI33" s="16">
        <f t="shared" si="18"/>
        <v>222.33333333333334</v>
      </c>
      <c r="BJ33" s="16">
        <f t="shared" si="32"/>
        <v>6002.9999999999982</v>
      </c>
      <c r="BK33" s="17">
        <f t="shared" si="19"/>
        <v>1</v>
      </c>
      <c r="BL33" s="16">
        <f t="shared" si="33"/>
        <v>6002.9999999999982</v>
      </c>
      <c r="BM33" s="254"/>
      <c r="BN33" s="230">
        <v>63.018000000000001</v>
      </c>
      <c r="BO33" s="266">
        <f t="shared" si="34"/>
        <v>159.95999999999998</v>
      </c>
      <c r="BP33" s="196">
        <v>349.71899999999999</v>
      </c>
      <c r="BQ33" s="230"/>
      <c r="BR33" s="230"/>
      <c r="BS33" s="258"/>
      <c r="BT33" s="199"/>
      <c r="BU33" s="200"/>
      <c r="BV33" s="200"/>
      <c r="BW33" s="200"/>
      <c r="BX33" s="200">
        <v>2.11</v>
      </c>
      <c r="BY33" s="208"/>
      <c r="BZ33" s="208"/>
      <c r="CA33" s="201"/>
      <c r="CB33" s="202"/>
      <c r="CC33" s="200">
        <v>43.89</v>
      </c>
      <c r="CD33" s="200">
        <v>44.04</v>
      </c>
      <c r="CE33" s="200">
        <v>38.42</v>
      </c>
      <c r="CF33" s="208"/>
      <c r="CG33" s="208"/>
      <c r="CH33" s="209"/>
      <c r="CI33" s="199"/>
      <c r="CJ33" s="197"/>
      <c r="CK33" s="230"/>
      <c r="CL33" s="266">
        <f t="shared" si="35"/>
        <v>177.85</v>
      </c>
      <c r="CM33" s="453">
        <v>153.29</v>
      </c>
      <c r="CN33" s="202"/>
      <c r="CO33" s="208"/>
      <c r="CP33" s="208"/>
      <c r="CQ33" s="209"/>
      <c r="CR33" s="201"/>
      <c r="CS33" s="284"/>
      <c r="CT33" s="286">
        <f t="shared" si="20"/>
        <v>0</v>
      </c>
      <c r="CU33" s="24">
        <f t="shared" si="20"/>
        <v>63.018000000000001</v>
      </c>
      <c r="CV33" s="25">
        <f t="shared" si="20"/>
        <v>159.95999999999998</v>
      </c>
      <c r="CW33" s="24">
        <f t="shared" si="20"/>
        <v>342.33992910000001</v>
      </c>
      <c r="CX33" s="27">
        <f t="shared" si="20"/>
        <v>0</v>
      </c>
      <c r="CY33" s="24">
        <f t="shared" si="20"/>
        <v>0</v>
      </c>
      <c r="CZ33" s="280">
        <f t="shared" si="20"/>
        <v>0</v>
      </c>
      <c r="DA33" s="25">
        <f t="shared" si="21"/>
        <v>0</v>
      </c>
      <c r="DB33" s="24">
        <f t="shared" si="21"/>
        <v>0</v>
      </c>
      <c r="DC33" s="277">
        <f t="shared" si="21"/>
        <v>177.85</v>
      </c>
      <c r="DD33" s="280">
        <f t="shared" si="21"/>
        <v>153.29</v>
      </c>
      <c r="DE33" s="508">
        <f t="shared" si="36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7"/>
        <v>0</v>
      </c>
      <c r="DM33" s="197">
        <v>103.13</v>
      </c>
      <c r="DN33" s="247">
        <f t="shared" si="38"/>
        <v>159.95999999999998</v>
      </c>
      <c r="DO33" s="230">
        <v>147.91999999999999</v>
      </c>
      <c r="DP33" s="247">
        <f t="shared" si="39"/>
        <v>177.85</v>
      </c>
    </row>
    <row r="34" spans="1:120" ht="16.5" customHeight="1" thickBot="1">
      <c r="A34" s="534">
        <v>28</v>
      </c>
      <c r="B34" s="103">
        <f t="shared" si="24"/>
        <v>564.00200000000007</v>
      </c>
      <c r="C34" s="104">
        <f t="shared" si="0"/>
        <v>0.6801067904014525</v>
      </c>
      <c r="D34" s="143">
        <f t="shared" si="1"/>
        <v>560.16618410000001</v>
      </c>
      <c r="E34" s="104">
        <f t="shared" si="2"/>
        <v>40.786930507338624</v>
      </c>
      <c r="F34" s="128">
        <f t="shared" si="3"/>
        <v>2.3064207932145466</v>
      </c>
      <c r="G34" s="106"/>
      <c r="H34" s="107">
        <f t="shared" si="4"/>
        <v>1.4070476653388095</v>
      </c>
      <c r="I34" s="103">
        <f>'[1]сентябрь 20'!AE33</f>
        <v>0</v>
      </c>
      <c r="J34" s="103">
        <f>'[1]ноябрь 20'!AA33</f>
        <v>10.106</v>
      </c>
      <c r="K34" s="106">
        <v>32.549999999999997</v>
      </c>
      <c r="L34" s="103">
        <f t="shared" si="25"/>
        <v>218.43300000000002</v>
      </c>
      <c r="M34" s="103">
        <f t="shared" si="5"/>
        <v>0.89937312787573731</v>
      </c>
      <c r="N34" s="103">
        <f>'[1]август 20'!W33</f>
        <v>0</v>
      </c>
      <c r="O34" s="103">
        <f>'[1]сентябрь 20'!AM33</f>
        <v>0</v>
      </c>
      <c r="P34" s="447">
        <f t="shared" si="26"/>
        <v>0</v>
      </c>
      <c r="Q34" s="103">
        <f t="shared" si="27"/>
        <v>0</v>
      </c>
      <c r="R34" s="103">
        <v>336.24</v>
      </c>
      <c r="S34" s="108">
        <f t="shared" si="6"/>
        <v>3.1406138472519607</v>
      </c>
      <c r="T34" s="109">
        <f t="shared" si="7"/>
        <v>325.68</v>
      </c>
      <c r="U34" s="106">
        <v>9.0399999999999991</v>
      </c>
      <c r="V34" s="109">
        <f t="shared" si="8"/>
        <v>325.68</v>
      </c>
      <c r="W34" s="110">
        <f t="shared" si="9"/>
        <v>1.3409504987184635</v>
      </c>
      <c r="X34" s="110">
        <f t="shared" si="28"/>
        <v>1.3409504987184635</v>
      </c>
      <c r="Y34" s="157"/>
      <c r="Z34" s="157">
        <v>242.87</v>
      </c>
      <c r="AA34" s="149">
        <v>0.48</v>
      </c>
      <c r="AB34" s="147">
        <v>666</v>
      </c>
      <c r="AC34" s="147">
        <v>1235</v>
      </c>
      <c r="AD34" s="144" t="s">
        <v>200</v>
      </c>
      <c r="AE34" s="149">
        <v>74.5</v>
      </c>
      <c r="AF34" s="147">
        <v>169</v>
      </c>
      <c r="AG34" s="155">
        <v>5</v>
      </c>
      <c r="AH34" s="149">
        <v>4.3499999999999996</v>
      </c>
      <c r="AI34" s="115">
        <f t="shared" si="10"/>
        <v>17.910632121792297</v>
      </c>
      <c r="AJ34" s="149">
        <v>135.05000000000001</v>
      </c>
      <c r="AK34" s="115">
        <f t="shared" si="11"/>
        <v>556.05307311449428</v>
      </c>
      <c r="AL34" s="156">
        <v>35.299999999999997</v>
      </c>
      <c r="AM34" s="149"/>
      <c r="AN34" s="157">
        <v>16.38</v>
      </c>
      <c r="AO34" s="466">
        <f t="shared" si="29"/>
        <v>59.707500000000003</v>
      </c>
      <c r="AP34" s="110">
        <f t="shared" si="12"/>
        <v>0.19</v>
      </c>
      <c r="AQ34" s="158" t="s">
        <v>347</v>
      </c>
      <c r="AR34" s="404">
        <v>7.4</v>
      </c>
      <c r="AS34" s="159">
        <v>8.67</v>
      </c>
      <c r="AT34" s="155"/>
      <c r="AU34" s="149">
        <v>7.28</v>
      </c>
      <c r="AV34" s="156">
        <v>314.25</v>
      </c>
      <c r="AW34" s="131">
        <v>4.71</v>
      </c>
      <c r="AX34" s="148"/>
      <c r="AY34" s="149"/>
      <c r="AZ34" s="109">
        <f t="shared" si="40"/>
        <v>0</v>
      </c>
      <c r="BA34" s="109">
        <f t="shared" si="13"/>
        <v>242.8725</v>
      </c>
      <c r="BB34" s="115">
        <f t="shared" si="30"/>
        <v>267.72928727610588</v>
      </c>
      <c r="BC34" s="140">
        <f t="shared" si="14"/>
        <v>7.6160591549295775</v>
      </c>
      <c r="BD34" s="141">
        <f t="shared" si="15"/>
        <v>9.7149000000000001</v>
      </c>
      <c r="BE34" s="128">
        <f t="shared" si="16"/>
        <v>0.79194807059467687</v>
      </c>
      <c r="BF34" s="141">
        <f t="shared" si="17"/>
        <v>17.330959154929577</v>
      </c>
      <c r="BG34" s="538">
        <v>0.79800000000000004</v>
      </c>
      <c r="BH34" s="16">
        <f t="shared" si="31"/>
        <v>6306.3979999999992</v>
      </c>
      <c r="BI34" s="16">
        <f t="shared" si="18"/>
        <v>222.33333333333334</v>
      </c>
      <c r="BJ34" s="16">
        <f t="shared" si="32"/>
        <v>6225.3333333333312</v>
      </c>
      <c r="BK34" s="17">
        <f t="shared" si="19"/>
        <v>1</v>
      </c>
      <c r="BL34" s="16">
        <f t="shared" si="33"/>
        <v>6225.3333333333312</v>
      </c>
      <c r="BM34" s="255"/>
      <c r="BN34" s="233">
        <v>60.222000000000001</v>
      </c>
      <c r="BO34" s="266">
        <f t="shared" si="34"/>
        <v>158.21100000000001</v>
      </c>
      <c r="BP34" s="429">
        <v>345.56900000000002</v>
      </c>
      <c r="BQ34" s="233"/>
      <c r="BR34" s="233"/>
      <c r="BS34" s="260"/>
      <c r="BT34" s="212"/>
      <c r="BU34" s="213"/>
      <c r="BV34" s="213"/>
      <c r="BW34" s="213"/>
      <c r="BX34" s="213">
        <v>1.1100000000000001</v>
      </c>
      <c r="BY34" s="235"/>
      <c r="BZ34" s="235"/>
      <c r="CA34" s="214"/>
      <c r="CB34" s="215"/>
      <c r="CC34" s="213">
        <v>43.73</v>
      </c>
      <c r="CD34" s="213">
        <v>43.81</v>
      </c>
      <c r="CE34" s="213">
        <v>38.89</v>
      </c>
      <c r="CF34" s="235"/>
      <c r="CG34" s="235"/>
      <c r="CH34" s="211"/>
      <c r="CI34" s="212"/>
      <c r="CJ34" s="210"/>
      <c r="CK34" s="233"/>
      <c r="CL34" s="266">
        <f t="shared" si="35"/>
        <v>175.27</v>
      </c>
      <c r="CM34" s="453">
        <v>150.41</v>
      </c>
      <c r="CN34" s="202"/>
      <c r="CO34" s="208"/>
      <c r="CP34" s="208"/>
      <c r="CQ34" s="209"/>
      <c r="CR34" s="201"/>
      <c r="CS34" s="284"/>
      <c r="CT34" s="286">
        <f t="shared" si="20"/>
        <v>0</v>
      </c>
      <c r="CU34" s="24">
        <f t="shared" si="20"/>
        <v>60.222000000000001</v>
      </c>
      <c r="CV34" s="25">
        <f t="shared" si="20"/>
        <v>158.21100000000001</v>
      </c>
      <c r="CW34" s="24">
        <f t="shared" si="20"/>
        <v>341.73318410000002</v>
      </c>
      <c r="CX34" s="27">
        <f t="shared" si="20"/>
        <v>0</v>
      </c>
      <c r="CY34" s="24">
        <f t="shared" si="20"/>
        <v>0</v>
      </c>
      <c r="CZ34" s="280">
        <f t="shared" si="20"/>
        <v>0</v>
      </c>
      <c r="DA34" s="30">
        <f t="shared" si="21"/>
        <v>0</v>
      </c>
      <c r="DB34" s="29">
        <f t="shared" si="21"/>
        <v>0</v>
      </c>
      <c r="DC34" s="277">
        <f t="shared" si="21"/>
        <v>175.27</v>
      </c>
      <c r="DD34" s="280">
        <f t="shared" si="21"/>
        <v>150.41</v>
      </c>
      <c r="DE34" s="508">
        <f t="shared" si="36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7"/>
        <v>0</v>
      </c>
      <c r="DM34" s="210">
        <v>101.381</v>
      </c>
      <c r="DN34" s="247">
        <f t="shared" si="38"/>
        <v>158.21100000000001</v>
      </c>
      <c r="DO34" s="233">
        <v>145.34</v>
      </c>
      <c r="DP34" s="247">
        <f t="shared" si="39"/>
        <v>175.27</v>
      </c>
    </row>
    <row r="35" spans="1:120" ht="16.5" customHeight="1" thickBot="1">
      <c r="A35" s="534">
        <v>29</v>
      </c>
      <c r="B35" s="103">
        <f t="shared" si="24"/>
        <v>620.755</v>
      </c>
      <c r="C35" s="104">
        <f t="shared" si="0"/>
        <v>1.0477857447785357</v>
      </c>
      <c r="D35" s="143">
        <f t="shared" si="1"/>
        <v>614.2508176</v>
      </c>
      <c r="E35" s="104">
        <f t="shared" si="2"/>
        <v>41.08082159628195</v>
      </c>
      <c r="F35" s="128">
        <f t="shared" si="3"/>
        <v>2.3877489984489855</v>
      </c>
      <c r="G35" s="106"/>
      <c r="H35" s="107">
        <f t="shared" si="4"/>
        <v>1.4886932124656462</v>
      </c>
      <c r="I35" s="103">
        <f>'[1]сентябрь 20'!AE34</f>
        <v>0</v>
      </c>
      <c r="J35" s="103">
        <f>'[1]ноябрь 20'!AA34</f>
        <v>12.314</v>
      </c>
      <c r="K35" s="106">
        <v>24.85</v>
      </c>
      <c r="L35" s="103">
        <f t="shared" si="25"/>
        <v>231.28300000000002</v>
      </c>
      <c r="M35" s="103">
        <f t="shared" si="5"/>
        <v>0.89905578598333913</v>
      </c>
      <c r="N35" s="103">
        <f>'[1]август 20'!W34</f>
        <v>0</v>
      </c>
      <c r="O35" s="103">
        <f>'[1]сентябрь 20'!AM34</f>
        <v>0</v>
      </c>
      <c r="P35" s="447">
        <f t="shared" si="26"/>
        <v>0</v>
      </c>
      <c r="Q35" s="103">
        <f t="shared" si="27"/>
        <v>0</v>
      </c>
      <c r="R35" s="103">
        <v>372.24</v>
      </c>
      <c r="S35" s="108">
        <f t="shared" si="6"/>
        <v>3.0276165914463693</v>
      </c>
      <c r="T35" s="109">
        <f t="shared" si="7"/>
        <v>360.97</v>
      </c>
      <c r="U35" s="106"/>
      <c r="V35" s="109">
        <f t="shared" si="8"/>
        <v>360.97</v>
      </c>
      <c r="W35" s="110">
        <f t="shared" si="9"/>
        <v>1.4031821061920069</v>
      </c>
      <c r="X35" s="110">
        <f t="shared" si="28"/>
        <v>1.4031821061920069</v>
      </c>
      <c r="Y35" s="136">
        <v>159.63999999999999</v>
      </c>
      <c r="Z35" s="136">
        <v>199.61</v>
      </c>
      <c r="AA35" s="131">
        <v>0.69</v>
      </c>
      <c r="AB35" s="133">
        <v>618</v>
      </c>
      <c r="AC35" s="133">
        <v>1225</v>
      </c>
      <c r="AD35" s="144" t="s">
        <v>176</v>
      </c>
      <c r="AE35" s="131">
        <v>75.040000000000006</v>
      </c>
      <c r="AF35" s="133">
        <v>188</v>
      </c>
      <c r="AG35" s="134">
        <v>5</v>
      </c>
      <c r="AH35" s="166">
        <v>7.85</v>
      </c>
      <c r="AI35" s="115">
        <f t="shared" si="10"/>
        <v>30.514944548320507</v>
      </c>
      <c r="AJ35" s="166">
        <v>150.19999999999999</v>
      </c>
      <c r="AK35" s="115">
        <f t="shared" si="11"/>
        <v>583.8655632048077</v>
      </c>
      <c r="AL35" s="139">
        <v>37.380000000000003</v>
      </c>
      <c r="AM35" s="131"/>
      <c r="AN35" s="167">
        <v>13.41</v>
      </c>
      <c r="AO35" s="466">
        <f t="shared" si="29"/>
        <v>62.529000000000003</v>
      </c>
      <c r="AP35" s="110">
        <f t="shared" si="12"/>
        <v>0.19</v>
      </c>
      <c r="AQ35" s="168" t="s">
        <v>315</v>
      </c>
      <c r="AR35" s="405">
        <v>6.75</v>
      </c>
      <c r="AS35" s="169">
        <v>7.97</v>
      </c>
      <c r="AT35" s="170"/>
      <c r="AU35" s="166">
        <v>8.4700000000000006</v>
      </c>
      <c r="AV35" s="171">
        <v>329.1</v>
      </c>
      <c r="AW35" s="131">
        <v>4.09</v>
      </c>
      <c r="AX35" s="116"/>
      <c r="AY35" s="131"/>
      <c r="AZ35" s="109">
        <f t="shared" si="40"/>
        <v>0</v>
      </c>
      <c r="BA35" s="109">
        <f t="shared" si="13"/>
        <v>257.25100000000003</v>
      </c>
      <c r="BB35" s="115">
        <f t="shared" si="30"/>
        <v>293.56635614392377</v>
      </c>
      <c r="BC35" s="140">
        <f t="shared" si="14"/>
        <v>9.8550239436619709</v>
      </c>
      <c r="BD35" s="141">
        <f t="shared" si="15"/>
        <v>10.290040000000001</v>
      </c>
      <c r="BE35" s="128">
        <f t="shared" si="16"/>
        <v>0.76500633774906213</v>
      </c>
      <c r="BF35" s="141">
        <f t="shared" si="17"/>
        <v>20.145063943661974</v>
      </c>
      <c r="BG35" s="538">
        <v>0.79700000000000004</v>
      </c>
      <c r="BH35" s="16">
        <f t="shared" si="31"/>
        <v>6563.6489999999994</v>
      </c>
      <c r="BI35" s="16">
        <f t="shared" si="18"/>
        <v>222.33333333333334</v>
      </c>
      <c r="BJ35" s="16">
        <f t="shared" si="32"/>
        <v>6447.6666666666642</v>
      </c>
      <c r="BK35" s="17">
        <f t="shared" si="19"/>
        <v>1</v>
      </c>
      <c r="BL35" s="16">
        <f t="shared" si="33"/>
        <v>6447.6666666666642</v>
      </c>
      <c r="BM35" s="254"/>
      <c r="BN35" s="230">
        <v>61.720999999999997</v>
      </c>
      <c r="BO35" s="266">
        <f t="shared" si="34"/>
        <v>169.56200000000001</v>
      </c>
      <c r="BP35" s="196">
        <v>389.47199999999998</v>
      </c>
      <c r="BQ35" s="230"/>
      <c r="BR35" s="230"/>
      <c r="BS35" s="259"/>
      <c r="BT35" s="199"/>
      <c r="BU35" s="200"/>
      <c r="BV35" s="200"/>
      <c r="BW35" s="200"/>
      <c r="BX35" s="200">
        <v>1.67</v>
      </c>
      <c r="BY35" s="208"/>
      <c r="BZ35" s="208"/>
      <c r="CA35" s="201"/>
      <c r="CB35" s="202"/>
      <c r="CC35" s="200">
        <v>43.81</v>
      </c>
      <c r="CD35" s="200">
        <v>44.04</v>
      </c>
      <c r="CE35" s="200">
        <v>39.36</v>
      </c>
      <c r="CF35" s="208"/>
      <c r="CG35" s="208"/>
      <c r="CH35" s="209"/>
      <c r="CI35" s="199"/>
      <c r="CJ35" s="197"/>
      <c r="CK35" s="230"/>
      <c r="CL35" s="266">
        <f t="shared" si="35"/>
        <v>191.61</v>
      </c>
      <c r="CM35" s="453">
        <v>169.36</v>
      </c>
      <c r="CN35" s="202"/>
      <c r="CO35" s="208"/>
      <c r="CP35" s="208"/>
      <c r="CQ35" s="209"/>
      <c r="CR35" s="201"/>
      <c r="CS35" s="284"/>
      <c r="CT35" s="286">
        <f t="shared" si="20"/>
        <v>0</v>
      </c>
      <c r="CU35" s="24">
        <f t="shared" si="20"/>
        <v>61.720999999999997</v>
      </c>
      <c r="CV35" s="24">
        <f t="shared" si="20"/>
        <v>169.56200000000001</v>
      </c>
      <c r="CW35" s="24">
        <f t="shared" si="20"/>
        <v>382.96781759999999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0</v>
      </c>
      <c r="DC35" s="277">
        <f t="shared" si="21"/>
        <v>191.61</v>
      </c>
      <c r="DD35" s="280">
        <f t="shared" si="21"/>
        <v>169.36</v>
      </c>
      <c r="DE35" s="508">
        <f t="shared" si="36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7"/>
        <v>0</v>
      </c>
      <c r="DM35" s="197">
        <v>112.732</v>
      </c>
      <c r="DN35" s="247">
        <f t="shared" si="38"/>
        <v>169.56200000000001</v>
      </c>
      <c r="DO35" s="230">
        <v>161.68</v>
      </c>
      <c r="DP35" s="247">
        <f t="shared" si="39"/>
        <v>191.61</v>
      </c>
    </row>
    <row r="36" spans="1:120" ht="16.5" customHeight="1" thickBot="1">
      <c r="A36" s="534">
        <v>30</v>
      </c>
      <c r="B36" s="103">
        <f t="shared" si="24"/>
        <v>569.00700000000006</v>
      </c>
      <c r="C36" s="104">
        <f t="shared" si="0"/>
        <v>0.82507990235620998</v>
      </c>
      <c r="D36" s="143">
        <f t="shared" si="1"/>
        <v>564.31223760000012</v>
      </c>
      <c r="E36" s="104">
        <f t="shared" si="2"/>
        <v>40.494987636355965</v>
      </c>
      <c r="F36" s="128">
        <f t="shared" si="3"/>
        <v>2.6683952979005112</v>
      </c>
      <c r="G36" s="106"/>
      <c r="H36" s="107">
        <f t="shared" si="4"/>
        <v>1.7826425080385853</v>
      </c>
      <c r="I36" s="103">
        <f>'[1]сентябрь 20'!AE35</f>
        <v>0</v>
      </c>
      <c r="J36" s="103">
        <f>'[1]ноябрь 20'!AA35</f>
        <v>12.753</v>
      </c>
      <c r="K36" s="106">
        <v>53.29</v>
      </c>
      <c r="L36" s="103">
        <f t="shared" si="25"/>
        <v>187.31900000000002</v>
      </c>
      <c r="M36" s="103">
        <f t="shared" si="5"/>
        <v>0.88575278986192563</v>
      </c>
      <c r="N36" s="103">
        <f>'[1]август 20'!W35</f>
        <v>0</v>
      </c>
      <c r="O36" s="103">
        <f>'[1]сентябрь 20'!AM35</f>
        <v>0</v>
      </c>
      <c r="P36" s="447">
        <f t="shared" si="26"/>
        <v>0</v>
      </c>
      <c r="Q36" s="103">
        <f t="shared" si="27"/>
        <v>0</v>
      </c>
      <c r="R36" s="103">
        <v>339.47</v>
      </c>
      <c r="S36" s="108">
        <f t="shared" si="6"/>
        <v>3.1504993077444365</v>
      </c>
      <c r="T36" s="109">
        <f t="shared" si="7"/>
        <v>328.77499999999998</v>
      </c>
      <c r="U36" s="106">
        <v>31.07</v>
      </c>
      <c r="V36" s="109">
        <f t="shared" si="8"/>
        <v>328.77499999999998</v>
      </c>
      <c r="W36" s="110">
        <f t="shared" si="9"/>
        <v>1.5546387365235483</v>
      </c>
      <c r="X36" s="110">
        <f t="shared" si="28"/>
        <v>1.5546387365235483</v>
      </c>
      <c r="Y36" s="136">
        <v>81.98</v>
      </c>
      <c r="Z36" s="136">
        <v>168.24</v>
      </c>
      <c r="AA36" s="131">
        <v>0.7</v>
      </c>
      <c r="AB36" s="133">
        <v>623</v>
      </c>
      <c r="AC36" s="133">
        <v>1224</v>
      </c>
      <c r="AD36" s="144" t="s">
        <v>109</v>
      </c>
      <c r="AE36" s="131">
        <v>74.89</v>
      </c>
      <c r="AF36" s="133">
        <v>169</v>
      </c>
      <c r="AG36" s="134">
        <v>5</v>
      </c>
      <c r="AH36" s="131">
        <v>6.5</v>
      </c>
      <c r="AI36" s="115">
        <f t="shared" si="10"/>
        <v>30.735766975600534</v>
      </c>
      <c r="AJ36" s="131">
        <v>129.9</v>
      </c>
      <c r="AK36" s="115">
        <f t="shared" si="11"/>
        <v>614.24248155853991</v>
      </c>
      <c r="AL36" s="139">
        <v>35.54</v>
      </c>
      <c r="AM36" s="131"/>
      <c r="AN36" s="136">
        <v>17.55</v>
      </c>
      <c r="AO36" s="466">
        <v>78.22</v>
      </c>
      <c r="AP36" s="110">
        <f t="shared" si="12"/>
        <v>0.25458096013018716</v>
      </c>
      <c r="AQ36" s="137" t="s">
        <v>494</v>
      </c>
      <c r="AR36" s="150">
        <v>7.34</v>
      </c>
      <c r="AS36" s="138">
        <v>8.8000000000000007</v>
      </c>
      <c r="AT36" s="134"/>
      <c r="AU36" s="131">
        <v>7.56</v>
      </c>
      <c r="AV36" s="139">
        <v>307.25</v>
      </c>
      <c r="AW36" s="131"/>
      <c r="AX36" s="116"/>
      <c r="AY36" s="131"/>
      <c r="AZ36" s="109">
        <f t="shared" si="40"/>
        <v>0</v>
      </c>
      <c r="BA36" s="109">
        <f t="shared" si="13"/>
        <v>211.48</v>
      </c>
      <c r="BB36" s="115">
        <f t="shared" si="30"/>
        <v>266.38585011223148</v>
      </c>
      <c r="BC36" s="140">
        <f t="shared" si="14"/>
        <v>7.6073830985915487</v>
      </c>
      <c r="BD36" s="141">
        <f t="shared" si="15"/>
        <v>8.4591999999999992</v>
      </c>
      <c r="BE36" s="128">
        <f t="shared" si="16"/>
        <v>0.69306248782439672</v>
      </c>
      <c r="BF36" s="141">
        <f t="shared" si="17"/>
        <v>16.066583098591547</v>
      </c>
      <c r="BG36" s="538">
        <v>0.79300000000000004</v>
      </c>
      <c r="BH36" s="16">
        <f t="shared" si="31"/>
        <v>6775.128999999999</v>
      </c>
      <c r="BI36" s="16">
        <f t="shared" si="18"/>
        <v>222.33333333333334</v>
      </c>
      <c r="BJ36" s="16">
        <f t="shared" si="32"/>
        <v>6669.9999999999973</v>
      </c>
      <c r="BK36" s="17">
        <f t="shared" si="19"/>
        <v>1</v>
      </c>
      <c r="BL36" s="16">
        <f t="shared" si="33"/>
        <v>6669.9999999999973</v>
      </c>
      <c r="BM36" s="254">
        <v>39.664000000000001</v>
      </c>
      <c r="BN36" s="230">
        <v>24.003</v>
      </c>
      <c r="BO36" s="266">
        <f t="shared" si="34"/>
        <v>163.316</v>
      </c>
      <c r="BP36" s="196">
        <v>342.024</v>
      </c>
      <c r="BQ36" s="230"/>
      <c r="BR36" s="230"/>
      <c r="BS36" s="258"/>
      <c r="BT36" s="199"/>
      <c r="BU36" s="200">
        <v>1.23</v>
      </c>
      <c r="BV36" s="200"/>
      <c r="BW36" s="200"/>
      <c r="BX36" s="200">
        <v>1.23</v>
      </c>
      <c r="BY36" s="208"/>
      <c r="BZ36" s="208"/>
      <c r="CA36" s="201"/>
      <c r="CB36" s="202">
        <v>39.04</v>
      </c>
      <c r="CC36" s="200">
        <v>43.73</v>
      </c>
      <c r="CD36" s="200">
        <v>43.42</v>
      </c>
      <c r="CE36" s="200">
        <v>39.04</v>
      </c>
      <c r="CF36" s="208"/>
      <c r="CG36" s="208"/>
      <c r="CH36" s="209"/>
      <c r="CI36" s="199"/>
      <c r="CJ36" s="197"/>
      <c r="CK36" s="230"/>
      <c r="CL36" s="266">
        <f t="shared" si="35"/>
        <v>175.39500000000001</v>
      </c>
      <c r="CM36" s="453">
        <v>153.38</v>
      </c>
      <c r="CN36" s="202"/>
      <c r="CO36" s="208"/>
      <c r="CP36" s="208"/>
      <c r="CQ36" s="209"/>
      <c r="CR36" s="201"/>
      <c r="CS36" s="284"/>
      <c r="CT36" s="286">
        <f t="shared" si="20"/>
        <v>39.176132799999998</v>
      </c>
      <c r="CU36" s="27">
        <f t="shared" si="20"/>
        <v>24.003</v>
      </c>
      <c r="CV36" s="28">
        <f t="shared" si="20"/>
        <v>163.316</v>
      </c>
      <c r="CW36" s="27">
        <f t="shared" si="20"/>
        <v>337.81710479999998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0</v>
      </c>
      <c r="DC36" s="277">
        <f t="shared" si="21"/>
        <v>175.39500000000001</v>
      </c>
      <c r="DD36" s="280">
        <f t="shared" si="21"/>
        <v>153.38</v>
      </c>
      <c r="DE36" s="508">
        <f t="shared" si="36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7"/>
        <v>0</v>
      </c>
      <c r="DM36" s="197">
        <v>101.386</v>
      </c>
      <c r="DN36" s="247">
        <f>DM36+61.93</f>
        <v>163.316</v>
      </c>
      <c r="DO36" s="230">
        <v>145.34</v>
      </c>
      <c r="DP36" s="247">
        <f>DO36+30.055</f>
        <v>175.39500000000001</v>
      </c>
    </row>
    <row r="37" spans="1:120" ht="16.5" customHeight="1" thickBot="1">
      <c r="A37" s="539">
        <v>31</v>
      </c>
      <c r="B37" s="103">
        <f>'[1]ноябрь 20'!K36</f>
        <v>0</v>
      </c>
      <c r="C37" s="541">
        <f t="shared" si="0"/>
        <v>0</v>
      </c>
      <c r="D37" s="542">
        <f t="shared" si="1"/>
        <v>0</v>
      </c>
      <c r="E37" s="541">
        <f t="shared" si="2"/>
        <v>0</v>
      </c>
      <c r="F37" s="505">
        <f t="shared" si="3"/>
        <v>0</v>
      </c>
      <c r="G37" s="543"/>
      <c r="H37" s="544">
        <f t="shared" si="4"/>
        <v>0</v>
      </c>
      <c r="I37" s="540">
        <f>'[1]сентябрь 20'!AE36</f>
        <v>0</v>
      </c>
      <c r="J37" s="103">
        <f>'[1]ноябрь 20'!AA36</f>
        <v>0</v>
      </c>
      <c r="K37" s="543"/>
      <c r="L37" s="505">
        <f>'[1]ноябрь 20'!AI36</f>
        <v>0</v>
      </c>
      <c r="M37" s="540">
        <f t="shared" si="5"/>
        <v>0</v>
      </c>
      <c r="N37" s="540">
        <f>'[1]август 20'!W36</f>
        <v>0</v>
      </c>
      <c r="O37" s="103">
        <f>'[1]сентябрь 20'!AM36</f>
        <v>0</v>
      </c>
      <c r="P37" s="447">
        <f t="shared" si="26"/>
        <v>0</v>
      </c>
      <c r="Q37" s="568">
        <f t="shared" si="27"/>
        <v>0</v>
      </c>
      <c r="R37" s="568">
        <f>'[1]ноябрь 20'!S36</f>
        <v>0</v>
      </c>
      <c r="S37" s="546">
        <f t="shared" si="6"/>
        <v>0</v>
      </c>
      <c r="T37" s="547">
        <f t="shared" si="7"/>
        <v>0</v>
      </c>
      <c r="U37" s="548"/>
      <c r="V37" s="547">
        <f t="shared" si="8"/>
        <v>0</v>
      </c>
      <c r="W37" s="549">
        <f t="shared" si="9"/>
        <v>0</v>
      </c>
      <c r="X37" s="227">
        <f t="shared" si="28"/>
        <v>0</v>
      </c>
      <c r="Y37" s="550"/>
      <c r="Z37" s="550"/>
      <c r="AA37" s="548"/>
      <c r="AB37" s="551"/>
      <c r="AC37" s="551"/>
      <c r="AD37" s="552"/>
      <c r="AE37" s="548"/>
      <c r="AF37" s="551"/>
      <c r="AG37" s="553"/>
      <c r="AH37" s="548"/>
      <c r="AI37" s="554">
        <f t="shared" si="10"/>
        <v>0</v>
      </c>
      <c r="AJ37" s="548"/>
      <c r="AK37" s="555">
        <f t="shared" si="11"/>
        <v>0</v>
      </c>
      <c r="AL37" s="556"/>
      <c r="AM37" s="548"/>
      <c r="AN37" s="550"/>
      <c r="AO37" s="619">
        <f t="shared" si="29"/>
        <v>0</v>
      </c>
      <c r="AP37" s="549">
        <f t="shared" si="12"/>
        <v>0</v>
      </c>
      <c r="AQ37" s="558"/>
      <c r="AR37" s="559"/>
      <c r="AS37" s="560"/>
      <c r="AT37" s="553"/>
      <c r="AU37" s="548"/>
      <c r="AV37" s="548"/>
      <c r="AW37" s="548"/>
      <c r="AX37" s="548"/>
      <c r="AY37" s="548"/>
      <c r="AZ37" s="547">
        <f t="shared" si="40"/>
        <v>0</v>
      </c>
      <c r="BA37" s="547">
        <f t="shared" si="13"/>
        <v>0</v>
      </c>
      <c r="BB37" s="554">
        <f t="shared" si="30"/>
        <v>0</v>
      </c>
      <c r="BC37" s="561">
        <f t="shared" si="14"/>
        <v>0</v>
      </c>
      <c r="BD37" s="555">
        <f t="shared" si="15"/>
        <v>0</v>
      </c>
      <c r="BE37" s="505">
        <f t="shared" si="16"/>
        <v>0</v>
      </c>
      <c r="BF37" s="555">
        <f t="shared" si="17"/>
        <v>0</v>
      </c>
      <c r="BG37" s="562"/>
      <c r="BH37" s="16">
        <f t="shared" si="31"/>
        <v>6775.128999999999</v>
      </c>
      <c r="BI37" s="16">
        <f t="shared" si="18"/>
        <v>0</v>
      </c>
      <c r="BJ37" s="16">
        <f t="shared" si="32"/>
        <v>6669.9999999999973</v>
      </c>
      <c r="BK37" s="17">
        <f t="shared" si="19"/>
        <v>0</v>
      </c>
      <c r="BL37" s="16">
        <f t="shared" si="33"/>
        <v>6669.9999999999973</v>
      </c>
      <c r="BM37" s="256"/>
      <c r="BN37" s="257"/>
      <c r="BO37" s="628"/>
      <c r="BP37" s="257"/>
      <c r="BQ37" s="261"/>
      <c r="BR37" s="261"/>
      <c r="BS37" s="262"/>
      <c r="BT37" s="219"/>
      <c r="BU37" s="220"/>
      <c r="BV37" s="220"/>
      <c r="BW37" s="220"/>
      <c r="BX37" s="220"/>
      <c r="BY37" s="224"/>
      <c r="BZ37" s="224"/>
      <c r="CA37" s="221"/>
      <c r="CB37" s="222"/>
      <c r="CC37" s="220"/>
      <c r="CD37" s="220"/>
      <c r="CE37" s="220"/>
      <c r="CF37" s="224"/>
      <c r="CG37" s="224"/>
      <c r="CH37" s="221"/>
      <c r="CI37" s="219"/>
      <c r="CJ37" s="217"/>
      <c r="CK37" s="217"/>
      <c r="CL37" s="465"/>
      <c r="CM37" s="223"/>
      <c r="CN37" s="222"/>
      <c r="CO37" s="224"/>
      <c r="CP37" s="224"/>
      <c r="CQ37" s="218"/>
      <c r="CR37" s="221"/>
      <c r="CS37" s="284"/>
      <c r="CT37" s="287">
        <f t="shared" si="20"/>
        <v>0</v>
      </c>
      <c r="CU37" s="32">
        <f t="shared" si="20"/>
        <v>0</v>
      </c>
      <c r="CV37" s="30">
        <f t="shared" si="20"/>
        <v>0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0</v>
      </c>
      <c r="DC37" s="246">
        <f t="shared" si="21"/>
        <v>0</v>
      </c>
      <c r="DD37" s="280">
        <f t="shared" si="21"/>
        <v>0</v>
      </c>
      <c r="DE37" s="563">
        <f t="shared" si="36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7"/>
        <v>0</v>
      </c>
    </row>
    <row r="38" spans="1:120" ht="16.5" customHeight="1" thickBot="1">
      <c r="A38" s="55" t="s">
        <v>58</v>
      </c>
      <c r="B38" s="575">
        <f>SUM(B7:B37)</f>
        <v>16343.788000399998</v>
      </c>
      <c r="C38" s="616"/>
      <c r="D38" s="340">
        <f>SUM(D7:D37)</f>
        <v>16172.330387220187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375.21600000000001</v>
      </c>
      <c r="K38" s="340">
        <f>SUM(K7:K37)</f>
        <v>647.70999999999992</v>
      </c>
      <c r="L38" s="340">
        <f>SUM(L7:L37)</f>
        <v>5455.5800000000008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575">
        <f>SUM(R7:R37)</f>
        <v>9907.0999999999985</v>
      </c>
      <c r="S38" s="340"/>
      <c r="T38" s="343">
        <f>SUM(T7:T37)</f>
        <v>9620.6850001999974</v>
      </c>
      <c r="U38" s="340">
        <f>SUM(U7:U37)</f>
        <v>655.72</v>
      </c>
      <c r="V38" s="343">
        <f>SUM(V7:V37)</f>
        <v>9620.6850001999974</v>
      </c>
      <c r="W38" s="346"/>
      <c r="X38" s="344"/>
      <c r="Y38" s="343">
        <f>SUM(Y7:Y37)</f>
        <v>5287.4299999999994</v>
      </c>
      <c r="Z38" s="343">
        <f>SUM(Z7:Z37)</f>
        <v>5420.2699999999995</v>
      </c>
      <c r="AA38" s="345"/>
      <c r="AB38" s="346"/>
      <c r="AC38" s="347"/>
      <c r="AD38" s="348"/>
      <c r="AE38" s="345"/>
      <c r="AF38" s="345"/>
      <c r="AG38" s="347">
        <f>SUM(AG7:AG37)</f>
        <v>146</v>
      </c>
      <c r="AH38" s="343">
        <f>SUM(AH7:AH37)</f>
        <v>233.75000000000003</v>
      </c>
      <c r="AI38" s="351"/>
      <c r="AJ38" s="343">
        <f>SUM(AJ7:AJ37)</f>
        <v>3969.6000000000004</v>
      </c>
      <c r="AK38" s="343"/>
      <c r="AL38" s="617">
        <f>SUM(AL7:AL37)</f>
        <v>1021.7500000000001</v>
      </c>
      <c r="AM38" s="343">
        <f>SUM(AM7:AM37)</f>
        <v>0</v>
      </c>
      <c r="AN38" s="343">
        <f>SUM(AN7:AN37)</f>
        <v>433.74</v>
      </c>
      <c r="AO38" s="618">
        <f>SUM(AO7:AO37)</f>
        <v>1738.0009999999995</v>
      </c>
      <c r="AP38" s="530"/>
      <c r="AQ38" s="351"/>
      <c r="AR38" s="343"/>
      <c r="AS38" s="351"/>
      <c r="AT38" s="351"/>
      <c r="AU38" s="352"/>
      <c r="AV38" s="343">
        <f>SUM(AV7:AV37)</f>
        <v>8827.65</v>
      </c>
      <c r="AW38" s="343">
        <f>SUM(AW7:AW37)</f>
        <v>119.22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6775.128999999999</v>
      </c>
      <c r="BB38" s="343">
        <f>SUM(BB7:BB37)</f>
        <v>7458.2115171447404</v>
      </c>
      <c r="BC38" s="351">
        <f>SUM(BC7:BC36)</f>
        <v>237.60776584507042</v>
      </c>
      <c r="BD38" s="351">
        <f>SUM(BD7:BD36)</f>
        <v>271.00515999999999</v>
      </c>
      <c r="BE38" s="340"/>
      <c r="BF38" s="351">
        <f>SUM(BF7:BF37)</f>
        <v>508.61292584507038</v>
      </c>
      <c r="BG38" s="353"/>
      <c r="BH38" s="16"/>
      <c r="BI38" s="16">
        <f t="shared" si="18"/>
        <v>0</v>
      </c>
      <c r="BJ38" s="16"/>
      <c r="BK38" s="17">
        <f>SUM(BK7:BK37)</f>
        <v>30</v>
      </c>
      <c r="BL38" s="33"/>
      <c r="BM38" s="228">
        <f t="shared" ref="BM38:BS38" si="42">SUM(BM7:BM37)</f>
        <v>39.664000100000003</v>
      </c>
      <c r="BN38" s="38">
        <f t="shared" si="42"/>
        <v>801.59400000000016</v>
      </c>
      <c r="BO38" s="38">
        <f t="shared" si="42"/>
        <v>4653.9859999999999</v>
      </c>
      <c r="BP38" s="457">
        <f t="shared" si="42"/>
        <v>10848.543999999998</v>
      </c>
      <c r="BQ38" s="38">
        <f t="shared" si="42"/>
        <v>9.9999999999999995E-8</v>
      </c>
      <c r="BR38" s="38">
        <f t="shared" si="42"/>
        <v>9.9999999999999995E-8</v>
      </c>
      <c r="BS38" s="38">
        <f t="shared" si="42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1611.1800000999999</v>
      </c>
      <c r="CL38" s="39">
        <f>SUM(CL7:CL37)</f>
        <v>4615.3649999999998</v>
      </c>
      <c r="CM38" s="40">
        <f>SUM(CM7:CM37)</f>
        <v>3394.1399999999994</v>
      </c>
      <c r="CN38" s="34"/>
      <c r="CO38" s="35"/>
      <c r="CP38" s="236"/>
      <c r="CQ38" s="36"/>
      <c r="CR38" s="36"/>
      <c r="CT38" s="189">
        <f t="shared" ref="CT38:DE38" si="43">SUM(CT7:CT37)</f>
        <v>39.176132899999999</v>
      </c>
      <c r="CU38" s="190">
        <f t="shared" si="43"/>
        <v>801.59399997541311</v>
      </c>
      <c r="CV38" s="191">
        <f t="shared" si="43"/>
        <v>4653.9859998447737</v>
      </c>
      <c r="CW38" s="192">
        <f t="shared" si="43"/>
        <v>10677.574254199997</v>
      </c>
      <c r="CX38" s="192">
        <f t="shared" si="43"/>
        <v>9.99999999E-8</v>
      </c>
      <c r="CY38" s="192">
        <f t="shared" si="43"/>
        <v>9.99999999E-8</v>
      </c>
      <c r="CZ38" s="278">
        <f t="shared" si="43"/>
        <v>9.99999999E-8</v>
      </c>
      <c r="DA38" s="278">
        <f t="shared" si="43"/>
        <v>9.99999999E-8</v>
      </c>
      <c r="DB38" s="192">
        <f t="shared" si="43"/>
        <v>1611.1800000999999</v>
      </c>
      <c r="DC38" s="192">
        <f t="shared" si="43"/>
        <v>4615.3649998552701</v>
      </c>
      <c r="DD38" s="498">
        <f t="shared" si="43"/>
        <v>3394.1399998259994</v>
      </c>
      <c r="DE38" s="564">
        <f t="shared" si="43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20" ht="16.5" customHeight="1" thickBot="1">
      <c r="A39" s="56" t="s">
        <v>59</v>
      </c>
      <c r="B39" s="84">
        <f>B38/AV2</f>
        <v>544.79293334666659</v>
      </c>
      <c r="C39" s="84">
        <f>(BM38*BU39+BN38*BV39+BP38*BX39+BS38*CA39+BO38*BW39+BR38*BZ39+BQ38*BY39)/B38</f>
        <v>1.0490689990326398</v>
      </c>
      <c r="D39" s="82"/>
      <c r="E39" s="354">
        <f>(BM38*CB39+BN38*CC39+BP38*CE39+BS38*CH39+BO38*CD39+BR38*CG39+BQ38*CF39)/B38</f>
        <v>39.924216150137923</v>
      </c>
      <c r="F39" s="355">
        <f>IF(BA38=0,0,D38/BA38)</f>
        <v>2.3870143855888486</v>
      </c>
      <c r="G39" s="354">
        <f>G38/AV2</f>
        <v>0</v>
      </c>
      <c r="H39" s="355">
        <f>IF(BA38=0,0,(CZ38+CW38+CY38+CT38+CX38)/BA38)</f>
        <v>1.5817780572738911</v>
      </c>
      <c r="I39" s="354">
        <f>I38/AV2</f>
        <v>0</v>
      </c>
      <c r="J39" s="572">
        <f>J38/AV2</f>
        <v>12.507200000000001</v>
      </c>
      <c r="K39" s="354">
        <f>K38/AV2</f>
        <v>21.59033333333333</v>
      </c>
      <c r="L39" s="354">
        <f>L38/AV2</f>
        <v>181.85266666666669</v>
      </c>
      <c r="M39" s="355">
        <f>IF($BA$38=0,0,(CV38+CU38)/$BA$38)</f>
        <v>0.80523632831495717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330.23666666666662</v>
      </c>
      <c r="S39" s="354">
        <f>(SUMPRODUCT(R7:R37,S7:S37))/R38</f>
        <v>2.8910074572781164</v>
      </c>
      <c r="T39" s="357"/>
      <c r="U39" s="354">
        <f>U38/AV2</f>
        <v>21.857333333333333</v>
      </c>
      <c r="V39" s="354">
        <f>V38/AV2:AV2</f>
        <v>320.68950000666661</v>
      </c>
      <c r="W39" s="358">
        <f>IF($BA$38=0,0,T38/$BA$38)</f>
        <v>1.4200002686590911</v>
      </c>
      <c r="X39" s="358">
        <f>Q39+W39</f>
        <v>1.4200002686590911</v>
      </c>
      <c r="Y39" s="354">
        <f>Y38/AV2</f>
        <v>176.24766666666665</v>
      </c>
      <c r="Z39" s="354">
        <f>Z38/AV2</f>
        <v>180.67566666666664</v>
      </c>
      <c r="AA39" s="354">
        <f>(SUMPRODUCT(AA7:AA37,BA7:BA37))/BA38</f>
        <v>0.73398498833011161</v>
      </c>
      <c r="AB39" s="359">
        <f>AVERAGE(AB7:AB37)</f>
        <v>640.6</v>
      </c>
      <c r="AC39" s="359">
        <f>AVERAGE(AC7:AC37)</f>
        <v>1224.4000000000001</v>
      </c>
      <c r="AD39" s="359"/>
      <c r="AE39" s="354">
        <f>(SUMPRODUCT(AE7:AE37,BA7:BA37))/BA38</f>
        <v>75.585919147812533</v>
      </c>
      <c r="AF39" s="360">
        <f>AVERAGE(AF7:AF37)</f>
        <v>162.73333333333332</v>
      </c>
      <c r="AG39" s="360">
        <f>AVERAGE(AG7:AG37)</f>
        <v>4.8666666666666663</v>
      </c>
      <c r="AH39" s="354">
        <f>AH38/AV2</f>
        <v>7.7916666666666679</v>
      </c>
      <c r="AI39" s="361">
        <f>IF(BA38=0,0,AH38/BA38*1000)</f>
        <v>34.501188095459149</v>
      </c>
      <c r="AJ39" s="361">
        <f>AJ38/AV2</f>
        <v>132.32000000000002</v>
      </c>
      <c r="AK39" s="361">
        <f>IF(BA38=0,0,AJ38/BA38*1000)</f>
        <v>585.90766316036218</v>
      </c>
      <c r="AL39" s="354">
        <f>AL38/AV2</f>
        <v>34.058333333333337</v>
      </c>
      <c r="AM39" s="359"/>
      <c r="AN39" s="354">
        <f>AN38/AV2</f>
        <v>14.458</v>
      </c>
      <c r="AO39" s="354">
        <f>AO38/AV2</f>
        <v>57.93336666666665</v>
      </c>
      <c r="AP39" s="346">
        <f>IF(AO39=0,0,AO39/AV39)</f>
        <v>0.1968815030047634</v>
      </c>
      <c r="AQ39" s="361">
        <f>SUM(AQ8:AQ38)</f>
        <v>0</v>
      </c>
      <c r="AR39" s="354">
        <f>AVERAGE(AR7:AR37)</f>
        <v>7.0796666666666663</v>
      </c>
      <c r="AS39" s="354">
        <f>AVERAGE(AS7:AS37)</f>
        <v>9.2340000000000018</v>
      </c>
      <c r="AT39" s="362"/>
      <c r="AU39" s="354">
        <f>AVERAGE(AU7:AU37)</f>
        <v>7.7020000000000008</v>
      </c>
      <c r="AV39" s="363">
        <f>AV38/AV2</f>
        <v>294.255</v>
      </c>
      <c r="AW39" s="363">
        <f>AW38/AV2</f>
        <v>3.9739999999999998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225.83763333333329</v>
      </c>
      <c r="BB39" s="354">
        <f>BB38/AV2</f>
        <v>248.60705057149136</v>
      </c>
      <c r="BC39" s="362" t="e">
        <f>BC38/$AY$2</f>
        <v>#DIV/0!</v>
      </c>
      <c r="BD39" s="362" t="e">
        <f>BD38/$AY$2</f>
        <v>#DIV/0!</v>
      </c>
      <c r="BE39" s="355">
        <f>(BA38*AE39)/(D38*E39)</f>
        <v>0.79313928975467152</v>
      </c>
      <c r="BF39" s="354">
        <f>BF38/AV2</f>
        <v>16.953764194835678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1.2299999968989515</v>
      </c>
      <c r="BV39" s="42">
        <f t="shared" ref="BV39:CA39" si="44">(SUMPRODUCT(BN7:BN37,BV7:BV37))/BN38</f>
        <v>3.0672634775210384E-9</v>
      </c>
      <c r="BW39" s="42">
        <f t="shared" si="44"/>
        <v>3.3353344853207549E-9</v>
      </c>
      <c r="BX39" s="42">
        <f>(SUMPRODUCT(BP7:BP37,BX7:BX37))/BP38</f>
        <v>1.5759695107472489</v>
      </c>
      <c r="BY39" s="42">
        <f t="shared" si="44"/>
        <v>9.9999999999999982E-8</v>
      </c>
      <c r="BZ39" s="46">
        <f t="shared" si="44"/>
        <v>9.9999999999999982E-8</v>
      </c>
      <c r="CA39" s="240">
        <f t="shared" si="44"/>
        <v>9.9999999999999982E-8</v>
      </c>
      <c r="CB39" s="41">
        <f t="shared" ref="CB39:CH39" si="45">(SUMPRODUCT(BM7:BM37,CB7:CB37))/BM38</f>
        <v>39.039999901573211</v>
      </c>
      <c r="CC39" s="42">
        <f t="shared" si="45"/>
        <v>43.607877030017676</v>
      </c>
      <c r="CD39" s="42">
        <f>(SUMPRODUCT(BO7:BO37,CD7:CD37))/BO38</f>
        <v>43.554654317825623</v>
      </c>
      <c r="CE39" s="42">
        <f t="shared" si="45"/>
        <v>38.097820156326968</v>
      </c>
      <c r="CF39" s="42">
        <f t="shared" si="45"/>
        <v>9.9999999999999982E-8</v>
      </c>
      <c r="CG39" s="46">
        <f t="shared" si="45"/>
        <v>9.9999999999999982E-8</v>
      </c>
      <c r="CH39" s="240">
        <f t="shared" si="45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6.2066311643511809E-18</v>
      </c>
      <c r="CP39" s="46">
        <f>(SUMPRODUCT(CL7:CL37,CP7:CP37))/CL38</f>
        <v>3.1358299939441408E-9</v>
      </c>
      <c r="CQ39" s="44">
        <f>(SUMPRODUCT(CM7:CM37,CQ7:CQ37))/CM38</f>
        <v>5.1264827025402616E-9</v>
      </c>
      <c r="CR39" s="44" t="e">
        <f>(SUMPRODUCT(O7:O37,CR7:CR37))/O38</f>
        <v>#DIV/0!</v>
      </c>
      <c r="CT39" s="667">
        <f>CT38+CU38</f>
        <v>840.77013287541308</v>
      </c>
      <c r="CU39" s="667"/>
      <c r="CV39" s="668">
        <f>CV38+CW38+CZ38+CY38+CX38</f>
        <v>15331.560254344773</v>
      </c>
      <c r="CW39" s="668"/>
      <c r="CX39" s="668"/>
      <c r="CY39" s="668"/>
      <c r="CZ39" s="668"/>
      <c r="DA39" s="669">
        <f>DA38+DB38+DD38+DC38</f>
        <v>9620.6849998812686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20" ht="16.5" customHeight="1" thickBot="1">
      <c r="A40" s="57" t="s">
        <v>60</v>
      </c>
      <c r="B40" s="85"/>
      <c r="C40" s="86"/>
      <c r="D40" s="87"/>
      <c r="E40" s="365">
        <v>39.299999999999997</v>
      </c>
      <c r="F40" s="366">
        <v>2.16</v>
      </c>
      <c r="G40" s="366"/>
      <c r="H40" s="366">
        <v>1.7604</v>
      </c>
      <c r="I40" s="366"/>
      <c r="J40" s="570">
        <v>8.8930000000000007</v>
      </c>
      <c r="K40" s="366">
        <v>23.481999999999999</v>
      </c>
      <c r="L40" s="366"/>
      <c r="M40" s="366">
        <v>0.39960000000000001</v>
      </c>
      <c r="N40" s="365"/>
      <c r="O40" s="366"/>
      <c r="P40" s="366"/>
      <c r="Q40" s="366"/>
      <c r="R40" s="367"/>
      <c r="S40" s="368"/>
      <c r="T40" s="367"/>
      <c r="U40" s="450">
        <v>20.231999999999999</v>
      </c>
      <c r="V40" s="367"/>
      <c r="W40" s="369">
        <v>1.3</v>
      </c>
      <c r="X40" s="484"/>
      <c r="Y40" s="370">
        <v>6670</v>
      </c>
      <c r="Z40" s="370">
        <v>6670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625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6670</v>
      </c>
      <c r="AW40" s="379">
        <v>80.040000000000006</v>
      </c>
      <c r="AX40" s="380"/>
      <c r="AY40" s="381"/>
      <c r="AZ40" s="382"/>
      <c r="BA40" s="365">
        <v>222.33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16172.330387220187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20" ht="16.5" customHeight="1" thickBot="1">
      <c r="A41" s="58" t="s">
        <v>61</v>
      </c>
      <c r="B41" s="88"/>
      <c r="C41" s="88"/>
      <c r="D41" s="88"/>
      <c r="E41" s="384"/>
      <c r="F41" s="385">
        <f>F39-F40</f>
        <v>0.22701438558884846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2.8910074572781164</v>
      </c>
      <c r="T41" s="386"/>
      <c r="U41" s="388"/>
      <c r="V41" s="388"/>
      <c r="W41" s="385">
        <f>W39-W40</f>
        <v>0.12000026865909108</v>
      </c>
      <c r="X41" s="385"/>
      <c r="Y41" s="385"/>
      <c r="Z41" s="385"/>
      <c r="AA41" s="385"/>
      <c r="AB41" s="385"/>
      <c r="AC41" s="389">
        <f>AC39-AC40</f>
        <v>-25.599999999999909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2157.6499999999996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20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20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222.33333333333334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30</v>
      </c>
    </row>
    <row r="44" spans="1:120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0.1968815030047634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V44" s="247"/>
    </row>
    <row r="45" spans="1:120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60.463356164383562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29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20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230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20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20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105.12900000000172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1.5761469265367576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'[4]ноябрь 20'!$G$38</f>
        <v>1738.0009999999995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'[4]ноябрь 20'!$C$38</f>
        <v>1738.0000000000002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-9.9999999929423211E-4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162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M88"/>
  <sheetViews>
    <sheetView showZeros="0" zoomScale="92" zoomScaleNormal="92" workbookViewId="0">
      <pane xSplit="1" ySplit="6" topLeftCell="Y28" activePane="bottomRight" state="frozen"/>
      <selection pane="topRight" activeCell="B1" sqref="B1"/>
      <selection pane="bottomLeft" activeCell="A7" sqref="A7"/>
      <selection pane="bottomRight" activeCell="BA5" sqref="BA5:BA6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9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7.2851562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9.140625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1.42578125" customWidth="1"/>
    <col min="66" max="66" width="12.42578125" customWidth="1"/>
    <col min="67" max="67" width="10.7109375" customWidth="1"/>
    <col min="68" max="69" width="11.140625" customWidth="1"/>
    <col min="70" max="70" width="10.42578125" customWidth="1"/>
    <col min="71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490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626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479</v>
      </c>
      <c r="BP6" s="396" t="s">
        <v>99</v>
      </c>
      <c r="BQ6" s="232" t="s">
        <v>296</v>
      </c>
      <c r="BR6" s="624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624" t="s">
        <v>147</v>
      </c>
      <c r="CA6" s="398" t="s">
        <v>96</v>
      </c>
      <c r="CB6" s="226" t="s">
        <v>384</v>
      </c>
      <c r="CC6" s="481" t="s">
        <v>455</v>
      </c>
      <c r="CD6" s="232" t="s">
        <v>479</v>
      </c>
      <c r="CE6" s="396" t="s">
        <v>99</v>
      </c>
      <c r="CF6" s="232" t="s">
        <v>296</v>
      </c>
      <c r="CG6" s="624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480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'[1]декабрь 20'!K6</f>
        <v>234.05199999999999</v>
      </c>
      <c r="C7" s="104">
        <f t="shared" ref="C7:C13" si="0">IF(B7=0,0,(BM7*BU7+BN7*BV7+BP7*BX7+BS7*CA7+BO7*BW7+BR7*BZ7+BQ7*BY7)/B7)</f>
        <v>1.2614279144809701</v>
      </c>
      <c r="D7" s="447">
        <f t="shared" ref="D7:D13" si="1">B7*((100-C7)/100)</f>
        <v>231.09960273759899</v>
      </c>
      <c r="E7" s="104">
        <f t="shared" ref="E7:E13" si="2">IF(B7=0,0,(BM7*CB7+BN7*CC7+BP7*CE7+BS7*CH7+BO7*CD7+BR7*CG7+BQ7*CF7)/B7)</f>
        <v>38.151566190419224</v>
      </c>
      <c r="F7" s="103">
        <f t="shared" ref="F7:F13" si="3">IF(BA7=0,0,D7/BA7)</f>
        <v>1.9346973858317207</v>
      </c>
      <c r="G7" s="106"/>
      <c r="H7" s="107">
        <f t="shared" ref="H7:H13" si="4">IF(BA7=0,0,(CZ7+CW7+CY7+CT7+CX7)/BA7)</f>
        <v>1.4122947107576396</v>
      </c>
      <c r="I7" s="103">
        <f>'[1]сентябрь 20'!AE6</f>
        <v>0</v>
      </c>
      <c r="J7" s="103">
        <f>'[1]декабрь 20'!AA6</f>
        <v>8.6050000000000004</v>
      </c>
      <c r="K7" s="106"/>
      <c r="L7" s="103">
        <f>'[1]декабрь 20'!AI6</f>
        <v>62.401000000000003</v>
      </c>
      <c r="M7" s="103">
        <f t="shared" ref="M7:M13" si="5">IF(BA7=0,0,(CV7+CU7)/BA7)</f>
        <v>0.52240267842276278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'[1]декабрь 20'!S6</f>
        <v>149.62700000000001</v>
      </c>
      <c r="S7" s="108">
        <f t="shared" ref="S7:S13" si="6">IF(R7=0,0,(1-(V7/R7))*100)</f>
        <v>3.0522564777747507</v>
      </c>
      <c r="T7" s="109">
        <f t="shared" ref="T7:T13" si="7">R7*((100-S7)/100)</f>
        <v>145.06000019999999</v>
      </c>
      <c r="U7" s="106">
        <v>45.72</v>
      </c>
      <c r="V7" s="109">
        <f t="shared" ref="V7:V13" si="8">CJ7+CK7+CM7+CL7</f>
        <v>145.06000019999999</v>
      </c>
      <c r="W7" s="110">
        <f t="shared" ref="W7:W13" si="9">IF(BA7=0,0,T7/BA7)</f>
        <v>1.2143993319380495</v>
      </c>
      <c r="X7" s="110">
        <f>Q7+W7</f>
        <v>1.2143993319380495</v>
      </c>
      <c r="Y7" s="136">
        <v>96.38</v>
      </c>
      <c r="Z7" s="111">
        <v>96.38</v>
      </c>
      <c r="AA7" s="106">
        <v>0.76</v>
      </c>
      <c r="AB7" s="112">
        <v>619</v>
      </c>
      <c r="AC7" s="112">
        <v>1143</v>
      </c>
      <c r="AD7" s="113" t="s">
        <v>495</v>
      </c>
      <c r="AE7" s="106">
        <v>75.62</v>
      </c>
      <c r="AF7" s="112">
        <v>80</v>
      </c>
      <c r="AG7" s="114">
        <v>3</v>
      </c>
      <c r="AH7" s="106">
        <v>10.9</v>
      </c>
      <c r="AI7" s="115">
        <f t="shared" ref="AI7:AI37" si="10">IF(BA7=0,0,AH7/BA7*1000)</f>
        <v>91.251569694432831</v>
      </c>
      <c r="AJ7" s="106">
        <v>68.45</v>
      </c>
      <c r="AK7" s="115">
        <f t="shared" ref="AK7:AK13" si="11">IF(BA7=0,0,AJ7/BA7*1000)</f>
        <v>573.0431142737549</v>
      </c>
      <c r="AL7" s="106">
        <v>22.02</v>
      </c>
      <c r="AM7" s="116"/>
      <c r="AN7" s="117">
        <v>10.94</v>
      </c>
      <c r="AO7" s="466">
        <v>41.27</v>
      </c>
      <c r="AP7" s="110">
        <f t="shared" ref="AP7:AP13" si="12">IF(AO7=0,0,AO7/AV7)</f>
        <v>0.25057680631451129</v>
      </c>
      <c r="AQ7" s="119" t="s">
        <v>315</v>
      </c>
      <c r="AR7" s="403">
        <v>7.22</v>
      </c>
      <c r="AS7" s="120">
        <v>8.74</v>
      </c>
      <c r="AT7" s="106"/>
      <c r="AU7" s="106">
        <v>8.07</v>
      </c>
      <c r="AV7" s="314">
        <v>164.7</v>
      </c>
      <c r="AW7" s="121">
        <v>6.96</v>
      </c>
      <c r="AX7" s="122"/>
      <c r="AY7" s="123"/>
      <c r="AZ7" s="124"/>
      <c r="BA7" s="109">
        <f t="shared" ref="BA7:BA13" si="13">AV7-AO7-AN7+AY7+AW7</f>
        <v>119.44999999999997</v>
      </c>
      <c r="BB7" s="115">
        <f>IF(AE7=0,0,((D7*0.97)*(E7/100)*0.9)/(AE7/100))</f>
        <v>101.78625618935945</v>
      </c>
      <c r="BC7" s="125">
        <f t="shared" ref="BC7:BC13" si="14">(AJ7*AU7)/100*(55/71)</f>
        <v>4.2790890845070422</v>
      </c>
      <c r="BD7" s="115">
        <f t="shared" ref="BD7:BD13" si="15">BA7*$BD$6</f>
        <v>4.7779999999999987</v>
      </c>
      <c r="BE7" s="103">
        <f t="shared" ref="BE7:BE13" si="16">IF((D7*E7)=0,0,(BA7*AE7)/(D7*E7))</f>
        <v>1.0244983350797532</v>
      </c>
      <c r="BF7" s="115">
        <f t="shared" ref="BF7:BF13" si="17">BC7+BD7</f>
        <v>9.0570890845070409</v>
      </c>
      <c r="BG7" s="533">
        <v>1.024</v>
      </c>
      <c r="BH7" s="16">
        <f>BA7</f>
        <v>119.44999999999997</v>
      </c>
      <c r="BI7" s="16">
        <f t="shared" ref="BI7:BI38" si="18">IF(A7&lt;=$BG$43,$AV$43,0)</f>
        <v>225.16129032258064</v>
      </c>
      <c r="BJ7" s="16">
        <f>BI7</f>
        <v>225.16129032258064</v>
      </c>
      <c r="BK7" s="17">
        <f t="shared" ref="BK7:BK13" si="19">IF(BA7&lt;&gt;0,1,0)</f>
        <v>1</v>
      </c>
      <c r="BL7" s="16">
        <f>BI7*BK7</f>
        <v>225.16129032258064</v>
      </c>
      <c r="BM7" s="336">
        <v>171.65100000000001</v>
      </c>
      <c r="BN7" s="336">
        <v>15.61</v>
      </c>
      <c r="BO7" s="336">
        <v>46.790999999999997</v>
      </c>
      <c r="BP7" s="336">
        <v>9.9999999999999995E-8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1.72</v>
      </c>
      <c r="BV7" s="336">
        <v>9.9999999999999995E-8</v>
      </c>
      <c r="BW7" s="336">
        <v>9.9999999999999995E-8</v>
      </c>
      <c r="BX7" s="336">
        <v>9.9999999999999995E-8</v>
      </c>
      <c r="BY7" s="336">
        <v>9.9999999999999995E-8</v>
      </c>
      <c r="BZ7" s="336">
        <v>9.9999999999999995E-8</v>
      </c>
      <c r="CA7" s="336">
        <v>9.9999999999999995E-8</v>
      </c>
      <c r="CB7" s="336">
        <v>36.08</v>
      </c>
      <c r="CC7" s="336">
        <v>43.73</v>
      </c>
      <c r="CD7" s="336">
        <v>43.89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73.08</v>
      </c>
      <c r="CM7" s="336">
        <v>71.98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168.6986028</v>
      </c>
      <c r="CU7" s="22">
        <f t="shared" si="20"/>
        <v>15.609999984389999</v>
      </c>
      <c r="CV7" s="22">
        <f t="shared" si="20"/>
        <v>46.790999953208996</v>
      </c>
      <c r="CW7" s="27">
        <f t="shared" si="20"/>
        <v>9.99999999E-8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73.079999926919996</v>
      </c>
      <c r="DD7" s="279">
        <f t="shared" si="21"/>
        <v>71.979999928020007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02"/>
    </row>
    <row r="8" spans="1:117" ht="16.5" customHeight="1" thickBot="1">
      <c r="A8" s="534">
        <v>2</v>
      </c>
      <c r="B8" s="103">
        <f>'[1]декабрь 20'!K7</f>
        <v>516.28200000000004</v>
      </c>
      <c r="C8" s="104">
        <f t="shared" si="0"/>
        <v>0.82893631774882715</v>
      </c>
      <c r="D8" s="447">
        <f t="shared" si="1"/>
        <v>512.00235099999998</v>
      </c>
      <c r="E8" s="104">
        <f t="shared" si="2"/>
        <v>39.131123726955416</v>
      </c>
      <c r="F8" s="128">
        <f t="shared" si="3"/>
        <v>2.7157606269559218</v>
      </c>
      <c r="G8" s="106"/>
      <c r="H8" s="107">
        <f t="shared" si="4"/>
        <v>1.9861579112077654</v>
      </c>
      <c r="I8" s="103">
        <f>'[1]сентябрь 20'!AE7</f>
        <v>0</v>
      </c>
      <c r="J8" s="103">
        <f>'[1]декабрь 20'!AA7</f>
        <v>18.905000000000001</v>
      </c>
      <c r="K8" s="106">
        <v>54.04</v>
      </c>
      <c r="L8" s="103">
        <f>'[1]декабрь 20'!AI7</f>
        <v>137.55199999999999</v>
      </c>
      <c r="M8" s="103">
        <f t="shared" si="5"/>
        <v>0.72960271574815672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'[1]декабрь 20'!S7</f>
        <v>319.42599999999999</v>
      </c>
      <c r="S8" s="108">
        <f t="shared" si="6"/>
        <v>3.0197917514541706</v>
      </c>
      <c r="T8" s="109">
        <f t="shared" si="7"/>
        <v>309.78000000000003</v>
      </c>
      <c r="U8" s="106">
        <v>26.92</v>
      </c>
      <c r="V8" s="109">
        <f t="shared" si="8"/>
        <v>309.77999999999997</v>
      </c>
      <c r="W8" s="110">
        <f t="shared" si="9"/>
        <v>1.6431337187715485</v>
      </c>
      <c r="X8" s="110">
        <f t="shared" ref="X8:X37" si="26">Q8+W8</f>
        <v>1.6431337187715485</v>
      </c>
      <c r="Y8" s="136">
        <v>188.53</v>
      </c>
      <c r="Z8" s="130">
        <v>188.53</v>
      </c>
      <c r="AA8" s="131">
        <v>0.36</v>
      </c>
      <c r="AB8" s="112">
        <v>610</v>
      </c>
      <c r="AC8" s="112">
        <v>1143</v>
      </c>
      <c r="AD8" s="132" t="s">
        <v>207</v>
      </c>
      <c r="AE8" s="131">
        <v>76.430000000000007</v>
      </c>
      <c r="AF8" s="133">
        <v>172</v>
      </c>
      <c r="AG8" s="134">
        <v>4</v>
      </c>
      <c r="AH8" s="131">
        <v>16.149999999999999</v>
      </c>
      <c r="AI8" s="115">
        <f t="shared" si="10"/>
        <v>85.662759242560853</v>
      </c>
      <c r="AJ8" s="131">
        <v>137.75</v>
      </c>
      <c r="AK8" s="115">
        <f t="shared" si="11"/>
        <v>730.65294648066629</v>
      </c>
      <c r="AL8" s="131">
        <v>30.79</v>
      </c>
      <c r="AM8" s="116"/>
      <c r="AN8" s="135">
        <v>15.98</v>
      </c>
      <c r="AO8" s="466">
        <v>64.98</v>
      </c>
      <c r="AP8" s="110">
        <f t="shared" si="12"/>
        <v>0.2440105144573789</v>
      </c>
      <c r="AQ8" s="137" t="s">
        <v>212</v>
      </c>
      <c r="AR8" s="150">
        <v>7.49</v>
      </c>
      <c r="AS8" s="138">
        <v>7.16</v>
      </c>
      <c r="AT8" s="131"/>
      <c r="AU8" s="131">
        <v>7.98</v>
      </c>
      <c r="AV8" s="315">
        <v>266.3</v>
      </c>
      <c r="AW8" s="131">
        <v>3.19</v>
      </c>
      <c r="AX8" s="116"/>
      <c r="AY8" s="131"/>
      <c r="AZ8" s="109"/>
      <c r="BA8" s="109">
        <f t="shared" si="13"/>
        <v>188.53</v>
      </c>
      <c r="BB8" s="115">
        <f t="shared" ref="BB8:BB9" si="27">IF(AE8=0,0,((D8*0.97)*(E8/100)*0.9)/(AE8/100))</f>
        <v>228.84670250684249</v>
      </c>
      <c r="BC8" s="140">
        <f t="shared" si="14"/>
        <v>8.5152781690140849</v>
      </c>
      <c r="BD8" s="141">
        <f t="shared" si="15"/>
        <v>7.5411999999999999</v>
      </c>
      <c r="BE8" s="128">
        <f t="shared" si="16"/>
        <v>0.71920061856726492</v>
      </c>
      <c r="BF8" s="141">
        <f t="shared" si="17"/>
        <v>16.056478169014085</v>
      </c>
      <c r="BG8" s="535">
        <v>0.81299999999999994</v>
      </c>
      <c r="BH8" s="16">
        <f t="shared" ref="BH8:BH13" si="28">BH7+BA8</f>
        <v>307.97999999999996</v>
      </c>
      <c r="BI8" s="16">
        <f t="shared" si="18"/>
        <v>225.16129032258064</v>
      </c>
      <c r="BJ8" s="16">
        <f t="shared" ref="BJ8:BJ13" si="29">BI8+BJ7</f>
        <v>450.32258064516128</v>
      </c>
      <c r="BK8" s="17">
        <f t="shared" si="19"/>
        <v>1</v>
      </c>
      <c r="BL8" s="16">
        <f t="shared" ref="BL8:BL13" si="30">BL7+BI8*BK8</f>
        <v>450.32258064516128</v>
      </c>
      <c r="BM8" s="249">
        <v>378.73</v>
      </c>
      <c r="BN8" s="195">
        <v>34.396999999999998</v>
      </c>
      <c r="BO8" s="197">
        <v>103.155</v>
      </c>
      <c r="BP8" s="197"/>
      <c r="BQ8" s="230"/>
      <c r="BR8" s="230"/>
      <c r="BS8" s="250"/>
      <c r="BT8" s="199"/>
      <c r="BU8" s="200">
        <v>1.1299999999999999</v>
      </c>
      <c r="BV8" s="200"/>
      <c r="BW8" s="200"/>
      <c r="BX8" s="200"/>
      <c r="BY8" s="208"/>
      <c r="BZ8" s="208"/>
      <c r="CA8" s="198"/>
      <c r="CB8" s="202">
        <v>37.409999999999997</v>
      </c>
      <c r="CC8" s="200">
        <v>43.81</v>
      </c>
      <c r="CD8" s="200">
        <v>43.89</v>
      </c>
      <c r="CE8" s="200"/>
      <c r="CF8" s="197"/>
      <c r="CG8" s="197"/>
      <c r="CH8" s="197"/>
      <c r="CI8" s="203"/>
      <c r="CJ8" s="204"/>
      <c r="CK8" s="197"/>
      <c r="CL8" s="197">
        <v>147.91999999999999</v>
      </c>
      <c r="CM8" s="198">
        <v>161.86000000000001</v>
      </c>
      <c r="CN8" s="205"/>
      <c r="CO8" s="206"/>
      <c r="CP8" s="269"/>
      <c r="CQ8" s="207"/>
      <c r="CR8" s="207"/>
      <c r="CS8" s="284"/>
      <c r="CT8" s="286">
        <f t="shared" si="20"/>
        <v>374.45035100000001</v>
      </c>
      <c r="CU8" s="24">
        <f t="shared" si="20"/>
        <v>34.396999999999998</v>
      </c>
      <c r="CV8" s="25">
        <f t="shared" si="20"/>
        <v>103.155</v>
      </c>
      <c r="CW8" s="24">
        <f t="shared" si="20"/>
        <v>0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147.91999999999999</v>
      </c>
      <c r="DD8" s="280">
        <f t="shared" si="21"/>
        <v>161.86000000000001</v>
      </c>
      <c r="DE8" s="508">
        <f t="shared" ref="DE8:DE37" si="31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9" si="32">IF(I8=0,0,(DJ8*DI8%)/(AE8/100))</f>
        <v>0</v>
      </c>
      <c r="DM8" s="402"/>
    </row>
    <row r="9" spans="1:117" ht="16.5" customHeight="1" thickBot="1">
      <c r="A9" s="534">
        <v>3</v>
      </c>
      <c r="B9" s="103">
        <f>'[1]декабрь 20'!K8</f>
        <v>483.62700000000001</v>
      </c>
      <c r="C9" s="104">
        <f t="shared" si="0"/>
        <v>0.55127029715049003</v>
      </c>
      <c r="D9" s="448">
        <f t="shared" si="1"/>
        <v>480.96090799999996</v>
      </c>
      <c r="E9" s="104">
        <f t="shared" si="2"/>
        <v>39.185714383192</v>
      </c>
      <c r="F9" s="128">
        <f t="shared" si="3"/>
        <v>2.2925826207159541</v>
      </c>
      <c r="G9" s="106"/>
      <c r="H9" s="107">
        <f t="shared" si="4"/>
        <v>1.595947890747891</v>
      </c>
      <c r="I9" s="103">
        <f>'[1]сентябрь 20'!AE8</f>
        <v>0</v>
      </c>
      <c r="J9" s="103">
        <f>'[1]декабрь 20'!AA8</f>
        <v>16.655000000000001</v>
      </c>
      <c r="K9" s="106">
        <v>28.97</v>
      </c>
      <c r="L9" s="103">
        <f>'[1]декабрь 20'!AI8</f>
        <v>146.14699999999999</v>
      </c>
      <c r="M9" s="103">
        <f t="shared" si="5"/>
        <v>0.6966347299680633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'[1]декабрь 20'!S8</f>
        <v>305.14</v>
      </c>
      <c r="S9" s="108">
        <f t="shared" si="6"/>
        <v>2.9887920298879211</v>
      </c>
      <c r="T9" s="109">
        <f t="shared" si="7"/>
        <v>296.02</v>
      </c>
      <c r="U9" s="106">
        <v>2.23</v>
      </c>
      <c r="V9" s="109">
        <f t="shared" si="8"/>
        <v>296.02</v>
      </c>
      <c r="W9" s="110">
        <f t="shared" si="9"/>
        <v>1.4110300776967444</v>
      </c>
      <c r="X9" s="110">
        <f t="shared" si="26"/>
        <v>1.4110300776967444</v>
      </c>
      <c r="Y9" s="136">
        <v>209.79</v>
      </c>
      <c r="Z9" s="130">
        <v>209.79</v>
      </c>
      <c r="AA9" s="131">
        <v>0.35</v>
      </c>
      <c r="AB9" s="112">
        <v>611</v>
      </c>
      <c r="AC9" s="112">
        <v>1176</v>
      </c>
      <c r="AD9" s="144" t="s">
        <v>443</v>
      </c>
      <c r="AE9" s="131">
        <v>76.53</v>
      </c>
      <c r="AF9" s="133">
        <v>162</v>
      </c>
      <c r="AG9" s="134">
        <v>5</v>
      </c>
      <c r="AH9" s="131">
        <v>13.4</v>
      </c>
      <c r="AI9" s="115">
        <f t="shared" si="10"/>
        <v>63.873397206730544</v>
      </c>
      <c r="AJ9" s="131">
        <v>135.55000000000001</v>
      </c>
      <c r="AK9" s="115">
        <f t="shared" si="11"/>
        <v>646.12231278897957</v>
      </c>
      <c r="AL9" s="131">
        <v>40.72</v>
      </c>
      <c r="AM9" s="116"/>
      <c r="AN9" s="135">
        <v>14.69</v>
      </c>
      <c r="AO9" s="466">
        <v>59.98</v>
      </c>
      <c r="AP9" s="110">
        <f t="shared" si="12"/>
        <v>0.21482808022922636</v>
      </c>
      <c r="AQ9" s="137" t="s">
        <v>496</v>
      </c>
      <c r="AR9" s="150">
        <v>7.4</v>
      </c>
      <c r="AS9" s="131">
        <v>7.3</v>
      </c>
      <c r="AT9" s="131"/>
      <c r="AU9" s="131">
        <v>8.48</v>
      </c>
      <c r="AV9" s="315">
        <v>279.2</v>
      </c>
      <c r="AW9" s="131">
        <v>5.26</v>
      </c>
      <c r="AX9" s="116"/>
      <c r="AY9" s="131"/>
      <c r="AZ9" s="109"/>
      <c r="BA9" s="109">
        <f t="shared" si="13"/>
        <v>209.79</v>
      </c>
      <c r="BB9" s="115">
        <f t="shared" si="27"/>
        <v>214.99090004614999</v>
      </c>
      <c r="BC9" s="140">
        <f t="shared" si="14"/>
        <v>8.9042985915492974</v>
      </c>
      <c r="BD9" s="141">
        <f t="shared" si="15"/>
        <v>8.3916000000000004</v>
      </c>
      <c r="BE9" s="128">
        <f t="shared" si="16"/>
        <v>0.85188103292132689</v>
      </c>
      <c r="BF9" s="141">
        <f t="shared" si="17"/>
        <v>17.295898591549296</v>
      </c>
      <c r="BG9" s="535">
        <v>0.82799999999999996</v>
      </c>
      <c r="BH9" s="16">
        <f t="shared" si="28"/>
        <v>517.77</v>
      </c>
      <c r="BI9" s="16">
        <f t="shared" si="18"/>
        <v>225.16129032258064</v>
      </c>
      <c r="BJ9" s="16">
        <f t="shared" si="29"/>
        <v>675.48387096774195</v>
      </c>
      <c r="BK9" s="17">
        <f t="shared" si="19"/>
        <v>1</v>
      </c>
      <c r="BL9" s="16">
        <f t="shared" si="30"/>
        <v>675.48387096774195</v>
      </c>
      <c r="BM9" s="249">
        <v>337.48</v>
      </c>
      <c r="BN9" s="195">
        <v>49.588999999999999</v>
      </c>
      <c r="BO9" s="197">
        <v>96.558000000000007</v>
      </c>
      <c r="BP9" s="197"/>
      <c r="BQ9" s="230"/>
      <c r="BR9" s="230"/>
      <c r="BS9" s="250"/>
      <c r="BT9" s="199"/>
      <c r="BU9" s="200">
        <v>0.79</v>
      </c>
      <c r="BV9" s="200"/>
      <c r="BW9" s="200"/>
      <c r="BX9" s="200"/>
      <c r="BY9" s="208"/>
      <c r="BZ9" s="208"/>
      <c r="CA9" s="201"/>
      <c r="CB9" s="202">
        <v>37.33</v>
      </c>
      <c r="CC9" s="200">
        <v>43.57</v>
      </c>
      <c r="CD9" s="200">
        <v>43.42</v>
      </c>
      <c r="CE9" s="200"/>
      <c r="CF9" s="200"/>
      <c r="CG9" s="200"/>
      <c r="CH9" s="200"/>
      <c r="CI9" s="203"/>
      <c r="CJ9" s="204"/>
      <c r="CK9" s="197"/>
      <c r="CL9" s="197">
        <v>138.46</v>
      </c>
      <c r="CM9" s="198">
        <v>157.56</v>
      </c>
      <c r="CN9" s="202"/>
      <c r="CO9" s="208"/>
      <c r="CP9" s="208"/>
      <c r="CQ9" s="201"/>
      <c r="CR9" s="201"/>
      <c r="CS9" s="284"/>
      <c r="CT9" s="286">
        <f t="shared" si="20"/>
        <v>334.81390800000003</v>
      </c>
      <c r="CU9" s="27">
        <f t="shared" si="20"/>
        <v>49.588999999999999</v>
      </c>
      <c r="CV9" s="28">
        <f t="shared" si="20"/>
        <v>96.558000000000007</v>
      </c>
      <c r="CW9" s="27">
        <f t="shared" si="20"/>
        <v>0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138.46</v>
      </c>
      <c r="DD9" s="280">
        <f t="shared" si="21"/>
        <v>157.56</v>
      </c>
      <c r="DE9" s="508">
        <f t="shared" si="31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2"/>
        <v>0</v>
      </c>
      <c r="DM9" s="402"/>
    </row>
    <row r="10" spans="1:117" ht="16.5" customHeight="1" thickBot="1">
      <c r="A10" s="534">
        <v>4</v>
      </c>
      <c r="B10" s="103">
        <f>'[1]декабрь 20'!K9</f>
        <v>501.23500000000001</v>
      </c>
      <c r="C10" s="104">
        <f t="shared" si="0"/>
        <v>0.87464470757229629</v>
      </c>
      <c r="D10" s="448">
        <f t="shared" si="1"/>
        <v>496.85097459999997</v>
      </c>
      <c r="E10" s="104">
        <f t="shared" si="2"/>
        <v>39.480770157710452</v>
      </c>
      <c r="F10" s="128">
        <f t="shared" si="3"/>
        <v>2.1310357049110014</v>
      </c>
      <c r="G10" s="106"/>
      <c r="H10" s="107">
        <f t="shared" si="4"/>
        <v>1.3437657070555435</v>
      </c>
      <c r="I10" s="103">
        <f>'[1]сентябрь 20'!AE9</f>
        <v>0</v>
      </c>
      <c r="J10" s="103">
        <f>'[1]декабрь 20'!AA9</f>
        <v>15.167999999999999</v>
      </c>
      <c r="K10" s="106">
        <v>27.59</v>
      </c>
      <c r="L10" s="103">
        <f>'[1]декабрь 20'!AI9</f>
        <v>183.55199999999999</v>
      </c>
      <c r="M10" s="103">
        <f t="shared" si="5"/>
        <v>0.78726999785545781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'[1]декабрь 20'!S9</f>
        <v>314.80099999999999</v>
      </c>
      <c r="S10" s="108">
        <f t="shared" si="6"/>
        <v>3.1038656166911816</v>
      </c>
      <c r="T10" s="109">
        <f t="shared" si="7"/>
        <v>305.02999999999997</v>
      </c>
      <c r="U10" s="106">
        <v>59.86</v>
      </c>
      <c r="V10" s="109">
        <f t="shared" si="8"/>
        <v>305.02999999999997</v>
      </c>
      <c r="W10" s="110">
        <f t="shared" si="9"/>
        <v>1.3082993780827792</v>
      </c>
      <c r="X10" s="110">
        <f t="shared" si="26"/>
        <v>1.3082993780827792</v>
      </c>
      <c r="Y10" s="136">
        <v>90.27</v>
      </c>
      <c r="Z10" s="130">
        <v>233.15</v>
      </c>
      <c r="AA10" s="131">
        <v>0.37</v>
      </c>
      <c r="AB10" s="112">
        <v>667</v>
      </c>
      <c r="AC10" s="112">
        <v>1193</v>
      </c>
      <c r="AD10" s="144" t="s">
        <v>184</v>
      </c>
      <c r="AE10" s="131">
        <v>74.53</v>
      </c>
      <c r="AF10" s="133">
        <v>167</v>
      </c>
      <c r="AG10" s="134">
        <v>5</v>
      </c>
      <c r="AH10" s="131">
        <v>11.9</v>
      </c>
      <c r="AI10" s="115">
        <f t="shared" si="10"/>
        <v>51.040102938022734</v>
      </c>
      <c r="AJ10" s="131">
        <v>147.30000000000001</v>
      </c>
      <c r="AK10" s="115">
        <f t="shared" si="11"/>
        <v>631.78211451855043</v>
      </c>
      <c r="AL10" s="131">
        <v>35.21</v>
      </c>
      <c r="AM10" s="116"/>
      <c r="AN10" s="135">
        <v>15.16</v>
      </c>
      <c r="AO10" s="466">
        <v>64.33</v>
      </c>
      <c r="AP10" s="110">
        <f t="shared" si="12"/>
        <v>0.20839002267573697</v>
      </c>
      <c r="AQ10" s="137" t="s">
        <v>228</v>
      </c>
      <c r="AR10" s="150">
        <v>7.69</v>
      </c>
      <c r="AS10" s="138">
        <v>7.19</v>
      </c>
      <c r="AT10" s="131"/>
      <c r="AU10" s="131">
        <v>7.56</v>
      </c>
      <c r="AV10" s="315">
        <v>308.7</v>
      </c>
      <c r="AW10" s="131">
        <v>3.94</v>
      </c>
      <c r="AX10" s="116"/>
      <c r="AY10" s="131"/>
      <c r="AZ10" s="109"/>
      <c r="BA10" s="109">
        <f t="shared" si="13"/>
        <v>233.15</v>
      </c>
      <c r="BB10" s="115">
        <f>IF(AE10=0,0,((D10*0.97)*(E10/100)*0.9)/(AE10/100))</f>
        <v>229.77082545556519</v>
      </c>
      <c r="BC10" s="140">
        <f t="shared" si="14"/>
        <v>8.626385915492957</v>
      </c>
      <c r="BD10" s="141">
        <f t="shared" si="15"/>
        <v>9.3260000000000005</v>
      </c>
      <c r="BE10" s="128">
        <f t="shared" si="16"/>
        <v>0.88583896409147089</v>
      </c>
      <c r="BF10" s="141">
        <f t="shared" si="17"/>
        <v>17.952385915492957</v>
      </c>
      <c r="BG10" s="535">
        <v>0.84499999999999997</v>
      </c>
      <c r="BH10" s="16">
        <f t="shared" si="28"/>
        <v>750.92</v>
      </c>
      <c r="BI10" s="16">
        <f t="shared" si="18"/>
        <v>225.16129032258064</v>
      </c>
      <c r="BJ10" s="16">
        <f t="shared" si="29"/>
        <v>900.64516129032256</v>
      </c>
      <c r="BK10" s="17">
        <f t="shared" si="19"/>
        <v>1</v>
      </c>
      <c r="BL10" s="16">
        <f t="shared" si="30"/>
        <v>900.64516129032256</v>
      </c>
      <c r="BM10" s="249">
        <v>317.68299999999999</v>
      </c>
      <c r="BN10" s="195">
        <v>83.522999999999996</v>
      </c>
      <c r="BO10" s="197">
        <v>100.029</v>
      </c>
      <c r="BP10" s="195"/>
      <c r="BQ10" s="195"/>
      <c r="BR10" s="230"/>
      <c r="BS10" s="250"/>
      <c r="BT10" s="199"/>
      <c r="BU10" s="200">
        <v>1.38</v>
      </c>
      <c r="BV10" s="200"/>
      <c r="BW10" s="200"/>
      <c r="BX10" s="200"/>
      <c r="BY10" s="208"/>
      <c r="BZ10" s="208"/>
      <c r="CA10" s="201"/>
      <c r="CB10" s="202">
        <v>36.86</v>
      </c>
      <c r="CC10" s="200">
        <v>44.36</v>
      </c>
      <c r="CD10" s="200">
        <v>43.73</v>
      </c>
      <c r="CE10" s="200"/>
      <c r="CF10" s="200"/>
      <c r="CG10" s="200"/>
      <c r="CH10" s="200"/>
      <c r="CI10" s="203"/>
      <c r="CJ10" s="204"/>
      <c r="CK10" s="197"/>
      <c r="CL10" s="197">
        <v>143.62</v>
      </c>
      <c r="CM10" s="198">
        <v>161.41</v>
      </c>
      <c r="CN10" s="202"/>
      <c r="CO10" s="208"/>
      <c r="CP10" s="208"/>
      <c r="CQ10" s="201"/>
      <c r="CR10" s="201"/>
      <c r="CS10" s="284"/>
      <c r="CT10" s="286">
        <f t="shared" si="20"/>
        <v>313.29897460000001</v>
      </c>
      <c r="CU10" s="29">
        <f t="shared" si="20"/>
        <v>83.522999999999996</v>
      </c>
      <c r="CV10" s="30">
        <f t="shared" si="20"/>
        <v>100.029</v>
      </c>
      <c r="CW10" s="29">
        <f t="shared" si="20"/>
        <v>0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143.62</v>
      </c>
      <c r="DD10" s="280">
        <f t="shared" si="21"/>
        <v>161.41</v>
      </c>
      <c r="DE10" s="508">
        <f t="shared" si="31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ref="DK10:DK37" si="33">IF(I10=0,0,(DJ10*DI10%)/(AE10/100))</f>
        <v>0</v>
      </c>
      <c r="DM10" s="402"/>
    </row>
    <row r="11" spans="1:117" ht="16.5" customHeight="1" thickBot="1">
      <c r="A11" s="534">
        <v>5</v>
      </c>
      <c r="B11" s="103">
        <f>'[1]декабрь 20'!K10</f>
        <v>504.40699999999998</v>
      </c>
      <c r="C11" s="104">
        <f t="shared" si="0"/>
        <v>0.99140440160426013</v>
      </c>
      <c r="D11" s="448">
        <f t="shared" si="1"/>
        <v>499.40628679999998</v>
      </c>
      <c r="E11" s="104">
        <f t="shared" si="2"/>
        <v>39.16645851465185</v>
      </c>
      <c r="F11" s="128">
        <f t="shared" si="3"/>
        <v>2.1490007607900514</v>
      </c>
      <c r="G11" s="106"/>
      <c r="H11" s="107">
        <f>IF(BA11=0,0,(CZ11+CW11+CY11+CT11+CX11)/BA11)</f>
        <v>1.3067915435259692</v>
      </c>
      <c r="I11" s="103">
        <f>'[1]сентябрь 20'!AE10</f>
        <v>0</v>
      </c>
      <c r="J11" s="103">
        <f>'[1]декабрь 20'!AA10</f>
        <v>16.815000000000001</v>
      </c>
      <c r="K11" s="106">
        <v>22.58</v>
      </c>
      <c r="L11" s="103">
        <f>'[1]декабрь 20'!AI10</f>
        <v>195.721</v>
      </c>
      <c r="M11" s="103">
        <f t="shared" si="5"/>
        <v>0.84220921726408204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'[1]декабрь 20'!S10</f>
        <v>324.52699999999999</v>
      </c>
      <c r="S11" s="108">
        <f t="shared" si="6"/>
        <v>3.2068210041075074</v>
      </c>
      <c r="T11" s="109">
        <f t="shared" si="7"/>
        <v>314.12</v>
      </c>
      <c r="U11" s="106"/>
      <c r="V11" s="109">
        <f t="shared" si="8"/>
        <v>314.12</v>
      </c>
      <c r="W11" s="110">
        <f t="shared" si="9"/>
        <v>1.3516932742372736</v>
      </c>
      <c r="X11" s="110">
        <f t="shared" si="26"/>
        <v>1.3516932742372736</v>
      </c>
      <c r="Y11" s="136">
        <v>50.92</v>
      </c>
      <c r="Z11" s="130">
        <v>232.39</v>
      </c>
      <c r="AA11" s="131">
        <v>0.33</v>
      </c>
      <c r="AB11" s="112">
        <v>643</v>
      </c>
      <c r="AC11" s="112">
        <v>1217</v>
      </c>
      <c r="AD11" s="144" t="s">
        <v>497</v>
      </c>
      <c r="AE11" s="131">
        <v>74.41</v>
      </c>
      <c r="AF11" s="133">
        <v>169</v>
      </c>
      <c r="AG11" s="134">
        <v>5</v>
      </c>
      <c r="AH11" s="131">
        <v>7.25</v>
      </c>
      <c r="AI11" s="115">
        <f t="shared" si="10"/>
        <v>31.197555832867167</v>
      </c>
      <c r="AJ11" s="131">
        <v>145</v>
      </c>
      <c r="AK11" s="115">
        <f t="shared" si="11"/>
        <v>623.95111665734328</v>
      </c>
      <c r="AL11" s="131">
        <v>38.19</v>
      </c>
      <c r="AM11" s="116"/>
      <c r="AN11" s="135">
        <v>18.3</v>
      </c>
      <c r="AO11" s="466">
        <v>60.02</v>
      </c>
      <c r="AP11" s="110">
        <f t="shared" si="12"/>
        <v>0.19627207325049051</v>
      </c>
      <c r="AQ11" s="137" t="s">
        <v>270</v>
      </c>
      <c r="AR11" s="150">
        <v>7.59</v>
      </c>
      <c r="AS11" s="138">
        <v>6.83</v>
      </c>
      <c r="AT11" s="131"/>
      <c r="AU11" s="131">
        <v>8.64</v>
      </c>
      <c r="AV11" s="315">
        <v>305.8</v>
      </c>
      <c r="AW11" s="131">
        <v>4.91</v>
      </c>
      <c r="AX11" s="145"/>
      <c r="AY11" s="131"/>
      <c r="AZ11" s="109"/>
      <c r="BA11" s="109">
        <f t="shared" si="13"/>
        <v>232.39</v>
      </c>
      <c r="BB11" s="115">
        <f t="shared" ref="BB11:BB13" si="34">IF(AE11=0,0,((D11*0.97)*(E11/100)*0.9)/(AE11/100))</f>
        <v>229.48338544472711</v>
      </c>
      <c r="BC11" s="140">
        <f t="shared" si="14"/>
        <v>9.704788732394368</v>
      </c>
      <c r="BD11" s="141">
        <f t="shared" si="15"/>
        <v>9.2956000000000003</v>
      </c>
      <c r="BE11" s="128">
        <f t="shared" si="16"/>
        <v>0.8840573342895206</v>
      </c>
      <c r="BF11" s="141">
        <f t="shared" si="17"/>
        <v>19.00038873239437</v>
      </c>
      <c r="BG11" s="535">
        <v>0.85399999999999998</v>
      </c>
      <c r="BH11" s="16">
        <f t="shared" si="28"/>
        <v>983.31</v>
      </c>
      <c r="BI11" s="16">
        <f t="shared" si="18"/>
        <v>225.16129032258064</v>
      </c>
      <c r="BJ11" s="16">
        <f t="shared" si="29"/>
        <v>1125.8064516129032</v>
      </c>
      <c r="BK11" s="17">
        <f t="shared" si="19"/>
        <v>1</v>
      </c>
      <c r="BL11" s="16">
        <f t="shared" si="30"/>
        <v>1125.8064516129032</v>
      </c>
      <c r="BM11" s="249">
        <v>308.68599999999998</v>
      </c>
      <c r="BN11" s="195">
        <v>94.846999999999994</v>
      </c>
      <c r="BO11" s="197">
        <v>100.874</v>
      </c>
      <c r="BP11" s="197"/>
      <c r="BQ11" s="230"/>
      <c r="BR11" s="230"/>
      <c r="BS11" s="250"/>
      <c r="BT11" s="199"/>
      <c r="BU11" s="200">
        <v>1.62</v>
      </c>
      <c r="BV11" s="200"/>
      <c r="BW11" s="200"/>
      <c r="BX11" s="200"/>
      <c r="BY11" s="208"/>
      <c r="BZ11" s="208"/>
      <c r="CA11" s="201"/>
      <c r="CB11" s="202">
        <v>36.229999999999997</v>
      </c>
      <c r="CC11" s="200">
        <v>44.04</v>
      </c>
      <c r="CD11" s="200">
        <v>43.57</v>
      </c>
      <c r="CE11" s="200"/>
      <c r="CF11" s="200"/>
      <c r="CG11" s="200"/>
      <c r="CH11" s="200"/>
      <c r="CI11" s="203"/>
      <c r="CJ11" s="204"/>
      <c r="CK11" s="197"/>
      <c r="CL11" s="230">
        <v>144.47999999999999</v>
      </c>
      <c r="CM11" s="198">
        <v>169.64</v>
      </c>
      <c r="CN11" s="202"/>
      <c r="CO11" s="208"/>
      <c r="CP11" s="208"/>
      <c r="CQ11" s="201"/>
      <c r="CR11" s="201"/>
      <c r="CS11" s="284"/>
      <c r="CT11" s="286">
        <f t="shared" si="20"/>
        <v>303.68528679999997</v>
      </c>
      <c r="CU11" s="24">
        <f t="shared" si="20"/>
        <v>94.846999999999994</v>
      </c>
      <c r="CV11" s="25">
        <f t="shared" si="20"/>
        <v>100.874</v>
      </c>
      <c r="CW11" s="24">
        <f t="shared" si="20"/>
        <v>0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144.47999999999999</v>
      </c>
      <c r="DD11" s="280">
        <f t="shared" si="21"/>
        <v>169.64</v>
      </c>
      <c r="DE11" s="508">
        <f t="shared" si="31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3"/>
        <v>0</v>
      </c>
      <c r="DM11" s="402"/>
    </row>
    <row r="12" spans="1:117" ht="16.5" customHeight="1" thickBot="1">
      <c r="A12" s="534">
        <v>6</v>
      </c>
      <c r="B12" s="103">
        <f>'[1]декабрь 20'!K11</f>
        <v>495.31400000000002</v>
      </c>
      <c r="C12" s="104">
        <f t="shared" si="0"/>
        <v>0.85388811945553722</v>
      </c>
      <c r="D12" s="448">
        <f t="shared" si="1"/>
        <v>491.0845726</v>
      </c>
      <c r="E12" s="104">
        <f t="shared" si="2"/>
        <v>39.131021917409967</v>
      </c>
      <c r="F12" s="128">
        <f t="shared" si="3"/>
        <v>2.1396156003834088</v>
      </c>
      <c r="G12" s="106"/>
      <c r="H12" s="107">
        <f t="shared" si="4"/>
        <v>1.2792679182642035</v>
      </c>
      <c r="I12" s="103">
        <f>'[1]сентябрь 20'!AE11</f>
        <v>0</v>
      </c>
      <c r="J12" s="103">
        <f>'[1]декабрь 20'!AA11</f>
        <v>15.061999999999999</v>
      </c>
      <c r="K12" s="106">
        <v>65.05</v>
      </c>
      <c r="L12" s="103">
        <f>'[1]декабрь 20'!AI11</f>
        <v>197.46700000000001</v>
      </c>
      <c r="M12" s="103">
        <f t="shared" si="5"/>
        <v>0.86034768211920531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'[1]декабрь 20'!S11</f>
        <v>318.71800000000002</v>
      </c>
      <c r="S12" s="108">
        <f t="shared" si="6"/>
        <v>3.2310694720725119</v>
      </c>
      <c r="T12" s="109">
        <f t="shared" si="7"/>
        <v>308.41999999999996</v>
      </c>
      <c r="U12" s="106"/>
      <c r="V12" s="109">
        <f t="shared" si="8"/>
        <v>308.41999999999996</v>
      </c>
      <c r="W12" s="110">
        <f t="shared" si="9"/>
        <v>1.3437608922969675</v>
      </c>
      <c r="X12" s="110">
        <f t="shared" si="26"/>
        <v>1.3437608922969675</v>
      </c>
      <c r="Y12" s="136"/>
      <c r="Z12" s="130">
        <v>229.52</v>
      </c>
      <c r="AA12" s="131">
        <v>0.33</v>
      </c>
      <c r="AB12" s="112">
        <v>654</v>
      </c>
      <c r="AC12" s="133">
        <v>1201</v>
      </c>
      <c r="AD12" s="144" t="s">
        <v>498</v>
      </c>
      <c r="AE12" s="131">
        <v>73.3</v>
      </c>
      <c r="AF12" s="133">
        <v>165</v>
      </c>
      <c r="AG12" s="134">
        <v>5</v>
      </c>
      <c r="AH12" s="131">
        <v>11.15</v>
      </c>
      <c r="AI12" s="115">
        <f t="shared" si="10"/>
        <v>48.579644475426981</v>
      </c>
      <c r="AJ12" s="131">
        <v>144.65</v>
      </c>
      <c r="AK12" s="115">
        <f t="shared" si="11"/>
        <v>630.22830254444057</v>
      </c>
      <c r="AL12" s="131">
        <v>40.15</v>
      </c>
      <c r="AM12" s="116"/>
      <c r="AN12" s="135">
        <v>18.649999999999999</v>
      </c>
      <c r="AO12" s="466">
        <v>65.78</v>
      </c>
      <c r="AP12" s="110">
        <f t="shared" si="12"/>
        <v>0.21260504201680674</v>
      </c>
      <c r="AQ12" s="137" t="s">
        <v>194</v>
      </c>
      <c r="AR12" s="150">
        <v>7.25</v>
      </c>
      <c r="AS12" s="138">
        <v>6.8</v>
      </c>
      <c r="AT12" s="131"/>
      <c r="AU12" s="131">
        <v>9.5399999999999991</v>
      </c>
      <c r="AV12" s="315">
        <v>309.39999999999998</v>
      </c>
      <c r="AW12" s="131">
        <v>4.55</v>
      </c>
      <c r="AX12" s="116"/>
      <c r="AY12" s="131"/>
      <c r="AZ12" s="109"/>
      <c r="BA12" s="109">
        <f t="shared" si="13"/>
        <v>229.51999999999998</v>
      </c>
      <c r="BB12" s="115">
        <f t="shared" si="34"/>
        <v>228.86940988609848</v>
      </c>
      <c r="BC12" s="140">
        <f t="shared" si="14"/>
        <v>10.689838732394366</v>
      </c>
      <c r="BD12" s="141">
        <f t="shared" si="15"/>
        <v>9.1807999999999996</v>
      </c>
      <c r="BE12" s="128">
        <f t="shared" si="16"/>
        <v>0.87548161241696165</v>
      </c>
      <c r="BF12" s="141">
        <f t="shared" si="17"/>
        <v>19.870638732394365</v>
      </c>
      <c r="BG12" s="535">
        <v>0.85799999999999998</v>
      </c>
      <c r="BH12" s="16">
        <f t="shared" si="28"/>
        <v>1212.83</v>
      </c>
      <c r="BI12" s="16">
        <f t="shared" si="18"/>
        <v>225.16129032258064</v>
      </c>
      <c r="BJ12" s="16">
        <f t="shared" si="29"/>
        <v>1350.9677419354839</v>
      </c>
      <c r="BK12" s="17">
        <f t="shared" si="19"/>
        <v>1</v>
      </c>
      <c r="BL12" s="16">
        <f t="shared" si="30"/>
        <v>1350.9677419354839</v>
      </c>
      <c r="BM12" s="249">
        <v>297.84699999999998</v>
      </c>
      <c r="BN12" s="195">
        <v>98.516999999999996</v>
      </c>
      <c r="BO12" s="271">
        <v>98.95</v>
      </c>
      <c r="BP12" s="197"/>
      <c r="BQ12" s="230"/>
      <c r="BR12" s="230"/>
      <c r="BS12" s="250"/>
      <c r="BT12" s="199"/>
      <c r="BU12" s="200">
        <v>1.42</v>
      </c>
      <c r="BV12" s="200"/>
      <c r="BW12" s="200"/>
      <c r="BX12" s="200"/>
      <c r="BY12" s="208"/>
      <c r="BZ12" s="208"/>
      <c r="CA12" s="201"/>
      <c r="CB12" s="202">
        <v>35.85</v>
      </c>
      <c r="CC12" s="200">
        <v>44.12</v>
      </c>
      <c r="CD12" s="200">
        <v>44.04</v>
      </c>
      <c r="CE12" s="200"/>
      <c r="CF12" s="200"/>
      <c r="CG12" s="200"/>
      <c r="CH12" s="200"/>
      <c r="CI12" s="203"/>
      <c r="CJ12" s="204"/>
      <c r="CK12" s="197"/>
      <c r="CL12" s="230">
        <v>142.76</v>
      </c>
      <c r="CM12" s="198">
        <v>165.66</v>
      </c>
      <c r="CN12" s="202"/>
      <c r="CO12" s="202"/>
      <c r="CP12" s="270"/>
      <c r="CQ12" s="201"/>
      <c r="CR12" s="201"/>
      <c r="CS12" s="284"/>
      <c r="CT12" s="286">
        <f t="shared" si="20"/>
        <v>293.61757259999996</v>
      </c>
      <c r="CU12" s="24">
        <f t="shared" si="20"/>
        <v>98.516999999999996</v>
      </c>
      <c r="CV12" s="25">
        <f t="shared" si="20"/>
        <v>98.95</v>
      </c>
      <c r="CW12" s="24">
        <f t="shared" si="20"/>
        <v>0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142.76</v>
      </c>
      <c r="DD12" s="280">
        <f t="shared" si="21"/>
        <v>165.66</v>
      </c>
      <c r="DE12" s="508">
        <f t="shared" si="31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3"/>
        <v>0</v>
      </c>
    </row>
    <row r="13" spans="1:117" ht="16.5" customHeight="1" thickBot="1">
      <c r="A13" s="534">
        <v>7</v>
      </c>
      <c r="B13" s="103">
        <f>'[1]декабрь 20'!K12</f>
        <v>500.91300000000001</v>
      </c>
      <c r="C13" s="104">
        <f t="shared" si="0"/>
        <v>1.0548982158578433</v>
      </c>
      <c r="D13" s="448">
        <f t="shared" si="1"/>
        <v>495.62887769999998</v>
      </c>
      <c r="E13" s="104">
        <f t="shared" si="2"/>
        <v>39.130683631688534</v>
      </c>
      <c r="F13" s="128">
        <f t="shared" si="3"/>
        <v>2.0844010333080996</v>
      </c>
      <c r="G13" s="106"/>
      <c r="H13" s="107">
        <f t="shared" si="4"/>
        <v>1.277352501051392</v>
      </c>
      <c r="I13" s="103">
        <f>'[1]сентябрь 20'!AE12</f>
        <v>0</v>
      </c>
      <c r="J13" s="103">
        <f>'[1]декабрь 20'!AA12</f>
        <v>13.145</v>
      </c>
      <c r="K13" s="106">
        <v>50.1</v>
      </c>
      <c r="L13" s="103">
        <f>'[1]декабрь 20'!AI12</f>
        <v>191.9</v>
      </c>
      <c r="M13" s="103">
        <f t="shared" si="5"/>
        <v>0.8070485322567077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'[1]декабрь 20'!S12</f>
        <v>322.80799999999999</v>
      </c>
      <c r="S13" s="108">
        <f t="shared" si="6"/>
        <v>3.1684468786399189</v>
      </c>
      <c r="T13" s="109">
        <f t="shared" si="7"/>
        <v>312.5800000000001</v>
      </c>
      <c r="U13" s="106">
        <v>20.21</v>
      </c>
      <c r="V13" s="109">
        <f t="shared" si="8"/>
        <v>312.58000000000004</v>
      </c>
      <c r="W13" s="110">
        <f t="shared" si="9"/>
        <v>1.3145764992850537</v>
      </c>
      <c r="X13" s="110">
        <f t="shared" si="26"/>
        <v>1.3145764992850537</v>
      </c>
      <c r="Y13" s="136">
        <v>101.7</v>
      </c>
      <c r="Z13" s="130">
        <v>188.66</v>
      </c>
      <c r="AA13" s="131">
        <v>0.77</v>
      </c>
      <c r="AB13" s="146">
        <v>613</v>
      </c>
      <c r="AC13" s="147">
        <v>1214</v>
      </c>
      <c r="AD13" s="144" t="s">
        <v>463</v>
      </c>
      <c r="AE13" s="131">
        <v>74.64</v>
      </c>
      <c r="AF13" s="133">
        <v>167</v>
      </c>
      <c r="AG13" s="134">
        <v>5</v>
      </c>
      <c r="AH13" s="131">
        <v>11.95</v>
      </c>
      <c r="AI13" s="115">
        <f t="shared" si="10"/>
        <v>50.256539658507855</v>
      </c>
      <c r="AJ13" s="131">
        <v>129.35</v>
      </c>
      <c r="AK13" s="115">
        <f t="shared" si="11"/>
        <v>543.99024308184028</v>
      </c>
      <c r="AL13" s="131">
        <v>38.520000000000003</v>
      </c>
      <c r="AM13" s="116"/>
      <c r="AN13" s="135">
        <v>18.760000000000002</v>
      </c>
      <c r="AO13" s="466">
        <v>52.28</v>
      </c>
      <c r="AP13" s="110">
        <f t="shared" si="12"/>
        <v>0.17208689927583937</v>
      </c>
      <c r="AQ13" s="137" t="s">
        <v>209</v>
      </c>
      <c r="AR13" s="150">
        <v>7.87</v>
      </c>
      <c r="AS13" s="138">
        <v>6.92</v>
      </c>
      <c r="AT13" s="131"/>
      <c r="AU13" s="131">
        <v>8.1300000000000008</v>
      </c>
      <c r="AV13" s="315">
        <v>303.8</v>
      </c>
      <c r="AW13" s="131">
        <v>5.0199999999999996</v>
      </c>
      <c r="AX13" s="148"/>
      <c r="AY13" s="149"/>
      <c r="AZ13" s="109"/>
      <c r="BA13" s="109">
        <f t="shared" si="13"/>
        <v>237.78000000000003</v>
      </c>
      <c r="BB13" s="115">
        <f t="shared" si="34"/>
        <v>226.83843940089213</v>
      </c>
      <c r="BC13" s="140">
        <f t="shared" si="14"/>
        <v>8.1463172535211275</v>
      </c>
      <c r="BD13" s="141">
        <f t="shared" si="15"/>
        <v>9.5112000000000005</v>
      </c>
      <c r="BE13" s="128">
        <f t="shared" si="16"/>
        <v>0.91510918761497906</v>
      </c>
      <c r="BF13" s="141">
        <f t="shared" si="17"/>
        <v>17.657517253521128</v>
      </c>
      <c r="BG13" s="535">
        <v>0.86699999999999999</v>
      </c>
      <c r="BH13" s="16">
        <f t="shared" si="28"/>
        <v>1450.61</v>
      </c>
      <c r="BI13" s="16">
        <f t="shared" si="18"/>
        <v>225.16129032258064</v>
      </c>
      <c r="BJ13" s="16">
        <f t="shared" si="29"/>
        <v>1576.1290322580646</v>
      </c>
      <c r="BK13" s="17">
        <f t="shared" si="19"/>
        <v>1</v>
      </c>
      <c r="BL13" s="16">
        <f t="shared" si="30"/>
        <v>1576.1290322580646</v>
      </c>
      <c r="BM13" s="249">
        <v>309.01299999999998</v>
      </c>
      <c r="BN13" s="195">
        <v>94.561999999999998</v>
      </c>
      <c r="BO13" s="266">
        <v>97.337999999999994</v>
      </c>
      <c r="BP13" s="196"/>
      <c r="BQ13" s="313"/>
      <c r="BR13" s="230"/>
      <c r="BS13" s="250"/>
      <c r="BT13" s="199"/>
      <c r="BU13" s="200">
        <v>1.71</v>
      </c>
      <c r="BV13" s="200"/>
      <c r="BW13" s="200"/>
      <c r="BX13" s="200"/>
      <c r="BY13" s="208"/>
      <c r="BZ13" s="208"/>
      <c r="CA13" s="201"/>
      <c r="CB13" s="202">
        <v>36.229999999999997</v>
      </c>
      <c r="CC13" s="200">
        <v>44.04</v>
      </c>
      <c r="CD13" s="202">
        <v>43.57</v>
      </c>
      <c r="CE13" s="200"/>
      <c r="CF13" s="200"/>
      <c r="CG13" s="200"/>
      <c r="CH13" s="200"/>
      <c r="CI13" s="203"/>
      <c r="CJ13" s="204"/>
      <c r="CK13" s="197"/>
      <c r="CL13" s="264">
        <v>143.62</v>
      </c>
      <c r="CM13" s="265">
        <v>168.96</v>
      </c>
      <c r="CN13" s="202"/>
      <c r="CO13" s="202"/>
      <c r="CP13" s="270"/>
      <c r="CQ13" s="201"/>
      <c r="CR13" s="201"/>
      <c r="CS13" s="284"/>
      <c r="CT13" s="286">
        <f t="shared" si="20"/>
        <v>303.7288777</v>
      </c>
      <c r="CU13" s="24">
        <f t="shared" si="20"/>
        <v>94.561999999999998</v>
      </c>
      <c r="CV13" s="25">
        <f t="shared" si="20"/>
        <v>97.337999999999994</v>
      </c>
      <c r="CW13" s="24">
        <f t="shared" si="20"/>
        <v>0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143.62</v>
      </c>
      <c r="DD13" s="280">
        <f t="shared" si="21"/>
        <v>168.96</v>
      </c>
      <c r="DE13" s="508">
        <f t="shared" si="31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3"/>
        <v>0</v>
      </c>
    </row>
    <row r="14" spans="1:117" ht="16.5" customHeight="1" thickBot="1">
      <c r="A14" s="534">
        <v>8</v>
      </c>
      <c r="B14" s="103">
        <f>'[1]декабрь 20'!K13</f>
        <v>507.26900000000001</v>
      </c>
      <c r="C14" s="104">
        <f>IF(B14=0,0,(BM14*BU14+BN14*BV14+BP14*BX14+BS14*CA14+BO14*BW14+BR14*BZ14+BQ14*BY14)/B14)</f>
        <v>0.93134561741403465</v>
      </c>
      <c r="D14" s="448">
        <f>B14*((100-C14)/100)</f>
        <v>502.54457239999999</v>
      </c>
      <c r="E14" s="104">
        <f>IF(B14=0,0,(BM14*CB14+BN14*CC14+BP14*CE14+BS14*CH14+BO14*CD14+BR14*CG14+BQ14*CF14)/B14)</f>
        <v>38.647229339857155</v>
      </c>
      <c r="F14" s="128">
        <f>IF(BA14=0,0,D14/BA14)</f>
        <v>2.3472422811770204</v>
      </c>
      <c r="G14" s="106"/>
      <c r="H14" s="107">
        <f>IF(BA14=0,0,(CZ14+CW14+CY14+CT14+CX14)/BA14)</f>
        <v>1.4392880541802897</v>
      </c>
      <c r="I14" s="103">
        <f>'[1]сентябрь 20'!AE13</f>
        <v>0</v>
      </c>
      <c r="J14" s="103">
        <f>'[1]декабрь 20'!AA13</f>
        <v>13.496</v>
      </c>
      <c r="K14" s="106">
        <v>29.52</v>
      </c>
      <c r="L14" s="103">
        <f>'[1]декабрь 20'!AI13</f>
        <v>194.393</v>
      </c>
      <c r="M14" s="103">
        <f>IF(BA14=0,0,(CV14+CU14)/BA14)</f>
        <v>0.90795422699673067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'[1]декабрь 20'!S13</f>
        <v>327.93099999999998</v>
      </c>
      <c r="S14" s="108">
        <f>IF(R14=0,0,(1-(V14/R14))*100)</f>
        <v>3.211346289310868</v>
      </c>
      <c r="T14" s="109">
        <f>R14*((100-S14)/100)</f>
        <v>317.39999999999998</v>
      </c>
      <c r="U14" s="106">
        <v>35.94</v>
      </c>
      <c r="V14" s="109">
        <f>CJ14+CK14+CM14+CL14</f>
        <v>317.39999999999998</v>
      </c>
      <c r="W14" s="110">
        <f>IF(BA14=0,0,T14/BA14)</f>
        <v>1.4824848201774874</v>
      </c>
      <c r="X14" s="110">
        <f t="shared" si="26"/>
        <v>1.4824848201774874</v>
      </c>
      <c r="Y14" s="136">
        <v>50.44</v>
      </c>
      <c r="Z14" s="130">
        <v>214.1</v>
      </c>
      <c r="AA14" s="131">
        <v>0.41</v>
      </c>
      <c r="AB14" s="146">
        <v>685</v>
      </c>
      <c r="AC14" s="147">
        <v>1229</v>
      </c>
      <c r="AD14" s="144" t="s">
        <v>499</v>
      </c>
      <c r="AE14" s="131">
        <v>73.98</v>
      </c>
      <c r="AF14" s="133">
        <v>169</v>
      </c>
      <c r="AG14" s="134">
        <v>5</v>
      </c>
      <c r="AH14" s="131">
        <v>13.15</v>
      </c>
      <c r="AI14" s="115">
        <f t="shared" si="10"/>
        <v>61.419897244278381</v>
      </c>
      <c r="AJ14" s="131">
        <v>134.4</v>
      </c>
      <c r="AK14" s="115">
        <f>IF(BA14=0,0,AJ14/BA14*1000)</f>
        <v>627.74404483886053</v>
      </c>
      <c r="AL14" s="131">
        <v>34.450000000000003</v>
      </c>
      <c r="AM14" s="116"/>
      <c r="AN14" s="135">
        <v>23.99</v>
      </c>
      <c r="AO14" s="466">
        <v>59.67</v>
      </c>
      <c r="AP14" s="110">
        <f>IF(AO14=0,0,AO14/AV14)</f>
        <v>0.20565224883680858</v>
      </c>
      <c r="AQ14" s="137" t="s">
        <v>247</v>
      </c>
      <c r="AR14" s="150">
        <v>7.28</v>
      </c>
      <c r="AS14" s="138">
        <v>6.94</v>
      </c>
      <c r="AT14" s="131"/>
      <c r="AU14" s="131">
        <v>8.9600000000000009</v>
      </c>
      <c r="AV14" s="315">
        <v>290.14999999999998</v>
      </c>
      <c r="AW14" s="131">
        <v>7.61</v>
      </c>
      <c r="AX14" s="148"/>
      <c r="AY14" s="149"/>
      <c r="AZ14" s="109"/>
      <c r="BA14" s="109">
        <f>AV14-AO14-AN14+AY14+AW14</f>
        <v>214.09999999999997</v>
      </c>
      <c r="BB14" s="115">
        <f>IF(AE14=0,0,((D14*0.97)*(E14/100)*0.9)/(AE14/100))</f>
        <v>229.18852412106992</v>
      </c>
      <c r="BC14" s="140">
        <f>(AJ14*AU14)/100*(55/71)</f>
        <v>9.3284957746478874</v>
      </c>
      <c r="BD14" s="141">
        <f>BA14*$BD$6</f>
        <v>8.5639999999999983</v>
      </c>
      <c r="BE14" s="128">
        <f>IF((D14*E14)=0,0,(BA14*AE14)/(D14*E14))</f>
        <v>0.81552643491549437</v>
      </c>
      <c r="BF14" s="141">
        <f>BC14+BD14</f>
        <v>17.892495774647884</v>
      </c>
      <c r="BG14" s="535">
        <v>0.86</v>
      </c>
      <c r="BH14" s="16">
        <f>BH13+BA14</f>
        <v>1664.7099999999998</v>
      </c>
      <c r="BI14" s="16">
        <f>IF(A14&lt;=$BG$43,$AV$43,0)</f>
        <v>225.16129032258064</v>
      </c>
      <c r="BJ14" s="16">
        <f>BI14+BJ13</f>
        <v>1801.2903225806454</v>
      </c>
      <c r="BK14" s="17">
        <f>IF(BA14&lt;&gt;0,1,0)</f>
        <v>1</v>
      </c>
      <c r="BL14" s="16">
        <f>BL13+BI14*BK14</f>
        <v>1801.2903225806454</v>
      </c>
      <c r="BM14" s="249">
        <v>312.87599999999998</v>
      </c>
      <c r="BN14" s="195">
        <v>93.004000000000005</v>
      </c>
      <c r="BO14" s="230">
        <v>101.389</v>
      </c>
      <c r="BP14" s="196"/>
      <c r="BQ14" s="313"/>
      <c r="BR14" s="230"/>
      <c r="BS14" s="250"/>
      <c r="BT14" s="199"/>
      <c r="BU14" s="200">
        <v>1.51</v>
      </c>
      <c r="BV14" s="200"/>
      <c r="BW14" s="200"/>
      <c r="BX14" s="200"/>
      <c r="BY14" s="208"/>
      <c r="BZ14" s="208"/>
      <c r="CA14" s="201"/>
      <c r="CB14" s="202">
        <v>35.450000000000003</v>
      </c>
      <c r="CC14" s="200">
        <v>44.2</v>
      </c>
      <c r="CD14" s="200">
        <v>43.42</v>
      </c>
      <c r="CE14" s="200"/>
      <c r="CF14" s="200"/>
      <c r="CG14" s="200"/>
      <c r="CH14" s="200"/>
      <c r="CI14" s="203"/>
      <c r="CJ14" s="204"/>
      <c r="CK14" s="197"/>
      <c r="CL14" s="264">
        <v>145.34</v>
      </c>
      <c r="CM14" s="265">
        <v>172.06</v>
      </c>
      <c r="CN14" s="202"/>
      <c r="CO14" s="202"/>
      <c r="CP14" s="270"/>
      <c r="CQ14" s="201"/>
      <c r="CR14" s="201"/>
      <c r="CS14" s="284"/>
      <c r="CT14" s="286">
        <f t="shared" si="20"/>
        <v>308.15157239999996</v>
      </c>
      <c r="CU14" s="27">
        <f t="shared" si="20"/>
        <v>93.004000000000005</v>
      </c>
      <c r="CV14" s="28">
        <f t="shared" si="20"/>
        <v>101.389</v>
      </c>
      <c r="CW14" s="27">
        <f t="shared" si="20"/>
        <v>0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145.34</v>
      </c>
      <c r="DD14" s="280">
        <f t="shared" si="21"/>
        <v>172.06</v>
      </c>
      <c r="DE14" s="508">
        <f t="shared" si="31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3"/>
        <v>0</v>
      </c>
    </row>
    <row r="15" spans="1:117" ht="16.5" customHeight="1" thickBot="1">
      <c r="A15" s="536">
        <v>9</v>
      </c>
      <c r="B15" s="103">
        <f>'[1]декабрь 20'!K14</f>
        <v>378.24599999999998</v>
      </c>
      <c r="C15" s="104">
        <f t="shared" ref="C15:C37" si="35">IF(B15=0,0,(BM15*BU15+BN15*BV15+BP15*BX15+BS15*CA15+BO15*BW15+BR15*BZ15+BQ15*BY15)/B15)</f>
        <v>1.1223462508526199</v>
      </c>
      <c r="D15" s="448">
        <f t="shared" ref="D15:D37" si="36">B15*((100-C15)/100)</f>
        <v>374.00077020000003</v>
      </c>
      <c r="E15" s="104">
        <f t="shared" ref="E15:E18" si="37">IF(B15=0,0,(BM15*CB15+BN15*CC15+BP15*CE15+BS15*CH15+BO15*CD15+BR15*CG15+BQ15*CF15)/B15)</f>
        <v>38.510459489327054</v>
      </c>
      <c r="F15" s="128">
        <f t="shared" ref="F15:F37" si="38">IF(BA15=0,0,D15/BA15)</f>
        <v>1.7488112325820631</v>
      </c>
      <c r="G15" s="106"/>
      <c r="H15" s="107">
        <f t="shared" ref="H15:H37" si="39">IF(BA15=0,0,(CZ15+CW15+CY15+CT15+CX15)/BA15)</f>
        <v>1.2775683634153183</v>
      </c>
      <c r="I15" s="103">
        <f>'[1]сентябрь 20'!AE14</f>
        <v>0</v>
      </c>
      <c r="J15" s="103">
        <f>'[1]декабрь 20'!AA14</f>
        <v>13.592000000000001</v>
      </c>
      <c r="K15" s="106">
        <v>38.25</v>
      </c>
      <c r="L15" s="103">
        <f>'[1]декабрь 20'!AI14</f>
        <v>100.78</v>
      </c>
      <c r="M15" s="103">
        <f t="shared" ref="M15:M37" si="40">IF(BA15=0,0,(CV15+CU15)/BA15)</f>
        <v>0.47124286916674457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'[1]декабрь 20'!S14</f>
        <v>243.18600000000001</v>
      </c>
      <c r="S15" s="108">
        <f t="shared" ref="S15:S37" si="41">IF(R15=0,0,(1-(V15/R15))*100)</f>
        <v>3.1934404118658111</v>
      </c>
      <c r="T15" s="109">
        <f t="shared" ref="T15:T37" si="42">R15*((100-S15)/100)</f>
        <v>235.42000000000002</v>
      </c>
      <c r="U15" s="106">
        <v>38.57</v>
      </c>
      <c r="V15" s="109">
        <f t="shared" ref="V15:V37" si="43">CJ15+CK15+CM15+CL15</f>
        <v>235.42000000000002</v>
      </c>
      <c r="W15" s="110">
        <f t="shared" ref="W15:W37" si="44">IF(BA15=0,0,T15/BA15)</f>
        <v>1.1008136163845506</v>
      </c>
      <c r="X15" s="110">
        <f t="shared" si="26"/>
        <v>1.1008136163845506</v>
      </c>
      <c r="Y15" s="136">
        <v>213.86</v>
      </c>
      <c r="Z15" s="130">
        <v>119.61</v>
      </c>
      <c r="AA15" s="131">
        <v>0.82</v>
      </c>
      <c r="AB15" s="112">
        <v>680</v>
      </c>
      <c r="AC15" s="133">
        <v>1184</v>
      </c>
      <c r="AD15" s="144" t="s">
        <v>207</v>
      </c>
      <c r="AE15" s="131">
        <v>75.66</v>
      </c>
      <c r="AF15" s="133">
        <v>123</v>
      </c>
      <c r="AG15" s="134">
        <v>5</v>
      </c>
      <c r="AH15" s="131">
        <v>7.2</v>
      </c>
      <c r="AI15" s="115">
        <f t="shared" si="10"/>
        <v>33.666884877957543</v>
      </c>
      <c r="AJ15" s="131">
        <v>129.5</v>
      </c>
      <c r="AK15" s="115">
        <f t="shared" ref="AK15:AK37" si="45">IF(BA15=0,0,AJ15/BA15*1000)</f>
        <v>605.5363321799307</v>
      </c>
      <c r="AL15" s="131">
        <v>37.65</v>
      </c>
      <c r="AM15" s="116"/>
      <c r="AN15" s="135">
        <v>20.6</v>
      </c>
      <c r="AO15" s="466">
        <v>63.75</v>
      </c>
      <c r="AP15" s="110">
        <f t="shared" ref="AP15:AP37" si="46">IF(AO15=0,0,AO15/AV15)</f>
        <v>0.22035948842032491</v>
      </c>
      <c r="AQ15" s="137" t="s">
        <v>238</v>
      </c>
      <c r="AR15" s="150">
        <v>7.65</v>
      </c>
      <c r="AS15" s="138">
        <v>7.83</v>
      </c>
      <c r="AT15" s="131"/>
      <c r="AU15" s="131">
        <v>7.95</v>
      </c>
      <c r="AV15" s="315">
        <v>289.3</v>
      </c>
      <c r="AW15" s="131">
        <v>8.91</v>
      </c>
      <c r="AX15" s="116"/>
      <c r="AY15" s="131"/>
      <c r="AZ15" s="109"/>
      <c r="BA15" s="109">
        <f t="shared" ref="BA15:BA37" si="47">AV15-AO15-AN15+AY15+AW15</f>
        <v>213.86</v>
      </c>
      <c r="BB15" s="115">
        <f t="shared" ref="BB15:BB37" si="48">IF(AE15=0,0,((D15*0.97)*(E15/100)*0.9)/(AE15/100))</f>
        <v>166.18778665112563</v>
      </c>
      <c r="BC15" s="140">
        <f t="shared" ref="BC15:BC37" si="49">(AJ15*AU15)/100*(55/71)</f>
        <v>7.9751936619718311</v>
      </c>
      <c r="BD15" s="141">
        <f t="shared" ref="BD15:BD37" si="50">BA15*$BD$6</f>
        <v>8.5544000000000011</v>
      </c>
      <c r="BE15" s="128">
        <f t="shared" ref="BE15:BE37" si="51">IF((D15*E15)=0,0,(BA15*AE15)/(D15*E15))</f>
        <v>1.1234265992839461</v>
      </c>
      <c r="BF15" s="141">
        <f t="shared" ref="BF15:BF23" si="52">BC15+BD15</f>
        <v>16.52959366197183</v>
      </c>
      <c r="BG15" s="535">
        <v>0.88400000000000001</v>
      </c>
      <c r="BH15" s="16">
        <f t="shared" ref="BH15:BH37" si="53">BH14+BA15</f>
        <v>1878.5699999999997</v>
      </c>
      <c r="BI15" s="16">
        <f t="shared" ref="BI15:BI37" si="54">IF(A15&lt;=$BG$43,$AV$43,0)</f>
        <v>225.16129032258064</v>
      </c>
      <c r="BJ15" s="16">
        <f t="shared" ref="BJ15:BJ37" si="55">BI15+BJ14</f>
        <v>2026.4516129032261</v>
      </c>
      <c r="BK15" s="17">
        <f t="shared" ref="BK15:BK37" si="56">IF(BA15&lt;&gt;0,1,0)</f>
        <v>1</v>
      </c>
      <c r="BL15" s="16">
        <f t="shared" ref="BL15:BL37" si="57">BL14+BI15*BK15</f>
        <v>2026.4516129032261</v>
      </c>
      <c r="BM15" s="249">
        <v>277.46600000000001</v>
      </c>
      <c r="BN15" s="195">
        <v>25.190999999999999</v>
      </c>
      <c r="BO15" s="195">
        <v>75.588999999999999</v>
      </c>
      <c r="BP15" s="197"/>
      <c r="BQ15" s="230"/>
      <c r="BR15" s="195"/>
      <c r="BS15" s="329"/>
      <c r="BT15" s="199"/>
      <c r="BU15" s="200">
        <v>1.53</v>
      </c>
      <c r="BV15" s="200"/>
      <c r="BW15" s="200"/>
      <c r="BX15" s="200"/>
      <c r="BY15" s="208"/>
      <c r="BZ15" s="208"/>
      <c r="CA15" s="330"/>
      <c r="CB15" s="202">
        <v>36.700000000000003</v>
      </c>
      <c r="CC15" s="200">
        <v>43.69</v>
      </c>
      <c r="CD15" s="200">
        <v>43.43</v>
      </c>
      <c r="CE15" s="200"/>
      <c r="CF15" s="200"/>
      <c r="CG15" s="200"/>
      <c r="CH15" s="200"/>
      <c r="CI15" s="203"/>
      <c r="CJ15" s="204"/>
      <c r="CK15" s="230"/>
      <c r="CL15" s="266">
        <v>108.36</v>
      </c>
      <c r="CM15" s="265">
        <v>127.06</v>
      </c>
      <c r="CN15" s="202"/>
      <c r="CO15" s="208"/>
      <c r="CP15" s="208"/>
      <c r="CQ15" s="201"/>
      <c r="CR15" s="201"/>
      <c r="CS15" s="284"/>
      <c r="CT15" s="286">
        <f t="shared" si="20"/>
        <v>273.2207702</v>
      </c>
      <c r="CU15" s="29">
        <f t="shared" si="20"/>
        <v>25.190999999999999</v>
      </c>
      <c r="CV15" s="30">
        <f t="shared" si="20"/>
        <v>75.588999999999999</v>
      </c>
      <c r="CW15" s="29">
        <f t="shared" si="20"/>
        <v>0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108.36</v>
      </c>
      <c r="DD15" s="280">
        <f t="shared" si="21"/>
        <v>127.06</v>
      </c>
      <c r="DE15" s="508">
        <f t="shared" si="31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3"/>
        <v>0</v>
      </c>
    </row>
    <row r="16" spans="1:117" ht="16.5" customHeight="1" thickBot="1">
      <c r="A16" s="534">
        <v>10</v>
      </c>
      <c r="B16" s="103">
        <f>'[1]декабрь 20'!K15</f>
        <v>513.25699999999995</v>
      </c>
      <c r="C16" s="104">
        <f t="shared" si="35"/>
        <v>1.6137042456313313</v>
      </c>
      <c r="D16" s="448">
        <f t="shared" si="36"/>
        <v>504.97455000000002</v>
      </c>
      <c r="E16" s="104">
        <f t="shared" si="37"/>
        <v>38.304737685019404</v>
      </c>
      <c r="F16" s="128">
        <f t="shared" si="38"/>
        <v>2.8001250415881116</v>
      </c>
      <c r="G16" s="106"/>
      <c r="H16" s="107">
        <f t="shared" si="39"/>
        <v>2.0416577021182212</v>
      </c>
      <c r="I16" s="103">
        <f>'[1]сентябрь 20'!AE15</f>
        <v>0</v>
      </c>
      <c r="J16" s="103">
        <f>'[1]декабрь 20'!AA15</f>
        <v>18.091000000000001</v>
      </c>
      <c r="K16" s="106">
        <v>58.16</v>
      </c>
      <c r="L16" s="103">
        <f>'[1]декабрь 20'!AI15</f>
        <v>136.78200000000001</v>
      </c>
      <c r="M16" s="103">
        <f t="shared" si="40"/>
        <v>0.7584673394698902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'[1]декабрь 20'!S15</f>
        <v>325.86900000000003</v>
      </c>
      <c r="S16" s="108">
        <f t="shared" si="41"/>
        <v>2.8934940113972241</v>
      </c>
      <c r="T16" s="109">
        <f t="shared" si="42"/>
        <v>316.44</v>
      </c>
      <c r="U16" s="106">
        <v>5.22</v>
      </c>
      <c r="V16" s="109">
        <f t="shared" si="43"/>
        <v>316.44</v>
      </c>
      <c r="W16" s="110">
        <f t="shared" si="44"/>
        <v>1.75468559387823</v>
      </c>
      <c r="X16" s="110">
        <f t="shared" si="26"/>
        <v>1.75468559387823</v>
      </c>
      <c r="Y16" s="136">
        <v>180.34</v>
      </c>
      <c r="Z16" s="130">
        <v>70.52</v>
      </c>
      <c r="AA16" s="131">
        <v>0.86</v>
      </c>
      <c r="AB16" s="112">
        <v>673</v>
      </c>
      <c r="AC16" s="133">
        <v>1200</v>
      </c>
      <c r="AD16" s="144" t="s">
        <v>447</v>
      </c>
      <c r="AE16" s="131">
        <v>76.02</v>
      </c>
      <c r="AF16" s="133">
        <v>171</v>
      </c>
      <c r="AG16" s="134">
        <v>4</v>
      </c>
      <c r="AH16" s="131">
        <v>7.35</v>
      </c>
      <c r="AI16" s="115">
        <f t="shared" si="10"/>
        <v>40.756349118332039</v>
      </c>
      <c r="AJ16" s="131">
        <v>112.75</v>
      </c>
      <c r="AK16" s="115">
        <f t="shared" si="45"/>
        <v>625.20794055672616</v>
      </c>
      <c r="AL16" s="139">
        <v>30.6</v>
      </c>
      <c r="AM16" s="131"/>
      <c r="AN16" s="136">
        <v>21.19</v>
      </c>
      <c r="AO16" s="466">
        <v>65.06</v>
      </c>
      <c r="AP16" s="110">
        <f t="shared" si="46"/>
        <v>0.25095467695274831</v>
      </c>
      <c r="AQ16" s="137" t="s">
        <v>204</v>
      </c>
      <c r="AR16" s="150">
        <v>7.99</v>
      </c>
      <c r="AS16" s="138">
        <v>7.66</v>
      </c>
      <c r="AT16" s="131"/>
      <c r="AU16" s="131">
        <v>6.27</v>
      </c>
      <c r="AV16" s="315">
        <v>259.25</v>
      </c>
      <c r="AW16" s="131">
        <v>7.34</v>
      </c>
      <c r="AX16" s="116"/>
      <c r="AY16" s="131"/>
      <c r="AZ16" s="109"/>
      <c r="BA16" s="109">
        <f t="shared" si="47"/>
        <v>180.34</v>
      </c>
      <c r="BB16" s="115">
        <f t="shared" si="48"/>
        <v>222.13058577466333</v>
      </c>
      <c r="BC16" s="140">
        <f t="shared" si="49"/>
        <v>5.4763151408450703</v>
      </c>
      <c r="BD16" s="141">
        <f t="shared" si="50"/>
        <v>7.2136000000000005</v>
      </c>
      <c r="BE16" s="128">
        <f t="shared" si="51"/>
        <v>0.70875795627581495</v>
      </c>
      <c r="BF16" s="141">
        <f t="shared" si="52"/>
        <v>12.68991514084507</v>
      </c>
      <c r="BG16" s="535">
        <v>0.86499999999999999</v>
      </c>
      <c r="BH16" s="16">
        <f t="shared" si="53"/>
        <v>2058.91</v>
      </c>
      <c r="BI16" s="16">
        <f t="shared" si="54"/>
        <v>225.16129032258064</v>
      </c>
      <c r="BJ16" s="16">
        <f t="shared" si="55"/>
        <v>2251.6129032258068</v>
      </c>
      <c r="BK16" s="17">
        <f t="shared" si="56"/>
        <v>1</v>
      </c>
      <c r="BL16" s="16">
        <f t="shared" si="57"/>
        <v>2251.6129032258068</v>
      </c>
      <c r="BM16" s="249">
        <v>376.47500000000002</v>
      </c>
      <c r="BN16" s="195">
        <v>34.195</v>
      </c>
      <c r="BO16" s="230">
        <v>102.587</v>
      </c>
      <c r="BP16" s="197"/>
      <c r="BQ16" s="230"/>
      <c r="BR16" s="230"/>
      <c r="BS16" s="250"/>
      <c r="BT16" s="199"/>
      <c r="BU16" s="200">
        <v>2.2000000000000002</v>
      </c>
      <c r="BV16" s="200"/>
      <c r="BW16" s="200"/>
      <c r="BX16" s="200"/>
      <c r="BY16" s="208"/>
      <c r="BZ16" s="208"/>
      <c r="CA16" s="201"/>
      <c r="CB16" s="202">
        <v>36.31</v>
      </c>
      <c r="CC16" s="200">
        <v>44.08</v>
      </c>
      <c r="CD16" s="200">
        <v>43.7</v>
      </c>
      <c r="CE16" s="200"/>
      <c r="CF16" s="200"/>
      <c r="CG16" s="200"/>
      <c r="CH16" s="200"/>
      <c r="CI16" s="203"/>
      <c r="CJ16" s="204"/>
      <c r="CK16" s="230"/>
      <c r="CL16" s="266">
        <v>147.06</v>
      </c>
      <c r="CM16" s="265">
        <v>169.38</v>
      </c>
      <c r="CN16" s="202"/>
      <c r="CO16" s="208"/>
      <c r="CP16" s="208"/>
      <c r="CQ16" s="201"/>
      <c r="CR16" s="201"/>
      <c r="CS16" s="284"/>
      <c r="CT16" s="286">
        <f t="shared" si="20"/>
        <v>368.19255000000004</v>
      </c>
      <c r="CU16" s="24">
        <f t="shared" si="20"/>
        <v>34.195</v>
      </c>
      <c r="CV16" s="25">
        <f t="shared" si="20"/>
        <v>102.587</v>
      </c>
      <c r="CW16" s="24">
        <f t="shared" si="20"/>
        <v>0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147.06</v>
      </c>
      <c r="DD16" s="280">
        <f t="shared" si="21"/>
        <v>169.38</v>
      </c>
      <c r="DE16" s="508">
        <f t="shared" si="31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3"/>
        <v>0</v>
      </c>
    </row>
    <row r="17" spans="1:115" ht="16.5" customHeight="1" thickBot="1">
      <c r="A17" s="534">
        <v>11</v>
      </c>
      <c r="B17" s="103">
        <f>'[1]декабрь 20'!K16</f>
        <v>504.34300000000002</v>
      </c>
      <c r="C17" s="104">
        <f t="shared" si="35"/>
        <v>1.6067054762334363</v>
      </c>
      <c r="D17" s="448">
        <f t="shared" si="36"/>
        <v>496.23969340000008</v>
      </c>
      <c r="E17" s="104">
        <f t="shared" si="37"/>
        <v>39.320176685311381</v>
      </c>
      <c r="F17" s="128">
        <f t="shared" si="38"/>
        <v>2.0496455883689233</v>
      </c>
      <c r="G17" s="106"/>
      <c r="H17" s="107">
        <f t="shared" si="39"/>
        <v>1.4948192697534179</v>
      </c>
      <c r="I17" s="103">
        <f>'[1]сентябрь 20'!AE16</f>
        <v>0</v>
      </c>
      <c r="J17" s="103">
        <f>'[1]декабрь 20'!AA16</f>
        <v>18.465</v>
      </c>
      <c r="K17" s="106">
        <v>24.24</v>
      </c>
      <c r="L17" s="103">
        <f>'[1]декабрь 20'!AI16</f>
        <v>134.32900000000001</v>
      </c>
      <c r="M17" s="103">
        <f t="shared" si="40"/>
        <v>0.55482631861550535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'[1]декабрь 20'!S16</f>
        <v>319</v>
      </c>
      <c r="S17" s="108">
        <f t="shared" si="41"/>
        <v>3.1316614420062727</v>
      </c>
      <c r="T17" s="109">
        <f t="shared" si="42"/>
        <v>309.01</v>
      </c>
      <c r="U17" s="106">
        <v>46.11</v>
      </c>
      <c r="V17" s="109">
        <f t="shared" si="43"/>
        <v>309.01</v>
      </c>
      <c r="W17" s="110">
        <f t="shared" si="44"/>
        <v>1.2763206806823344</v>
      </c>
      <c r="X17" s="110">
        <f t="shared" si="26"/>
        <v>1.2763206806823344</v>
      </c>
      <c r="Y17" s="136">
        <v>242.11</v>
      </c>
      <c r="Z17" s="130">
        <v>195.44</v>
      </c>
      <c r="AA17" s="131">
        <v>0.82</v>
      </c>
      <c r="AB17" s="112">
        <v>672</v>
      </c>
      <c r="AC17" s="133">
        <v>1193</v>
      </c>
      <c r="AD17" s="144" t="s">
        <v>476</v>
      </c>
      <c r="AE17" s="131">
        <v>76.790000000000006</v>
      </c>
      <c r="AF17" s="133">
        <v>168</v>
      </c>
      <c r="AG17" s="134">
        <v>5</v>
      </c>
      <c r="AH17" s="131">
        <v>11.2</v>
      </c>
      <c r="AI17" s="115">
        <f t="shared" si="10"/>
        <v>46.259964478955844</v>
      </c>
      <c r="AJ17" s="131">
        <v>148.94999999999999</v>
      </c>
      <c r="AK17" s="115">
        <f t="shared" si="45"/>
        <v>615.2162240303993</v>
      </c>
      <c r="AL17" s="139">
        <v>37.130000000000003</v>
      </c>
      <c r="AM17" s="131"/>
      <c r="AN17" s="136">
        <v>16.14</v>
      </c>
      <c r="AO17" s="466">
        <v>59.6</v>
      </c>
      <c r="AP17" s="110">
        <f t="shared" si="46"/>
        <v>0.1909950328473001</v>
      </c>
      <c r="AQ17" s="137" t="s">
        <v>324</v>
      </c>
      <c r="AR17" s="150">
        <v>7.67</v>
      </c>
      <c r="AS17" s="138">
        <v>7.87</v>
      </c>
      <c r="AT17" s="131"/>
      <c r="AU17" s="131">
        <v>6.03</v>
      </c>
      <c r="AV17" s="315">
        <v>312.05</v>
      </c>
      <c r="AW17" s="131">
        <v>5.8</v>
      </c>
      <c r="AX17" s="116"/>
      <c r="AY17" s="131"/>
      <c r="AZ17" s="109"/>
      <c r="BA17" s="109">
        <f t="shared" si="47"/>
        <v>242.11</v>
      </c>
      <c r="BB17" s="115">
        <f t="shared" si="48"/>
        <v>221.8280883586815</v>
      </c>
      <c r="BC17" s="140">
        <f t="shared" si="49"/>
        <v>6.9576433098591552</v>
      </c>
      <c r="BD17" s="141">
        <f t="shared" si="50"/>
        <v>9.6844000000000001</v>
      </c>
      <c r="BE17" s="128">
        <f t="shared" si="51"/>
        <v>0.95281905715312976</v>
      </c>
      <c r="BF17" s="141">
        <f t="shared" si="52"/>
        <v>16.642043309859154</v>
      </c>
      <c r="BG17" s="535">
        <v>0.873</v>
      </c>
      <c r="BH17" s="16">
        <f t="shared" si="53"/>
        <v>2301.02</v>
      </c>
      <c r="BI17" s="16">
        <f t="shared" si="54"/>
        <v>225.16129032258064</v>
      </c>
      <c r="BJ17" s="16">
        <f t="shared" si="55"/>
        <v>2476.7741935483873</v>
      </c>
      <c r="BK17" s="17">
        <f t="shared" si="56"/>
        <v>1</v>
      </c>
      <c r="BL17" s="16">
        <f t="shared" si="57"/>
        <v>2476.7741935483873</v>
      </c>
      <c r="BM17" s="249">
        <v>370.01400000000001</v>
      </c>
      <c r="BN17" s="195">
        <v>33.591999999999999</v>
      </c>
      <c r="BO17" s="195">
        <v>100.73699999999999</v>
      </c>
      <c r="BP17" s="197"/>
      <c r="BQ17" s="230"/>
      <c r="BR17" s="230"/>
      <c r="BS17" s="250"/>
      <c r="BT17" s="199"/>
      <c r="BU17" s="200">
        <v>2.19</v>
      </c>
      <c r="BV17" s="200"/>
      <c r="BW17" s="200"/>
      <c r="BX17" s="200"/>
      <c r="BY17" s="208"/>
      <c r="BZ17" s="208"/>
      <c r="CA17" s="201"/>
      <c r="CB17" s="202">
        <v>37.799999999999997</v>
      </c>
      <c r="CC17" s="200">
        <v>44.1</v>
      </c>
      <c r="CD17" s="200">
        <v>43.31</v>
      </c>
      <c r="CE17" s="200"/>
      <c r="CF17" s="208"/>
      <c r="CG17" s="208"/>
      <c r="CH17" s="201"/>
      <c r="CI17" s="199"/>
      <c r="CJ17" s="197"/>
      <c r="CK17" s="244"/>
      <c r="CL17" s="266">
        <v>144.47999999999999</v>
      </c>
      <c r="CM17" s="265">
        <v>164.53</v>
      </c>
      <c r="CN17" s="231"/>
      <c r="CO17" s="208"/>
      <c r="CP17" s="208"/>
      <c r="CQ17" s="201"/>
      <c r="CR17" s="201"/>
      <c r="CS17" s="284"/>
      <c r="CT17" s="286">
        <f t="shared" si="20"/>
        <v>361.91069340000001</v>
      </c>
      <c r="CU17" s="24">
        <f t="shared" si="20"/>
        <v>33.591999999999999</v>
      </c>
      <c r="CV17" s="25">
        <f t="shared" si="20"/>
        <v>100.73699999999999</v>
      </c>
      <c r="CW17" s="24">
        <f t="shared" si="20"/>
        <v>0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144.47999999999999</v>
      </c>
      <c r="DD17" s="280">
        <f t="shared" si="21"/>
        <v>164.53</v>
      </c>
      <c r="DE17" s="508">
        <f t="shared" si="31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3"/>
        <v>0</v>
      </c>
    </row>
    <row r="18" spans="1:115" ht="16.5" customHeight="1" thickBot="1">
      <c r="A18" s="534">
        <v>12</v>
      </c>
      <c r="B18" s="103">
        <f>'[1]декабрь 20'!K17</f>
        <v>513.38900000000001</v>
      </c>
      <c r="C18" s="104">
        <f t="shared" si="35"/>
        <v>1.4968413425297387</v>
      </c>
      <c r="D18" s="143">
        <f t="shared" si="36"/>
        <v>505.70438120000006</v>
      </c>
      <c r="E18" s="104">
        <f t="shared" si="37"/>
        <v>37.971631686693712</v>
      </c>
      <c r="F18" s="128">
        <f t="shared" si="38"/>
        <v>2.0926275808987835</v>
      </c>
      <c r="G18" s="106"/>
      <c r="H18" s="107">
        <f t="shared" si="39"/>
        <v>1.5269899081353968</v>
      </c>
      <c r="I18" s="103">
        <f>'[1]сентябрь 20'!AE17</f>
        <v>0</v>
      </c>
      <c r="J18" s="103">
        <f>'[1]декабрь 20'!AA17</f>
        <v>18.943999999999999</v>
      </c>
      <c r="K18" s="106">
        <v>29.45</v>
      </c>
      <c r="L18" s="103">
        <f>'[1]декабрь 20'!AI17</f>
        <v>136.69200000000001</v>
      </c>
      <c r="M18" s="103">
        <f t="shared" si="40"/>
        <v>0.56563767276338661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'[1]декабрь 20'!S17</f>
        <v>324.786</v>
      </c>
      <c r="S18" s="108">
        <f t="shared" si="41"/>
        <v>3.0715609662978038</v>
      </c>
      <c r="T18" s="109">
        <f t="shared" si="42"/>
        <v>314.81</v>
      </c>
      <c r="U18" s="106"/>
      <c r="V18" s="109">
        <f t="shared" si="43"/>
        <v>314.81</v>
      </c>
      <c r="W18" s="110">
        <f t="shared" si="44"/>
        <v>1.3026980054622197</v>
      </c>
      <c r="X18" s="110">
        <f t="shared" si="26"/>
        <v>1.3026980054622197</v>
      </c>
      <c r="Y18" s="136">
        <v>241.66</v>
      </c>
      <c r="Z18" s="130">
        <v>199.25</v>
      </c>
      <c r="AA18" s="131">
        <v>0.72</v>
      </c>
      <c r="AB18" s="112">
        <v>626</v>
      </c>
      <c r="AC18" s="133">
        <v>1187</v>
      </c>
      <c r="AD18" s="144" t="s">
        <v>500</v>
      </c>
      <c r="AE18" s="131">
        <v>76.02</v>
      </c>
      <c r="AF18" s="133">
        <v>171</v>
      </c>
      <c r="AG18" s="134">
        <v>5</v>
      </c>
      <c r="AH18" s="131">
        <v>4.0999999999999996</v>
      </c>
      <c r="AI18" s="115">
        <f t="shared" si="10"/>
        <v>16.965985268559134</v>
      </c>
      <c r="AJ18" s="131">
        <v>155.1</v>
      </c>
      <c r="AK18" s="115">
        <f t="shared" si="45"/>
        <v>641.81080857402958</v>
      </c>
      <c r="AL18" s="139">
        <v>37.950000000000003</v>
      </c>
      <c r="AM18" s="131"/>
      <c r="AN18" s="136">
        <v>15.17</v>
      </c>
      <c r="AO18" s="466">
        <v>58.59</v>
      </c>
      <c r="AP18" s="110">
        <f t="shared" si="46"/>
        <v>0.18936651583710409</v>
      </c>
      <c r="AQ18" s="137" t="s">
        <v>225</v>
      </c>
      <c r="AR18" s="150">
        <v>7.7</v>
      </c>
      <c r="AS18" s="138">
        <v>7.58</v>
      </c>
      <c r="AT18" s="131"/>
      <c r="AU18" s="131">
        <v>7.59</v>
      </c>
      <c r="AV18" s="315">
        <v>309.39999999999998</v>
      </c>
      <c r="AW18" s="131">
        <v>6.02</v>
      </c>
      <c r="AX18" s="116"/>
      <c r="AY18" s="131"/>
      <c r="AZ18" s="109">
        <f t="shared" ref="AZ18:AZ37" si="58">IF(BA18=0,0,AY18/BA18*100)</f>
        <v>0</v>
      </c>
      <c r="BA18" s="109">
        <f t="shared" si="47"/>
        <v>241.66</v>
      </c>
      <c r="BB18" s="115">
        <f>IF(AE18=0,0,((D18*0.97)*(E18/100)*0.9)/(AE18/100))</f>
        <v>220.51714155622193</v>
      </c>
      <c r="BC18" s="140">
        <f t="shared" si="49"/>
        <v>9.1192246478873233</v>
      </c>
      <c r="BD18" s="141">
        <f t="shared" si="50"/>
        <v>9.6663999999999994</v>
      </c>
      <c r="BE18" s="128">
        <f t="shared" si="51"/>
        <v>0.95670195301444316</v>
      </c>
      <c r="BF18" s="141">
        <f t="shared" si="52"/>
        <v>18.785624647887325</v>
      </c>
      <c r="BG18" s="535">
        <v>0.88100000000000001</v>
      </c>
      <c r="BH18" s="16">
        <f t="shared" si="53"/>
        <v>2542.6799999999998</v>
      </c>
      <c r="BI18" s="16">
        <f t="shared" si="54"/>
        <v>225.16129032258064</v>
      </c>
      <c r="BJ18" s="16">
        <f t="shared" si="55"/>
        <v>2701.9354838709678</v>
      </c>
      <c r="BK18" s="17">
        <f t="shared" si="56"/>
        <v>1</v>
      </c>
      <c r="BL18" s="16">
        <f t="shared" si="57"/>
        <v>2701.9354838709678</v>
      </c>
      <c r="BM18" s="249">
        <v>376.697</v>
      </c>
      <c r="BN18" s="195">
        <v>34.134999999999998</v>
      </c>
      <c r="BO18" s="195">
        <v>102.557</v>
      </c>
      <c r="BP18" s="197"/>
      <c r="BQ18" s="230"/>
      <c r="BR18" s="230"/>
      <c r="BS18" s="250"/>
      <c r="BT18" s="199"/>
      <c r="BU18" s="200">
        <v>2.04</v>
      </c>
      <c r="BV18" s="200"/>
      <c r="BW18" s="200"/>
      <c r="BX18" s="200"/>
      <c r="BY18" s="208"/>
      <c r="BZ18" s="208"/>
      <c r="CA18" s="201"/>
      <c r="CB18" s="202">
        <v>36.03</v>
      </c>
      <c r="CC18" s="200">
        <v>43.6</v>
      </c>
      <c r="CD18" s="200">
        <v>43.23</v>
      </c>
      <c r="CE18" s="200"/>
      <c r="CF18" s="208"/>
      <c r="CG18" s="208"/>
      <c r="CH18" s="209"/>
      <c r="CI18" s="199"/>
      <c r="CJ18" s="197"/>
      <c r="CK18" s="268"/>
      <c r="CL18" s="289">
        <v>147.06</v>
      </c>
      <c r="CM18" s="267">
        <v>167.75</v>
      </c>
      <c r="CN18" s="202"/>
      <c r="CO18" s="208"/>
      <c r="CP18" s="208"/>
      <c r="CQ18" s="201"/>
      <c r="CR18" s="201"/>
      <c r="CS18" s="284"/>
      <c r="CT18" s="286">
        <f t="shared" si="20"/>
        <v>369.01238119999999</v>
      </c>
      <c r="CU18" s="24">
        <f t="shared" si="20"/>
        <v>34.134999999999998</v>
      </c>
      <c r="CV18" s="25">
        <f t="shared" si="20"/>
        <v>102.557</v>
      </c>
      <c r="CW18" s="24">
        <f t="shared" si="20"/>
        <v>0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147.06</v>
      </c>
      <c r="DD18" s="280">
        <f t="shared" si="21"/>
        <v>167.75</v>
      </c>
      <c r="DE18" s="508">
        <f t="shared" si="31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3"/>
        <v>0</v>
      </c>
    </row>
    <row r="19" spans="1:115" ht="16.5" customHeight="1" thickBot="1">
      <c r="A19" s="534">
        <v>13</v>
      </c>
      <c r="B19" s="103">
        <f>'[1]декабрь 20'!K18</f>
        <v>501.11500000000001</v>
      </c>
      <c r="C19" s="104">
        <f t="shared" si="35"/>
        <v>0.92658491563812684</v>
      </c>
      <c r="D19" s="143">
        <f t="shared" si="36"/>
        <v>496.471744</v>
      </c>
      <c r="E19" s="104">
        <f>IF(B19=0,0,(BM19*CB19+BN19*CC19+BP19*CE19+BS19*CH19+BO19*CD19+BR19*CG19+BQ19*CF19)/B19)</f>
        <v>37.645324286840335</v>
      </c>
      <c r="F19" s="128">
        <f t="shared" si="38"/>
        <v>2.1829650617772502</v>
      </c>
      <c r="G19" s="106"/>
      <c r="H19" s="107">
        <f t="shared" si="39"/>
        <v>1.6809336675020885</v>
      </c>
      <c r="I19" s="103">
        <f>'[1]сентябрь 20'!AE18</f>
        <v>0</v>
      </c>
      <c r="J19" s="103">
        <f>'[1]декабрь 20'!AA18</f>
        <v>20.513000000000002</v>
      </c>
      <c r="K19" s="106">
        <v>27.1</v>
      </c>
      <c r="L19" s="103">
        <f>'[1]декабрь 20'!AI18</f>
        <v>114.17700000000001</v>
      </c>
      <c r="M19" s="103">
        <f t="shared" si="40"/>
        <v>0.50203139427516152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'[1]декабрь 20'!S18</f>
        <v>318.17700000000002</v>
      </c>
      <c r="S19" s="108">
        <f t="shared" si="41"/>
        <v>2.8999581993670143</v>
      </c>
      <c r="T19" s="109">
        <f t="shared" si="42"/>
        <v>308.95</v>
      </c>
      <c r="U19" s="106">
        <v>10.19</v>
      </c>
      <c r="V19" s="109">
        <f t="shared" si="43"/>
        <v>308.95000000000005</v>
      </c>
      <c r="W19" s="110">
        <f t="shared" si="44"/>
        <v>1.3584399595479928</v>
      </c>
      <c r="X19" s="110">
        <f t="shared" si="26"/>
        <v>1.3584399595479928</v>
      </c>
      <c r="Y19" s="136">
        <v>227.43</v>
      </c>
      <c r="Z19" s="130">
        <v>227.43</v>
      </c>
      <c r="AA19" s="131">
        <v>0.67</v>
      </c>
      <c r="AB19" s="112">
        <v>663</v>
      </c>
      <c r="AC19" s="133">
        <v>1215</v>
      </c>
      <c r="AD19" s="144" t="s">
        <v>501</v>
      </c>
      <c r="AE19" s="131">
        <v>76.41</v>
      </c>
      <c r="AF19" s="133">
        <v>167</v>
      </c>
      <c r="AG19" s="134">
        <v>5</v>
      </c>
      <c r="AH19" s="131">
        <v>4.2</v>
      </c>
      <c r="AI19" s="115">
        <f t="shared" si="10"/>
        <v>18.467220683287167</v>
      </c>
      <c r="AJ19" s="131">
        <v>141.44999999999999</v>
      </c>
      <c r="AK19" s="115">
        <f t="shared" si="45"/>
        <v>621.94961086927833</v>
      </c>
      <c r="AL19" s="139">
        <v>37.9</v>
      </c>
      <c r="AM19" s="131"/>
      <c r="AN19" s="136">
        <v>11.66</v>
      </c>
      <c r="AO19" s="466">
        <v>60.61</v>
      </c>
      <c r="AP19" s="110">
        <f t="shared" si="46"/>
        <v>0.20559701492537313</v>
      </c>
      <c r="AQ19" s="137" t="s">
        <v>238</v>
      </c>
      <c r="AR19" s="150">
        <v>7.73</v>
      </c>
      <c r="AS19" s="138">
        <v>7.74</v>
      </c>
      <c r="AT19" s="134"/>
      <c r="AU19" s="131">
        <v>6.8</v>
      </c>
      <c r="AV19" s="315">
        <v>294.8</v>
      </c>
      <c r="AW19" s="131">
        <v>4.9000000000000004</v>
      </c>
      <c r="AX19" s="116"/>
      <c r="AY19" s="131"/>
      <c r="AZ19" s="109">
        <f t="shared" si="58"/>
        <v>0</v>
      </c>
      <c r="BA19" s="109">
        <f t="shared" si="47"/>
        <v>227.43</v>
      </c>
      <c r="BB19" s="115">
        <f t="shared" si="48"/>
        <v>213.53527217984904</v>
      </c>
      <c r="BC19" s="140">
        <f t="shared" si="49"/>
        <v>7.4510281690140836</v>
      </c>
      <c r="BD19" s="141">
        <f t="shared" si="50"/>
        <v>9.0972000000000008</v>
      </c>
      <c r="BE19" s="128">
        <f t="shared" si="51"/>
        <v>0.92980605954774198</v>
      </c>
      <c r="BF19" s="141">
        <f t="shared" si="52"/>
        <v>16.548228169014084</v>
      </c>
      <c r="BG19" s="535">
        <v>0.88500000000000001</v>
      </c>
      <c r="BH19" s="16">
        <f t="shared" si="53"/>
        <v>2770.1099999999997</v>
      </c>
      <c r="BI19" s="16">
        <f t="shared" si="54"/>
        <v>225.16129032258064</v>
      </c>
      <c r="BJ19" s="16">
        <f t="shared" si="55"/>
        <v>2927.0967741935483</v>
      </c>
      <c r="BK19" s="17">
        <f t="shared" si="56"/>
        <v>1</v>
      </c>
      <c r="BL19" s="16">
        <f t="shared" si="57"/>
        <v>2927.0967741935483</v>
      </c>
      <c r="BM19" s="254">
        <v>386.93799999999999</v>
      </c>
      <c r="BN19" s="197">
        <v>23.954000000000001</v>
      </c>
      <c r="BO19" s="197">
        <v>90.222999999999999</v>
      </c>
      <c r="BP19" s="197"/>
      <c r="BQ19" s="230"/>
      <c r="BR19" s="230"/>
      <c r="BS19" s="258"/>
      <c r="BT19" s="199"/>
      <c r="BU19" s="200">
        <v>1.2</v>
      </c>
      <c r="BV19" s="200"/>
      <c r="BW19" s="200"/>
      <c r="BX19" s="200"/>
      <c r="BY19" s="208"/>
      <c r="BZ19" s="208"/>
      <c r="CA19" s="201"/>
      <c r="CB19" s="202">
        <v>35.86</v>
      </c>
      <c r="CC19" s="200">
        <v>43.83</v>
      </c>
      <c r="CD19" s="200">
        <v>43.66</v>
      </c>
      <c r="CE19" s="200"/>
      <c r="CF19" s="208"/>
      <c r="CG19" s="208"/>
      <c r="CH19" s="209"/>
      <c r="CI19" s="199"/>
      <c r="CJ19" s="197"/>
      <c r="CK19" s="197"/>
      <c r="CL19" s="197">
        <v>143.62</v>
      </c>
      <c r="CM19" s="198">
        <v>165.33</v>
      </c>
      <c r="CN19" s="202"/>
      <c r="CO19" s="208"/>
      <c r="CP19" s="208"/>
      <c r="CQ19" s="201"/>
      <c r="CR19" s="201"/>
      <c r="CS19" s="284"/>
      <c r="CT19" s="286">
        <f t="shared" si="20"/>
        <v>382.29474399999998</v>
      </c>
      <c r="CU19" s="24">
        <f t="shared" si="20"/>
        <v>23.954000000000001</v>
      </c>
      <c r="CV19" s="25">
        <f t="shared" si="20"/>
        <v>90.222999999999999</v>
      </c>
      <c r="CW19" s="24">
        <f t="shared" si="20"/>
        <v>0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0</v>
      </c>
      <c r="DC19" s="277">
        <f t="shared" si="21"/>
        <v>143.62</v>
      </c>
      <c r="DD19" s="280">
        <f t="shared" si="21"/>
        <v>165.33</v>
      </c>
      <c r="DE19" s="508">
        <f t="shared" si="31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3"/>
        <v>0</v>
      </c>
    </row>
    <row r="20" spans="1:115" ht="16.5" customHeight="1" thickBot="1">
      <c r="A20" s="534">
        <v>14</v>
      </c>
      <c r="B20" s="103">
        <f>'[1]декабрь 20'!K19</f>
        <v>483.01600000000002</v>
      </c>
      <c r="C20" s="104">
        <f t="shared" si="35"/>
        <v>3.4309051252960558</v>
      </c>
      <c r="D20" s="143">
        <f t="shared" si="36"/>
        <v>466.44417930000009</v>
      </c>
      <c r="E20" s="104">
        <f t="shared" ref="E20:E21" si="59">IF(B20=0,0,(BM20*CB20+BN20*CC20+BP20*CE20+BS20*CH20+BO20*CD20+BR20*CG20+BQ20*CF20)/B20)</f>
        <v>38.440242621362444</v>
      </c>
      <c r="F20" s="128">
        <f t="shared" si="38"/>
        <v>2.1034686777903047</v>
      </c>
      <c r="G20" s="106"/>
      <c r="H20" s="107">
        <f t="shared" si="39"/>
        <v>1.6591890836527623</v>
      </c>
      <c r="I20" s="103">
        <f>'[1]сентябрь 20'!AE19</f>
        <v>0</v>
      </c>
      <c r="J20" s="103">
        <f>'[1]декабрь 20'!AA19</f>
        <v>20.663</v>
      </c>
      <c r="K20" s="106">
        <v>44.57</v>
      </c>
      <c r="L20" s="103">
        <f>'[1]декабрь 20'!AI19</f>
        <v>98.519000000000005</v>
      </c>
      <c r="M20" s="103">
        <f t="shared" si="40"/>
        <v>0.44427959413754231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'[1]декабрь 20'!S19</f>
        <v>306.64600000000002</v>
      </c>
      <c r="S20" s="108">
        <f t="shared" si="41"/>
        <v>2.8684541784337658</v>
      </c>
      <c r="T20" s="109">
        <f t="shared" si="42"/>
        <v>297.85000000000002</v>
      </c>
      <c r="U20" s="106">
        <v>36.19</v>
      </c>
      <c r="V20" s="109">
        <f t="shared" si="43"/>
        <v>297.85000000000002</v>
      </c>
      <c r="W20" s="110">
        <f t="shared" si="44"/>
        <v>1.3431792559188276</v>
      </c>
      <c r="X20" s="110">
        <f t="shared" si="26"/>
        <v>1.3431792559188276</v>
      </c>
      <c r="Y20" s="136">
        <v>221.75</v>
      </c>
      <c r="Z20" s="130">
        <v>221.75</v>
      </c>
      <c r="AA20" s="131">
        <v>0.75</v>
      </c>
      <c r="AB20" s="112">
        <v>661</v>
      </c>
      <c r="AC20" s="133">
        <v>1225</v>
      </c>
      <c r="AD20" s="151" t="s">
        <v>502</v>
      </c>
      <c r="AE20" s="131">
        <v>76.72</v>
      </c>
      <c r="AF20" s="133">
        <v>161</v>
      </c>
      <c r="AG20" s="134">
        <v>5</v>
      </c>
      <c r="AH20" s="131">
        <v>6.75</v>
      </c>
      <c r="AI20" s="115">
        <f t="shared" si="10"/>
        <v>30.439684329199547</v>
      </c>
      <c r="AJ20" s="131">
        <v>145.44999999999999</v>
      </c>
      <c r="AK20" s="115">
        <f t="shared" si="45"/>
        <v>655.91882750845548</v>
      </c>
      <c r="AL20" s="139">
        <v>37.81</v>
      </c>
      <c r="AM20" s="131"/>
      <c r="AN20" s="136">
        <v>14.37</v>
      </c>
      <c r="AO20" s="466">
        <v>59.43</v>
      </c>
      <c r="AP20" s="110">
        <f t="shared" si="46"/>
        <v>0.20276356192425793</v>
      </c>
      <c r="AQ20" s="137" t="s">
        <v>238</v>
      </c>
      <c r="AR20" s="150">
        <v>7.37</v>
      </c>
      <c r="AS20" s="138">
        <v>7.48</v>
      </c>
      <c r="AT20" s="131"/>
      <c r="AU20" s="131">
        <v>7.13</v>
      </c>
      <c r="AV20" s="315">
        <v>293.10000000000002</v>
      </c>
      <c r="AW20" s="131">
        <v>2.4500000000000002</v>
      </c>
      <c r="AX20" s="148"/>
      <c r="AY20" s="131"/>
      <c r="AZ20" s="109">
        <f t="shared" si="58"/>
        <v>0</v>
      </c>
      <c r="BA20" s="109">
        <f t="shared" si="47"/>
        <v>221.75</v>
      </c>
      <c r="BB20" s="115">
        <f t="shared" si="48"/>
        <v>204.02878700559532</v>
      </c>
      <c r="BC20" s="140">
        <f t="shared" si="49"/>
        <v>8.0335517605633786</v>
      </c>
      <c r="BD20" s="141">
        <f t="shared" si="50"/>
        <v>8.870000000000001</v>
      </c>
      <c r="BE20" s="128">
        <f t="shared" si="51"/>
        <v>0.94882566740295815</v>
      </c>
      <c r="BF20" s="141">
        <f t="shared" si="52"/>
        <v>16.903551760563381</v>
      </c>
      <c r="BG20" s="535">
        <v>0.88900000000000001</v>
      </c>
      <c r="BH20" s="16">
        <f t="shared" si="53"/>
        <v>2991.8599999999997</v>
      </c>
      <c r="BI20" s="16">
        <f t="shared" si="54"/>
        <v>225.16129032258064</v>
      </c>
      <c r="BJ20" s="16">
        <f t="shared" si="55"/>
        <v>3152.2580645161288</v>
      </c>
      <c r="BK20" s="17">
        <f t="shared" si="56"/>
        <v>1</v>
      </c>
      <c r="BL20" s="16">
        <f t="shared" si="57"/>
        <v>3152.2580645161288</v>
      </c>
      <c r="BM20" s="254">
        <v>384.49700000000001</v>
      </c>
      <c r="BN20" s="197">
        <v>15.971</v>
      </c>
      <c r="BO20" s="197">
        <v>82.548000000000002</v>
      </c>
      <c r="BP20" s="197"/>
      <c r="BQ20" s="230"/>
      <c r="BR20" s="230"/>
      <c r="BS20" s="259"/>
      <c r="BT20" s="199"/>
      <c r="BU20" s="200">
        <v>4.3099999999999996</v>
      </c>
      <c r="BV20" s="200"/>
      <c r="BW20" s="200"/>
      <c r="BX20" s="200"/>
      <c r="BY20" s="208"/>
      <c r="BZ20" s="208"/>
      <c r="CA20" s="201"/>
      <c r="CB20" s="202">
        <v>37.06</v>
      </c>
      <c r="CC20" s="200">
        <v>44.07</v>
      </c>
      <c r="CD20" s="200">
        <v>43.78</v>
      </c>
      <c r="CE20" s="200"/>
      <c r="CF20" s="208"/>
      <c r="CG20" s="208"/>
      <c r="CH20" s="209"/>
      <c r="CI20" s="199"/>
      <c r="CJ20" s="197"/>
      <c r="CK20" s="197"/>
      <c r="CL20" s="197">
        <v>138.46</v>
      </c>
      <c r="CM20" s="198">
        <v>159.38999999999999</v>
      </c>
      <c r="CN20" s="202"/>
      <c r="CO20" s="208"/>
      <c r="CP20" s="208"/>
      <c r="CQ20" s="201"/>
      <c r="CR20" s="201"/>
      <c r="CS20" s="284"/>
      <c r="CT20" s="286">
        <f t="shared" si="20"/>
        <v>367.92517930000002</v>
      </c>
      <c r="CU20" s="24">
        <f t="shared" si="20"/>
        <v>15.971</v>
      </c>
      <c r="CV20" s="25">
        <f t="shared" si="20"/>
        <v>82.548000000000002</v>
      </c>
      <c r="CW20" s="24">
        <f t="shared" si="20"/>
        <v>0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0</v>
      </c>
      <c r="DC20" s="277">
        <f t="shared" si="21"/>
        <v>138.46</v>
      </c>
      <c r="DD20" s="280">
        <f t="shared" si="21"/>
        <v>159.38999999999999</v>
      </c>
      <c r="DE20" s="508">
        <f t="shared" si="31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3"/>
        <v>0</v>
      </c>
    </row>
    <row r="21" spans="1:115" ht="16.5" customHeight="1" thickBot="1">
      <c r="A21" s="534">
        <v>15</v>
      </c>
      <c r="B21" s="103">
        <f>'[1]декабрь 20'!K20</f>
        <v>540.096</v>
      </c>
      <c r="C21" s="104">
        <f t="shared" si="35"/>
        <v>3.0572540066951062</v>
      </c>
      <c r="D21" s="143">
        <f t="shared" si="36"/>
        <v>523.58389340000008</v>
      </c>
      <c r="E21" s="104">
        <f t="shared" si="59"/>
        <v>38.281816047517481</v>
      </c>
      <c r="F21" s="128">
        <f t="shared" si="38"/>
        <v>2.2995471623698891</v>
      </c>
      <c r="G21" s="106"/>
      <c r="H21" s="107">
        <f t="shared" si="39"/>
        <v>1.7680921138389916</v>
      </c>
      <c r="I21" s="103">
        <f>'[1]сентябрь 20'!AE20</f>
        <v>0</v>
      </c>
      <c r="J21" s="103">
        <f>'[1]декабрь 20'!AA20</f>
        <v>21.675999999999998</v>
      </c>
      <c r="K21" s="106">
        <v>37.130000000000003</v>
      </c>
      <c r="L21" s="103">
        <f>'[1]декабрь 20'!AI20</f>
        <v>121.00700000000001</v>
      </c>
      <c r="M21" s="103">
        <f t="shared" si="40"/>
        <v>0.5314550485308972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'[1]декабрь 20'!S20</f>
        <v>339.30900000000003</v>
      </c>
      <c r="S21" s="108">
        <f t="shared" si="41"/>
        <v>2.9085582757899187</v>
      </c>
      <c r="T21" s="109">
        <f t="shared" si="42"/>
        <v>329.44</v>
      </c>
      <c r="U21" s="106">
        <v>19.27</v>
      </c>
      <c r="V21" s="109">
        <f t="shared" si="43"/>
        <v>329.44</v>
      </c>
      <c r="W21" s="110">
        <f t="shared" si="44"/>
        <v>1.4468795291844172</v>
      </c>
      <c r="X21" s="110">
        <f t="shared" si="26"/>
        <v>1.4468795291844172</v>
      </c>
      <c r="Y21" s="136">
        <v>227.69</v>
      </c>
      <c r="Z21" s="130"/>
      <c r="AA21" s="131">
        <v>1.48</v>
      </c>
      <c r="AB21" s="112">
        <v>631</v>
      </c>
      <c r="AC21" s="133">
        <v>1233</v>
      </c>
      <c r="AD21" s="151" t="s">
        <v>500</v>
      </c>
      <c r="AE21" s="131">
        <v>76.7</v>
      </c>
      <c r="AF21" s="133">
        <v>180</v>
      </c>
      <c r="AG21" s="134">
        <v>5</v>
      </c>
      <c r="AH21" s="131">
        <v>4.3499999999999996</v>
      </c>
      <c r="AI21" s="115">
        <f t="shared" si="10"/>
        <v>19.104923360709734</v>
      </c>
      <c r="AJ21" s="131">
        <v>134.6</v>
      </c>
      <c r="AK21" s="115">
        <f t="shared" si="45"/>
        <v>591.15464008081153</v>
      </c>
      <c r="AL21" s="139">
        <v>31.15</v>
      </c>
      <c r="AM21" s="131"/>
      <c r="AN21" s="136">
        <v>14.53</v>
      </c>
      <c r="AO21" s="466">
        <v>56.51</v>
      </c>
      <c r="AP21" s="110">
        <f t="shared" si="46"/>
        <v>0.19117050067658997</v>
      </c>
      <c r="AQ21" s="137" t="s">
        <v>209</v>
      </c>
      <c r="AR21" s="150">
        <v>7.89</v>
      </c>
      <c r="AS21" s="138">
        <v>7.28</v>
      </c>
      <c r="AT21" s="131"/>
      <c r="AU21" s="131">
        <v>6.67</v>
      </c>
      <c r="AV21" s="315">
        <v>295.60000000000002</v>
      </c>
      <c r="AW21" s="131">
        <v>3.13</v>
      </c>
      <c r="AX21" s="116"/>
      <c r="AY21" s="131"/>
      <c r="AZ21" s="109">
        <f t="shared" si="58"/>
        <v>0</v>
      </c>
      <c r="BA21" s="109">
        <f t="shared" si="47"/>
        <v>227.69000000000003</v>
      </c>
      <c r="BB21" s="115">
        <f t="shared" si="48"/>
        <v>228.13803157006407</v>
      </c>
      <c r="BC21" s="140">
        <f t="shared" si="49"/>
        <v>6.9546492957746473</v>
      </c>
      <c r="BD21" s="141">
        <f t="shared" si="50"/>
        <v>9.1076000000000015</v>
      </c>
      <c r="BE21" s="128">
        <f t="shared" si="51"/>
        <v>0.87128554863047547</v>
      </c>
      <c r="BF21" s="141">
        <f t="shared" si="52"/>
        <v>16.062249295774649</v>
      </c>
      <c r="BG21" s="535">
        <v>0.88800000000000001</v>
      </c>
      <c r="BH21" s="16">
        <f t="shared" si="53"/>
        <v>3219.5499999999997</v>
      </c>
      <c r="BI21" s="16">
        <f t="shared" si="54"/>
        <v>225.16129032258064</v>
      </c>
      <c r="BJ21" s="16">
        <f t="shared" si="55"/>
        <v>3377.4193548387093</v>
      </c>
      <c r="BK21" s="17">
        <f t="shared" si="56"/>
        <v>1</v>
      </c>
      <c r="BL21" s="16">
        <f t="shared" si="57"/>
        <v>3377.4193548387093</v>
      </c>
      <c r="BM21" s="254">
        <v>419.089</v>
      </c>
      <c r="BN21" s="197">
        <v>21.99</v>
      </c>
      <c r="BO21" s="197">
        <v>99.016999999999996</v>
      </c>
      <c r="BP21" s="197"/>
      <c r="BQ21" s="230"/>
      <c r="BR21" s="230"/>
      <c r="BS21" s="259"/>
      <c r="BT21" s="199"/>
      <c r="BU21" s="200">
        <v>3.94</v>
      </c>
      <c r="BV21" s="200"/>
      <c r="BW21" s="200"/>
      <c r="BX21" s="200"/>
      <c r="BY21" s="208"/>
      <c r="BZ21" s="208"/>
      <c r="CA21" s="201"/>
      <c r="CB21" s="202">
        <v>36.72</v>
      </c>
      <c r="CC21" s="200">
        <v>43.56</v>
      </c>
      <c r="CD21" s="200">
        <v>43.72</v>
      </c>
      <c r="CE21" s="200"/>
      <c r="CF21" s="208"/>
      <c r="CG21" s="208"/>
      <c r="CH21" s="209"/>
      <c r="CI21" s="199"/>
      <c r="CJ21" s="197"/>
      <c r="CK21" s="197">
        <v>17.100000000000001</v>
      </c>
      <c r="CL21" s="197">
        <v>138.46</v>
      </c>
      <c r="CM21" s="198">
        <v>173.88</v>
      </c>
      <c r="CN21" s="202"/>
      <c r="CO21" s="208"/>
      <c r="CP21" s="208"/>
      <c r="CQ21" s="201"/>
      <c r="CR21" s="201"/>
      <c r="CS21" s="284"/>
      <c r="CT21" s="286">
        <f t="shared" si="20"/>
        <v>402.57689340000002</v>
      </c>
      <c r="CU21" s="27">
        <f t="shared" si="20"/>
        <v>21.99</v>
      </c>
      <c r="CV21" s="28">
        <f t="shared" si="20"/>
        <v>99.016999999999996</v>
      </c>
      <c r="CW21" s="27">
        <f t="shared" si="20"/>
        <v>0</v>
      </c>
      <c r="CX21" s="27">
        <f t="shared" si="20"/>
        <v>0</v>
      </c>
      <c r="CY21" s="24">
        <f t="shared" si="20"/>
        <v>0</v>
      </c>
      <c r="CZ21" s="281">
        <f t="shared" si="20"/>
        <v>0</v>
      </c>
      <c r="DA21" s="237">
        <f t="shared" si="21"/>
        <v>0</v>
      </c>
      <c r="DB21" s="24">
        <f t="shared" si="21"/>
        <v>17.100000000000001</v>
      </c>
      <c r="DC21" s="277">
        <f t="shared" si="21"/>
        <v>138.46</v>
      </c>
      <c r="DD21" s="280">
        <f t="shared" si="21"/>
        <v>173.88</v>
      </c>
      <c r="DE21" s="508">
        <f t="shared" si="31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3"/>
        <v>0</v>
      </c>
    </row>
    <row r="22" spans="1:115" ht="16.5" customHeight="1" thickBot="1">
      <c r="A22" s="534">
        <v>16</v>
      </c>
      <c r="B22" s="103">
        <f>'[1]декабрь 20'!K21</f>
        <v>483.32400000000001</v>
      </c>
      <c r="C22" s="104">
        <f t="shared" si="35"/>
        <v>1.623883357747598</v>
      </c>
      <c r="D22" s="143">
        <f t="shared" si="36"/>
        <v>475.47538199999997</v>
      </c>
      <c r="E22" s="104">
        <f>IF(B22=0,0,(BM22*CB22+BN22*CC22+BP22*CE22+BS22*CH22+BO22*CD22+BR22*CG22+BQ22*CF22)/B22)</f>
        <v>37.661162781074395</v>
      </c>
      <c r="F22" s="128">
        <f t="shared" si="38"/>
        <v>2.1537137382796572</v>
      </c>
      <c r="G22" s="106"/>
      <c r="H22" s="107">
        <f t="shared" si="39"/>
        <v>1.6179887756488651</v>
      </c>
      <c r="I22" s="103">
        <f>'[1]сентябрь 20'!AE21</f>
        <v>0</v>
      </c>
      <c r="J22" s="103">
        <f>'[1]декабрь 20'!AA21</f>
        <v>19.861999999999998</v>
      </c>
      <c r="K22" s="106">
        <v>31.58</v>
      </c>
      <c r="L22" s="103">
        <f>'[1]декабрь 20'!AI21</f>
        <v>118.27200000000001</v>
      </c>
      <c r="M22" s="103">
        <f t="shared" si="40"/>
        <v>0.53572496263079217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'[1]декабрь 20'!S21</f>
        <v>298.49900000000002</v>
      </c>
      <c r="S22" s="108">
        <f t="shared" si="41"/>
        <v>3.2526072114144489</v>
      </c>
      <c r="T22" s="109">
        <f t="shared" si="42"/>
        <v>288.79000000000002</v>
      </c>
      <c r="U22" s="106">
        <v>27.99</v>
      </c>
      <c r="V22" s="109">
        <f t="shared" si="43"/>
        <v>288.79000000000002</v>
      </c>
      <c r="W22" s="110">
        <f t="shared" si="44"/>
        <v>1.3081034560855189</v>
      </c>
      <c r="X22" s="110">
        <f t="shared" si="26"/>
        <v>1.3081034560855189</v>
      </c>
      <c r="Y22" s="136">
        <v>220.77</v>
      </c>
      <c r="Z22" s="129">
        <v>141.93</v>
      </c>
      <c r="AA22" s="131">
        <v>0.98</v>
      </c>
      <c r="AB22" s="112">
        <v>598</v>
      </c>
      <c r="AC22" s="152">
        <v>1213</v>
      </c>
      <c r="AD22" s="144" t="s">
        <v>438</v>
      </c>
      <c r="AE22" s="131">
        <v>76.39</v>
      </c>
      <c r="AF22" s="133">
        <v>161</v>
      </c>
      <c r="AG22" s="134">
        <v>5</v>
      </c>
      <c r="AH22" s="131">
        <v>5.4</v>
      </c>
      <c r="AI22" s="115">
        <f t="shared" si="10"/>
        <v>24.459845087647778</v>
      </c>
      <c r="AJ22" s="131">
        <v>140.69999999999999</v>
      </c>
      <c r="AK22" s="115">
        <f t="shared" si="45"/>
        <v>637.31485256148926</v>
      </c>
      <c r="AL22" s="139">
        <v>25.21</v>
      </c>
      <c r="AM22" s="131"/>
      <c r="AN22" s="136">
        <v>15.36</v>
      </c>
      <c r="AO22" s="466">
        <v>58.1</v>
      </c>
      <c r="AP22" s="110">
        <f t="shared" si="46"/>
        <v>0.19982803095442822</v>
      </c>
      <c r="AQ22" s="137" t="s">
        <v>206</v>
      </c>
      <c r="AR22" s="150">
        <v>7.14</v>
      </c>
      <c r="AS22" s="138">
        <v>7.7</v>
      </c>
      <c r="AT22" s="134"/>
      <c r="AU22" s="131">
        <v>6.65</v>
      </c>
      <c r="AV22" s="315">
        <v>290.75</v>
      </c>
      <c r="AW22" s="131">
        <v>3.48</v>
      </c>
      <c r="AX22" s="116"/>
      <c r="AY22" s="131"/>
      <c r="AZ22" s="109">
        <f t="shared" si="58"/>
        <v>0</v>
      </c>
      <c r="BA22" s="109">
        <f t="shared" si="47"/>
        <v>220.77</v>
      </c>
      <c r="BB22" s="115">
        <f t="shared" si="48"/>
        <v>204.6442254010839</v>
      </c>
      <c r="BC22" s="140">
        <f t="shared" si="49"/>
        <v>7.248031690140845</v>
      </c>
      <c r="BD22" s="141">
        <f t="shared" si="50"/>
        <v>8.8308</v>
      </c>
      <c r="BE22" s="128">
        <f t="shared" si="51"/>
        <v>0.94179158792417728</v>
      </c>
      <c r="BF22" s="141">
        <f t="shared" si="52"/>
        <v>16.078831690140845</v>
      </c>
      <c r="BG22" s="535">
        <v>0.89100000000000001</v>
      </c>
      <c r="BH22" s="16">
        <f t="shared" si="53"/>
        <v>3440.3199999999997</v>
      </c>
      <c r="BI22" s="16">
        <f t="shared" si="54"/>
        <v>225.16129032258064</v>
      </c>
      <c r="BJ22" s="16">
        <f t="shared" si="55"/>
        <v>3602.5806451612898</v>
      </c>
      <c r="BK22" s="17">
        <f t="shared" si="56"/>
        <v>1</v>
      </c>
      <c r="BL22" s="16">
        <f t="shared" si="57"/>
        <v>3602.5806451612898</v>
      </c>
      <c r="BM22" s="254">
        <v>365.05200000000002</v>
      </c>
      <c r="BN22" s="197">
        <v>24.286999999999999</v>
      </c>
      <c r="BO22" s="197">
        <v>93.984999999999999</v>
      </c>
      <c r="BP22" s="197"/>
      <c r="BQ22" s="230"/>
      <c r="BR22" s="230"/>
      <c r="BS22" s="258"/>
      <c r="BT22" s="199"/>
      <c r="BU22" s="200">
        <v>2.15</v>
      </c>
      <c r="BV22" s="200"/>
      <c r="BW22" s="200"/>
      <c r="BX22" s="200"/>
      <c r="BY22" s="208"/>
      <c r="BZ22" s="208"/>
      <c r="CA22" s="201"/>
      <c r="CB22" s="202">
        <v>35.729999999999997</v>
      </c>
      <c r="CC22" s="200">
        <v>43.59</v>
      </c>
      <c r="CD22" s="200">
        <v>43.63</v>
      </c>
      <c r="CE22" s="200"/>
      <c r="CF22" s="208"/>
      <c r="CG22" s="208"/>
      <c r="CH22" s="201"/>
      <c r="CI22" s="199"/>
      <c r="CJ22" s="197"/>
      <c r="CK22" s="197">
        <v>144.46</v>
      </c>
      <c r="CL22" s="197"/>
      <c r="CM22" s="198">
        <v>144.33000000000001</v>
      </c>
      <c r="CN22" s="202"/>
      <c r="CO22" s="200"/>
      <c r="CP22" s="208"/>
      <c r="CQ22" s="201"/>
      <c r="CR22" s="201"/>
      <c r="CS22" s="284"/>
      <c r="CT22" s="286">
        <f t="shared" si="20"/>
        <v>357.20338199999998</v>
      </c>
      <c r="CU22" s="29">
        <f t="shared" si="20"/>
        <v>24.286999999999999</v>
      </c>
      <c r="CV22" s="30">
        <f t="shared" si="20"/>
        <v>93.984999999999999</v>
      </c>
      <c r="CW22" s="29">
        <f t="shared" si="20"/>
        <v>0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21"/>
        <v>0</v>
      </c>
      <c r="DB22" s="24">
        <f t="shared" si="21"/>
        <v>144.46</v>
      </c>
      <c r="DC22" s="277">
        <f t="shared" si="21"/>
        <v>0</v>
      </c>
      <c r="DD22" s="280">
        <f t="shared" si="21"/>
        <v>144.33000000000001</v>
      </c>
      <c r="DE22" s="508">
        <f t="shared" si="31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3"/>
        <v>0</v>
      </c>
    </row>
    <row r="23" spans="1:115" ht="16.5" customHeight="1" thickBot="1">
      <c r="A23" s="534">
        <v>17</v>
      </c>
      <c r="B23" s="103">
        <f>'[1]декабрь 20'!K22</f>
        <v>495.096</v>
      </c>
      <c r="C23" s="104">
        <f t="shared" si="35"/>
        <v>1.0352363985974435</v>
      </c>
      <c r="D23" s="143">
        <f t="shared" si="36"/>
        <v>489.97058599999997</v>
      </c>
      <c r="E23" s="104">
        <f t="shared" ref="E23:E37" si="60">IF(B23=0,0,(BM23*CB23+BN23*CC23+BP23*CE23+BS23*CH23+BO23*CD23+BR23*CG23+BQ23*CF23)/B23)</f>
        <v>37.667573480698692</v>
      </c>
      <c r="F23" s="128">
        <f t="shared" si="38"/>
        <v>2.1017955816746738</v>
      </c>
      <c r="G23" s="106"/>
      <c r="H23" s="107">
        <f t="shared" si="39"/>
        <v>1.5484539550446124</v>
      </c>
      <c r="I23" s="103">
        <f>'[1]сентябрь 20'!AE22</f>
        <v>0</v>
      </c>
      <c r="J23" s="103">
        <f>'[1]декабрь 20'!AA22</f>
        <v>19.776</v>
      </c>
      <c r="K23" s="106">
        <v>36</v>
      </c>
      <c r="L23" s="103">
        <f>'[1]декабрь 20'!AI22</f>
        <v>128.995</v>
      </c>
      <c r="M23" s="103">
        <f t="shared" si="40"/>
        <v>0.55334162663006181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'[1]декабрь 20'!S22</f>
        <v>303.34899999999999</v>
      </c>
      <c r="S23" s="108">
        <f t="shared" si="41"/>
        <v>3.2137900569970457</v>
      </c>
      <c r="T23" s="109">
        <f t="shared" si="42"/>
        <v>293.60000000000002</v>
      </c>
      <c r="U23" s="106">
        <v>48.17</v>
      </c>
      <c r="V23" s="109">
        <f t="shared" si="43"/>
        <v>293.60000000000002</v>
      </c>
      <c r="W23" s="110">
        <f t="shared" si="44"/>
        <v>1.2594371997254634</v>
      </c>
      <c r="X23" s="110">
        <f t="shared" si="26"/>
        <v>1.2594371997254634</v>
      </c>
      <c r="Y23" s="136">
        <v>233.12</v>
      </c>
      <c r="Z23" s="129">
        <v>92.89</v>
      </c>
      <c r="AA23" s="131">
        <v>1.01</v>
      </c>
      <c r="AB23" s="112">
        <v>646</v>
      </c>
      <c r="AC23" s="133">
        <v>1228</v>
      </c>
      <c r="AD23" s="144" t="s">
        <v>476</v>
      </c>
      <c r="AE23" s="131">
        <v>76.14</v>
      </c>
      <c r="AF23" s="133">
        <v>165</v>
      </c>
      <c r="AG23" s="134">
        <v>5</v>
      </c>
      <c r="AH23" s="131"/>
      <c r="AI23" s="115">
        <f t="shared" si="10"/>
        <v>0</v>
      </c>
      <c r="AJ23" s="131">
        <v>128.80000000000001</v>
      </c>
      <c r="AK23" s="115">
        <f t="shared" si="45"/>
        <v>552.50514756348673</v>
      </c>
      <c r="AL23" s="139">
        <v>26.7</v>
      </c>
      <c r="AM23" s="131"/>
      <c r="AN23" s="136">
        <v>12.44</v>
      </c>
      <c r="AO23" s="466">
        <v>48.21</v>
      </c>
      <c r="AP23" s="110">
        <f t="shared" si="46"/>
        <v>0.16661482633488853</v>
      </c>
      <c r="AQ23" s="137" t="s">
        <v>503</v>
      </c>
      <c r="AR23" s="150">
        <v>6.97</v>
      </c>
      <c r="AS23" s="138">
        <v>7.13</v>
      </c>
      <c r="AT23" s="134"/>
      <c r="AU23" s="131">
        <v>6.72</v>
      </c>
      <c r="AV23" s="315">
        <v>289.35000000000002</v>
      </c>
      <c r="AW23" s="131">
        <v>4.42</v>
      </c>
      <c r="AX23" s="116"/>
      <c r="AY23" s="131"/>
      <c r="AZ23" s="109">
        <f t="shared" si="58"/>
        <v>0</v>
      </c>
      <c r="BA23" s="109">
        <f t="shared" si="47"/>
        <v>233.12</v>
      </c>
      <c r="BB23" s="115">
        <f t="shared" si="48"/>
        <v>211.611382505791</v>
      </c>
      <c r="BC23" s="140">
        <f t="shared" si="49"/>
        <v>6.7048563380281685</v>
      </c>
      <c r="BD23" s="141">
        <f t="shared" si="50"/>
        <v>9.3247999999999998</v>
      </c>
      <c r="BE23" s="128">
        <f t="shared" si="51"/>
        <v>0.96173352108991872</v>
      </c>
      <c r="BF23" s="141">
        <f t="shared" si="52"/>
        <v>16.029656338028168</v>
      </c>
      <c r="BG23" s="535">
        <v>0.89500000000000002</v>
      </c>
      <c r="BH23" s="16">
        <f t="shared" si="53"/>
        <v>3673.4399999999996</v>
      </c>
      <c r="BI23" s="16">
        <f t="shared" si="54"/>
        <v>225.16129032258064</v>
      </c>
      <c r="BJ23" s="16">
        <f t="shared" si="55"/>
        <v>3827.7419354838703</v>
      </c>
      <c r="BK23" s="17">
        <f t="shared" si="56"/>
        <v>1</v>
      </c>
      <c r="BL23" s="16">
        <f t="shared" si="57"/>
        <v>3827.7419354838703</v>
      </c>
      <c r="BM23" s="254">
        <v>366.101</v>
      </c>
      <c r="BN23" s="197">
        <v>24.524999999999999</v>
      </c>
      <c r="BO23" s="197">
        <v>104.47</v>
      </c>
      <c r="BP23" s="197"/>
      <c r="BQ23" s="230"/>
      <c r="BR23" s="230"/>
      <c r="BS23" s="258"/>
      <c r="BT23" s="199"/>
      <c r="BU23" s="200">
        <v>1.4</v>
      </c>
      <c r="BV23" s="200"/>
      <c r="BW23" s="200"/>
      <c r="BX23" s="200"/>
      <c r="BY23" s="208"/>
      <c r="BZ23" s="208"/>
      <c r="CA23" s="201"/>
      <c r="CB23" s="202">
        <v>35.51</v>
      </c>
      <c r="CC23" s="200">
        <v>43.71</v>
      </c>
      <c r="CD23" s="200">
        <v>43.81</v>
      </c>
      <c r="CE23" s="200"/>
      <c r="CF23" s="208"/>
      <c r="CG23" s="208"/>
      <c r="CH23" s="209"/>
      <c r="CI23" s="199"/>
      <c r="CJ23" s="197"/>
      <c r="CK23" s="197">
        <v>146.85</v>
      </c>
      <c r="CL23" s="197"/>
      <c r="CM23" s="198">
        <v>146.75</v>
      </c>
      <c r="CN23" s="202"/>
      <c r="CO23" s="208"/>
      <c r="CP23" s="208"/>
      <c r="CQ23" s="201"/>
      <c r="CR23" s="201"/>
      <c r="CS23" s="284"/>
      <c r="CT23" s="286">
        <f t="shared" si="20"/>
        <v>360.97558600000002</v>
      </c>
      <c r="CU23" s="24">
        <f t="shared" si="20"/>
        <v>24.524999999999999</v>
      </c>
      <c r="CV23" s="25">
        <f t="shared" si="20"/>
        <v>104.47</v>
      </c>
      <c r="CW23" s="24">
        <f t="shared" si="20"/>
        <v>0</v>
      </c>
      <c r="CX23" s="27">
        <f t="shared" si="20"/>
        <v>0</v>
      </c>
      <c r="CY23" s="24">
        <f t="shared" si="20"/>
        <v>0</v>
      </c>
      <c r="CZ23" s="280">
        <f t="shared" si="20"/>
        <v>0</v>
      </c>
      <c r="DA23" s="237">
        <f t="shared" si="21"/>
        <v>0</v>
      </c>
      <c r="DB23" s="29">
        <f t="shared" si="21"/>
        <v>146.85</v>
      </c>
      <c r="DC23" s="277">
        <f t="shared" si="21"/>
        <v>0</v>
      </c>
      <c r="DD23" s="280">
        <f t="shared" si="21"/>
        <v>146.75</v>
      </c>
      <c r="DE23" s="508">
        <f t="shared" si="31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3"/>
        <v>0</v>
      </c>
    </row>
    <row r="24" spans="1:115" ht="16.5" customHeight="1" thickBot="1">
      <c r="A24" s="534">
        <v>18</v>
      </c>
      <c r="B24" s="103">
        <f>'[1]декабрь 20'!K23</f>
        <v>525.98400000000004</v>
      </c>
      <c r="C24" s="104">
        <f t="shared" si="35"/>
        <v>0.660082816207337</v>
      </c>
      <c r="D24" s="143">
        <f t="shared" si="36"/>
        <v>522.51207000000011</v>
      </c>
      <c r="E24" s="104">
        <f t="shared" si="60"/>
        <v>38.720478873882087</v>
      </c>
      <c r="F24" s="128">
        <f t="shared" si="38"/>
        <v>2.2700150751585721</v>
      </c>
      <c r="G24" s="106"/>
      <c r="H24" s="107">
        <f t="shared" si="39"/>
        <v>1.6608657137892084</v>
      </c>
      <c r="I24" s="103">
        <f>'[1]сентябрь 20'!AE23</f>
        <v>0</v>
      </c>
      <c r="J24" s="103">
        <f>'[1]декабрь 20'!AA23</f>
        <v>21.038</v>
      </c>
      <c r="K24" s="106">
        <v>33.96</v>
      </c>
      <c r="L24" s="103">
        <f>'[1]декабрь 20'!AI23</f>
        <v>140.214</v>
      </c>
      <c r="M24" s="103">
        <f t="shared" si="40"/>
        <v>0.60914936136936304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'[1]декабрь 20'!S23</f>
        <v>322.57499999999999</v>
      </c>
      <c r="S24" s="108">
        <f t="shared" si="41"/>
        <v>3.0396031930558842</v>
      </c>
      <c r="T24" s="109">
        <f t="shared" si="42"/>
        <v>312.77</v>
      </c>
      <c r="U24" s="106">
        <v>16.93</v>
      </c>
      <c r="V24" s="109">
        <f t="shared" si="43"/>
        <v>312.77</v>
      </c>
      <c r="W24" s="110">
        <f t="shared" si="44"/>
        <v>1.3588061517073593</v>
      </c>
      <c r="X24" s="110">
        <f t="shared" si="26"/>
        <v>1.3588061517073593</v>
      </c>
      <c r="Y24" s="136">
        <v>230.18</v>
      </c>
      <c r="Z24" s="129">
        <v>230.18</v>
      </c>
      <c r="AA24" s="131">
        <v>0.63</v>
      </c>
      <c r="AB24" s="133">
        <v>594</v>
      </c>
      <c r="AC24" s="133">
        <v>1229</v>
      </c>
      <c r="AD24" s="144" t="s">
        <v>426</v>
      </c>
      <c r="AE24" s="131">
        <v>76.06</v>
      </c>
      <c r="AF24" s="133">
        <v>176</v>
      </c>
      <c r="AG24" s="134">
        <v>5</v>
      </c>
      <c r="AH24" s="131">
        <v>11.8</v>
      </c>
      <c r="AI24" s="115">
        <f t="shared" si="10"/>
        <v>51.264227995481797</v>
      </c>
      <c r="AJ24" s="131">
        <v>136</v>
      </c>
      <c r="AK24" s="115">
        <f t="shared" si="45"/>
        <v>590.84194977843424</v>
      </c>
      <c r="AL24" s="139">
        <v>34.799999999999997</v>
      </c>
      <c r="AM24" s="131"/>
      <c r="AN24" s="136">
        <v>12.55</v>
      </c>
      <c r="AO24" s="466">
        <v>59.69</v>
      </c>
      <c r="AP24" s="110">
        <f t="shared" si="46"/>
        <v>0.19893351108148641</v>
      </c>
      <c r="AQ24" s="137" t="s">
        <v>206</v>
      </c>
      <c r="AR24" s="150">
        <v>6.75</v>
      </c>
      <c r="AS24" s="138">
        <v>7.23</v>
      </c>
      <c r="AT24" s="134"/>
      <c r="AU24" s="131">
        <v>7.56</v>
      </c>
      <c r="AV24" s="315">
        <v>300.05</v>
      </c>
      <c r="AW24" s="131">
        <v>2.37</v>
      </c>
      <c r="AX24" s="116"/>
      <c r="AY24" s="131"/>
      <c r="AZ24" s="109">
        <f t="shared" si="58"/>
        <v>0</v>
      </c>
      <c r="BA24" s="109">
        <f t="shared" si="47"/>
        <v>230.18</v>
      </c>
      <c r="BB24" s="115">
        <f t="shared" si="48"/>
        <v>232.21751297232325</v>
      </c>
      <c r="BC24" s="140">
        <f t="shared" si="49"/>
        <v>7.9646197183098586</v>
      </c>
      <c r="BD24" s="141">
        <f t="shared" si="50"/>
        <v>9.2072000000000003</v>
      </c>
      <c r="BE24" s="128">
        <f t="shared" si="51"/>
        <v>0.86534016073089948</v>
      </c>
      <c r="BF24" s="141">
        <f>BC24+BD24</f>
        <v>17.171819718309859</v>
      </c>
      <c r="BG24" s="535">
        <v>0.89400000000000002</v>
      </c>
      <c r="BH24" s="16">
        <f t="shared" si="53"/>
        <v>3903.6199999999994</v>
      </c>
      <c r="BI24" s="16">
        <f t="shared" si="54"/>
        <v>225.16129032258064</v>
      </c>
      <c r="BJ24" s="16">
        <f t="shared" si="55"/>
        <v>4052.9032258064508</v>
      </c>
      <c r="BK24" s="17">
        <f t="shared" si="56"/>
        <v>1</v>
      </c>
      <c r="BL24" s="16">
        <f t="shared" si="57"/>
        <v>4052.9032258064508</v>
      </c>
      <c r="BM24" s="254">
        <v>385.77</v>
      </c>
      <c r="BN24" s="197">
        <v>26.19</v>
      </c>
      <c r="BO24" s="197">
        <v>114.024</v>
      </c>
      <c r="BP24" s="197"/>
      <c r="BQ24" s="230"/>
      <c r="BR24" s="230"/>
      <c r="BS24" s="258"/>
      <c r="BT24" s="199"/>
      <c r="BU24" s="200">
        <v>0.9</v>
      </c>
      <c r="BV24" s="200"/>
      <c r="BW24" s="200"/>
      <c r="BX24" s="200"/>
      <c r="BY24" s="208"/>
      <c r="BZ24" s="208"/>
      <c r="CA24" s="201"/>
      <c r="CB24" s="202">
        <v>36.909999999999997</v>
      </c>
      <c r="CC24" s="200">
        <v>43.97</v>
      </c>
      <c r="CD24" s="200">
        <v>43.64</v>
      </c>
      <c r="CE24" s="200"/>
      <c r="CF24" s="208"/>
      <c r="CG24" s="208"/>
      <c r="CH24" s="209"/>
      <c r="CI24" s="199"/>
      <c r="CJ24" s="197"/>
      <c r="CK24" s="197">
        <v>156.63999999999999</v>
      </c>
      <c r="CL24" s="197"/>
      <c r="CM24" s="198">
        <v>156.13</v>
      </c>
      <c r="CN24" s="202"/>
      <c r="CO24" s="208"/>
      <c r="CP24" s="208"/>
      <c r="CQ24" s="201"/>
      <c r="CR24" s="201"/>
      <c r="CS24" s="284"/>
      <c r="CT24" s="286">
        <f t="shared" si="20"/>
        <v>382.29807</v>
      </c>
      <c r="CU24" s="29">
        <f t="shared" si="20"/>
        <v>26.19</v>
      </c>
      <c r="CV24" s="30">
        <f t="shared" si="20"/>
        <v>114.024</v>
      </c>
      <c r="CW24" s="29">
        <f t="shared" si="20"/>
        <v>0</v>
      </c>
      <c r="CX24" s="27">
        <f t="shared" si="20"/>
        <v>0</v>
      </c>
      <c r="CY24" s="27">
        <f t="shared" si="20"/>
        <v>0</v>
      </c>
      <c r="CZ24" s="282">
        <f t="shared" si="20"/>
        <v>0</v>
      </c>
      <c r="DA24" s="25">
        <f t="shared" si="21"/>
        <v>0</v>
      </c>
      <c r="DB24" s="26">
        <f t="shared" si="21"/>
        <v>156.63999999999999</v>
      </c>
      <c r="DC24" s="277">
        <f t="shared" si="21"/>
        <v>0</v>
      </c>
      <c r="DD24" s="280">
        <f t="shared" si="21"/>
        <v>156.13</v>
      </c>
      <c r="DE24" s="508">
        <f t="shared" si="31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3"/>
        <v>0</v>
      </c>
    </row>
    <row r="25" spans="1:115" ht="16.5" customHeight="1" thickBot="1">
      <c r="A25" s="534">
        <v>19</v>
      </c>
      <c r="B25" s="103">
        <f>'[1]декабрь 20'!K24</f>
        <v>527.66499999999996</v>
      </c>
      <c r="C25" s="104">
        <f t="shared" si="35"/>
        <v>1.5466922005439057</v>
      </c>
      <c r="D25" s="143">
        <f t="shared" si="36"/>
        <v>519.50364660000002</v>
      </c>
      <c r="E25" s="104">
        <f t="shared" si="60"/>
        <v>39.121703372404838</v>
      </c>
      <c r="F25" s="128">
        <f t="shared" si="38"/>
        <v>2.0807611911723471</v>
      </c>
      <c r="G25" s="106"/>
      <c r="H25" s="107">
        <f t="shared" si="39"/>
        <v>1.5165324091801173</v>
      </c>
      <c r="I25" s="103">
        <f>'[1]сентябрь 20'!AE24</f>
        <v>0</v>
      </c>
      <c r="J25" s="103">
        <f>'[1]декабрь 20'!AA24</f>
        <v>19.661999999999999</v>
      </c>
      <c r="K25" s="106">
        <v>36.61</v>
      </c>
      <c r="L25" s="103">
        <f>'[1]декабрь 20'!AI24</f>
        <v>140.87100000000001</v>
      </c>
      <c r="M25" s="103">
        <f t="shared" si="40"/>
        <v>0.5642287819922297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'[1]декабрь 20'!S24</f>
        <v>322.654</v>
      </c>
      <c r="S25" s="108">
        <f t="shared" si="41"/>
        <v>3.4879468408883896</v>
      </c>
      <c r="T25" s="109">
        <f t="shared" si="42"/>
        <v>311.40000000000003</v>
      </c>
      <c r="U25" s="106"/>
      <c r="V25" s="109">
        <f t="shared" si="43"/>
        <v>311.39999999999998</v>
      </c>
      <c r="W25" s="110">
        <f t="shared" si="44"/>
        <v>1.2472463652020667</v>
      </c>
      <c r="X25" s="110">
        <f t="shared" si="26"/>
        <v>1.2472463652020667</v>
      </c>
      <c r="Y25" s="136">
        <v>249.67</v>
      </c>
      <c r="Z25" s="129">
        <v>201.09</v>
      </c>
      <c r="AA25" s="131">
        <v>0.74</v>
      </c>
      <c r="AB25" s="133">
        <v>582</v>
      </c>
      <c r="AC25" s="133">
        <v>1243</v>
      </c>
      <c r="AD25" s="144" t="s">
        <v>461</v>
      </c>
      <c r="AE25" s="131">
        <v>76.38</v>
      </c>
      <c r="AF25" s="133">
        <v>176</v>
      </c>
      <c r="AG25" s="134">
        <v>5</v>
      </c>
      <c r="AH25" s="131">
        <v>10.6</v>
      </c>
      <c r="AI25" s="115">
        <f t="shared" si="10"/>
        <v>42.45604197540753</v>
      </c>
      <c r="AJ25" s="131">
        <v>143.5</v>
      </c>
      <c r="AK25" s="115">
        <f t="shared" si="45"/>
        <v>574.75868145952643</v>
      </c>
      <c r="AL25" s="139">
        <v>35.29</v>
      </c>
      <c r="AM25" s="131"/>
      <c r="AN25" s="136">
        <v>9.2899999999999991</v>
      </c>
      <c r="AO25" s="466">
        <v>51.5</v>
      </c>
      <c r="AP25" s="110">
        <f t="shared" si="46"/>
        <v>0.16715352158390132</v>
      </c>
      <c r="AQ25" s="137" t="s">
        <v>431</v>
      </c>
      <c r="AR25" s="150">
        <v>7.06</v>
      </c>
      <c r="AS25" s="138">
        <v>7.54</v>
      </c>
      <c r="AT25" s="153"/>
      <c r="AU25" s="131">
        <v>8.0299999999999994</v>
      </c>
      <c r="AV25" s="315">
        <v>308.10000000000002</v>
      </c>
      <c r="AW25" s="131">
        <v>2.36</v>
      </c>
      <c r="AX25" s="148"/>
      <c r="AY25" s="131"/>
      <c r="AZ25" s="109">
        <f t="shared" si="58"/>
        <v>0</v>
      </c>
      <c r="BA25" s="109">
        <f t="shared" si="47"/>
        <v>249.67000000000004</v>
      </c>
      <c r="BB25" s="115">
        <f t="shared" si="48"/>
        <v>232.29557976755063</v>
      </c>
      <c r="BC25" s="140">
        <f t="shared" si="49"/>
        <v>8.9263063380281675</v>
      </c>
      <c r="BD25" s="141">
        <f t="shared" si="50"/>
        <v>9.9868000000000023</v>
      </c>
      <c r="BE25" s="128">
        <f t="shared" si="51"/>
        <v>0.93829555524950681</v>
      </c>
      <c r="BF25" s="141">
        <f t="shared" ref="BF25:BF37" si="61">BC25+BD25</f>
        <v>18.913106338028172</v>
      </c>
      <c r="BG25" s="535">
        <v>0.89600000000000002</v>
      </c>
      <c r="BH25" s="16">
        <f t="shared" si="53"/>
        <v>4153.2899999999991</v>
      </c>
      <c r="BI25" s="16">
        <f t="shared" si="54"/>
        <v>225.16129032258064</v>
      </c>
      <c r="BJ25" s="16">
        <f t="shared" si="55"/>
        <v>4278.0645161290313</v>
      </c>
      <c r="BK25" s="17">
        <f t="shared" si="56"/>
        <v>1</v>
      </c>
      <c r="BL25" s="16">
        <f t="shared" si="57"/>
        <v>4278.0645161290313</v>
      </c>
      <c r="BM25" s="254">
        <v>386.79399999999998</v>
      </c>
      <c r="BN25" s="197">
        <v>26.405999999999999</v>
      </c>
      <c r="BO25" s="197">
        <v>114.465</v>
      </c>
      <c r="BP25" s="197"/>
      <c r="BQ25" s="230"/>
      <c r="BR25" s="230"/>
      <c r="BS25" s="258"/>
      <c r="BT25" s="199"/>
      <c r="BU25" s="200">
        <v>2.11</v>
      </c>
      <c r="BV25" s="200"/>
      <c r="BW25" s="200"/>
      <c r="BX25" s="200"/>
      <c r="BY25" s="208"/>
      <c r="BZ25" s="208"/>
      <c r="CA25" s="201"/>
      <c r="CB25" s="202">
        <v>37.479999999999997</v>
      </c>
      <c r="CC25" s="200">
        <v>43.54</v>
      </c>
      <c r="CD25" s="200">
        <v>43.65</v>
      </c>
      <c r="CE25" s="200"/>
      <c r="CF25" s="208"/>
      <c r="CG25" s="208"/>
      <c r="CH25" s="201"/>
      <c r="CI25" s="199"/>
      <c r="CJ25" s="197"/>
      <c r="CK25" s="197">
        <v>156.63999999999999</v>
      </c>
      <c r="CL25" s="197"/>
      <c r="CM25" s="198">
        <v>154.76</v>
      </c>
      <c r="CN25" s="202"/>
      <c r="CO25" s="208"/>
      <c r="CP25" s="208"/>
      <c r="CQ25" s="201"/>
      <c r="CR25" s="201"/>
      <c r="CS25" s="284"/>
      <c r="CT25" s="286">
        <f t="shared" si="20"/>
        <v>378.63264659999999</v>
      </c>
      <c r="CU25" s="24">
        <f t="shared" si="20"/>
        <v>26.405999999999999</v>
      </c>
      <c r="CV25" s="25">
        <f t="shared" si="20"/>
        <v>114.465</v>
      </c>
      <c r="CW25" s="24">
        <f t="shared" si="20"/>
        <v>0</v>
      </c>
      <c r="CX25" s="27">
        <f t="shared" si="20"/>
        <v>0</v>
      </c>
      <c r="CY25" s="30">
        <f t="shared" si="20"/>
        <v>0</v>
      </c>
      <c r="CZ25" s="280">
        <f t="shared" si="20"/>
        <v>0</v>
      </c>
      <c r="DA25" s="25">
        <f t="shared" si="21"/>
        <v>0</v>
      </c>
      <c r="DB25" s="26">
        <f t="shared" si="21"/>
        <v>156.63999999999999</v>
      </c>
      <c r="DC25" s="277">
        <f t="shared" si="21"/>
        <v>0</v>
      </c>
      <c r="DD25" s="280">
        <f t="shared" si="21"/>
        <v>154.76</v>
      </c>
      <c r="DE25" s="508">
        <f t="shared" si="31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3"/>
        <v>0</v>
      </c>
    </row>
    <row r="26" spans="1:115" ht="16.5" customHeight="1" thickBot="1">
      <c r="A26" s="534">
        <v>20</v>
      </c>
      <c r="B26" s="103">
        <f>'[1]декабрь 20'!K25</f>
        <v>516.84100000000001</v>
      </c>
      <c r="C26" s="104">
        <f t="shared" si="35"/>
        <v>0.7774959029953119</v>
      </c>
      <c r="D26" s="143">
        <f t="shared" si="36"/>
        <v>512.82258239999999</v>
      </c>
      <c r="E26" s="104">
        <f t="shared" si="60"/>
        <v>38.518063775900131</v>
      </c>
      <c r="F26" s="128">
        <f t="shared" si="38"/>
        <v>2.1062205618531298</v>
      </c>
      <c r="G26" s="106"/>
      <c r="H26" s="107">
        <f t="shared" si="39"/>
        <v>1.5404862099556431</v>
      </c>
      <c r="I26" s="103">
        <f>'[1]сентябрь 20'!AE25</f>
        <v>0</v>
      </c>
      <c r="J26" s="103">
        <f>'[1]декабрь 20'!AA25</f>
        <v>20.187999999999999</v>
      </c>
      <c r="K26" s="106">
        <v>51.82</v>
      </c>
      <c r="L26" s="103">
        <f>'[1]декабрь 20'!AI25</f>
        <v>137.745</v>
      </c>
      <c r="M26" s="103">
        <f t="shared" si="40"/>
        <v>0.56573435189748644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'[1]декабрь 20'!S25</f>
        <v>311.75099999999998</v>
      </c>
      <c r="S26" s="108">
        <f t="shared" si="41"/>
        <v>3.3876394943400112</v>
      </c>
      <c r="T26" s="109">
        <f t="shared" si="42"/>
        <v>301.19000000000005</v>
      </c>
      <c r="U26" s="106">
        <v>19.149999999999999</v>
      </c>
      <c r="V26" s="109">
        <f t="shared" si="43"/>
        <v>301.19000000000005</v>
      </c>
      <c r="W26" s="110">
        <f t="shared" si="44"/>
        <v>1.2370215212748483</v>
      </c>
      <c r="X26" s="110">
        <f t="shared" si="26"/>
        <v>1.2370215212748483</v>
      </c>
      <c r="Y26" s="136">
        <v>243.48</v>
      </c>
      <c r="Z26" s="154">
        <v>138.77000000000001</v>
      </c>
      <c r="AA26" s="149">
        <v>0.8</v>
      </c>
      <c r="AB26" s="147">
        <v>630</v>
      </c>
      <c r="AC26" s="147">
        <v>1229</v>
      </c>
      <c r="AD26" s="144" t="s">
        <v>203</v>
      </c>
      <c r="AE26" s="149">
        <v>76.010000000000005</v>
      </c>
      <c r="AF26" s="147">
        <v>172</v>
      </c>
      <c r="AG26" s="155">
        <v>5</v>
      </c>
      <c r="AH26" s="149">
        <v>4.25</v>
      </c>
      <c r="AI26" s="115">
        <f t="shared" si="10"/>
        <v>17.455232462625268</v>
      </c>
      <c r="AJ26" s="149">
        <v>143.44999999999999</v>
      </c>
      <c r="AK26" s="115">
        <f t="shared" si="45"/>
        <v>589.16543453261045</v>
      </c>
      <c r="AL26" s="156">
        <v>34.47</v>
      </c>
      <c r="AM26" s="149"/>
      <c r="AN26" s="157">
        <v>12.49</v>
      </c>
      <c r="AO26" s="466">
        <v>60.16</v>
      </c>
      <c r="AP26" s="110">
        <f t="shared" si="46"/>
        <v>0.19174501992031873</v>
      </c>
      <c r="AQ26" s="158" t="s">
        <v>225</v>
      </c>
      <c r="AR26" s="404">
        <v>7.01</v>
      </c>
      <c r="AS26" s="159">
        <v>7.61</v>
      </c>
      <c r="AT26" s="155"/>
      <c r="AU26" s="149">
        <v>6.45</v>
      </c>
      <c r="AV26" s="315">
        <v>313.75</v>
      </c>
      <c r="AW26" s="131">
        <v>2.38</v>
      </c>
      <c r="AX26" s="148"/>
      <c r="AY26" s="149"/>
      <c r="AZ26" s="160">
        <f t="shared" si="58"/>
        <v>0</v>
      </c>
      <c r="BA26" s="109">
        <f t="shared" si="47"/>
        <v>243.48</v>
      </c>
      <c r="BB26" s="115">
        <f t="shared" si="48"/>
        <v>226.86897055532381</v>
      </c>
      <c r="BC26" s="140">
        <f t="shared" si="49"/>
        <v>7.1674489436619702</v>
      </c>
      <c r="BD26" s="140">
        <f t="shared" si="50"/>
        <v>9.7392000000000003</v>
      </c>
      <c r="BE26" s="161">
        <f t="shared" si="51"/>
        <v>0.93691984179108345</v>
      </c>
      <c r="BF26" s="140">
        <f t="shared" si="61"/>
        <v>16.90664894366197</v>
      </c>
      <c r="BG26" s="537">
        <v>0.89800000000000002</v>
      </c>
      <c r="BH26" s="16">
        <f t="shared" si="53"/>
        <v>4396.7699999999986</v>
      </c>
      <c r="BI26" s="16">
        <f t="shared" si="54"/>
        <v>225.16129032258064</v>
      </c>
      <c r="BJ26" s="16">
        <f t="shared" si="55"/>
        <v>4503.2258064516118</v>
      </c>
      <c r="BK26" s="17">
        <f t="shared" si="56"/>
        <v>1</v>
      </c>
      <c r="BL26" s="16">
        <f t="shared" si="57"/>
        <v>4503.2258064516118</v>
      </c>
      <c r="BM26" s="254">
        <v>379.096</v>
      </c>
      <c r="BN26" s="197">
        <v>25.716000000000001</v>
      </c>
      <c r="BO26" s="197">
        <v>112.029</v>
      </c>
      <c r="BP26" s="197"/>
      <c r="BQ26" s="230"/>
      <c r="BR26" s="230"/>
      <c r="BS26" s="258"/>
      <c r="BT26" s="199"/>
      <c r="BU26" s="200">
        <v>1.06</v>
      </c>
      <c r="BV26" s="200"/>
      <c r="BW26" s="200"/>
      <c r="BX26" s="200"/>
      <c r="BY26" s="208"/>
      <c r="BZ26" s="208"/>
      <c r="CA26" s="201"/>
      <c r="CB26" s="202">
        <v>36.71</v>
      </c>
      <c r="CC26" s="200">
        <v>43.73</v>
      </c>
      <c r="CD26" s="200">
        <v>43.44</v>
      </c>
      <c r="CE26" s="200"/>
      <c r="CF26" s="208"/>
      <c r="CG26" s="208"/>
      <c r="CH26" s="209"/>
      <c r="CI26" s="199"/>
      <c r="CJ26" s="197"/>
      <c r="CK26" s="197">
        <v>153.08000000000001</v>
      </c>
      <c r="CL26" s="197"/>
      <c r="CM26" s="198">
        <v>148.11000000000001</v>
      </c>
      <c r="CN26" s="202"/>
      <c r="CO26" s="208"/>
      <c r="CP26" s="208"/>
      <c r="CQ26" s="201"/>
      <c r="CR26" s="201"/>
      <c r="CS26" s="284"/>
      <c r="CT26" s="286">
        <f t="shared" si="20"/>
        <v>375.07758239999998</v>
      </c>
      <c r="CU26" s="24">
        <f t="shared" si="20"/>
        <v>25.716000000000001</v>
      </c>
      <c r="CV26" s="25">
        <f t="shared" si="20"/>
        <v>112.029</v>
      </c>
      <c r="CW26" s="24">
        <f t="shared" si="20"/>
        <v>0</v>
      </c>
      <c r="CX26" s="27">
        <f t="shared" si="20"/>
        <v>0</v>
      </c>
      <c r="CY26" s="24">
        <f t="shared" si="20"/>
        <v>0</v>
      </c>
      <c r="CZ26" s="280">
        <f t="shared" si="20"/>
        <v>0</v>
      </c>
      <c r="DA26" s="30">
        <f t="shared" si="21"/>
        <v>0</v>
      </c>
      <c r="DB26" s="26">
        <f t="shared" si="21"/>
        <v>153.08000000000001</v>
      </c>
      <c r="DC26" s="277">
        <f t="shared" si="21"/>
        <v>0</v>
      </c>
      <c r="DD26" s="280">
        <f t="shared" si="21"/>
        <v>148.11000000000001</v>
      </c>
      <c r="DE26" s="508">
        <f t="shared" si="31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3"/>
        <v>0</v>
      </c>
    </row>
    <row r="27" spans="1:115" ht="16.5" customHeight="1" thickBot="1">
      <c r="A27" s="534">
        <v>21</v>
      </c>
      <c r="B27" s="103">
        <f>'[1]декабрь 20'!K26</f>
        <v>510.11</v>
      </c>
      <c r="C27" s="104">
        <f t="shared" si="35"/>
        <v>3.2848532277351947</v>
      </c>
      <c r="D27" s="143">
        <f t="shared" si="36"/>
        <v>493.35363519999999</v>
      </c>
      <c r="E27" s="104">
        <f t="shared" si="60"/>
        <v>38.745920272098168</v>
      </c>
      <c r="F27" s="128">
        <f t="shared" si="38"/>
        <v>2.252344937910884</v>
      </c>
      <c r="G27" s="106"/>
      <c r="H27" s="107">
        <f t="shared" si="39"/>
        <v>1.631070284879474</v>
      </c>
      <c r="I27" s="103">
        <f>'[1]сентябрь 20'!AE26</f>
        <v>0</v>
      </c>
      <c r="J27" s="103">
        <f>'[1]декабрь 20'!AA26</f>
        <v>19.071000000000002</v>
      </c>
      <c r="K27" s="106">
        <v>21.03</v>
      </c>
      <c r="L27" s="103">
        <f>'[1]декабрь 20'!AI26</f>
        <v>136.084</v>
      </c>
      <c r="M27" s="103">
        <f t="shared" si="40"/>
        <v>0.62127465303140983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'[1]декабрь 20'!S26</f>
        <v>311.39400000000001</v>
      </c>
      <c r="S27" s="108">
        <f t="shared" si="41"/>
        <v>3.3025684502591579</v>
      </c>
      <c r="T27" s="109">
        <f t="shared" si="42"/>
        <v>301.11</v>
      </c>
      <c r="U27" s="106">
        <v>24.1</v>
      </c>
      <c r="V27" s="109">
        <f t="shared" si="43"/>
        <v>301.11</v>
      </c>
      <c r="W27" s="110">
        <f t="shared" si="44"/>
        <v>1.3746804236669103</v>
      </c>
      <c r="X27" s="110">
        <f t="shared" si="26"/>
        <v>1.3746804236669103</v>
      </c>
      <c r="Y27" s="129">
        <v>219.04</v>
      </c>
      <c r="Z27" s="129">
        <v>219.04</v>
      </c>
      <c r="AA27" s="131">
        <v>0.46</v>
      </c>
      <c r="AB27" s="133">
        <v>646</v>
      </c>
      <c r="AC27" s="133">
        <v>1230</v>
      </c>
      <c r="AD27" s="144" t="s">
        <v>144</v>
      </c>
      <c r="AE27" s="131">
        <v>76.180000000000007</v>
      </c>
      <c r="AF27" s="133">
        <v>170</v>
      </c>
      <c r="AG27" s="134">
        <v>5</v>
      </c>
      <c r="AH27" s="131">
        <v>12.6</v>
      </c>
      <c r="AI27" s="115">
        <f t="shared" si="10"/>
        <v>57.523739956172392</v>
      </c>
      <c r="AJ27" s="131">
        <v>149.9</v>
      </c>
      <c r="AK27" s="115">
        <f t="shared" si="45"/>
        <v>684.34989043097164</v>
      </c>
      <c r="AL27" s="139">
        <v>32.36</v>
      </c>
      <c r="AM27" s="131"/>
      <c r="AN27" s="136">
        <v>15.4</v>
      </c>
      <c r="AO27" s="466">
        <v>56.88</v>
      </c>
      <c r="AP27" s="110">
        <f t="shared" si="46"/>
        <v>0.19736294240111035</v>
      </c>
      <c r="AQ27" s="137" t="s">
        <v>504</v>
      </c>
      <c r="AR27" s="150">
        <v>6.58</v>
      </c>
      <c r="AS27" s="138">
        <v>7.27</v>
      </c>
      <c r="AT27" s="134"/>
      <c r="AU27" s="131">
        <v>9.5</v>
      </c>
      <c r="AV27" s="139">
        <v>288.2</v>
      </c>
      <c r="AW27" s="131">
        <v>3.12</v>
      </c>
      <c r="AX27" s="148"/>
      <c r="AY27" s="131"/>
      <c r="AZ27" s="109">
        <f t="shared" si="58"/>
        <v>0</v>
      </c>
      <c r="BA27" s="109">
        <f t="shared" si="47"/>
        <v>219.04</v>
      </c>
      <c r="BB27" s="115">
        <f t="shared" si="48"/>
        <v>219.05722837033423</v>
      </c>
      <c r="BC27" s="140">
        <f t="shared" si="49"/>
        <v>11.031373239436618</v>
      </c>
      <c r="BD27" s="141">
        <f t="shared" si="50"/>
        <v>8.7615999999999996</v>
      </c>
      <c r="BE27" s="128">
        <f t="shared" si="51"/>
        <v>0.87293134046562326</v>
      </c>
      <c r="BF27" s="141">
        <f t="shared" si="61"/>
        <v>19.79297323943662</v>
      </c>
      <c r="BG27" s="535">
        <v>0.89700000000000002</v>
      </c>
      <c r="BH27" s="16">
        <f t="shared" si="53"/>
        <v>4615.8099999999986</v>
      </c>
      <c r="BI27" s="16">
        <f t="shared" si="54"/>
        <v>225.16129032258064</v>
      </c>
      <c r="BJ27" s="16">
        <f t="shared" si="55"/>
        <v>4728.3870967741923</v>
      </c>
      <c r="BK27" s="17">
        <f t="shared" si="56"/>
        <v>1</v>
      </c>
      <c r="BL27" s="16">
        <f t="shared" si="57"/>
        <v>4728.3870967741923</v>
      </c>
      <c r="BM27" s="254">
        <v>374.02600000000001</v>
      </c>
      <c r="BN27" s="197">
        <v>25.460999999999999</v>
      </c>
      <c r="BO27" s="197">
        <v>110.623</v>
      </c>
      <c r="BP27" s="197"/>
      <c r="BQ27" s="230"/>
      <c r="BR27" s="230"/>
      <c r="BS27" s="258"/>
      <c r="BT27" s="199"/>
      <c r="BU27" s="200">
        <v>4.4800000000000004</v>
      </c>
      <c r="BV27" s="200"/>
      <c r="BW27" s="200"/>
      <c r="BX27" s="200"/>
      <c r="BY27" s="208"/>
      <c r="BZ27" s="208"/>
      <c r="CA27" s="201"/>
      <c r="CB27" s="202">
        <v>36.909999999999997</v>
      </c>
      <c r="CC27" s="200">
        <v>43.67</v>
      </c>
      <c r="CD27" s="200">
        <v>43.82</v>
      </c>
      <c r="CE27" s="200"/>
      <c r="CF27" s="208"/>
      <c r="CG27" s="208"/>
      <c r="CH27" s="209"/>
      <c r="CI27" s="199"/>
      <c r="CJ27" s="197"/>
      <c r="CK27" s="197">
        <v>152.19</v>
      </c>
      <c r="CL27" s="197"/>
      <c r="CM27" s="198">
        <v>148.91999999999999</v>
      </c>
      <c r="CN27" s="202"/>
      <c r="CO27" s="208"/>
      <c r="CP27" s="208"/>
      <c r="CQ27" s="201"/>
      <c r="CR27" s="201"/>
      <c r="CS27" s="284"/>
      <c r="CT27" s="286">
        <f t="shared" si="20"/>
        <v>357.26963519999998</v>
      </c>
      <c r="CU27" s="24">
        <f t="shared" si="20"/>
        <v>25.460999999999999</v>
      </c>
      <c r="CV27" s="25">
        <f t="shared" si="20"/>
        <v>110.623</v>
      </c>
      <c r="CW27" s="24">
        <f t="shared" si="20"/>
        <v>0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152.19</v>
      </c>
      <c r="DC27" s="277">
        <f t="shared" si="21"/>
        <v>0</v>
      </c>
      <c r="DD27" s="280">
        <f t="shared" si="21"/>
        <v>148.91999999999999</v>
      </c>
      <c r="DE27" s="508">
        <f t="shared" si="31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3"/>
        <v>0</v>
      </c>
    </row>
    <row r="28" spans="1:115" ht="16.5" customHeight="1" thickBot="1">
      <c r="A28" s="534">
        <v>22</v>
      </c>
      <c r="B28" s="103">
        <f>'[1]декабрь 20'!K27</f>
        <v>491.80599999999998</v>
      </c>
      <c r="C28" s="104">
        <f t="shared" si="35"/>
        <v>1.745494320931424</v>
      </c>
      <c r="D28" s="143">
        <f t="shared" si="36"/>
        <v>483.22155419999996</v>
      </c>
      <c r="E28" s="104">
        <f t="shared" si="60"/>
        <v>38.700232266381455</v>
      </c>
      <c r="F28" s="128">
        <f t="shared" si="38"/>
        <v>2.4930173564463707</v>
      </c>
      <c r="G28" s="106"/>
      <c r="H28" s="107">
        <f t="shared" si="39"/>
        <v>1.8165740814115463</v>
      </c>
      <c r="I28" s="103">
        <f>'[1]сентябрь 20'!AE27</f>
        <v>0</v>
      </c>
      <c r="J28" s="103">
        <f>'[1]декабрь 20'!AA27</f>
        <v>18.036000000000001</v>
      </c>
      <c r="K28" s="106">
        <v>47.35</v>
      </c>
      <c r="L28" s="103">
        <f>'[1]декабрь 20'!AI27</f>
        <v>131.11500000000001</v>
      </c>
      <c r="M28" s="103">
        <f t="shared" si="40"/>
        <v>0.67644327503482449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'[1]декабрь 20'!S27</f>
        <v>300.83999999999997</v>
      </c>
      <c r="S28" s="108">
        <f t="shared" si="41"/>
        <v>3.3406461906661189</v>
      </c>
      <c r="T28" s="109">
        <f t="shared" si="42"/>
        <v>290.79000000000002</v>
      </c>
      <c r="U28" s="106">
        <v>18.04</v>
      </c>
      <c r="V28" s="109">
        <f t="shared" si="43"/>
        <v>290.79000000000002</v>
      </c>
      <c r="W28" s="110">
        <f t="shared" si="44"/>
        <v>1.5002321622039934</v>
      </c>
      <c r="X28" s="110">
        <f t="shared" si="26"/>
        <v>1.5002321622039934</v>
      </c>
      <c r="Y28" s="129">
        <v>182.42</v>
      </c>
      <c r="Z28" s="136">
        <v>193.83</v>
      </c>
      <c r="AA28" s="131">
        <v>0.48</v>
      </c>
      <c r="AB28" s="133">
        <v>640</v>
      </c>
      <c r="AC28" s="133">
        <v>1215</v>
      </c>
      <c r="AD28" s="144" t="s">
        <v>236</v>
      </c>
      <c r="AE28" s="131">
        <v>76.41</v>
      </c>
      <c r="AF28" s="133">
        <v>164</v>
      </c>
      <c r="AG28" s="134">
        <v>5</v>
      </c>
      <c r="AH28" s="131">
        <v>7.05</v>
      </c>
      <c r="AI28" s="115">
        <f t="shared" si="10"/>
        <v>36.372078625599755</v>
      </c>
      <c r="AJ28" s="131">
        <v>136.35</v>
      </c>
      <c r="AK28" s="115">
        <f t="shared" si="45"/>
        <v>703.45147809936543</v>
      </c>
      <c r="AL28" s="139">
        <v>29.36</v>
      </c>
      <c r="AM28" s="131"/>
      <c r="AN28" s="136">
        <v>16.11</v>
      </c>
      <c r="AO28" s="466">
        <v>64.52</v>
      </c>
      <c r="AP28" s="110">
        <f t="shared" si="46"/>
        <v>0.23883027947436611</v>
      </c>
      <c r="AQ28" s="137" t="s">
        <v>206</v>
      </c>
      <c r="AR28" s="150">
        <v>6.42</v>
      </c>
      <c r="AS28" s="138">
        <v>7.25</v>
      </c>
      <c r="AT28" s="134"/>
      <c r="AU28" s="131">
        <v>9.9499999999999993</v>
      </c>
      <c r="AV28" s="139">
        <v>270.14999999999998</v>
      </c>
      <c r="AW28" s="131">
        <v>4.3099999999999996</v>
      </c>
      <c r="AX28" s="148"/>
      <c r="AY28" s="131"/>
      <c r="AZ28" s="109">
        <f t="shared" si="58"/>
        <v>0</v>
      </c>
      <c r="BA28" s="109">
        <f t="shared" si="47"/>
        <v>193.82999999999998</v>
      </c>
      <c r="BB28" s="115">
        <f t="shared" si="48"/>
        <v>213.66033913017642</v>
      </c>
      <c r="BC28" s="140">
        <f t="shared" si="49"/>
        <v>10.509512323943662</v>
      </c>
      <c r="BD28" s="141">
        <f t="shared" si="50"/>
        <v>7.7531999999999996</v>
      </c>
      <c r="BE28" s="128">
        <f t="shared" si="51"/>
        <v>0.7919747328347333</v>
      </c>
      <c r="BF28" s="141">
        <f t="shared" si="61"/>
        <v>18.26271232394366</v>
      </c>
      <c r="BG28" s="535">
        <v>0.89200000000000002</v>
      </c>
      <c r="BH28" s="16">
        <f t="shared" si="53"/>
        <v>4809.6399999999985</v>
      </c>
      <c r="BI28" s="16">
        <f t="shared" si="54"/>
        <v>225.16129032258064</v>
      </c>
      <c r="BJ28" s="16">
        <f t="shared" si="55"/>
        <v>4953.5483870967728</v>
      </c>
      <c r="BK28" s="17">
        <f t="shared" si="56"/>
        <v>1</v>
      </c>
      <c r="BL28" s="16">
        <f t="shared" si="57"/>
        <v>4953.5483870967728</v>
      </c>
      <c r="BM28" s="254">
        <v>360.69099999999997</v>
      </c>
      <c r="BN28" s="197">
        <v>24.571999999999999</v>
      </c>
      <c r="BO28" s="197">
        <v>106.54300000000001</v>
      </c>
      <c r="BP28" s="197"/>
      <c r="BQ28" s="230"/>
      <c r="BR28" s="230"/>
      <c r="BS28" s="258"/>
      <c r="BT28" s="199"/>
      <c r="BU28" s="200">
        <v>2.38</v>
      </c>
      <c r="BV28" s="200"/>
      <c r="BW28" s="200"/>
      <c r="BX28" s="200"/>
      <c r="BY28" s="208"/>
      <c r="BZ28" s="208"/>
      <c r="CA28" s="201"/>
      <c r="CB28" s="202">
        <v>37.049999999999997</v>
      </c>
      <c r="CC28" s="200">
        <v>43.76</v>
      </c>
      <c r="CD28" s="200">
        <v>43.12</v>
      </c>
      <c r="CE28" s="200"/>
      <c r="CF28" s="208"/>
      <c r="CG28" s="208"/>
      <c r="CH28" s="209"/>
      <c r="CI28" s="199"/>
      <c r="CJ28" s="197"/>
      <c r="CK28" s="197">
        <v>145.96</v>
      </c>
      <c r="CL28" s="197"/>
      <c r="CM28" s="198">
        <v>144.83000000000001</v>
      </c>
      <c r="CN28" s="202"/>
      <c r="CO28" s="208"/>
      <c r="CP28" s="208"/>
      <c r="CQ28" s="201"/>
      <c r="CR28" s="201"/>
      <c r="CS28" s="284"/>
      <c r="CT28" s="286">
        <f t="shared" si="20"/>
        <v>352.10655420000001</v>
      </c>
      <c r="CU28" s="29">
        <f t="shared" si="20"/>
        <v>24.571999999999999</v>
      </c>
      <c r="CV28" s="30">
        <f t="shared" si="20"/>
        <v>106.54300000000001</v>
      </c>
      <c r="CW28" s="29">
        <f t="shared" si="20"/>
        <v>0</v>
      </c>
      <c r="CX28" s="27">
        <f t="shared" si="20"/>
        <v>0</v>
      </c>
      <c r="CY28" s="24">
        <f t="shared" si="20"/>
        <v>0</v>
      </c>
      <c r="CZ28" s="282">
        <f t="shared" si="20"/>
        <v>0</v>
      </c>
      <c r="DA28" s="25">
        <f t="shared" si="21"/>
        <v>0</v>
      </c>
      <c r="DB28" s="24">
        <f t="shared" si="21"/>
        <v>145.96</v>
      </c>
      <c r="DC28" s="277">
        <f t="shared" si="21"/>
        <v>0</v>
      </c>
      <c r="DD28" s="280">
        <f t="shared" si="21"/>
        <v>144.83000000000001</v>
      </c>
      <c r="DE28" s="508">
        <f t="shared" si="31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3"/>
        <v>0</v>
      </c>
    </row>
    <row r="29" spans="1:115" ht="16.5" customHeight="1" thickBot="1">
      <c r="A29" s="534">
        <v>23</v>
      </c>
      <c r="B29" s="103">
        <f>'[1]декабрь 20'!K28</f>
        <v>473.73200000000003</v>
      </c>
      <c r="C29" s="104">
        <f t="shared" si="35"/>
        <v>1.6436857970329217</v>
      </c>
      <c r="D29" s="143">
        <f t="shared" si="36"/>
        <v>465.94533440000009</v>
      </c>
      <c r="E29" s="104">
        <f t="shared" si="60"/>
        <v>38.792793499278069</v>
      </c>
      <c r="F29" s="128">
        <f t="shared" si="38"/>
        <v>2.0505449738150774</v>
      </c>
      <c r="G29" s="106"/>
      <c r="H29" s="107">
        <f t="shared" si="39"/>
        <v>1.4955434335255029</v>
      </c>
      <c r="I29" s="103">
        <f>'[1]сентябрь 20'!AE28</f>
        <v>0</v>
      </c>
      <c r="J29" s="103">
        <f>'[1]декабрь 20'!AA28</f>
        <v>17.265999999999998</v>
      </c>
      <c r="K29" s="106">
        <v>26.58</v>
      </c>
      <c r="L29" s="103">
        <f>'[1]декабрь 20'!AI28</f>
        <v>126.113</v>
      </c>
      <c r="M29" s="103">
        <f t="shared" si="40"/>
        <v>0.55500154028957438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'[1]декабрь 20'!S28</f>
        <v>290.95699999999999</v>
      </c>
      <c r="S29" s="108">
        <f t="shared" si="41"/>
        <v>3.3396687483030041</v>
      </c>
      <c r="T29" s="109">
        <f t="shared" si="42"/>
        <v>281.24000000000007</v>
      </c>
      <c r="U29" s="106">
        <v>27.88</v>
      </c>
      <c r="V29" s="109">
        <f t="shared" si="43"/>
        <v>281.24</v>
      </c>
      <c r="W29" s="110">
        <f t="shared" si="44"/>
        <v>1.237688685472869</v>
      </c>
      <c r="X29" s="110">
        <f t="shared" si="26"/>
        <v>1.237688685472869</v>
      </c>
      <c r="Y29" s="129">
        <v>227.23</v>
      </c>
      <c r="Z29" s="136">
        <v>227.23</v>
      </c>
      <c r="AA29" s="131">
        <v>0.63</v>
      </c>
      <c r="AB29" s="133">
        <v>644</v>
      </c>
      <c r="AC29" s="133">
        <v>1237</v>
      </c>
      <c r="AD29" s="144" t="s">
        <v>505</v>
      </c>
      <c r="AE29" s="131">
        <v>76.88</v>
      </c>
      <c r="AF29" s="133">
        <v>158</v>
      </c>
      <c r="AG29" s="134">
        <v>5</v>
      </c>
      <c r="AH29" s="131">
        <v>11.35</v>
      </c>
      <c r="AI29" s="115">
        <f t="shared" si="10"/>
        <v>49.94939048541125</v>
      </c>
      <c r="AJ29" s="131">
        <v>138.15</v>
      </c>
      <c r="AK29" s="115">
        <f t="shared" si="45"/>
        <v>607.97429916824365</v>
      </c>
      <c r="AL29" s="139">
        <v>30.77</v>
      </c>
      <c r="AM29" s="131"/>
      <c r="AN29" s="136">
        <v>17.55</v>
      </c>
      <c r="AO29" s="466">
        <v>49.95</v>
      </c>
      <c r="AP29" s="110">
        <f t="shared" si="46"/>
        <v>0.17188575361321404</v>
      </c>
      <c r="AQ29" s="137" t="s">
        <v>228</v>
      </c>
      <c r="AR29" s="150">
        <v>6.74</v>
      </c>
      <c r="AS29" s="138">
        <v>7.02</v>
      </c>
      <c r="AT29" s="134"/>
      <c r="AU29" s="131">
        <v>7.31</v>
      </c>
      <c r="AV29" s="139">
        <v>290.60000000000002</v>
      </c>
      <c r="AW29" s="131">
        <v>4.13</v>
      </c>
      <c r="AX29" s="148"/>
      <c r="AY29" s="131"/>
      <c r="AZ29" s="109">
        <f t="shared" si="58"/>
        <v>0</v>
      </c>
      <c r="BA29" s="109">
        <f t="shared" si="47"/>
        <v>227.23000000000002</v>
      </c>
      <c r="BB29" s="115">
        <f t="shared" si="48"/>
        <v>205.25176059620446</v>
      </c>
      <c r="BC29" s="140">
        <f t="shared" si="49"/>
        <v>7.8229869718309857</v>
      </c>
      <c r="BD29" s="141">
        <f t="shared" si="50"/>
        <v>9.0892000000000017</v>
      </c>
      <c r="BE29" s="128">
        <f t="shared" si="51"/>
        <v>0.96648033334174632</v>
      </c>
      <c r="BF29" s="141">
        <f t="shared" si="61"/>
        <v>16.912186971830987</v>
      </c>
      <c r="BG29" s="535">
        <v>0.89500000000000002</v>
      </c>
      <c r="BH29" s="16">
        <f t="shared" si="53"/>
        <v>5036.869999999999</v>
      </c>
      <c r="BI29" s="16">
        <f t="shared" si="54"/>
        <v>225.16129032258064</v>
      </c>
      <c r="BJ29" s="16">
        <f t="shared" si="55"/>
        <v>5178.7096774193533</v>
      </c>
      <c r="BK29" s="17">
        <f t="shared" si="56"/>
        <v>1</v>
      </c>
      <c r="BL29" s="16">
        <f t="shared" si="57"/>
        <v>5178.7096774193533</v>
      </c>
      <c r="BM29" s="254">
        <v>347.61900000000003</v>
      </c>
      <c r="BN29" s="197">
        <v>23.417000000000002</v>
      </c>
      <c r="BO29" s="197">
        <v>102.696</v>
      </c>
      <c r="BP29" s="197"/>
      <c r="BQ29" s="230"/>
      <c r="BR29" s="230"/>
      <c r="BS29" s="258"/>
      <c r="BT29" s="199"/>
      <c r="BU29" s="200">
        <v>2.2400000000000002</v>
      </c>
      <c r="BV29" s="200"/>
      <c r="BW29" s="200"/>
      <c r="BX29" s="200"/>
      <c r="BY29" s="208"/>
      <c r="BZ29" s="208"/>
      <c r="CA29" s="201"/>
      <c r="CB29" s="202">
        <v>37.14</v>
      </c>
      <c r="CC29" s="200">
        <v>43.43</v>
      </c>
      <c r="CD29" s="200">
        <v>43.33</v>
      </c>
      <c r="CE29" s="200"/>
      <c r="CF29" s="208"/>
      <c r="CG29" s="208"/>
      <c r="CH29" s="201"/>
      <c r="CI29" s="199"/>
      <c r="CJ29" s="197"/>
      <c r="CK29" s="197">
        <v>140.62</v>
      </c>
      <c r="CL29" s="230"/>
      <c r="CM29" s="198">
        <v>140.62</v>
      </c>
      <c r="CN29" s="202"/>
      <c r="CO29" s="208"/>
      <c r="CP29" s="208"/>
      <c r="CQ29" s="201"/>
      <c r="CR29" s="201"/>
      <c r="CS29" s="284"/>
      <c r="CT29" s="286">
        <f t="shared" si="20"/>
        <v>339.83233440000004</v>
      </c>
      <c r="CU29" s="24">
        <f t="shared" si="20"/>
        <v>23.417000000000002</v>
      </c>
      <c r="CV29" s="25">
        <f t="shared" si="20"/>
        <v>102.696</v>
      </c>
      <c r="CW29" s="24">
        <f t="shared" si="20"/>
        <v>0</v>
      </c>
      <c r="CX29" s="27">
        <f t="shared" si="20"/>
        <v>0</v>
      </c>
      <c r="CY29" s="29">
        <f t="shared" si="20"/>
        <v>0</v>
      </c>
      <c r="CZ29" s="280">
        <f t="shared" si="20"/>
        <v>0</v>
      </c>
      <c r="DA29" s="30">
        <f t="shared" si="21"/>
        <v>0</v>
      </c>
      <c r="DB29" s="29">
        <f t="shared" si="21"/>
        <v>140.62</v>
      </c>
      <c r="DC29" s="277">
        <f t="shared" si="21"/>
        <v>0</v>
      </c>
      <c r="DD29" s="280">
        <f t="shared" si="21"/>
        <v>140.62</v>
      </c>
      <c r="DE29" s="508">
        <f t="shared" si="31"/>
        <v>0</v>
      </c>
      <c r="DG29" s="293">
        <f t="shared" ref="DG29" si="62">I29</f>
        <v>0</v>
      </c>
      <c r="DH29" s="294"/>
      <c r="DI29" s="294"/>
      <c r="DJ29" s="295">
        <f t="shared" si="23"/>
        <v>0</v>
      </c>
      <c r="DK29" s="296">
        <f t="shared" si="33"/>
        <v>0</v>
      </c>
    </row>
    <row r="30" spans="1:115" ht="16.5" customHeight="1" thickBot="1">
      <c r="A30" s="534">
        <v>24</v>
      </c>
      <c r="B30" s="103">
        <f>'[1]декабрь 20'!K29</f>
        <v>537.90599999999995</v>
      </c>
      <c r="C30" s="104">
        <f t="shared" si="35"/>
        <v>1.3941090078935725</v>
      </c>
      <c r="D30" s="143">
        <f t="shared" si="36"/>
        <v>530.40700399999992</v>
      </c>
      <c r="E30" s="104">
        <f t="shared" si="60"/>
        <v>38.162501552315838</v>
      </c>
      <c r="F30" s="128">
        <f t="shared" si="38"/>
        <v>2.2272906861510036</v>
      </c>
      <c r="G30" s="106"/>
      <c r="H30" s="107">
        <f t="shared" si="39"/>
        <v>1.6258713529856388</v>
      </c>
      <c r="I30" s="103">
        <f>'[1]сентябрь 20'!AE29</f>
        <v>0</v>
      </c>
      <c r="J30" s="103">
        <f>'[1]декабрь 20'!AA29</f>
        <v>20.36</v>
      </c>
      <c r="K30" s="106">
        <v>46.11</v>
      </c>
      <c r="L30" s="103">
        <f>'[1]декабрь 20'!AI29</f>
        <v>143.22200000000001</v>
      </c>
      <c r="M30" s="103">
        <f t="shared" si="40"/>
        <v>0.601419333165365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'[1]декабрь 20'!S29</f>
        <v>331.76100000000002</v>
      </c>
      <c r="S30" s="108">
        <f t="shared" si="41"/>
        <v>3.2707280240896419</v>
      </c>
      <c r="T30" s="109">
        <f t="shared" si="42"/>
        <v>320.91000000000003</v>
      </c>
      <c r="U30" s="106">
        <v>17.47</v>
      </c>
      <c r="V30" s="109">
        <f t="shared" si="43"/>
        <v>320.90999999999997</v>
      </c>
      <c r="W30" s="110">
        <f t="shared" si="44"/>
        <v>1.3475686570924668</v>
      </c>
      <c r="X30" s="110">
        <f t="shared" si="26"/>
        <v>1.3475686570924668</v>
      </c>
      <c r="Y30" s="154">
        <v>238.14</v>
      </c>
      <c r="Z30" s="157">
        <v>238.14</v>
      </c>
      <c r="AA30" s="149">
        <v>0.74</v>
      </c>
      <c r="AB30" s="147">
        <v>595</v>
      </c>
      <c r="AC30" s="147">
        <v>1232</v>
      </c>
      <c r="AD30" s="144" t="s">
        <v>183</v>
      </c>
      <c r="AE30" s="149">
        <v>75.98</v>
      </c>
      <c r="AF30" s="147">
        <v>180</v>
      </c>
      <c r="AG30" s="155">
        <v>5</v>
      </c>
      <c r="AH30" s="149">
        <v>12.5</v>
      </c>
      <c r="AI30" s="115">
        <f t="shared" si="10"/>
        <v>52.490131855211224</v>
      </c>
      <c r="AJ30" s="131">
        <v>134.35</v>
      </c>
      <c r="AK30" s="115">
        <f t="shared" si="45"/>
        <v>564.1639371798102</v>
      </c>
      <c r="AL30" s="139">
        <v>29.13</v>
      </c>
      <c r="AM30" s="131"/>
      <c r="AN30" s="157">
        <v>12.57</v>
      </c>
      <c r="AO30" s="466">
        <v>55.01</v>
      </c>
      <c r="AP30" s="110">
        <f t="shared" si="46"/>
        <v>0.18266644529304335</v>
      </c>
      <c r="AQ30" s="158" t="s">
        <v>225</v>
      </c>
      <c r="AR30" s="404">
        <v>6.83</v>
      </c>
      <c r="AS30" s="159">
        <v>7.45</v>
      </c>
      <c r="AT30" s="155"/>
      <c r="AU30" s="149">
        <v>7.13</v>
      </c>
      <c r="AV30" s="156">
        <v>301.14999999999998</v>
      </c>
      <c r="AW30" s="131">
        <v>4.57</v>
      </c>
      <c r="AX30" s="164"/>
      <c r="AY30" s="149"/>
      <c r="AZ30" s="109">
        <f t="shared" si="58"/>
        <v>0</v>
      </c>
      <c r="BA30" s="109">
        <f t="shared" si="47"/>
        <v>238.14</v>
      </c>
      <c r="BB30" s="115">
        <f t="shared" si="48"/>
        <v>232.57393436553724</v>
      </c>
      <c r="BC30" s="140">
        <f t="shared" si="49"/>
        <v>7.4204721830985916</v>
      </c>
      <c r="BD30" s="141">
        <f t="shared" si="50"/>
        <v>9.525599999999999</v>
      </c>
      <c r="BE30" s="128">
        <f t="shared" si="51"/>
        <v>0.89389303477684112</v>
      </c>
      <c r="BF30" s="141">
        <f t="shared" si="61"/>
        <v>16.94607218309859</v>
      </c>
      <c r="BG30" s="537">
        <v>0.89500000000000002</v>
      </c>
      <c r="BH30" s="16">
        <f t="shared" si="53"/>
        <v>5275.0099999999993</v>
      </c>
      <c r="BI30" s="16">
        <f t="shared" si="54"/>
        <v>225.16129032258064</v>
      </c>
      <c r="BJ30" s="16">
        <f t="shared" si="55"/>
        <v>5403.8709677419338</v>
      </c>
      <c r="BK30" s="17">
        <f t="shared" si="56"/>
        <v>1</v>
      </c>
      <c r="BL30" s="16">
        <f t="shared" si="57"/>
        <v>5403.8709677419338</v>
      </c>
      <c r="BM30" s="255">
        <v>394.68400000000003</v>
      </c>
      <c r="BN30" s="210">
        <v>26.672999999999998</v>
      </c>
      <c r="BO30" s="210">
        <v>116.54900000000001</v>
      </c>
      <c r="BP30" s="210"/>
      <c r="BQ30" s="233"/>
      <c r="BR30" s="233"/>
      <c r="BS30" s="260"/>
      <c r="BT30" s="212"/>
      <c r="BU30" s="213">
        <v>1.9</v>
      </c>
      <c r="BV30" s="213"/>
      <c r="BW30" s="213"/>
      <c r="BX30" s="213"/>
      <c r="BY30" s="235"/>
      <c r="BZ30" s="235"/>
      <c r="CA30" s="214"/>
      <c r="CB30" s="215">
        <v>36.43</v>
      </c>
      <c r="CC30" s="213">
        <v>43.36</v>
      </c>
      <c r="CD30" s="216">
        <v>42.84</v>
      </c>
      <c r="CE30" s="213"/>
      <c r="CF30" s="235"/>
      <c r="CG30" s="235"/>
      <c r="CH30" s="214"/>
      <c r="CI30" s="212"/>
      <c r="CJ30" s="210"/>
      <c r="CK30" s="210">
        <v>158.9</v>
      </c>
      <c r="CL30" s="233"/>
      <c r="CM30" s="198">
        <v>162.01</v>
      </c>
      <c r="CN30" s="202"/>
      <c r="CO30" s="208"/>
      <c r="CP30" s="208"/>
      <c r="CQ30" s="201"/>
      <c r="CR30" s="201"/>
      <c r="CS30" s="284"/>
      <c r="CT30" s="286">
        <f t="shared" si="20"/>
        <v>387.18500399999999</v>
      </c>
      <c r="CU30" s="24">
        <f t="shared" si="20"/>
        <v>26.672999999999998</v>
      </c>
      <c r="CV30" s="25">
        <f t="shared" si="20"/>
        <v>116.54900000000001</v>
      </c>
      <c r="CW30" s="24">
        <f t="shared" si="20"/>
        <v>0</v>
      </c>
      <c r="CX30" s="27">
        <f t="shared" si="20"/>
        <v>0</v>
      </c>
      <c r="CY30" s="24">
        <f t="shared" si="20"/>
        <v>0</v>
      </c>
      <c r="CZ30" s="280">
        <f t="shared" si="20"/>
        <v>0</v>
      </c>
      <c r="DA30" s="25">
        <f t="shared" si="21"/>
        <v>0</v>
      </c>
      <c r="DB30" s="26">
        <f t="shared" si="21"/>
        <v>158.9</v>
      </c>
      <c r="DC30" s="277">
        <f t="shared" si="21"/>
        <v>0</v>
      </c>
      <c r="DD30" s="280">
        <f t="shared" si="21"/>
        <v>162.01</v>
      </c>
      <c r="DE30" s="508">
        <f t="shared" si="31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3"/>
        <v>0</v>
      </c>
    </row>
    <row r="31" spans="1:115" ht="16.5" customHeight="1" thickBot="1">
      <c r="A31" s="534">
        <v>25</v>
      </c>
      <c r="B31" s="103">
        <f>'[1]декабрь 20'!K30</f>
        <v>225.14400000000001</v>
      </c>
      <c r="C31" s="104">
        <f t="shared" si="35"/>
        <v>1.0992764630636394</v>
      </c>
      <c r="D31" s="143">
        <f t="shared" si="36"/>
        <v>222.66904499999998</v>
      </c>
      <c r="E31" s="104">
        <f t="shared" si="60"/>
        <v>38.24965466545855</v>
      </c>
      <c r="F31" s="128">
        <f t="shared" si="38"/>
        <v>1.9352428732835039</v>
      </c>
      <c r="G31" s="106"/>
      <c r="H31" s="107">
        <f t="shared" si="39"/>
        <v>1.4124982183208761</v>
      </c>
      <c r="I31" s="103">
        <f>'[1]сентябрь 20'!AE30</f>
        <v>0</v>
      </c>
      <c r="J31" s="103">
        <f>'[1]декабрь 20'!AA30</f>
        <v>9.1709999999999994</v>
      </c>
      <c r="K31" s="106">
        <v>13.52</v>
      </c>
      <c r="L31" s="103">
        <f>'[1]декабрь 20'!AI30</f>
        <v>60.146999999999998</v>
      </c>
      <c r="M31" s="103">
        <f t="shared" si="40"/>
        <v>0.52274465496262812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'[1]декабрь 20'!S30</f>
        <v>142.70400000000001</v>
      </c>
      <c r="S31" s="108">
        <f t="shared" si="41"/>
        <v>3.2963336696939183</v>
      </c>
      <c r="T31" s="109">
        <f t="shared" si="42"/>
        <v>138</v>
      </c>
      <c r="U31" s="106">
        <v>31.22</v>
      </c>
      <c r="V31" s="109">
        <f t="shared" si="43"/>
        <v>138</v>
      </c>
      <c r="W31" s="110">
        <f t="shared" si="44"/>
        <v>1.1993742395272031</v>
      </c>
      <c r="X31" s="110">
        <f t="shared" si="26"/>
        <v>1.1993742395272031</v>
      </c>
      <c r="Y31" s="136">
        <v>115.06</v>
      </c>
      <c r="Z31" s="136">
        <v>29.9</v>
      </c>
      <c r="AA31" s="131">
        <v>1.1000000000000001</v>
      </c>
      <c r="AB31" s="133">
        <v>581</v>
      </c>
      <c r="AC31" s="133">
        <v>1155</v>
      </c>
      <c r="AD31" s="144" t="s">
        <v>157</v>
      </c>
      <c r="AE31" s="131">
        <v>76.28</v>
      </c>
      <c r="AF31" s="133">
        <v>76</v>
      </c>
      <c r="AG31" s="134">
        <v>3</v>
      </c>
      <c r="AH31" s="131"/>
      <c r="AI31" s="115">
        <f t="shared" si="10"/>
        <v>0</v>
      </c>
      <c r="AJ31" s="131">
        <v>75.650000000000006</v>
      </c>
      <c r="AK31" s="115">
        <f t="shared" si="45"/>
        <v>657.48305232052837</v>
      </c>
      <c r="AL31" s="139">
        <v>21.28</v>
      </c>
      <c r="AM31" s="131"/>
      <c r="AN31" s="136">
        <v>9.6300000000000008</v>
      </c>
      <c r="AO31" s="466">
        <v>40.79</v>
      </c>
      <c r="AP31" s="110">
        <f t="shared" si="46"/>
        <v>0.2503990178023327</v>
      </c>
      <c r="AQ31" s="137" t="s">
        <v>225</v>
      </c>
      <c r="AR31" s="150">
        <v>7</v>
      </c>
      <c r="AS31" s="138">
        <v>7.42</v>
      </c>
      <c r="AT31" s="134"/>
      <c r="AU31" s="131">
        <v>7.84</v>
      </c>
      <c r="AV31" s="139">
        <v>162.9</v>
      </c>
      <c r="AW31" s="131">
        <v>2.58</v>
      </c>
      <c r="AX31" s="148"/>
      <c r="AY31" s="131"/>
      <c r="AZ31" s="109">
        <f t="shared" si="58"/>
        <v>0</v>
      </c>
      <c r="BA31" s="109">
        <f t="shared" si="47"/>
        <v>115.06000000000002</v>
      </c>
      <c r="BB31" s="115">
        <f t="shared" si="48"/>
        <v>97.474479395561005</v>
      </c>
      <c r="BC31" s="140">
        <f t="shared" si="49"/>
        <v>4.5944056338028165</v>
      </c>
      <c r="BD31" s="141">
        <f t="shared" si="50"/>
        <v>4.6024000000000012</v>
      </c>
      <c r="BE31" s="128">
        <f t="shared" si="51"/>
        <v>1.030499271428521</v>
      </c>
      <c r="BF31" s="141">
        <f t="shared" si="61"/>
        <v>9.1968056338028177</v>
      </c>
      <c r="BG31" s="535">
        <v>0.89800000000000002</v>
      </c>
      <c r="BH31" s="16">
        <f t="shared" si="53"/>
        <v>5390.07</v>
      </c>
      <c r="BI31" s="16">
        <f t="shared" si="54"/>
        <v>225.16129032258064</v>
      </c>
      <c r="BJ31" s="16">
        <f t="shared" si="55"/>
        <v>5629.0322580645143</v>
      </c>
      <c r="BK31" s="17">
        <f>IF(BA31&lt;&gt;0,1,0)</f>
        <v>1</v>
      </c>
      <c r="BL31" s="16">
        <f t="shared" si="57"/>
        <v>5629.0322580645143</v>
      </c>
      <c r="BM31" s="254">
        <v>164.99700000000001</v>
      </c>
      <c r="BN31" s="197">
        <v>11.401999999999999</v>
      </c>
      <c r="BO31" s="197">
        <v>48.744999999999997</v>
      </c>
      <c r="BP31" s="197"/>
      <c r="BQ31" s="230"/>
      <c r="BR31" s="230"/>
      <c r="BS31" s="259"/>
      <c r="BT31" s="199"/>
      <c r="BU31" s="200">
        <v>1.5</v>
      </c>
      <c r="BV31" s="200"/>
      <c r="BW31" s="200"/>
      <c r="BX31" s="200"/>
      <c r="BY31" s="208"/>
      <c r="BZ31" s="208"/>
      <c r="CA31" s="201"/>
      <c r="CB31" s="202">
        <v>36.36</v>
      </c>
      <c r="CC31" s="200">
        <v>43.79</v>
      </c>
      <c r="CD31" s="200">
        <v>43.35</v>
      </c>
      <c r="CE31" s="200"/>
      <c r="CF31" s="208"/>
      <c r="CG31" s="208"/>
      <c r="CH31" s="209"/>
      <c r="CI31" s="199"/>
      <c r="CJ31" s="197"/>
      <c r="CK31" s="197">
        <v>69.75</v>
      </c>
      <c r="CL31" s="230"/>
      <c r="CM31" s="198">
        <v>68.25</v>
      </c>
      <c r="CN31" s="202"/>
      <c r="CO31" s="208"/>
      <c r="CP31" s="208"/>
      <c r="CQ31" s="201"/>
      <c r="CR31" s="201"/>
      <c r="CS31" s="284"/>
      <c r="CT31" s="286">
        <f t="shared" si="20"/>
        <v>162.52204500000002</v>
      </c>
      <c r="CU31" s="24">
        <f t="shared" si="20"/>
        <v>11.401999999999999</v>
      </c>
      <c r="CV31" s="25">
        <f t="shared" si="20"/>
        <v>48.744999999999997</v>
      </c>
      <c r="CW31" s="24">
        <f t="shared" si="20"/>
        <v>0</v>
      </c>
      <c r="CX31" s="27">
        <f t="shared" si="20"/>
        <v>0</v>
      </c>
      <c r="CY31" s="24">
        <f t="shared" si="20"/>
        <v>0</v>
      </c>
      <c r="CZ31" s="280">
        <f t="shared" si="20"/>
        <v>0</v>
      </c>
      <c r="DA31" s="28">
        <f t="shared" si="21"/>
        <v>0</v>
      </c>
      <c r="DB31" s="24">
        <f t="shared" si="21"/>
        <v>69.75</v>
      </c>
      <c r="DC31" s="277">
        <f t="shared" si="21"/>
        <v>0</v>
      </c>
      <c r="DD31" s="280">
        <f t="shared" si="21"/>
        <v>68.25</v>
      </c>
      <c r="DE31" s="508">
        <f t="shared" si="31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3"/>
        <v>0</v>
      </c>
    </row>
    <row r="32" spans="1:115" ht="16.5" customHeight="1" thickBot="1">
      <c r="A32" s="534">
        <v>26</v>
      </c>
      <c r="B32" s="103">
        <f>'[1]декабрь 20'!K31</f>
        <v>498.09199999999998</v>
      </c>
      <c r="C32" s="104">
        <f t="shared" si="35"/>
        <v>0.81498088706504013</v>
      </c>
      <c r="D32" s="143">
        <f t="shared" si="36"/>
        <v>494.03264540000004</v>
      </c>
      <c r="E32" s="104">
        <f t="shared" si="60"/>
        <v>39.433949210186071</v>
      </c>
      <c r="F32" s="128">
        <f t="shared" si="38"/>
        <v>2.4985214454053506</v>
      </c>
      <c r="G32" s="106"/>
      <c r="H32" s="107">
        <f t="shared" si="39"/>
        <v>1.6088183148738175</v>
      </c>
      <c r="I32" s="103">
        <f>'[1]сентябрь 20'!AE31</f>
        <v>0</v>
      </c>
      <c r="J32" s="103">
        <f>'[1]декабрь 20'!AA31</f>
        <v>14.596</v>
      </c>
      <c r="K32" s="106">
        <v>34.869999999999997</v>
      </c>
      <c r="L32" s="103">
        <f>'[1]декабрь 20'!AI31</f>
        <v>175.92099999999999</v>
      </c>
      <c r="M32" s="103">
        <f t="shared" si="40"/>
        <v>0.88970313053153283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'[1]декабрь 20'!S31</f>
        <v>312.05200000000002</v>
      </c>
      <c r="S32" s="108">
        <f t="shared" si="41"/>
        <v>3.1507569251278622</v>
      </c>
      <c r="T32" s="109">
        <f t="shared" si="42"/>
        <v>302.22000000000003</v>
      </c>
      <c r="U32" s="106">
        <v>14.45</v>
      </c>
      <c r="V32" s="109">
        <f t="shared" si="43"/>
        <v>302.22000000000003</v>
      </c>
      <c r="W32" s="110">
        <f t="shared" si="44"/>
        <v>1.5284478834774693</v>
      </c>
      <c r="X32" s="110">
        <f t="shared" si="26"/>
        <v>1.5284478834774693</v>
      </c>
      <c r="Y32" s="136">
        <v>108.34</v>
      </c>
      <c r="Z32" s="136">
        <v>197.73</v>
      </c>
      <c r="AA32" s="131">
        <v>0.59</v>
      </c>
      <c r="AB32" s="133">
        <v>681</v>
      </c>
      <c r="AC32" s="133">
        <v>1184</v>
      </c>
      <c r="AD32" s="144" t="s">
        <v>506</v>
      </c>
      <c r="AE32" s="131">
        <v>75.69</v>
      </c>
      <c r="AF32" s="133">
        <v>166</v>
      </c>
      <c r="AG32" s="134">
        <v>5</v>
      </c>
      <c r="AH32" s="131">
        <v>10.1</v>
      </c>
      <c r="AI32" s="115">
        <f t="shared" si="10"/>
        <v>51.079755221767044</v>
      </c>
      <c r="AJ32" s="131">
        <v>132.4</v>
      </c>
      <c r="AK32" s="115">
        <f t="shared" si="45"/>
        <v>669.59995954078784</v>
      </c>
      <c r="AL32" s="139">
        <v>28.33</v>
      </c>
      <c r="AM32" s="131"/>
      <c r="AN32" s="136">
        <v>12.02</v>
      </c>
      <c r="AO32" s="466">
        <v>49.39</v>
      </c>
      <c r="AP32" s="110">
        <f t="shared" si="46"/>
        <v>0.1926662765749951</v>
      </c>
      <c r="AQ32" s="137" t="s">
        <v>273</v>
      </c>
      <c r="AR32" s="150">
        <v>6.81</v>
      </c>
      <c r="AS32" s="138">
        <v>6.83</v>
      </c>
      <c r="AT32" s="134"/>
      <c r="AU32" s="131">
        <v>9.1199999999999992</v>
      </c>
      <c r="AV32" s="139">
        <v>256.35000000000002</v>
      </c>
      <c r="AW32" s="131">
        <v>2.79</v>
      </c>
      <c r="AX32" s="148"/>
      <c r="AY32" s="131"/>
      <c r="AZ32" s="109">
        <f t="shared" si="58"/>
        <v>0</v>
      </c>
      <c r="BA32" s="109">
        <f t="shared" si="47"/>
        <v>197.73000000000002</v>
      </c>
      <c r="BB32" s="115">
        <f t="shared" si="48"/>
        <v>224.69926872141667</v>
      </c>
      <c r="BC32" s="140">
        <f t="shared" si="49"/>
        <v>9.3537802816901401</v>
      </c>
      <c r="BD32" s="141">
        <f t="shared" si="50"/>
        <v>7.9092000000000011</v>
      </c>
      <c r="BE32" s="128">
        <f t="shared" si="51"/>
        <v>0.76821918906203945</v>
      </c>
      <c r="BF32" s="141">
        <f t="shared" si="61"/>
        <v>17.26298028169014</v>
      </c>
      <c r="BG32" s="535">
        <v>0.89200000000000002</v>
      </c>
      <c r="BH32" s="16">
        <f t="shared" si="53"/>
        <v>5587.7999999999993</v>
      </c>
      <c r="BI32" s="16">
        <f t="shared" si="54"/>
        <v>225.16129032258064</v>
      </c>
      <c r="BJ32" s="16">
        <f t="shared" si="55"/>
        <v>5854.1935483870948</v>
      </c>
      <c r="BK32" s="17">
        <f>IF(BA32&lt;&gt;0,1,0)</f>
        <v>1</v>
      </c>
      <c r="BL32" s="16">
        <f t="shared" si="57"/>
        <v>5854.1935483870948</v>
      </c>
      <c r="BM32" s="254">
        <v>322.17099999999999</v>
      </c>
      <c r="BN32" s="197">
        <v>68.067999999999998</v>
      </c>
      <c r="BO32" s="197">
        <v>107.85299999999999</v>
      </c>
      <c r="BP32" s="197"/>
      <c r="BQ32" s="230"/>
      <c r="BR32" s="230"/>
      <c r="BS32" s="258"/>
      <c r="BT32" s="199"/>
      <c r="BU32" s="200">
        <v>1.26</v>
      </c>
      <c r="BV32" s="200"/>
      <c r="BW32" s="200"/>
      <c r="BX32" s="200"/>
      <c r="BY32" s="208"/>
      <c r="BZ32" s="208"/>
      <c r="CA32" s="201"/>
      <c r="CB32" s="202">
        <v>36.9</v>
      </c>
      <c r="CC32" s="200">
        <v>44.24</v>
      </c>
      <c r="CD32" s="200">
        <v>43.97</v>
      </c>
      <c r="CE32" s="200"/>
      <c r="CF32" s="208"/>
      <c r="CG32" s="208"/>
      <c r="CH32" s="209"/>
      <c r="CI32" s="199"/>
      <c r="CJ32" s="197"/>
      <c r="CK32" s="197">
        <v>148.63</v>
      </c>
      <c r="CL32" s="230"/>
      <c r="CM32" s="198">
        <v>153.59</v>
      </c>
      <c r="CN32" s="202"/>
      <c r="CO32" s="208"/>
      <c r="CP32" s="208"/>
      <c r="CQ32" s="201"/>
      <c r="CR32" s="201"/>
      <c r="CS32" s="284"/>
      <c r="CT32" s="286">
        <f t="shared" si="20"/>
        <v>318.11164539999999</v>
      </c>
      <c r="CU32" s="24">
        <f t="shared" si="20"/>
        <v>68.067999999999998</v>
      </c>
      <c r="CV32" s="25">
        <f t="shared" si="20"/>
        <v>107.85299999999999</v>
      </c>
      <c r="CW32" s="24">
        <f t="shared" si="20"/>
        <v>0</v>
      </c>
      <c r="CX32" s="27">
        <f t="shared" si="20"/>
        <v>0</v>
      </c>
      <c r="CY32" s="24">
        <f t="shared" si="20"/>
        <v>0</v>
      </c>
      <c r="CZ32" s="280">
        <f t="shared" si="20"/>
        <v>0</v>
      </c>
      <c r="DA32" s="25">
        <f t="shared" si="21"/>
        <v>0</v>
      </c>
      <c r="DB32" s="24">
        <f t="shared" si="21"/>
        <v>148.63</v>
      </c>
      <c r="DC32" s="277">
        <f t="shared" si="21"/>
        <v>0</v>
      </c>
      <c r="DD32" s="280">
        <f t="shared" si="21"/>
        <v>153.59</v>
      </c>
      <c r="DE32" s="508">
        <f t="shared" si="31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3"/>
        <v>0</v>
      </c>
    </row>
    <row r="33" spans="1:115" ht="16.5" customHeight="1" thickBot="1">
      <c r="A33" s="534">
        <v>27</v>
      </c>
      <c r="B33" s="103">
        <f>'[1]декабрь 20'!K32</f>
        <v>515.72199999999998</v>
      </c>
      <c r="C33" s="104">
        <f t="shared" si="35"/>
        <v>0.60015861258585046</v>
      </c>
      <c r="D33" s="143">
        <f t="shared" si="36"/>
        <v>512.62684999999999</v>
      </c>
      <c r="E33" s="104">
        <f t="shared" si="60"/>
        <v>39.762938695653858</v>
      </c>
      <c r="F33" s="128">
        <f t="shared" si="38"/>
        <v>2.1115741236561352</v>
      </c>
      <c r="G33" s="106"/>
      <c r="H33" s="107">
        <f t="shared" si="39"/>
        <v>1.2621816946080653</v>
      </c>
      <c r="I33" s="103">
        <f>'[1]сентябрь 20'!AE32</f>
        <v>0</v>
      </c>
      <c r="J33" s="103">
        <f>'[1]декабрь 20'!AA32</f>
        <v>12.089</v>
      </c>
      <c r="K33" s="106">
        <v>40.58</v>
      </c>
      <c r="L33" s="103">
        <f>'[1]декабрь 20'!AI32</f>
        <v>206.20699999999999</v>
      </c>
      <c r="M33" s="103">
        <f t="shared" si="40"/>
        <v>0.84939242904807011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'[1]декабрь 20'!S32</f>
        <v>323.16500000000002</v>
      </c>
      <c r="S33" s="108">
        <f t="shared" si="41"/>
        <v>3.3032661333993518</v>
      </c>
      <c r="T33" s="109">
        <f t="shared" si="42"/>
        <v>312.49</v>
      </c>
      <c r="U33" s="106"/>
      <c r="V33" s="109">
        <f t="shared" si="43"/>
        <v>312.49</v>
      </c>
      <c r="W33" s="110">
        <f t="shared" si="44"/>
        <v>1.2871854018206532</v>
      </c>
      <c r="X33" s="110">
        <f t="shared" si="26"/>
        <v>1.2871854018206532</v>
      </c>
      <c r="Y33" s="136">
        <v>56.7</v>
      </c>
      <c r="Z33" s="136">
        <v>242.77</v>
      </c>
      <c r="AA33" s="131">
        <v>0.51</v>
      </c>
      <c r="AB33" s="133">
        <v>629</v>
      </c>
      <c r="AC33" s="133">
        <v>1214</v>
      </c>
      <c r="AD33" s="144" t="s">
        <v>478</v>
      </c>
      <c r="AE33" s="131">
        <v>74.349999999999994</v>
      </c>
      <c r="AF33" s="133">
        <v>172</v>
      </c>
      <c r="AG33" s="134">
        <v>5</v>
      </c>
      <c r="AH33" s="131">
        <v>10.45</v>
      </c>
      <c r="AI33" s="115">
        <f t="shared" si="10"/>
        <v>43.044857272315355</v>
      </c>
      <c r="AJ33" s="131">
        <v>129.6</v>
      </c>
      <c r="AK33" s="115">
        <f t="shared" si="45"/>
        <v>533.838612678667</v>
      </c>
      <c r="AL33" s="139">
        <v>30.44</v>
      </c>
      <c r="AM33" s="131"/>
      <c r="AN33" s="136">
        <v>17.05</v>
      </c>
      <c r="AO33" s="466">
        <v>57.19</v>
      </c>
      <c r="AP33" s="110">
        <f t="shared" si="46"/>
        <v>0.18251156853358863</v>
      </c>
      <c r="AQ33" s="137" t="s">
        <v>415</v>
      </c>
      <c r="AR33" s="150">
        <v>7.32</v>
      </c>
      <c r="AS33" s="138">
        <v>6.81</v>
      </c>
      <c r="AT33" s="134"/>
      <c r="AU33" s="131">
        <v>7.4</v>
      </c>
      <c r="AV33" s="139">
        <v>313.35000000000002</v>
      </c>
      <c r="AW33" s="131">
        <v>3.66</v>
      </c>
      <c r="AX33" s="116"/>
      <c r="AY33" s="131"/>
      <c r="AZ33" s="109">
        <f t="shared" si="58"/>
        <v>0</v>
      </c>
      <c r="BA33" s="109">
        <f t="shared" si="47"/>
        <v>242.77</v>
      </c>
      <c r="BB33" s="115">
        <f t="shared" si="48"/>
        <v>239.33879164745846</v>
      </c>
      <c r="BC33" s="140">
        <f t="shared" si="49"/>
        <v>7.4291830985915484</v>
      </c>
      <c r="BD33" s="141">
        <f t="shared" si="50"/>
        <v>9.7108000000000008</v>
      </c>
      <c r="BE33" s="128">
        <f t="shared" si="51"/>
        <v>0.8855155010232566</v>
      </c>
      <c r="BF33" s="141">
        <f t="shared" si="61"/>
        <v>17.13998309859155</v>
      </c>
      <c r="BG33" s="535">
        <v>0.89200000000000002</v>
      </c>
      <c r="BH33" s="16">
        <f t="shared" si="53"/>
        <v>5830.57</v>
      </c>
      <c r="BI33" s="16">
        <f t="shared" si="54"/>
        <v>225.16129032258064</v>
      </c>
      <c r="BJ33" s="16">
        <f t="shared" si="55"/>
        <v>6079.3548387096753</v>
      </c>
      <c r="BK33" s="17">
        <f t="shared" si="56"/>
        <v>1</v>
      </c>
      <c r="BL33" s="16">
        <f t="shared" si="57"/>
        <v>6079.3548387096753</v>
      </c>
      <c r="BM33" s="254">
        <v>309.51499999999999</v>
      </c>
      <c r="BN33" s="197">
        <v>94.543000000000006</v>
      </c>
      <c r="BO33" s="197">
        <v>111.664</v>
      </c>
      <c r="BP33" s="197"/>
      <c r="BQ33" s="230"/>
      <c r="BR33" s="230"/>
      <c r="BS33" s="258"/>
      <c r="BT33" s="199"/>
      <c r="BU33" s="200">
        <v>1</v>
      </c>
      <c r="BV33" s="200"/>
      <c r="BW33" s="200"/>
      <c r="BX33" s="200"/>
      <c r="BY33" s="208"/>
      <c r="BZ33" s="208"/>
      <c r="CA33" s="201"/>
      <c r="CB33" s="202">
        <v>37.340000000000003</v>
      </c>
      <c r="CC33" s="200">
        <v>43.99</v>
      </c>
      <c r="CD33" s="200">
        <v>42.9</v>
      </c>
      <c r="CE33" s="200"/>
      <c r="CF33" s="208"/>
      <c r="CG33" s="208"/>
      <c r="CH33" s="209"/>
      <c r="CI33" s="199"/>
      <c r="CJ33" s="197"/>
      <c r="CK33" s="197">
        <v>153.08000000000001</v>
      </c>
      <c r="CL33" s="230"/>
      <c r="CM33" s="198">
        <v>159.41</v>
      </c>
      <c r="CN33" s="202"/>
      <c r="CO33" s="208"/>
      <c r="CP33" s="208"/>
      <c r="CQ33" s="209"/>
      <c r="CR33" s="201"/>
      <c r="CS33" s="284"/>
      <c r="CT33" s="286">
        <f t="shared" si="20"/>
        <v>306.41985</v>
      </c>
      <c r="CU33" s="24">
        <f t="shared" si="20"/>
        <v>94.543000000000006</v>
      </c>
      <c r="CV33" s="25">
        <f t="shared" si="20"/>
        <v>111.664</v>
      </c>
      <c r="CW33" s="24">
        <f t="shared" si="20"/>
        <v>0</v>
      </c>
      <c r="CX33" s="27">
        <f t="shared" si="20"/>
        <v>0</v>
      </c>
      <c r="CY33" s="24">
        <f t="shared" si="20"/>
        <v>0</v>
      </c>
      <c r="CZ33" s="280">
        <f t="shared" si="20"/>
        <v>0</v>
      </c>
      <c r="DA33" s="25">
        <f t="shared" si="21"/>
        <v>0</v>
      </c>
      <c r="DB33" s="24">
        <f t="shared" si="21"/>
        <v>153.08000000000001</v>
      </c>
      <c r="DC33" s="277">
        <f t="shared" si="21"/>
        <v>0</v>
      </c>
      <c r="DD33" s="280">
        <f t="shared" si="21"/>
        <v>159.41</v>
      </c>
      <c r="DE33" s="508">
        <f t="shared" si="31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3"/>
        <v>0</v>
      </c>
    </row>
    <row r="34" spans="1:115" ht="16.5" customHeight="1" thickBot="1">
      <c r="A34" s="534">
        <v>28</v>
      </c>
      <c r="B34" s="103">
        <f>'[1]декабрь 20'!K33</f>
        <v>486.447</v>
      </c>
      <c r="C34" s="104">
        <f t="shared" si="35"/>
        <v>0.97206593935207741</v>
      </c>
      <c r="D34" s="143">
        <f t="shared" si="36"/>
        <v>481.71841440000003</v>
      </c>
      <c r="E34" s="104">
        <f t="shared" si="60"/>
        <v>39.272298420999618</v>
      </c>
      <c r="F34" s="128">
        <f t="shared" si="38"/>
        <v>2.0878013886360685</v>
      </c>
      <c r="G34" s="106"/>
      <c r="H34" s="107">
        <f t="shared" si="39"/>
        <v>1.2445690391366533</v>
      </c>
      <c r="I34" s="103">
        <f>'[1]сентябрь 20'!AE33</f>
        <v>0</v>
      </c>
      <c r="J34" s="103">
        <f>'[1]декабрь 20'!AA33</f>
        <v>12.494</v>
      </c>
      <c r="K34" s="106">
        <v>36.28</v>
      </c>
      <c r="L34" s="103">
        <f>'[1]декабрь 20'!AI33</f>
        <v>194.559</v>
      </c>
      <c r="M34" s="103">
        <f t="shared" si="40"/>
        <v>0.84323234949941495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'[1]декабрь 20'!S33</f>
        <v>303.88600000000002</v>
      </c>
      <c r="S34" s="108">
        <f t="shared" si="41"/>
        <v>3.2499029241228716</v>
      </c>
      <c r="T34" s="109">
        <f t="shared" si="42"/>
        <v>294.00999999999993</v>
      </c>
      <c r="U34" s="106"/>
      <c r="V34" s="109">
        <f t="shared" si="43"/>
        <v>294.01</v>
      </c>
      <c r="W34" s="110">
        <f t="shared" si="44"/>
        <v>1.2742599575261127</v>
      </c>
      <c r="X34" s="110">
        <f t="shared" si="26"/>
        <v>1.2742599575261127</v>
      </c>
      <c r="Y34" s="157"/>
      <c r="Z34" s="157">
        <v>230.73</v>
      </c>
      <c r="AA34" s="149">
        <v>0.69</v>
      </c>
      <c r="AB34" s="147">
        <v>645</v>
      </c>
      <c r="AC34" s="147">
        <v>1217</v>
      </c>
      <c r="AD34" s="144" t="s">
        <v>463</v>
      </c>
      <c r="AE34" s="149">
        <v>74.17</v>
      </c>
      <c r="AF34" s="147">
        <v>162</v>
      </c>
      <c r="AG34" s="155">
        <v>5</v>
      </c>
      <c r="AH34" s="149">
        <v>3.5</v>
      </c>
      <c r="AI34" s="115">
        <f t="shared" si="10"/>
        <v>15.169245438391194</v>
      </c>
      <c r="AJ34" s="149">
        <v>121.2</v>
      </c>
      <c r="AK34" s="115">
        <f t="shared" si="45"/>
        <v>525.28929918086078</v>
      </c>
      <c r="AL34" s="156">
        <v>26.85</v>
      </c>
      <c r="AM34" s="149"/>
      <c r="AN34" s="157">
        <v>13.71</v>
      </c>
      <c r="AO34" s="466">
        <v>59.84</v>
      </c>
      <c r="AP34" s="110">
        <f t="shared" si="46"/>
        <v>0.19993317741396593</v>
      </c>
      <c r="AQ34" s="158" t="s">
        <v>281</v>
      </c>
      <c r="AR34" s="404">
        <v>7.54</v>
      </c>
      <c r="AS34" s="159">
        <v>7.06</v>
      </c>
      <c r="AT34" s="155"/>
      <c r="AU34" s="149">
        <v>7.28</v>
      </c>
      <c r="AV34" s="156">
        <v>299.3</v>
      </c>
      <c r="AW34" s="131">
        <v>4.9800000000000004</v>
      </c>
      <c r="AX34" s="148"/>
      <c r="AY34" s="149"/>
      <c r="AZ34" s="109">
        <f t="shared" si="58"/>
        <v>0</v>
      </c>
      <c r="BA34" s="109">
        <f t="shared" si="47"/>
        <v>230.73</v>
      </c>
      <c r="BB34" s="115">
        <f t="shared" si="48"/>
        <v>222.67196010389915</v>
      </c>
      <c r="BC34" s="140">
        <f t="shared" si="49"/>
        <v>6.8349971830985918</v>
      </c>
      <c r="BD34" s="141">
        <f t="shared" si="50"/>
        <v>9.2292000000000005</v>
      </c>
      <c r="BE34" s="128">
        <f t="shared" si="51"/>
        <v>0.90459207304778588</v>
      </c>
      <c r="BF34" s="141">
        <f t="shared" si="61"/>
        <v>16.064197183098592</v>
      </c>
      <c r="BG34" s="538">
        <v>0.89300000000000002</v>
      </c>
      <c r="BH34" s="16">
        <f t="shared" si="53"/>
        <v>6061.2999999999993</v>
      </c>
      <c r="BI34" s="16">
        <f t="shared" si="54"/>
        <v>225.16129032258064</v>
      </c>
      <c r="BJ34" s="16">
        <f t="shared" si="55"/>
        <v>6304.5161290322558</v>
      </c>
      <c r="BK34" s="17">
        <f t="shared" si="56"/>
        <v>1</v>
      </c>
      <c r="BL34" s="16">
        <f t="shared" si="57"/>
        <v>6304.5161290322558</v>
      </c>
      <c r="BM34" s="255">
        <v>291.88799999999998</v>
      </c>
      <c r="BN34" s="210">
        <v>89.058999999999997</v>
      </c>
      <c r="BO34" s="210">
        <v>105.5</v>
      </c>
      <c r="BP34" s="210"/>
      <c r="BQ34" s="233"/>
      <c r="BR34" s="233"/>
      <c r="BS34" s="260"/>
      <c r="BT34" s="212"/>
      <c r="BU34" s="213">
        <v>1.62</v>
      </c>
      <c r="BV34" s="213"/>
      <c r="BW34" s="213"/>
      <c r="BX34" s="213"/>
      <c r="BY34" s="235"/>
      <c r="BZ34" s="235"/>
      <c r="CA34" s="214"/>
      <c r="CB34" s="215">
        <v>36.39</v>
      </c>
      <c r="CC34" s="213">
        <v>43.77</v>
      </c>
      <c r="CD34" s="213">
        <v>43.45</v>
      </c>
      <c r="CE34" s="213"/>
      <c r="CF34" s="235"/>
      <c r="CG34" s="235"/>
      <c r="CH34" s="211"/>
      <c r="CI34" s="212"/>
      <c r="CJ34" s="210"/>
      <c r="CK34" s="210">
        <v>144.18</v>
      </c>
      <c r="CL34" s="233"/>
      <c r="CM34" s="198">
        <v>149.83000000000001</v>
      </c>
      <c r="CN34" s="202"/>
      <c r="CO34" s="208"/>
      <c r="CP34" s="208"/>
      <c r="CQ34" s="209"/>
      <c r="CR34" s="201"/>
      <c r="CS34" s="284"/>
      <c r="CT34" s="286">
        <f t="shared" si="20"/>
        <v>287.1594144</v>
      </c>
      <c r="CU34" s="24">
        <f t="shared" si="20"/>
        <v>89.058999999999997</v>
      </c>
      <c r="CV34" s="25">
        <f t="shared" si="20"/>
        <v>105.5</v>
      </c>
      <c r="CW34" s="24">
        <f t="shared" si="20"/>
        <v>0</v>
      </c>
      <c r="CX34" s="27">
        <f t="shared" si="20"/>
        <v>0</v>
      </c>
      <c r="CY34" s="24">
        <f t="shared" si="20"/>
        <v>0</v>
      </c>
      <c r="CZ34" s="280">
        <f t="shared" si="20"/>
        <v>0</v>
      </c>
      <c r="DA34" s="30">
        <f t="shared" si="21"/>
        <v>0</v>
      </c>
      <c r="DB34" s="29">
        <f t="shared" si="21"/>
        <v>144.18</v>
      </c>
      <c r="DC34" s="277">
        <f t="shared" si="21"/>
        <v>0</v>
      </c>
      <c r="DD34" s="280">
        <f t="shared" si="21"/>
        <v>149.83000000000001</v>
      </c>
      <c r="DE34" s="508">
        <f t="shared" si="31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3"/>
        <v>0</v>
      </c>
    </row>
    <row r="35" spans="1:115" ht="16.5" customHeight="1" thickBot="1">
      <c r="A35" s="534">
        <v>29</v>
      </c>
      <c r="B35" s="103">
        <f>'[1]декабрь 20'!K34</f>
        <v>447.18799999999999</v>
      </c>
      <c r="C35" s="104">
        <f t="shared" si="35"/>
        <v>0.85829163573262246</v>
      </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1.9277755578745976</v>
      </c>
      <c r="G35" s="106"/>
      <c r="H35" s="107">
        <f t="shared" si="39"/>
        <v>1.1503862196712757</v>
      </c>
      <c r="I35" s="103">
        <f>'[1]сентябрь 20'!AE34</f>
        <v>0</v>
      </c>
      <c r="J35" s="103">
        <f>'[1]декабрь 20'!AA34</f>
        <v>12.047000000000001</v>
      </c>
      <c r="K35" s="106">
        <v>17.3</v>
      </c>
      <c r="L35" s="103">
        <f>'[1]декабрь 20'!AI34</f>
        <v>178.78399999999999</v>
      </c>
      <c r="M35" s="103">
        <f t="shared" si="40"/>
        <v>0.77738933820332201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'[1]декабрь 20'!S34</f>
        <v>279.19600000000003</v>
      </c>
      <c r="S35" s="108">
        <f t="shared" si="41"/>
        <v>3.182710354016538</v>
      </c>
      <c r="T35" s="109">
        <f t="shared" si="42"/>
        <v>270.31</v>
      </c>
      <c r="U35" s="106">
        <v>24.35</v>
      </c>
      <c r="V35" s="109">
        <f t="shared" si="43"/>
        <v>270.31</v>
      </c>
      <c r="W35" s="110">
        <f t="shared" si="44"/>
        <v>1.1753630750500044</v>
      </c>
      <c r="X35" s="110">
        <f t="shared" si="26"/>
        <v>1.1753630750500044</v>
      </c>
      <c r="Y35" s="136">
        <v>52.11</v>
      </c>
      <c r="Z35" s="136">
        <v>229.98</v>
      </c>
      <c r="AA35" s="131">
        <v>0.5</v>
      </c>
      <c r="AB35" s="133">
        <v>682</v>
      </c>
      <c r="AC35" s="133">
        <v>1224</v>
      </c>
      <c r="AD35" s="144" t="s">
        <v>144</v>
      </c>
      <c r="AE35" s="131">
        <v>74.349999999999994</v>
      </c>
      <c r="AF35" s="133">
        <v>149</v>
      </c>
      <c r="AG35" s="134">
        <v>5</v>
      </c>
      <c r="AH35" s="166">
        <v>3.45</v>
      </c>
      <c r="AI35" s="115">
        <f t="shared" si="10"/>
        <v>15.001304461257503</v>
      </c>
      <c r="AJ35" s="166">
        <v>133.05000000000001</v>
      </c>
      <c r="AK35" s="115">
        <f t="shared" si="45"/>
        <v>578.52856770153937</v>
      </c>
      <c r="AL35" s="139">
        <v>29.86</v>
      </c>
      <c r="AM35" s="131"/>
      <c r="AN35" s="167">
        <v>15.75</v>
      </c>
      <c r="AO35" s="466">
        <v>59.96</v>
      </c>
      <c r="AP35" s="110">
        <f t="shared" si="46"/>
        <v>0.19953410981697173</v>
      </c>
      <c r="AQ35" s="168" t="s">
        <v>191</v>
      </c>
      <c r="AR35" s="405">
        <v>7.36</v>
      </c>
      <c r="AS35" s="169">
        <v>7.17</v>
      </c>
      <c r="AT35" s="170"/>
      <c r="AU35" s="166">
        <v>7.34</v>
      </c>
      <c r="AV35" s="171">
        <v>300.5</v>
      </c>
      <c r="AW35" s="131">
        <v>5.19</v>
      </c>
      <c r="AX35" s="116"/>
      <c r="AY35" s="131"/>
      <c r="AZ35" s="109">
        <f t="shared" si="58"/>
        <v>0</v>
      </c>
      <c r="BA35" s="109">
        <f t="shared" si="47"/>
        <v>229.98</v>
      </c>
      <c r="BB35" s="115">
        <f t="shared" si="48"/>
        <v>208.07824891698695</v>
      </c>
      <c r="BC35" s="140">
        <f t="shared" si="49"/>
        <v>7.5651105633802826</v>
      </c>
      <c r="BD35" s="141">
        <f t="shared" si="50"/>
        <v>9.1991999999999994</v>
      </c>
      <c r="BE35" s="128">
        <f t="shared" si="51"/>
        <v>0.96488960785179623</v>
      </c>
      <c r="BF35" s="141">
        <f t="shared" si="61"/>
        <v>16.764310563380281</v>
      </c>
      <c r="BG35" s="538">
        <v>0.89500000000000002</v>
      </c>
      <c r="BH35" s="16">
        <f t="shared" si="53"/>
        <v>6291.2799999999988</v>
      </c>
      <c r="BI35" s="16">
        <f t="shared" si="54"/>
        <v>225.16129032258064</v>
      </c>
      <c r="BJ35" s="16">
        <f t="shared" si="55"/>
        <v>6529.6774193548363</v>
      </c>
      <c r="BK35" s="17">
        <f t="shared" si="56"/>
        <v>1</v>
      </c>
      <c r="BL35" s="16">
        <f t="shared" si="57"/>
        <v>6529.6774193548363</v>
      </c>
      <c r="BM35" s="254">
        <v>268.404</v>
      </c>
      <c r="BN35" s="197">
        <v>81.933000000000007</v>
      </c>
      <c r="BO35" s="197">
        <v>96.850999999999999</v>
      </c>
      <c r="BP35" s="197"/>
      <c r="BQ35" s="230"/>
      <c r="BR35" s="230"/>
      <c r="BS35" s="259"/>
      <c r="BT35" s="199"/>
      <c r="BU35" s="200">
        <v>1.43</v>
      </c>
      <c r="BV35" s="200"/>
      <c r="BW35" s="200"/>
      <c r="BX35" s="200"/>
      <c r="BY35" s="208"/>
      <c r="BZ35" s="208"/>
      <c r="CA35" s="201"/>
      <c r="CB35" s="202">
        <v>37.36</v>
      </c>
      <c r="CC35" s="200">
        <v>43.81</v>
      </c>
      <c r="CD35" s="200">
        <v>43.96</v>
      </c>
      <c r="CE35" s="200"/>
      <c r="CF35" s="208"/>
      <c r="CG35" s="208"/>
      <c r="CH35" s="209"/>
      <c r="CI35" s="199"/>
      <c r="CJ35" s="197"/>
      <c r="CK35" s="197">
        <v>132.61000000000001</v>
      </c>
      <c r="CL35" s="230"/>
      <c r="CM35" s="198">
        <v>137.69999999999999</v>
      </c>
      <c r="CN35" s="202"/>
      <c r="CO35" s="208"/>
      <c r="CP35" s="208"/>
      <c r="CQ35" s="209"/>
      <c r="CR35" s="201"/>
      <c r="CT35" s="286">
        <f t="shared" si="20"/>
        <v>264.56582279999998</v>
      </c>
      <c r="CU35" s="24">
        <f t="shared" si="20"/>
        <v>81.933000000000007</v>
      </c>
      <c r="CV35" s="24">
        <f t="shared" si="20"/>
        <v>96.850999999999999</v>
      </c>
      <c r="CW35" s="24">
        <f t="shared" si="20"/>
        <v>0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132.61000000000001</v>
      </c>
      <c r="DC35" s="277">
        <f t="shared" si="21"/>
        <v>0</v>
      </c>
      <c r="DD35" s="280">
        <f t="shared" si="21"/>
        <v>137.69999999999999</v>
      </c>
      <c r="DE35" s="508">
        <f t="shared" si="31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3"/>
        <v>0</v>
      </c>
    </row>
    <row r="36" spans="1:115" ht="16.5" customHeight="1" thickBot="1">
      <c r="A36" s="534">
        <v>30</v>
      </c>
      <c r="B36" s="103">
        <f>'[1]декабрь 20'!K35</f>
        <v>375.15300000000002</v>
      </c>
      <c r="C36" s="104">
        <f t="shared" si="35"/>
        <v>1.2069976249690124</v>
      </c>
      <c r="D36" s="143">
        <f t="shared" si="36"/>
        <v>370.62491220000004</v>
      </c>
      <c r="E36" s="104">
        <f t="shared" si="60"/>
        <v>39.604917033850185</v>
      </c>
      <c r="F36" s="128">
        <f t="shared" si="38"/>
        <v>2.7498509585991995</v>
      </c>
      <c r="G36" s="106"/>
      <c r="H36" s="107">
        <f t="shared" si="39"/>
        <v>1.6378536296186379</v>
      </c>
      <c r="I36" s="103">
        <f>'[1]сентябрь 20'!AE35</f>
        <v>0</v>
      </c>
      <c r="J36" s="103">
        <f>'[1]декабрь 20'!AA35</f>
        <v>9.9529999999999994</v>
      </c>
      <c r="K36" s="106">
        <v>14.71</v>
      </c>
      <c r="L36" s="103">
        <f>'[1]декабрь 20'!AI35</f>
        <v>149.875</v>
      </c>
      <c r="M36" s="103">
        <f t="shared" si="40"/>
        <v>1.1119973289805611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'[1]декабрь 20'!S35</f>
        <v>241.40899999999999</v>
      </c>
      <c r="S36" s="108">
        <f t="shared" si="41"/>
        <v>3.3673143917583803</v>
      </c>
      <c r="T36" s="109">
        <f t="shared" si="42"/>
        <v>233.28</v>
      </c>
      <c r="U36" s="106">
        <v>15.38</v>
      </c>
      <c r="V36" s="109">
        <f t="shared" si="43"/>
        <v>233.28</v>
      </c>
      <c r="W36" s="110">
        <f t="shared" si="44"/>
        <v>1.7308205965276751</v>
      </c>
      <c r="X36" s="110">
        <f t="shared" si="26"/>
        <v>1.7308205965276751</v>
      </c>
      <c r="Y36" s="136"/>
      <c r="Z36" s="136">
        <v>92.78</v>
      </c>
      <c r="AA36" s="131">
        <v>0.66</v>
      </c>
      <c r="AB36" s="133">
        <v>643</v>
      </c>
      <c r="AC36" s="133">
        <v>1196</v>
      </c>
      <c r="AD36" s="144" t="s">
        <v>484</v>
      </c>
      <c r="AE36" s="131">
        <v>73.77</v>
      </c>
      <c r="AF36" s="133">
        <v>126</v>
      </c>
      <c r="AG36" s="134">
        <v>3</v>
      </c>
      <c r="AH36" s="131">
        <v>5.05</v>
      </c>
      <c r="AI36" s="115">
        <f t="shared" si="10"/>
        <v>37.468467131621907</v>
      </c>
      <c r="AJ36" s="131">
        <v>82.7</v>
      </c>
      <c r="AK36" s="115">
        <f t="shared" si="45"/>
        <v>613.59252114557069</v>
      </c>
      <c r="AL36" s="139">
        <v>16.809999999999999</v>
      </c>
      <c r="AM36" s="131"/>
      <c r="AN36" s="136">
        <v>17.02</v>
      </c>
      <c r="AO36" s="466">
        <v>54.49</v>
      </c>
      <c r="AP36" s="110">
        <f t="shared" si="46"/>
        <v>0.26763261296660118</v>
      </c>
      <c r="AQ36" s="137" t="s">
        <v>281</v>
      </c>
      <c r="AR36" s="150">
        <v>7.72</v>
      </c>
      <c r="AS36" s="138">
        <v>6.49</v>
      </c>
      <c r="AT36" s="134"/>
      <c r="AU36" s="131">
        <v>7.04</v>
      </c>
      <c r="AV36" s="139">
        <v>203.6</v>
      </c>
      <c r="AW36" s="131">
        <v>2.69</v>
      </c>
      <c r="AX36" s="116"/>
      <c r="AY36" s="131"/>
      <c r="AZ36" s="109">
        <f t="shared" si="58"/>
        <v>0</v>
      </c>
      <c r="BA36" s="109">
        <f t="shared" si="47"/>
        <v>134.77999999999997</v>
      </c>
      <c r="BB36" s="115">
        <f t="shared" si="48"/>
        <v>173.70734239212985</v>
      </c>
      <c r="BC36" s="140">
        <f t="shared" si="49"/>
        <v>4.5100619718309858</v>
      </c>
      <c r="BD36" s="141">
        <f t="shared" si="50"/>
        <v>5.3911999999999987</v>
      </c>
      <c r="BE36" s="128">
        <f t="shared" si="51"/>
        <v>0.67736307734410961</v>
      </c>
      <c r="BF36" s="141">
        <f t="shared" si="61"/>
        <v>9.9012619718309836</v>
      </c>
      <c r="BG36" s="538">
        <v>0.88900000000000001</v>
      </c>
      <c r="BH36" s="16">
        <f t="shared" si="53"/>
        <v>6426.0599999999986</v>
      </c>
      <c r="BI36" s="16">
        <f t="shared" si="54"/>
        <v>225.16129032258064</v>
      </c>
      <c r="BJ36" s="16">
        <f t="shared" si="55"/>
        <v>6754.8387096774168</v>
      </c>
      <c r="BK36" s="17">
        <f t="shared" si="56"/>
        <v>1</v>
      </c>
      <c r="BL36" s="16">
        <f t="shared" si="57"/>
        <v>6754.8387096774168</v>
      </c>
      <c r="BM36" s="254">
        <v>225.27799999999999</v>
      </c>
      <c r="BN36" s="197">
        <v>68.64</v>
      </c>
      <c r="BO36" s="197">
        <v>81.234999999999999</v>
      </c>
      <c r="BP36" s="197"/>
      <c r="BQ36" s="230"/>
      <c r="BR36" s="230"/>
      <c r="BS36" s="258"/>
      <c r="BT36" s="199"/>
      <c r="BU36" s="200">
        <v>2.0099999999999998</v>
      </c>
      <c r="BV36" s="200"/>
      <c r="BW36" s="200"/>
      <c r="BX36" s="200"/>
      <c r="BY36" s="208"/>
      <c r="BZ36" s="208"/>
      <c r="CA36" s="201"/>
      <c r="CB36" s="202">
        <v>36.880000000000003</v>
      </c>
      <c r="CC36" s="200">
        <v>43.82</v>
      </c>
      <c r="CD36" s="200">
        <v>43.6</v>
      </c>
      <c r="CE36" s="200"/>
      <c r="CF36" s="208"/>
      <c r="CG36" s="208"/>
      <c r="CH36" s="209"/>
      <c r="CI36" s="199"/>
      <c r="CJ36" s="197"/>
      <c r="CK36" s="197">
        <v>114.45</v>
      </c>
      <c r="CL36" s="230"/>
      <c r="CM36" s="198">
        <v>118.83</v>
      </c>
      <c r="CN36" s="202"/>
      <c r="CO36" s="208"/>
      <c r="CP36" s="208"/>
      <c r="CQ36" s="209"/>
      <c r="CR36" s="201"/>
      <c r="CT36" s="286">
        <f t="shared" si="20"/>
        <v>220.74991219999998</v>
      </c>
      <c r="CU36" s="27">
        <f t="shared" si="20"/>
        <v>68.64</v>
      </c>
      <c r="CV36" s="28">
        <f t="shared" si="20"/>
        <v>81.234999999999999</v>
      </c>
      <c r="CW36" s="27">
        <f t="shared" si="20"/>
        <v>0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114.45</v>
      </c>
      <c r="DC36" s="277">
        <f t="shared" si="21"/>
        <v>0</v>
      </c>
      <c r="DD36" s="280">
        <f t="shared" si="21"/>
        <v>118.83</v>
      </c>
      <c r="DE36" s="508">
        <f t="shared" si="31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3"/>
        <v>0</v>
      </c>
    </row>
    <row r="37" spans="1:115" ht="16.5" customHeight="1" thickBot="1">
      <c r="A37" s="539">
        <v>31</v>
      </c>
      <c r="B37" s="103">
        <f>'[1]декабрь 20'!K36</f>
        <v>515.77700000000004</v>
      </c>
      <c r="C37" s="541">
        <f t="shared" si="35"/>
        <v>0.43234364851476503</v>
      </c>
      <c r="D37" s="542">
        <f t="shared" si="36"/>
        <v>513.54707090000011</v>
      </c>
      <c r="E37" s="541">
        <f t="shared" si="60"/>
        <v>38.990154252709985</v>
      </c>
      <c r="F37" s="505">
        <f t="shared" si="38"/>
        <v>1.9807423570023532</v>
      </c>
      <c r="G37" s="543"/>
      <c r="H37" s="544">
        <f t="shared" si="39"/>
        <v>1.356605356963783</v>
      </c>
      <c r="I37" s="540">
        <f>'[1]сентябрь 20'!AE36</f>
        <v>0</v>
      </c>
      <c r="J37" s="103">
        <f>'[1]декабрь 20'!AA36</f>
        <v>17.129000000000001</v>
      </c>
      <c r="K37" s="543">
        <v>60.53</v>
      </c>
      <c r="L37" s="505">
        <f>'[1]декабрь 20'!AI36</f>
        <v>161.82</v>
      </c>
      <c r="M37" s="540">
        <f t="shared" si="40"/>
        <v>0.62413700003856987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103">
        <f>'[1]декабрь 20'!S36</f>
        <v>325.16199999999998</v>
      </c>
      <c r="S37" s="546">
        <f t="shared" si="41"/>
        <v>3.3128102299776474</v>
      </c>
      <c r="T37" s="547">
        <f t="shared" si="42"/>
        <v>314.39000000000004</v>
      </c>
      <c r="U37" s="548">
        <v>17.78</v>
      </c>
      <c r="V37" s="547">
        <f t="shared" si="43"/>
        <v>314.39000000000004</v>
      </c>
      <c r="W37" s="549">
        <f t="shared" si="44"/>
        <v>1.2125969066995799</v>
      </c>
      <c r="X37" s="227">
        <f t="shared" si="26"/>
        <v>1.2125969066995799</v>
      </c>
      <c r="Y37" s="550">
        <v>118.08</v>
      </c>
      <c r="Z37" s="550">
        <v>221.61</v>
      </c>
      <c r="AA37" s="548">
        <v>0.7</v>
      </c>
      <c r="AB37" s="551">
        <v>612</v>
      </c>
      <c r="AC37" s="551">
        <v>1224</v>
      </c>
      <c r="AD37" s="552" t="s">
        <v>181</v>
      </c>
      <c r="AE37" s="548">
        <v>75.099999999999994</v>
      </c>
      <c r="AF37" s="551">
        <v>172</v>
      </c>
      <c r="AG37" s="553">
        <v>5</v>
      </c>
      <c r="AH37" s="548">
        <v>15.05</v>
      </c>
      <c r="AI37" s="554">
        <f t="shared" si="10"/>
        <v>58.047595171057203</v>
      </c>
      <c r="AJ37" s="548">
        <v>136.05000000000001</v>
      </c>
      <c r="AK37" s="555">
        <f t="shared" si="45"/>
        <v>524.74254638022148</v>
      </c>
      <c r="AL37" s="556">
        <v>35.049999999999997</v>
      </c>
      <c r="AM37" s="548"/>
      <c r="AN37" s="550">
        <v>17.809999999999999</v>
      </c>
      <c r="AO37" s="619">
        <v>63.11</v>
      </c>
      <c r="AP37" s="549">
        <f t="shared" si="46"/>
        <v>0.1900617376901069</v>
      </c>
      <c r="AQ37" s="558" t="s">
        <v>228</v>
      </c>
      <c r="AR37" s="559">
        <v>7.29</v>
      </c>
      <c r="AS37" s="560">
        <v>7.42</v>
      </c>
      <c r="AT37" s="553"/>
      <c r="AU37" s="548">
        <v>6.83</v>
      </c>
      <c r="AV37" s="548">
        <v>332.05</v>
      </c>
      <c r="AW37" s="548">
        <v>8.14</v>
      </c>
      <c r="AX37" s="548"/>
      <c r="AY37" s="548"/>
      <c r="AZ37" s="547">
        <f t="shared" si="58"/>
        <v>0</v>
      </c>
      <c r="BA37" s="547">
        <f t="shared" si="47"/>
        <v>259.27</v>
      </c>
      <c r="BB37" s="554">
        <f t="shared" si="48"/>
        <v>232.76062599993693</v>
      </c>
      <c r="BC37" s="561">
        <f t="shared" si="49"/>
        <v>7.1981947183098596</v>
      </c>
      <c r="BD37" s="555">
        <f t="shared" si="50"/>
        <v>10.370799999999999</v>
      </c>
      <c r="BE37" s="505">
        <f t="shared" si="51"/>
        <v>0.97242696881241986</v>
      </c>
      <c r="BF37" s="555">
        <f t="shared" si="61"/>
        <v>17.56899471830986</v>
      </c>
      <c r="BG37" s="562">
        <v>0.89200000000000002</v>
      </c>
      <c r="BH37" s="16">
        <f t="shared" si="53"/>
        <v>6685.3299999999981</v>
      </c>
      <c r="BI37" s="16">
        <f t="shared" si="54"/>
        <v>225.16129032258064</v>
      </c>
      <c r="BJ37" s="16">
        <f t="shared" si="55"/>
        <v>6979.9999999999973</v>
      </c>
      <c r="BK37" s="17">
        <f t="shared" si="56"/>
        <v>1</v>
      </c>
      <c r="BL37" s="16">
        <f t="shared" si="57"/>
        <v>6979.9999999999973</v>
      </c>
      <c r="BM37" s="256">
        <v>353.95699999999999</v>
      </c>
      <c r="BN37" s="257">
        <v>50.02</v>
      </c>
      <c r="BO37" s="257">
        <v>111.8</v>
      </c>
      <c r="BP37" s="257"/>
      <c r="BQ37" s="261"/>
      <c r="BR37" s="261"/>
      <c r="BS37" s="262"/>
      <c r="BT37" s="219"/>
      <c r="BU37" s="220">
        <v>0.63</v>
      </c>
      <c r="BV37" s="220"/>
      <c r="BW37" s="220"/>
      <c r="BX37" s="220"/>
      <c r="BY37" s="224"/>
      <c r="BZ37" s="224"/>
      <c r="CA37" s="221"/>
      <c r="CB37" s="222">
        <v>37.07</v>
      </c>
      <c r="CC37" s="220">
        <v>44.04</v>
      </c>
      <c r="CD37" s="220">
        <v>42.81</v>
      </c>
      <c r="CE37" s="220"/>
      <c r="CF37" s="224"/>
      <c r="CG37" s="224"/>
      <c r="CH37" s="221"/>
      <c r="CI37" s="219"/>
      <c r="CJ37" s="217"/>
      <c r="CK37" s="217">
        <v>69.42</v>
      </c>
      <c r="CL37" s="234">
        <v>85.54</v>
      </c>
      <c r="CM37" s="223">
        <v>159.43</v>
      </c>
      <c r="CN37" s="222"/>
      <c r="CO37" s="224"/>
      <c r="CP37" s="224"/>
      <c r="CQ37" s="218"/>
      <c r="CR37" s="221"/>
      <c r="CT37" s="287">
        <f t="shared" si="20"/>
        <v>351.7270709</v>
      </c>
      <c r="CU37" s="32">
        <f t="shared" si="20"/>
        <v>50.02</v>
      </c>
      <c r="CV37" s="30">
        <f t="shared" si="20"/>
        <v>111.8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69.42</v>
      </c>
      <c r="DC37" s="246">
        <f t="shared" si="21"/>
        <v>85.54</v>
      </c>
      <c r="DD37" s="280">
        <f t="shared" si="21"/>
        <v>159.43</v>
      </c>
      <c r="DE37" s="563">
        <f t="shared" si="31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3"/>
        <v>0</v>
      </c>
    </row>
    <row r="38" spans="1:115" ht="16.5" customHeight="1" thickBot="1">
      <c r="A38" s="55" t="s">
        <v>58</v>
      </c>
      <c r="B38" s="575">
        <f>SUM(B7:B37)</f>
        <v>14802.548000000003</v>
      </c>
      <c r="C38" s="616"/>
      <c r="D38" s="340">
        <f>SUM(D7:D37)</f>
        <v>14608.777912837602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512.53300000000013</v>
      </c>
      <c r="K38" s="340">
        <f>SUM(K7:K37)</f>
        <v>1085.5800000000002</v>
      </c>
      <c r="L38" s="340">
        <f>SUM(L7:L37)</f>
        <v>4481.3629999999985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575">
        <f>SUM(R7:R37)</f>
        <v>9281.3050000000003</v>
      </c>
      <c r="S38" s="340"/>
      <c r="T38" s="343">
        <f>SUM(T7:T37)</f>
        <v>8986.8300001999996</v>
      </c>
      <c r="U38" s="340">
        <f>SUM(U7:U37)</f>
        <v>649.34000000000015</v>
      </c>
      <c r="V38" s="343">
        <f>SUM(V7:V37)</f>
        <v>8986.8300002000015</v>
      </c>
      <c r="W38" s="346"/>
      <c r="X38" s="344"/>
      <c r="Y38" s="343">
        <f>SUM(Y7:Y37)</f>
        <v>4837.21</v>
      </c>
      <c r="Z38" s="343">
        <f>SUM(Z7:Z37)</f>
        <v>5555.1199999999981</v>
      </c>
      <c r="AA38" s="345"/>
      <c r="AB38" s="346"/>
      <c r="AC38" s="347"/>
      <c r="AD38" s="348"/>
      <c r="AE38" s="345"/>
      <c r="AF38" s="345"/>
      <c r="AG38" s="347">
        <f>SUM(AG7:AG37)</f>
        <v>147</v>
      </c>
      <c r="AH38" s="343">
        <f>SUM(AH7:AH37)</f>
        <v>264.14999999999998</v>
      </c>
      <c r="AI38" s="351"/>
      <c r="AJ38" s="343">
        <f>SUM(AJ7:AJ37)</f>
        <v>4072.1</v>
      </c>
      <c r="AK38" s="343"/>
      <c r="AL38" s="617">
        <f>SUM(AL7:AL37)</f>
        <v>996.95</v>
      </c>
      <c r="AM38" s="343">
        <f>SUM(AM7:AM37)</f>
        <v>0</v>
      </c>
      <c r="AN38" s="343">
        <f>SUM(AN7:AN37)</f>
        <v>476.87999999999994</v>
      </c>
      <c r="AO38" s="618">
        <f>SUM(AO7:AO37)</f>
        <v>1780.65</v>
      </c>
      <c r="AP38" s="530"/>
      <c r="AQ38" s="351"/>
      <c r="AR38" s="343"/>
      <c r="AS38" s="351"/>
      <c r="AT38" s="351"/>
      <c r="AU38" s="352"/>
      <c r="AV38" s="343">
        <f>SUM(AV7:AV37)</f>
        <v>8801.7000000000007</v>
      </c>
      <c r="AW38" s="343">
        <f>SUM(AW7:AW37)</f>
        <v>141.16000000000003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6685.3299999999981</v>
      </c>
      <c r="BB38" s="343">
        <f>SUM(BB7:BB37)</f>
        <v>6543.0517869886198</v>
      </c>
      <c r="BC38" s="351">
        <f>SUM(BC7:BC36)</f>
        <v>235.24524471830978</v>
      </c>
      <c r="BD38" s="351">
        <f>SUM(BD7:BD36)</f>
        <v>257.04239999999999</v>
      </c>
      <c r="BE38" s="340"/>
      <c r="BF38" s="351">
        <f>SUM(BF7:BF37)</f>
        <v>509.85663943661967</v>
      </c>
      <c r="BG38" s="353"/>
      <c r="BH38" s="16"/>
      <c r="BI38" s="16">
        <f t="shared" si="18"/>
        <v>0</v>
      </c>
      <c r="BJ38" s="16"/>
      <c r="BK38" s="17">
        <f>SUM(BK7:BK37)</f>
        <v>31</v>
      </c>
      <c r="BL38" s="33"/>
      <c r="BM38" s="228">
        <f t="shared" ref="BM38:BS38" si="63">SUM(BM7:BM37)</f>
        <v>10321.184999999999</v>
      </c>
      <c r="BN38" s="38">
        <f t="shared" si="63"/>
        <v>1443.989</v>
      </c>
      <c r="BO38" s="38">
        <f t="shared" si="63"/>
        <v>3037.3740000000003</v>
      </c>
      <c r="BP38" s="38">
        <f t="shared" si="63"/>
        <v>9.9999999999999995E-8</v>
      </c>
      <c r="BQ38" s="38">
        <f t="shared" si="63"/>
        <v>9.9999999999999995E-8</v>
      </c>
      <c r="BR38" s="38">
        <f t="shared" si="63"/>
        <v>9.9999999999999995E-8</v>
      </c>
      <c r="BS38" s="38">
        <f t="shared" si="63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2204.5600001000003</v>
      </c>
      <c r="CL38" s="39">
        <f>SUM(CL7:CL37)</f>
        <v>2132.3199999999997</v>
      </c>
      <c r="CM38" s="40">
        <f>SUM(CM7:CM37)</f>
        <v>4649.95</v>
      </c>
      <c r="CN38" s="34"/>
      <c r="CO38" s="35"/>
      <c r="CP38" s="236"/>
      <c r="CQ38" s="36"/>
      <c r="CR38" s="36"/>
      <c r="CT38" s="189">
        <f t="shared" ref="CT38:DE38" si="64">SUM(CT7:CT37)</f>
        <v>10127.4149129</v>
      </c>
      <c r="CU38" s="190">
        <f t="shared" si="64"/>
        <v>1443.9889999843904</v>
      </c>
      <c r="CV38" s="191">
        <f t="shared" si="64"/>
        <v>3037.373999953209</v>
      </c>
      <c r="CW38" s="192">
        <f t="shared" si="64"/>
        <v>9.99999999E-8</v>
      </c>
      <c r="CX38" s="192">
        <f t="shared" si="64"/>
        <v>9.99999999E-8</v>
      </c>
      <c r="CY38" s="192">
        <f t="shared" si="64"/>
        <v>9.99999999E-8</v>
      </c>
      <c r="CZ38" s="278">
        <f t="shared" si="64"/>
        <v>9.99999999E-8</v>
      </c>
      <c r="DA38" s="278">
        <f t="shared" si="64"/>
        <v>9.99999999E-8</v>
      </c>
      <c r="DB38" s="192">
        <f t="shared" si="64"/>
        <v>2204.5600001000003</v>
      </c>
      <c r="DC38" s="192">
        <f t="shared" si="64"/>
        <v>2132.31999992692</v>
      </c>
      <c r="DD38" s="498">
        <f t="shared" si="64"/>
        <v>4649.9499999280197</v>
      </c>
      <c r="DE38" s="564">
        <f t="shared" si="64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5" ht="16.5" customHeight="1" thickBot="1">
      <c r="A39" s="56" t="s">
        <v>59</v>
      </c>
      <c r="B39" s="84">
        <f>B38/AV2</f>
        <v>477.50154838709688</v>
      </c>
      <c r="C39" s="84">
        <f>(BM38*BU39+BN38*BV39+BP38*BX39+BS38*CA39+BO38*BW39+BR38*BZ39+BQ38*BY39)/B38</f>
        <v>1.3090319799158965</v>
      </c>
      <c r="D39" s="82"/>
      <c r="E39" s="354">
        <f>(BM38*CB39+BN38*CC39+BP38*CE39+BS38*CH39+BO38*CD39+BR38*CG39+BQ38*CF39)/B38</f>
        <v>38.780755586132869</v>
      </c>
      <c r="F39" s="355">
        <f>IF(BA38=0,0,D38/BA38)</f>
        <v>2.1851992217044791</v>
      </c>
      <c r="G39" s="354">
        <f>G38/AV2</f>
        <v>0</v>
      </c>
      <c r="H39" s="355">
        <f>IF(BA38=0,0,(CZ38+CW38+CY38+CT38+CX38)/BA38)</f>
        <v>1.5148713546376924</v>
      </c>
      <c r="I39" s="354">
        <f>I38/AV2</f>
        <v>0</v>
      </c>
      <c r="J39" s="572">
        <f>J38/AV2</f>
        <v>16.533322580645166</v>
      </c>
      <c r="K39" s="354">
        <f>K38/AV2</f>
        <v>35.018709677419359</v>
      </c>
      <c r="L39" s="354">
        <f>L38/AV2</f>
        <v>144.56009677419351</v>
      </c>
      <c r="M39" s="355">
        <f>IF($BA$38=0,0,(CV38+CU38)/$BA$38)</f>
        <v>0.67032786712661907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299.396935483871</v>
      </c>
      <c r="S39" s="354">
        <f>(SUMPRODUCT(R7:R37,S7:S37))/R38</f>
        <v>3.172775809005306</v>
      </c>
      <c r="T39" s="357"/>
      <c r="U39" s="354">
        <f>U38/AV2</f>
        <v>20.946451612903232</v>
      </c>
      <c r="V39" s="354">
        <f>V38/AV2:AV2</f>
        <v>289.89774194193552</v>
      </c>
      <c r="W39" s="358">
        <f>IF($BA$38=0,0,T38/$BA$38)</f>
        <v>1.3442612406866978</v>
      </c>
      <c r="X39" s="358">
        <f>Q39+W39</f>
        <v>1.3442612406866978</v>
      </c>
      <c r="Y39" s="354">
        <f>Y38/AV2</f>
        <v>156.03903225806451</v>
      </c>
      <c r="Z39" s="354">
        <f>Z38/AV2</f>
        <v>179.19741935483864</v>
      </c>
      <c r="AA39" s="354">
        <f>(SUMPRODUCT(AA7:AA37,BA7:BA37))/BA38</f>
        <v>0.67334188439463727</v>
      </c>
      <c r="AB39" s="359">
        <f>AVERAGE(AB7:AB37)</f>
        <v>637.29032258064512</v>
      </c>
      <c r="AC39" s="359">
        <f>AVERAGE(AC7:AC37)</f>
        <v>1207.1935483870968</v>
      </c>
      <c r="AD39" s="359"/>
      <c r="AE39" s="354">
        <f>(SUMPRODUCT(AE7:AE37,BA7:BA37))/BA38</f>
        <v>75.607656031938603</v>
      </c>
      <c r="AF39" s="360">
        <f>AVERAGE(AF7:AF37)</f>
        <v>159.25806451612902</v>
      </c>
      <c r="AG39" s="360">
        <f>AVERAGE(AG7:AG37)</f>
        <v>4.741935483870968</v>
      </c>
      <c r="AH39" s="354">
        <f>AH38/AV2</f>
        <v>8.5209677419354826</v>
      </c>
      <c r="AI39" s="361">
        <f>IF(BA38=0,0,AH38/BA38*1000)</f>
        <v>39.51188647381656</v>
      </c>
      <c r="AJ39" s="361">
        <f>AJ38/AV2</f>
        <v>131.35806451612902</v>
      </c>
      <c r="AK39" s="361">
        <f>IF(BA38=0,0,AJ38/BA38*1000)</f>
        <v>609.10979712295443</v>
      </c>
      <c r="AL39" s="354">
        <f>AL38/AV2</f>
        <v>32.159677419354843</v>
      </c>
      <c r="AM39" s="359"/>
      <c r="AN39" s="354">
        <f>AN38/AV2</f>
        <v>15.383225806451611</v>
      </c>
      <c r="AO39" s="354">
        <f>AO38/AV2</f>
        <v>57.440322580645166</v>
      </c>
      <c r="AP39" s="346">
        <f>IF(AO39=0,0,AO39/AV39)</f>
        <v>0.20230750877671361</v>
      </c>
      <c r="AQ39" s="361">
        <f>SUM(AQ8:AQ38)</f>
        <v>0</v>
      </c>
      <c r="AR39" s="354">
        <f>AVERAGE(AR7:AR37)</f>
        <v>7.3009677419354846</v>
      </c>
      <c r="AS39" s="354">
        <f>AVERAGE(AS7:AS37)</f>
        <v>7.3135483870967741</v>
      </c>
      <c r="AT39" s="362"/>
      <c r="AU39" s="354">
        <f>AVERAGE(AU7:AU37)</f>
        <v>7.6758064516129041</v>
      </c>
      <c r="AV39" s="363">
        <f>AV38/AV2</f>
        <v>283.92580645161291</v>
      </c>
      <c r="AW39" s="363">
        <f>AW38/AV2</f>
        <v>4.5535483870967752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215.65580645161285</v>
      </c>
      <c r="BB39" s="354">
        <f>BB38/AV2</f>
        <v>211.06618667705226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0.89219230007931327</v>
      </c>
      <c r="BF39" s="354">
        <f>BF38/AV2</f>
        <v>16.446988368923215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1.8774015493376002</v>
      </c>
      <c r="BV39" s="42">
        <f t="shared" ref="BV39:CA39" si="65">(SUMPRODUCT(BN7:BN37,BV7:BV37))/BN38</f>
        <v>1.0810331657651132E-9</v>
      </c>
      <c r="BW39" s="42">
        <f t="shared" si="65"/>
        <v>1.5405083470129129E-9</v>
      </c>
      <c r="BX39" s="42">
        <f>(SUMPRODUCT(BP7:BP37,BX7:BX37))/BP38</f>
        <v>9.9999999999999982E-8</v>
      </c>
      <c r="BY39" s="42">
        <f t="shared" si="65"/>
        <v>9.9999999999999982E-8</v>
      </c>
      <c r="BZ39" s="46">
        <f t="shared" si="65"/>
        <v>9.9999999999999982E-8</v>
      </c>
      <c r="CA39" s="240">
        <f t="shared" si="65"/>
        <v>9.9999999999999982E-8</v>
      </c>
      <c r="CB39" s="41">
        <f t="shared" ref="CB39:CH39" si="66">(SUMPRODUCT(BM7:BM37,CB7:CB37))/BM38</f>
        <v>36.664483290436131</v>
      </c>
      <c r="CC39" s="42">
        <f t="shared" si="66"/>
        <v>43.925846782766349</v>
      </c>
      <c r="CD39" s="42">
        <f>(SUMPRODUCT(BO7:BO37,CD7:CD37))/BO38</f>
        <v>43.525967332307431</v>
      </c>
      <c r="CE39" s="42">
        <f t="shared" si="66"/>
        <v>9.9999999999999982E-8</v>
      </c>
      <c r="CF39" s="42">
        <f t="shared" si="66"/>
        <v>9.9999999999999982E-8</v>
      </c>
      <c r="CG39" s="46">
        <f t="shared" si="66"/>
        <v>9.9999999999999982E-8</v>
      </c>
      <c r="CH39" s="240">
        <f t="shared" si="66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4.5360525454269298E-18</v>
      </c>
      <c r="CP39" s="46">
        <f>(SUMPRODUCT(CL7:CL37,CP7:CP37))/CL38</f>
        <v>3.4272529451489458E-9</v>
      </c>
      <c r="CQ39" s="44">
        <f>(SUMPRODUCT(CM7:CM37,CQ7:CQ37))/CM38</f>
        <v>1.5479736341250982E-9</v>
      </c>
      <c r="CR39" s="44" t="e">
        <f>(SUMPRODUCT(O7:O37,CR7:CR37))/O38</f>
        <v>#DIV/0!</v>
      </c>
      <c r="CT39" s="667">
        <f>CT38+CU38</f>
        <v>11571.403912884391</v>
      </c>
      <c r="CU39" s="667"/>
      <c r="CV39" s="668">
        <f>CV38+CW38+CZ38+CY38+CX38</f>
        <v>3037.3740003532084</v>
      </c>
      <c r="CW39" s="668"/>
      <c r="CX39" s="668"/>
      <c r="CY39" s="668"/>
      <c r="CZ39" s="668"/>
      <c r="DA39" s="669">
        <f>DA38+DB38+DD38+DC38</f>
        <v>8986.8300000549389</v>
      </c>
      <c r="DB39" s="668"/>
      <c r="DC39" s="668"/>
      <c r="DD39" s="668"/>
      <c r="DE39" s="514"/>
      <c r="DG39" s="302"/>
      <c r="DH39" s="303"/>
      <c r="DI39" s="303"/>
      <c r="DJ39" s="304"/>
      <c r="DK39" s="305"/>
    </row>
    <row r="40" spans="1:115" ht="16.5" customHeight="1" thickBot="1">
      <c r="A40" s="57" t="s">
        <v>60</v>
      </c>
      <c r="B40" s="85"/>
      <c r="C40" s="86"/>
      <c r="D40" s="87"/>
      <c r="E40" s="365">
        <v>39.299999999999997</v>
      </c>
      <c r="F40" s="366">
        <v>2.13</v>
      </c>
      <c r="G40" s="366"/>
      <c r="H40" s="366">
        <v>1.4910000000000001</v>
      </c>
      <c r="I40" s="366"/>
      <c r="J40" s="570">
        <v>20.260000000000002</v>
      </c>
      <c r="K40" s="366">
        <v>20.149999999999999</v>
      </c>
      <c r="L40" s="366"/>
      <c r="M40" s="366">
        <v>0.63900000000000001</v>
      </c>
      <c r="N40" s="365"/>
      <c r="O40" s="366"/>
      <c r="P40" s="366"/>
      <c r="Q40" s="366"/>
      <c r="R40" s="367"/>
      <c r="S40" s="368"/>
      <c r="T40" s="367"/>
      <c r="U40" s="450">
        <v>20.49</v>
      </c>
      <c r="V40" s="367"/>
      <c r="W40" s="369">
        <v>1.3</v>
      </c>
      <c r="X40" s="484"/>
      <c r="Y40" s="370">
        <v>6980</v>
      </c>
      <c r="Z40" s="370">
        <v>6980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610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6980</v>
      </c>
      <c r="AW40" s="379">
        <v>83.76</v>
      </c>
      <c r="AX40" s="380"/>
      <c r="AY40" s="381"/>
      <c r="AZ40" s="382"/>
      <c r="BA40" s="365">
        <v>225.16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14608.777913237598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5" ht="16.5" customHeight="1" thickBot="1">
      <c r="A41" s="58" t="s">
        <v>61</v>
      </c>
      <c r="B41" s="88"/>
      <c r="C41" s="88"/>
      <c r="D41" s="88"/>
      <c r="E41" s="384"/>
      <c r="F41" s="385">
        <f>F39-F40</f>
        <v>5.5199221704479218E-2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3.172775809005306</v>
      </c>
      <c r="T41" s="386"/>
      <c r="U41" s="388"/>
      <c r="V41" s="388"/>
      <c r="W41" s="385">
        <f>W39-W40</f>
        <v>4.4261240686697789E-2</v>
      </c>
      <c r="X41" s="385"/>
      <c r="Y41" s="385"/>
      <c r="Z41" s="385"/>
      <c r="AA41" s="385"/>
      <c r="AB41" s="385"/>
      <c r="AC41" s="389">
        <f>AC39-AC40</f>
        <v>-42.806451612903174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1821.7000000000007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5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5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225.16129032258064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</row>
    <row r="44" spans="1:115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0.20230750877671358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</row>
    <row r="45" spans="1:115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59.875510204081635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5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232.66666666666666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5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5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-294.66999999999916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-4.2216332378223376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'[4]декабрь 20'!$G$38</f>
        <v>1780.6534999999994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'[4]декабрь 20'!$C$38</f>
        <v>1780.65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-3.4999999993488018E-3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210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O3:AO6"/>
    <mergeCell ref="AP3:AP6"/>
    <mergeCell ref="AQ3:AQ6"/>
    <mergeCell ref="AR3:AR6"/>
    <mergeCell ref="AS3:AS6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Y3:Y6"/>
    <mergeCell ref="V4:V6"/>
    <mergeCell ref="W4:W6"/>
    <mergeCell ref="X4:X6"/>
    <mergeCell ref="AH5:AH6"/>
    <mergeCell ref="DG5:DK5"/>
    <mergeCell ref="CT39:CU39"/>
    <mergeCell ref="CV39:CZ39"/>
    <mergeCell ref="DA39:DD39"/>
    <mergeCell ref="CR3:CR6"/>
    <mergeCell ref="BM3:BS5"/>
    <mergeCell ref="BU3:CA5"/>
    <mergeCell ref="CB3:CH5"/>
    <mergeCell ref="CJ3:CM5"/>
    <mergeCell ref="CN3:CQ5"/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M88"/>
  <sheetViews>
    <sheetView showZeros="0" tabSelected="1" zoomScale="90" zoomScaleNormal="90" workbookViewId="0">
      <pane xSplit="1" ySplit="6" topLeftCell="CW21" activePane="bottomRight" state="frozen"/>
      <selection pane="topRight" activeCell="B1" sqref="B1"/>
      <selection pane="bottomLeft" activeCell="A7" sqref="A7"/>
      <selection pane="bottomRight" activeCell="CS44" sqref="CS44"/>
    </sheetView>
  </sheetViews>
  <sheetFormatPr defaultRowHeight="12.75"/>
  <cols>
    <col min="1" max="1" width="4.7109375" customWidth="1"/>
    <col min="2" max="2" width="10.28515625" customWidth="1"/>
    <col min="3" max="3" width="7.85546875" customWidth="1"/>
    <col min="4" max="4" width="10.5703125" hidden="1" customWidth="1"/>
    <col min="5" max="5" width="7.5703125" customWidth="1"/>
    <col min="6" max="6" width="7.28515625" customWidth="1"/>
    <col min="7" max="7" width="3.85546875" hidden="1" customWidth="1"/>
    <col min="8" max="8" width="8.28515625" customWidth="1"/>
    <col min="9" max="9" width="6.42578125" hidden="1" customWidth="1"/>
    <col min="10" max="10" width="8.28515625" customWidth="1"/>
    <col min="11" max="11" width="8.140625" customWidth="1"/>
    <col min="12" max="12" width="9.140625" customWidth="1"/>
    <col min="13" max="13" width="7.28515625" customWidth="1"/>
    <col min="14" max="14" width="4.5703125" hidden="1" customWidth="1"/>
    <col min="15" max="17" width="7.140625" hidden="1" customWidth="1"/>
    <col min="18" max="18" width="10.140625" customWidth="1"/>
    <col min="19" max="19" width="6.5703125" customWidth="1"/>
    <col min="20" max="20" width="8.85546875" hidden="1" customWidth="1"/>
    <col min="21" max="21" width="8.28515625" customWidth="1"/>
    <col min="22" max="22" width="7.85546875" hidden="1" customWidth="1"/>
    <col min="23" max="23" width="6.85546875" customWidth="1"/>
    <col min="24" max="24" width="6.85546875" hidden="1" customWidth="1"/>
    <col min="25" max="26" width="8.42578125" customWidth="1"/>
    <col min="27" max="27" width="6.5703125" customWidth="1"/>
    <col min="28" max="28" width="7.7109375" customWidth="1"/>
    <col min="29" max="29" width="7.42578125" customWidth="1"/>
    <col min="30" max="30" width="7.140625" customWidth="1"/>
    <col min="31" max="31" width="6.85546875" customWidth="1"/>
    <col min="32" max="32" width="7.140625" customWidth="1"/>
    <col min="33" max="33" width="4.28515625" customWidth="1"/>
    <col min="34" max="34" width="7" customWidth="1"/>
    <col min="35" max="35" width="6.5703125" customWidth="1"/>
    <col min="36" max="36" width="8.5703125" customWidth="1"/>
    <col min="37" max="37" width="7" customWidth="1"/>
    <col min="38" max="38" width="7.28515625" customWidth="1"/>
    <col min="39" max="39" width="2.7109375" hidden="1" customWidth="1"/>
    <col min="40" max="40" width="7.28515625" customWidth="1"/>
    <col min="41" max="41" width="8.7109375" customWidth="1"/>
    <col min="42" max="42" width="7.5703125" hidden="1" customWidth="1"/>
    <col min="43" max="43" width="9.28515625" customWidth="1"/>
    <col min="44" max="44" width="5.85546875" customWidth="1"/>
    <col min="45" max="45" width="5.28515625" customWidth="1"/>
    <col min="46" max="46" width="0" hidden="1" customWidth="1"/>
    <col min="47" max="47" width="6.140625" customWidth="1"/>
    <col min="48" max="48" width="8.140625" customWidth="1"/>
    <col min="49" max="49" width="7.28515625" customWidth="1"/>
    <col min="50" max="50" width="9.140625" hidden="1" customWidth="1"/>
    <col min="51" max="52" width="5.85546875" hidden="1" customWidth="1"/>
    <col min="53" max="53" width="9" customWidth="1"/>
    <col min="54" max="54" width="8.28515625" customWidth="1"/>
    <col min="55" max="56" width="9.140625" hidden="1" customWidth="1"/>
    <col min="57" max="57" width="6.5703125" customWidth="1"/>
    <col min="58" max="58" width="6.85546875" customWidth="1"/>
    <col min="59" max="59" width="7.28515625" customWidth="1"/>
    <col min="60" max="62" width="7.42578125" customWidth="1"/>
    <col min="63" max="64" width="9.7109375" customWidth="1"/>
    <col min="65" max="65" width="10.7109375" customWidth="1"/>
    <col min="66" max="66" width="12.42578125" customWidth="1"/>
    <col min="67" max="67" width="10.7109375" customWidth="1"/>
    <col min="68" max="69" width="11.140625" customWidth="1"/>
    <col min="70" max="70" width="10.42578125" customWidth="1"/>
    <col min="71" max="71" width="11.140625" customWidth="1"/>
    <col min="72" max="72" width="9.140625" hidden="1" customWidth="1"/>
    <col min="74" max="74" width="10.28515625" customWidth="1"/>
    <col min="76" max="78" width="10" customWidth="1"/>
    <col min="79" max="79" width="8.5703125" customWidth="1"/>
    <col min="80" max="80" width="9.42578125" customWidth="1"/>
    <col min="81" max="81" width="9.7109375" customWidth="1"/>
    <col min="82" max="82" width="10.28515625" customWidth="1"/>
    <col min="83" max="85" width="10" customWidth="1"/>
    <col min="86" max="86" width="8.5703125" customWidth="1"/>
    <col min="87" max="87" width="9.140625" hidden="1" customWidth="1"/>
    <col min="88" max="88" width="11.5703125" customWidth="1"/>
    <col min="89" max="90" width="9.7109375" customWidth="1"/>
    <col min="91" max="91" width="11.5703125" customWidth="1"/>
    <col min="92" max="92" width="11" customWidth="1"/>
    <col min="96" max="96" width="0" hidden="1" customWidth="1"/>
    <col min="97" max="97" width="12.28515625" customWidth="1"/>
    <col min="98" max="98" width="11" customWidth="1"/>
    <col min="99" max="99" width="12.42578125" customWidth="1"/>
    <col min="100" max="100" width="12" customWidth="1"/>
    <col min="101" max="103" width="11.5703125" customWidth="1"/>
    <col min="104" max="104" width="11.42578125" customWidth="1"/>
    <col min="105" max="105" width="12.140625" customWidth="1"/>
    <col min="106" max="107" width="12.85546875" customWidth="1"/>
    <col min="108" max="109" width="14.28515625" customWidth="1"/>
    <col min="110" max="110" width="8.85546875" customWidth="1"/>
    <col min="112" max="112" width="9.7109375" customWidth="1"/>
    <col min="114" max="114" width="0" hidden="1" customWidth="1"/>
    <col min="117" max="117" width="12.7109375" bestFit="1" customWidth="1"/>
  </cols>
  <sheetData>
    <row r="1" spans="1:117" ht="15.75" customHeight="1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20"/>
      <c r="U1" s="320"/>
      <c r="V1" s="76"/>
      <c r="W1" s="76"/>
      <c r="X1" s="76"/>
      <c r="Y1" s="76"/>
      <c r="Z1" s="1"/>
      <c r="AA1" s="1"/>
      <c r="AB1" s="1"/>
      <c r="AC1" s="1"/>
      <c r="AD1" s="1"/>
      <c r="AE1" s="1"/>
      <c r="AF1" s="1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</row>
    <row r="2" spans="1:117" ht="18.75" customHeight="1" thickBot="1">
      <c r="A2" s="49"/>
      <c r="B2" s="49"/>
      <c r="C2" s="49"/>
      <c r="D2" s="49"/>
      <c r="E2" s="50"/>
      <c r="F2" s="50"/>
      <c r="G2" s="79"/>
      <c r="H2" s="78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50"/>
      <c r="Z2" s="49"/>
      <c r="AA2" s="49"/>
      <c r="AB2" s="49"/>
      <c r="AC2" s="49"/>
      <c r="AD2" s="49"/>
      <c r="AE2" s="49"/>
      <c r="AF2" s="49"/>
      <c r="AG2" s="49"/>
      <c r="AH2" s="49"/>
      <c r="AI2" s="8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321" t="s">
        <v>1</v>
      </c>
      <c r="AV2" s="322">
        <v>31</v>
      </c>
      <c r="AW2" s="321"/>
      <c r="AX2" s="321"/>
      <c r="AY2" s="322"/>
      <c r="AZ2" s="321"/>
      <c r="BA2" s="526" t="s">
        <v>490</v>
      </c>
      <c r="BB2" s="526"/>
      <c r="BC2" s="526"/>
      <c r="BD2" s="526"/>
      <c r="BE2" s="526" t="s">
        <v>107</v>
      </c>
      <c r="BF2" s="324"/>
      <c r="BG2" s="49"/>
      <c r="BO2" s="2"/>
    </row>
    <row r="3" spans="1:117" ht="30.75" customHeight="1" thickBot="1">
      <c r="A3" s="713" t="s">
        <v>3</v>
      </c>
      <c r="B3" s="715" t="s">
        <v>75</v>
      </c>
      <c r="C3" s="716"/>
      <c r="D3" s="716"/>
      <c r="E3" s="716"/>
      <c r="F3" s="717"/>
      <c r="G3" s="705" t="s">
        <v>82</v>
      </c>
      <c r="H3" s="636" t="s">
        <v>4</v>
      </c>
      <c r="I3" s="636"/>
      <c r="J3" s="636"/>
      <c r="K3" s="636"/>
      <c r="L3" s="636"/>
      <c r="M3" s="636"/>
      <c r="N3" s="636"/>
      <c r="O3" s="637"/>
      <c r="P3" s="718" t="s">
        <v>5</v>
      </c>
      <c r="Q3" s="718"/>
      <c r="R3" s="718"/>
      <c r="S3" s="718"/>
      <c r="T3" s="718"/>
      <c r="U3" s="718"/>
      <c r="V3" s="718"/>
      <c r="W3" s="718"/>
      <c r="X3" s="719"/>
      <c r="Y3" s="720" t="s">
        <v>6</v>
      </c>
      <c r="Z3" s="712" t="s">
        <v>7</v>
      </c>
      <c r="AA3" s="705" t="s">
        <v>8</v>
      </c>
      <c r="AB3" s="705" t="s">
        <v>9</v>
      </c>
      <c r="AC3" s="705" t="s">
        <v>10</v>
      </c>
      <c r="AD3" s="705" t="s">
        <v>11</v>
      </c>
      <c r="AE3" s="705" t="s">
        <v>12</v>
      </c>
      <c r="AF3" s="705" t="s">
        <v>13</v>
      </c>
      <c r="AG3" s="705" t="s">
        <v>14</v>
      </c>
      <c r="AH3" s="706" t="s">
        <v>15</v>
      </c>
      <c r="AI3" s="706"/>
      <c r="AJ3" s="709" t="s">
        <v>16</v>
      </c>
      <c r="AK3" s="709"/>
      <c r="AL3" s="705" t="s">
        <v>17</v>
      </c>
      <c r="AM3" s="711"/>
      <c r="AN3" s="705" t="s">
        <v>18</v>
      </c>
      <c r="AO3" s="705" t="s">
        <v>19</v>
      </c>
      <c r="AP3" s="706" t="s">
        <v>86</v>
      </c>
      <c r="AQ3" s="705" t="s">
        <v>20</v>
      </c>
      <c r="AR3" s="705" t="s">
        <v>105</v>
      </c>
      <c r="AS3" s="705" t="s">
        <v>21</v>
      </c>
      <c r="AT3" s="531"/>
      <c r="AU3" s="705" t="s">
        <v>22</v>
      </c>
      <c r="AV3" s="709" t="s">
        <v>23</v>
      </c>
      <c r="AW3" s="709"/>
      <c r="AX3" s="709"/>
      <c r="AY3" s="709"/>
      <c r="AZ3" s="709"/>
      <c r="BA3" s="709"/>
      <c r="BB3" s="705" t="s">
        <v>24</v>
      </c>
      <c r="BC3" s="710" t="s">
        <v>25</v>
      </c>
      <c r="BD3" s="710"/>
      <c r="BE3" s="705" t="s">
        <v>26</v>
      </c>
      <c r="BF3" s="705" t="s">
        <v>25</v>
      </c>
      <c r="BG3" s="707" t="s">
        <v>27</v>
      </c>
      <c r="BH3" s="3"/>
      <c r="BI3" s="3"/>
      <c r="BJ3" s="3"/>
      <c r="BK3" s="3"/>
      <c r="BL3" s="4"/>
      <c r="BM3" s="650" t="s">
        <v>28</v>
      </c>
      <c r="BN3" s="650"/>
      <c r="BO3" s="650"/>
      <c r="BP3" s="650"/>
      <c r="BQ3" s="650"/>
      <c r="BR3" s="650"/>
      <c r="BS3" s="650"/>
      <c r="BT3" s="5"/>
      <c r="BU3" s="652" t="s">
        <v>29</v>
      </c>
      <c r="BV3" s="652"/>
      <c r="BW3" s="652"/>
      <c r="BX3" s="652"/>
      <c r="BY3" s="652"/>
      <c r="BZ3" s="652"/>
      <c r="CA3" s="652"/>
      <c r="CB3" s="652" t="s">
        <v>30</v>
      </c>
      <c r="CC3" s="655"/>
      <c r="CD3" s="655"/>
      <c r="CE3" s="655"/>
      <c r="CF3" s="655"/>
      <c r="CG3" s="655"/>
      <c r="CH3" s="655"/>
      <c r="CI3" s="6"/>
      <c r="CJ3" s="670" t="s">
        <v>31</v>
      </c>
      <c r="CK3" s="670"/>
      <c r="CL3" s="670"/>
      <c r="CM3" s="670"/>
      <c r="CN3" s="652" t="s">
        <v>32</v>
      </c>
      <c r="CO3" s="655"/>
      <c r="CP3" s="655"/>
      <c r="CQ3" s="655"/>
      <c r="CR3" s="689" t="s">
        <v>398</v>
      </c>
      <c r="CS3" s="7"/>
      <c r="CT3" s="7"/>
      <c r="CU3" s="7"/>
      <c r="CV3" s="7"/>
    </row>
    <row r="4" spans="1:117" s="10" customFormat="1" ht="9.75" customHeight="1" thickBot="1">
      <c r="A4" s="714"/>
      <c r="B4" s="641" t="s">
        <v>76</v>
      </c>
      <c r="C4" s="641" t="s">
        <v>77</v>
      </c>
      <c r="D4" s="642" t="s">
        <v>33</v>
      </c>
      <c r="E4" s="641" t="s">
        <v>78</v>
      </c>
      <c r="F4" s="659" t="s">
        <v>79</v>
      </c>
      <c r="G4" s="634"/>
      <c r="H4" s="660" t="s">
        <v>80</v>
      </c>
      <c r="I4" s="662" t="s">
        <v>87</v>
      </c>
      <c r="J4" s="641" t="s">
        <v>35</v>
      </c>
      <c r="K4" s="641" t="s">
        <v>83</v>
      </c>
      <c r="L4" s="641" t="s">
        <v>36</v>
      </c>
      <c r="M4" s="641" t="s">
        <v>37</v>
      </c>
      <c r="N4" s="641" t="s">
        <v>399</v>
      </c>
      <c r="O4" s="641" t="s">
        <v>372</v>
      </c>
      <c r="P4" s="648" t="s">
        <v>397</v>
      </c>
      <c r="Q4" s="641" t="s">
        <v>395</v>
      </c>
      <c r="R4" s="641" t="s">
        <v>38</v>
      </c>
      <c r="S4" s="641" t="s">
        <v>32</v>
      </c>
      <c r="T4" s="641" t="s">
        <v>39</v>
      </c>
      <c r="U4" s="641" t="s">
        <v>40</v>
      </c>
      <c r="V4" s="641" t="s">
        <v>41</v>
      </c>
      <c r="W4" s="641" t="s">
        <v>42</v>
      </c>
      <c r="X4" s="659" t="s">
        <v>396</v>
      </c>
      <c r="Y4" s="697"/>
      <c r="Z4" s="645"/>
      <c r="AA4" s="633"/>
      <c r="AB4" s="633"/>
      <c r="AC4" s="633"/>
      <c r="AD4" s="633"/>
      <c r="AE4" s="633"/>
      <c r="AF4" s="633"/>
      <c r="AG4" s="633"/>
      <c r="AH4" s="647"/>
      <c r="AI4" s="647"/>
      <c r="AJ4" s="646"/>
      <c r="AK4" s="646"/>
      <c r="AL4" s="633"/>
      <c r="AM4" s="643"/>
      <c r="AN4" s="633"/>
      <c r="AO4" s="633"/>
      <c r="AP4" s="648"/>
      <c r="AQ4" s="633"/>
      <c r="AR4" s="633"/>
      <c r="AS4" s="633"/>
      <c r="AT4" s="71"/>
      <c r="AU4" s="633"/>
      <c r="AV4" s="646"/>
      <c r="AW4" s="646"/>
      <c r="AX4" s="646"/>
      <c r="AY4" s="646"/>
      <c r="AZ4" s="646"/>
      <c r="BA4" s="646"/>
      <c r="BB4" s="633"/>
      <c r="BC4" s="657"/>
      <c r="BD4" s="657"/>
      <c r="BE4" s="633"/>
      <c r="BF4" s="633"/>
      <c r="BG4" s="708"/>
      <c r="BH4" s="3"/>
      <c r="BI4" s="3"/>
      <c r="BJ4" s="3"/>
      <c r="BK4" s="3"/>
      <c r="BL4" s="4"/>
      <c r="BM4" s="650"/>
      <c r="BN4" s="650"/>
      <c r="BO4" s="650"/>
      <c r="BP4" s="650"/>
      <c r="BQ4" s="650"/>
      <c r="BR4" s="650"/>
      <c r="BS4" s="650"/>
      <c r="BT4" s="8"/>
      <c r="BU4" s="652"/>
      <c r="BV4" s="652"/>
      <c r="BW4" s="652"/>
      <c r="BX4" s="652"/>
      <c r="BY4" s="652"/>
      <c r="BZ4" s="652"/>
      <c r="CA4" s="652"/>
      <c r="CB4" s="652"/>
      <c r="CC4" s="655"/>
      <c r="CD4" s="655"/>
      <c r="CE4" s="655"/>
      <c r="CF4" s="655"/>
      <c r="CG4" s="655"/>
      <c r="CH4" s="655"/>
      <c r="CI4" s="9"/>
      <c r="CJ4" s="670"/>
      <c r="CK4" s="670"/>
      <c r="CL4" s="670"/>
      <c r="CM4" s="670"/>
      <c r="CN4" s="652"/>
      <c r="CO4" s="655"/>
      <c r="CP4" s="655"/>
      <c r="CQ4" s="655"/>
      <c r="CR4" s="690"/>
      <c r="CS4" s="7"/>
      <c r="CT4" s="7"/>
      <c r="CU4" s="7"/>
      <c r="CV4" s="7"/>
    </row>
    <row r="5" spans="1:117" s="10" customFormat="1" ht="21" customHeight="1" thickBot="1">
      <c r="A5" s="714"/>
      <c r="B5" s="641"/>
      <c r="C5" s="641"/>
      <c r="D5" s="642"/>
      <c r="E5" s="641"/>
      <c r="F5" s="659"/>
      <c r="G5" s="634"/>
      <c r="H5" s="661"/>
      <c r="I5" s="662"/>
      <c r="J5" s="641"/>
      <c r="K5" s="641"/>
      <c r="L5" s="641"/>
      <c r="M5" s="641"/>
      <c r="N5" s="641"/>
      <c r="O5" s="641"/>
      <c r="P5" s="648"/>
      <c r="Q5" s="644"/>
      <c r="R5" s="641"/>
      <c r="S5" s="641"/>
      <c r="T5" s="644"/>
      <c r="U5" s="644"/>
      <c r="V5" s="644"/>
      <c r="W5" s="644"/>
      <c r="X5" s="721"/>
      <c r="Y5" s="697"/>
      <c r="Z5" s="645"/>
      <c r="AA5" s="633"/>
      <c r="AB5" s="633"/>
      <c r="AC5" s="633"/>
      <c r="AD5" s="633"/>
      <c r="AE5" s="633"/>
      <c r="AF5" s="633"/>
      <c r="AG5" s="633"/>
      <c r="AH5" s="644" t="s">
        <v>43</v>
      </c>
      <c r="AI5" s="644" t="s">
        <v>44</v>
      </c>
      <c r="AJ5" s="644" t="s">
        <v>43</v>
      </c>
      <c r="AK5" s="644" t="s">
        <v>45</v>
      </c>
      <c r="AL5" s="633"/>
      <c r="AM5" s="643"/>
      <c r="AN5" s="633"/>
      <c r="AO5" s="633"/>
      <c r="AP5" s="648"/>
      <c r="AQ5" s="633"/>
      <c r="AR5" s="633"/>
      <c r="AS5" s="633"/>
      <c r="AT5" s="72"/>
      <c r="AU5" s="633"/>
      <c r="AV5" s="644" t="s">
        <v>46</v>
      </c>
      <c r="AW5" s="644" t="s">
        <v>47</v>
      </c>
      <c r="AX5" s="644" t="s">
        <v>48</v>
      </c>
      <c r="AY5" s="658" t="s">
        <v>49</v>
      </c>
      <c r="AZ5" s="658" t="s">
        <v>50</v>
      </c>
      <c r="BA5" s="644" t="s">
        <v>51</v>
      </c>
      <c r="BB5" s="633"/>
      <c r="BC5" s="73" t="s">
        <v>52</v>
      </c>
      <c r="BD5" s="73" t="s">
        <v>53</v>
      </c>
      <c r="BE5" s="633"/>
      <c r="BF5" s="633"/>
      <c r="BG5" s="708"/>
      <c r="BH5" s="3"/>
      <c r="BI5" s="3"/>
      <c r="BJ5" s="3"/>
      <c r="BK5" s="3"/>
      <c r="BL5" s="4"/>
      <c r="BM5" s="650"/>
      <c r="BN5" s="650"/>
      <c r="BO5" s="650"/>
      <c r="BP5" s="650"/>
      <c r="BQ5" s="650"/>
      <c r="BR5" s="650"/>
      <c r="BS5" s="651"/>
      <c r="BT5" s="11"/>
      <c r="BU5" s="653"/>
      <c r="BV5" s="653"/>
      <c r="BW5" s="653"/>
      <c r="BX5" s="653"/>
      <c r="BY5" s="653"/>
      <c r="BZ5" s="653"/>
      <c r="CA5" s="654"/>
      <c r="CB5" s="653"/>
      <c r="CC5" s="656"/>
      <c r="CD5" s="656"/>
      <c r="CE5" s="656"/>
      <c r="CF5" s="656"/>
      <c r="CG5" s="656"/>
      <c r="CH5" s="656"/>
      <c r="CI5" s="12"/>
      <c r="CJ5" s="671"/>
      <c r="CK5" s="671"/>
      <c r="CL5" s="671"/>
      <c r="CM5" s="671"/>
      <c r="CN5" s="653"/>
      <c r="CO5" s="656"/>
      <c r="CP5" s="656"/>
      <c r="CQ5" s="656"/>
      <c r="CR5" s="690"/>
      <c r="CS5" s="13"/>
      <c r="CT5"/>
      <c r="CU5" s="272"/>
      <c r="CV5"/>
      <c r="CW5" s="272"/>
      <c r="CX5" s="13"/>
      <c r="CY5"/>
      <c r="CZ5"/>
      <c r="DA5"/>
      <c r="DB5" s="274"/>
      <c r="DD5"/>
      <c r="DE5"/>
      <c r="DF5"/>
      <c r="DG5" s="664" t="s">
        <v>88</v>
      </c>
      <c r="DH5" s="665"/>
      <c r="DI5" s="665"/>
      <c r="DJ5" s="665"/>
      <c r="DK5" s="666"/>
    </row>
    <row r="6" spans="1:117" s="10" customFormat="1" ht="127.5" customHeight="1" thickBot="1">
      <c r="A6" s="714"/>
      <c r="B6" s="641"/>
      <c r="C6" s="641"/>
      <c r="D6" s="642"/>
      <c r="E6" s="641"/>
      <c r="F6" s="659"/>
      <c r="G6" s="634"/>
      <c r="H6" s="661"/>
      <c r="I6" s="662"/>
      <c r="J6" s="641"/>
      <c r="K6" s="641"/>
      <c r="L6" s="641"/>
      <c r="M6" s="641"/>
      <c r="N6" s="641"/>
      <c r="O6" s="641"/>
      <c r="P6" s="641"/>
      <c r="Q6" s="644"/>
      <c r="R6" s="641"/>
      <c r="S6" s="641"/>
      <c r="T6" s="644"/>
      <c r="U6" s="644"/>
      <c r="V6" s="644"/>
      <c r="W6" s="644"/>
      <c r="X6" s="721"/>
      <c r="Y6" s="697"/>
      <c r="Z6" s="645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43"/>
      <c r="AN6" s="633"/>
      <c r="AO6" s="633"/>
      <c r="AP6" s="641"/>
      <c r="AQ6" s="633"/>
      <c r="AR6" s="633"/>
      <c r="AS6" s="633"/>
      <c r="AT6" s="625"/>
      <c r="AU6" s="633"/>
      <c r="AV6" s="644"/>
      <c r="AW6" s="644"/>
      <c r="AX6" s="644"/>
      <c r="AY6" s="658"/>
      <c r="AZ6" s="658"/>
      <c r="BA6" s="644"/>
      <c r="BB6" s="644"/>
      <c r="BC6" s="74"/>
      <c r="BD6" s="75">
        <v>0.04</v>
      </c>
      <c r="BE6" s="633"/>
      <c r="BF6" s="633"/>
      <c r="BG6" s="708"/>
      <c r="BH6" s="14" t="s">
        <v>54</v>
      </c>
      <c r="BI6" s="14" t="s">
        <v>55</v>
      </c>
      <c r="BJ6" s="14" t="s">
        <v>56</v>
      </c>
      <c r="BK6" s="3"/>
      <c r="BL6" s="4"/>
      <c r="BM6" s="226" t="s">
        <v>384</v>
      </c>
      <c r="BN6" s="481" t="s">
        <v>455</v>
      </c>
      <c r="BO6" s="232" t="s">
        <v>479</v>
      </c>
      <c r="BP6" s="396" t="s">
        <v>99</v>
      </c>
      <c r="BQ6" s="232" t="s">
        <v>296</v>
      </c>
      <c r="BR6" s="624" t="s">
        <v>147</v>
      </c>
      <c r="BS6" s="397" t="s">
        <v>96</v>
      </c>
      <c r="BT6" s="15"/>
      <c r="BU6" s="226" t="s">
        <v>384</v>
      </c>
      <c r="BV6" s="52"/>
      <c r="BW6" s="333"/>
      <c r="BX6" s="396" t="s">
        <v>99</v>
      </c>
      <c r="BY6" s="232" t="s">
        <v>296</v>
      </c>
      <c r="BZ6" s="624" t="s">
        <v>147</v>
      </c>
      <c r="CA6" s="398" t="s">
        <v>96</v>
      </c>
      <c r="CB6" s="226" t="s">
        <v>384</v>
      </c>
      <c r="CC6" s="481" t="s">
        <v>455</v>
      </c>
      <c r="CD6" s="232" t="s">
        <v>479</v>
      </c>
      <c r="CE6" s="396" t="s">
        <v>99</v>
      </c>
      <c r="CF6" s="232" t="s">
        <v>296</v>
      </c>
      <c r="CG6" s="624" t="s">
        <v>147</v>
      </c>
      <c r="CH6" s="334" t="s">
        <v>96</v>
      </c>
      <c r="CI6" s="53" t="s">
        <v>57</v>
      </c>
      <c r="CJ6" s="335" t="s">
        <v>462</v>
      </c>
      <c r="CK6" s="225" t="s">
        <v>84</v>
      </c>
      <c r="CL6" s="263" t="s">
        <v>106</v>
      </c>
      <c r="CM6" s="288" t="s">
        <v>440</v>
      </c>
      <c r="CN6" s="335" t="s">
        <v>462</v>
      </c>
      <c r="CO6" s="225" t="s">
        <v>84</v>
      </c>
      <c r="CP6" s="263" t="s">
        <v>106</v>
      </c>
      <c r="CQ6" s="288" t="s">
        <v>440</v>
      </c>
      <c r="CR6" s="691"/>
      <c r="CS6"/>
      <c r="CT6" s="251" t="s">
        <v>384</v>
      </c>
      <c r="CU6" s="482" t="s">
        <v>456</v>
      </c>
      <c r="CV6" s="51" t="s">
        <v>480</v>
      </c>
      <c r="CW6" s="245" t="s">
        <v>99</v>
      </c>
      <c r="CX6" s="51" t="s">
        <v>296</v>
      </c>
      <c r="CY6" s="51" t="s">
        <v>147</v>
      </c>
      <c r="CZ6" s="229" t="s">
        <v>97</v>
      </c>
      <c r="DA6" s="229" t="s">
        <v>462</v>
      </c>
      <c r="DB6" s="273" t="s">
        <v>93</v>
      </c>
      <c r="DC6" s="229" t="s">
        <v>106</v>
      </c>
      <c r="DD6" s="229" t="s">
        <v>440</v>
      </c>
      <c r="DE6" s="229" t="s">
        <v>398</v>
      </c>
      <c r="DF6"/>
      <c r="DG6" s="290" t="s">
        <v>89</v>
      </c>
      <c r="DH6" s="291" t="s">
        <v>90</v>
      </c>
      <c r="DI6" s="292" t="s">
        <v>91</v>
      </c>
      <c r="DJ6" s="292"/>
      <c r="DK6" s="291" t="s">
        <v>92</v>
      </c>
    </row>
    <row r="7" spans="1:117" ht="16.5" customHeight="1" thickBot="1">
      <c r="A7" s="532">
        <v>1</v>
      </c>
      <c r="B7" s="103">
        <f>'[1]декабрь 20'!K6</f>
        <v>234.05199999999999</v>
      </c>
      <c r="C7" s="104">
        <f t="shared" ref="C7:C37" si="0">IF(B7=0,0,(BM7*BU7+BN7*BV7+BP7*BX7+BS7*CA7+BO7*BW7+BR7*BZ7+BQ7*BY7)/B7)</f>
        <v>1.2614279144809701</v>
      </c>
      <c r="D7" s="447">
        <f t="shared" ref="D7:D37" si="1">B7*((100-C7)/100)</f>
        <v>231.09960273759899</v>
      </c>
      <c r="E7" s="104">
        <f t="shared" ref="E7:E37" si="2">IF(B7=0,0,(BM7*CB7+BN7*CC7+BP7*CE7+BS7*CH7+BO7*CD7+BR7*CG7+BQ7*CF7)/B7)</f>
        <v>38.151566190419224</v>
      </c>
      <c r="F7" s="103">
        <f t="shared" ref="F7:F37" si="3">IF(BA7=0,0,D7/BA7)</f>
        <v>1.7855594484736492</v>
      </c>
      <c r="G7" s="106"/>
      <c r="H7" s="107">
        <f t="shared" ref="H7:H37" si="4">IF(BA7=0,0,(CZ7+CW7+CY7+CT7+CX7)/BA7)</f>
        <v>1.303426666769685</v>
      </c>
      <c r="I7" s="103">
        <f>'[1]сентябрь 20'!AE6</f>
        <v>0</v>
      </c>
      <c r="J7" s="103">
        <f>'[1]декабрь 20'!AA6</f>
        <v>8.6050000000000004</v>
      </c>
      <c r="K7" s="106"/>
      <c r="L7" s="103">
        <f>'[1]декабрь 20'!AI6</f>
        <v>62.401000000000003</v>
      </c>
      <c r="M7" s="103">
        <f t="shared" ref="M7:M37" si="5">IF(BA7=0,0,(CV7+CU7)/BA7)</f>
        <v>0.48213278479450966</v>
      </c>
      <c r="N7" s="103">
        <f>'[1]август 20'!W6</f>
        <v>0</v>
      </c>
      <c r="O7" s="103">
        <f>'[1]сентябрь 20'!AM6</f>
        <v>0</v>
      </c>
      <c r="P7" s="447">
        <f>O7*((100-CR7)/100)</f>
        <v>0</v>
      </c>
      <c r="Q7" s="103">
        <f>IF(O7=0,0,P7/BA7)</f>
        <v>0</v>
      </c>
      <c r="R7" s="103">
        <f>'[1]декабрь 20'!S6</f>
        <v>149.62700000000001</v>
      </c>
      <c r="S7" s="108">
        <f t="shared" ref="S7:S37" si="6">IF(R7=0,0,(1-(V7/R7))*100)</f>
        <v>3.0522564777747507</v>
      </c>
      <c r="T7" s="109">
        <f t="shared" ref="T7:T37" si="7">R7*((100-S7)/100)</f>
        <v>145.06000019999999</v>
      </c>
      <c r="U7" s="106">
        <v>45.72</v>
      </c>
      <c r="V7" s="109">
        <f t="shared" ref="V7:V37" si="8">CJ7+CK7+CM7+CL7</f>
        <v>145.06000019999999</v>
      </c>
      <c r="W7" s="110">
        <f t="shared" ref="W7:W37" si="9">IF(BA7=0,0,T7/BA7)</f>
        <v>1.1207862362567316</v>
      </c>
      <c r="X7" s="110">
        <f>Q7+W7</f>
        <v>1.1207862362567316</v>
      </c>
      <c r="Y7" s="136">
        <v>96.38</v>
      </c>
      <c r="Z7" s="111">
        <v>96.38</v>
      </c>
      <c r="AA7" s="106">
        <v>0.76</v>
      </c>
      <c r="AB7" s="112">
        <v>619</v>
      </c>
      <c r="AC7" s="112">
        <v>1143</v>
      </c>
      <c r="AD7" s="113" t="s">
        <v>495</v>
      </c>
      <c r="AE7" s="106">
        <v>75.62</v>
      </c>
      <c r="AF7" s="112">
        <v>80</v>
      </c>
      <c r="AG7" s="114">
        <v>3</v>
      </c>
      <c r="AH7" s="106">
        <v>10.9</v>
      </c>
      <c r="AI7" s="115">
        <f t="shared" ref="AI7:AI37" si="10">IF(BA7=0,0,AH7/BA7*1000)</f>
        <v>84.217358047393532</v>
      </c>
      <c r="AJ7" s="106">
        <v>68.45</v>
      </c>
      <c r="AK7" s="115">
        <f t="shared" ref="AK7:AK37" si="11">IF(BA7=0,0,AJ7/BA7*1000)</f>
        <v>528.86955581138409</v>
      </c>
      <c r="AL7" s="106">
        <v>22.02</v>
      </c>
      <c r="AM7" s="116"/>
      <c r="AN7" s="117">
        <v>10.94</v>
      </c>
      <c r="AO7" s="466">
        <f>AV7*0.19</f>
        <v>31.292999999999999</v>
      </c>
      <c r="AP7" s="110">
        <f t="shared" ref="AP7:AP37" si="12">IF(AO7=0,0,AO7/AV7)</f>
        <v>0.19</v>
      </c>
      <c r="AQ7" s="119" t="s">
        <v>315</v>
      </c>
      <c r="AR7" s="403">
        <v>7.22</v>
      </c>
      <c r="AS7" s="120">
        <v>8.74</v>
      </c>
      <c r="AT7" s="106"/>
      <c r="AU7" s="106">
        <v>8.07</v>
      </c>
      <c r="AV7" s="314">
        <v>164.7</v>
      </c>
      <c r="AW7" s="121">
        <v>6.96</v>
      </c>
      <c r="AX7" s="122"/>
      <c r="AY7" s="123"/>
      <c r="AZ7" s="124"/>
      <c r="BA7" s="109">
        <f t="shared" ref="BA7:BA37" si="13">AV7-AO7-AN7+AY7+AW7</f>
        <v>129.42699999999999</v>
      </c>
      <c r="BB7" s="115">
        <f>IF(AE7=0,0,((D7*0.97)*(E7/100)*0.9)/(AE7/100))</f>
        <v>101.78625618935945</v>
      </c>
      <c r="BC7" s="125">
        <f t="shared" ref="BC7:BC37" si="14">(AJ7*AU7)/100*(55/71)</f>
        <v>4.2790890845070422</v>
      </c>
      <c r="BD7" s="115">
        <f t="shared" ref="BD7:BD24" si="15">BA7*$BD$6</f>
        <v>5.1770800000000001</v>
      </c>
      <c r="BE7" s="103">
        <f t="shared" ref="BE7:BE37" si="16">IF((D7*E7)=0,0,(BA7*AE7)/(D7*E7))</f>
        <v>1.1100690331885077</v>
      </c>
      <c r="BF7" s="115">
        <f t="shared" ref="BF7:BF37" si="17">BC7+BD7</f>
        <v>9.4561690845070423</v>
      </c>
      <c r="BG7" s="533">
        <v>1.1100000000000001</v>
      </c>
      <c r="BH7" s="16">
        <f>BA7</f>
        <v>129.42699999999999</v>
      </c>
      <c r="BI7" s="16">
        <f t="shared" ref="BI7:BI38" si="18">IF(A7&lt;=$BG$43,$AV$43,0)</f>
        <v>225.16129032258064</v>
      </c>
      <c r="BJ7" s="16">
        <f>BI7</f>
        <v>225.16129032258064</v>
      </c>
      <c r="BK7" s="17">
        <f t="shared" ref="BK7:BK37" si="19">IF(BA7&lt;&gt;0,1,0)</f>
        <v>1</v>
      </c>
      <c r="BL7" s="16">
        <f>BI7*BK7</f>
        <v>225.16129032258064</v>
      </c>
      <c r="BM7" s="336">
        <v>171.65100000000001</v>
      </c>
      <c r="BN7" s="336">
        <v>15.61</v>
      </c>
      <c r="BO7" s="336">
        <v>46.790999999999997</v>
      </c>
      <c r="BP7" s="336">
        <v>9.9999999999999995E-8</v>
      </c>
      <c r="BQ7" s="336">
        <v>9.9999999999999995E-8</v>
      </c>
      <c r="BR7" s="336">
        <v>9.9999999999999995E-8</v>
      </c>
      <c r="BS7" s="336">
        <v>9.9999999999999995E-8</v>
      </c>
      <c r="BT7" s="336">
        <v>9.9999999999999995E-8</v>
      </c>
      <c r="BU7" s="336">
        <v>1.72</v>
      </c>
      <c r="BV7" s="336">
        <v>9.9999999999999995E-8</v>
      </c>
      <c r="BW7" s="336">
        <v>9.9999999999999995E-8</v>
      </c>
      <c r="BX7" s="336">
        <v>9.9999999999999995E-8</v>
      </c>
      <c r="BY7" s="336">
        <v>9.9999999999999995E-8</v>
      </c>
      <c r="BZ7" s="336">
        <v>9.9999999999999995E-8</v>
      </c>
      <c r="CA7" s="336">
        <v>9.9999999999999995E-8</v>
      </c>
      <c r="CB7" s="336">
        <v>36.08</v>
      </c>
      <c r="CC7" s="336">
        <v>43.73</v>
      </c>
      <c r="CD7" s="336">
        <v>43.89</v>
      </c>
      <c r="CE7" s="336">
        <v>9.9999999999999995E-8</v>
      </c>
      <c r="CF7" s="336">
        <v>9.9999999999999995E-8</v>
      </c>
      <c r="CG7" s="336">
        <v>9.9999999999999995E-8</v>
      </c>
      <c r="CH7" s="336">
        <v>9.9999999999999995E-8</v>
      </c>
      <c r="CI7" s="336">
        <v>9.9999999999999995E-8</v>
      </c>
      <c r="CJ7" s="336">
        <v>9.9999999999999995E-8</v>
      </c>
      <c r="CK7" s="336">
        <v>9.9999999999999995E-8</v>
      </c>
      <c r="CL7" s="336">
        <v>73.08</v>
      </c>
      <c r="CM7" s="336">
        <v>71.98</v>
      </c>
      <c r="CN7" s="336">
        <v>9.9999999999999995E-8</v>
      </c>
      <c r="CO7" s="336">
        <v>9.9999999999999995E-8</v>
      </c>
      <c r="CP7" s="336">
        <v>9.9999999999999995E-8</v>
      </c>
      <c r="CQ7" s="336">
        <v>9.9999999999999995E-8</v>
      </c>
      <c r="CR7" s="336">
        <v>9.9999999999999995E-8</v>
      </c>
      <c r="CS7" s="284"/>
      <c r="CT7" s="285">
        <f t="shared" ref="CT7:CZ37" si="20">BM7*((100-BU7)/100)</f>
        <v>168.6986028</v>
      </c>
      <c r="CU7" s="22">
        <f t="shared" si="20"/>
        <v>15.609999984389999</v>
      </c>
      <c r="CV7" s="22">
        <f t="shared" si="20"/>
        <v>46.790999953208996</v>
      </c>
      <c r="CW7" s="27">
        <f t="shared" si="20"/>
        <v>9.99999999E-8</v>
      </c>
      <c r="CX7" s="27">
        <f t="shared" si="20"/>
        <v>9.99999999E-8</v>
      </c>
      <c r="CY7" s="276">
        <f t="shared" si="20"/>
        <v>9.99999999E-8</v>
      </c>
      <c r="CZ7" s="279">
        <f t="shared" si="20"/>
        <v>9.99999999E-8</v>
      </c>
      <c r="DA7" s="276">
        <f t="shared" ref="DA7:DD37" si="21">CJ7*((100-CN7)/100)</f>
        <v>9.99999999E-8</v>
      </c>
      <c r="DB7" s="21">
        <f t="shared" si="21"/>
        <v>9.99999999E-8</v>
      </c>
      <c r="DC7" s="21">
        <f t="shared" si="21"/>
        <v>73.079999926919996</v>
      </c>
      <c r="DD7" s="279">
        <f t="shared" si="21"/>
        <v>71.979999928020007</v>
      </c>
      <c r="DE7" s="508">
        <f>P7</f>
        <v>0</v>
      </c>
      <c r="DF7" s="247"/>
      <c r="DG7" s="293">
        <f t="shared" ref="DG7:DG37" si="22">I7</f>
        <v>0</v>
      </c>
      <c r="DH7" s="294"/>
      <c r="DI7" s="294"/>
      <c r="DJ7" s="295">
        <f t="shared" ref="DJ7:DJ37" si="23">DG7*((100-DH7)/100)</f>
        <v>0</v>
      </c>
      <c r="DK7" s="296">
        <f>IF(I7=0,0,(DJ7*DI7%)/(AE7/100))</f>
        <v>0</v>
      </c>
      <c r="DM7" s="411"/>
    </row>
    <row r="8" spans="1:117" ht="16.5" customHeight="1" thickBot="1">
      <c r="A8" s="534">
        <v>2</v>
      </c>
      <c r="B8" s="103">
        <f>'[1]декабрь 20'!K7</f>
        <v>516.28200000000004</v>
      </c>
      <c r="C8" s="104">
        <f t="shared" si="0"/>
        <v>0.82893631774882715</v>
      </c>
      <c r="D8" s="447">
        <f t="shared" si="1"/>
        <v>512.00235099999998</v>
      </c>
      <c r="E8" s="104">
        <f t="shared" si="2"/>
        <v>39.131123726955416</v>
      </c>
      <c r="F8" s="128">
        <f t="shared" si="3"/>
        <v>2.5232604663082205</v>
      </c>
      <c r="G8" s="106"/>
      <c r="H8" s="107">
        <f t="shared" si="4"/>
        <v>1.8453738843740912</v>
      </c>
      <c r="I8" s="103">
        <f>'[1]сентябрь 20'!AE7</f>
        <v>0</v>
      </c>
      <c r="J8" s="103">
        <f>'[1]декабрь 20'!AA7</f>
        <v>18.905000000000001</v>
      </c>
      <c r="K8" s="106">
        <v>54.04</v>
      </c>
      <c r="L8" s="103">
        <f>'[1]декабрь 20'!AI7</f>
        <v>137.55199999999999</v>
      </c>
      <c r="M8" s="103">
        <f t="shared" si="5"/>
        <v>0.67788658193412932</v>
      </c>
      <c r="N8" s="103">
        <f>'[1]август 20'!W7</f>
        <v>0</v>
      </c>
      <c r="O8" s="103">
        <f>'[1]сентябрь 20'!AM7</f>
        <v>0</v>
      </c>
      <c r="P8" s="447">
        <f t="shared" ref="P8:P37" si="24">O8*((100-CR8)/100)</f>
        <v>0</v>
      </c>
      <c r="Q8" s="103">
        <f t="shared" ref="Q8:Q37" si="25">IF(O8=0,0,P8/BA8)</f>
        <v>0</v>
      </c>
      <c r="R8" s="103">
        <f>'[1]декабрь 20'!S7</f>
        <v>319.42599999999999</v>
      </c>
      <c r="S8" s="108">
        <f t="shared" si="6"/>
        <v>3.0197917514541706</v>
      </c>
      <c r="T8" s="109">
        <f t="shared" si="7"/>
        <v>309.78000000000003</v>
      </c>
      <c r="U8" s="106">
        <v>26.92</v>
      </c>
      <c r="V8" s="109">
        <f t="shared" si="8"/>
        <v>309.77999999999997</v>
      </c>
      <c r="W8" s="110">
        <f t="shared" si="9"/>
        <v>1.5266641368468261</v>
      </c>
      <c r="X8" s="110">
        <f t="shared" ref="X8:X37" si="26">Q8+W8</f>
        <v>1.5266641368468261</v>
      </c>
      <c r="Y8" s="136">
        <v>202.91</v>
      </c>
      <c r="Z8" s="130">
        <v>202.91</v>
      </c>
      <c r="AA8" s="131">
        <v>0.36</v>
      </c>
      <c r="AB8" s="112">
        <v>610</v>
      </c>
      <c r="AC8" s="112">
        <v>1143</v>
      </c>
      <c r="AD8" s="132" t="s">
        <v>207</v>
      </c>
      <c r="AE8" s="131">
        <v>76.430000000000007</v>
      </c>
      <c r="AF8" s="133">
        <v>172</v>
      </c>
      <c r="AG8" s="134">
        <v>4</v>
      </c>
      <c r="AH8" s="131">
        <v>16.149999999999999</v>
      </c>
      <c r="AI8" s="115">
        <f t="shared" si="10"/>
        <v>79.590760572264955</v>
      </c>
      <c r="AJ8" s="131">
        <v>137.75</v>
      </c>
      <c r="AK8" s="115">
        <f t="shared" si="11"/>
        <v>678.86236958696577</v>
      </c>
      <c r="AL8" s="131">
        <v>30.79</v>
      </c>
      <c r="AM8" s="116"/>
      <c r="AN8" s="135">
        <v>15.98</v>
      </c>
      <c r="AO8" s="466">
        <f t="shared" ref="AO8:AO36" si="27">AV8*0.19</f>
        <v>50.597000000000001</v>
      </c>
      <c r="AP8" s="110">
        <f t="shared" si="12"/>
        <v>0.19</v>
      </c>
      <c r="AQ8" s="137" t="s">
        <v>212</v>
      </c>
      <c r="AR8" s="150">
        <v>7.49</v>
      </c>
      <c r="AS8" s="138">
        <v>7.16</v>
      </c>
      <c r="AT8" s="131"/>
      <c r="AU8" s="131">
        <v>7.98</v>
      </c>
      <c r="AV8" s="315">
        <v>266.3</v>
      </c>
      <c r="AW8" s="131">
        <v>3.19</v>
      </c>
      <c r="AX8" s="116"/>
      <c r="AY8" s="131"/>
      <c r="AZ8" s="109"/>
      <c r="BA8" s="109">
        <f t="shared" si="13"/>
        <v>202.91300000000001</v>
      </c>
      <c r="BB8" s="115">
        <f t="shared" ref="BB8:BB37" si="28">IF(AE8=0,0,((D8*0.97)*(E8/100)*0.9)/(AE8/100))</f>
        <v>228.84670250684249</v>
      </c>
      <c r="BC8" s="140">
        <f t="shared" si="14"/>
        <v>8.5152781690140849</v>
      </c>
      <c r="BD8" s="141">
        <f t="shared" si="15"/>
        <v>8.1165200000000013</v>
      </c>
      <c r="BE8" s="128">
        <f t="shared" si="16"/>
        <v>0.77406861038211128</v>
      </c>
      <c r="BF8" s="141">
        <f t="shared" si="17"/>
        <v>16.631798169014086</v>
      </c>
      <c r="BG8" s="535">
        <v>0.877</v>
      </c>
      <c r="BH8" s="16">
        <f t="shared" ref="BH8:BH37" si="29">BH7+BA8</f>
        <v>332.34000000000003</v>
      </c>
      <c r="BI8" s="16">
        <f t="shared" si="18"/>
        <v>225.16129032258064</v>
      </c>
      <c r="BJ8" s="16">
        <f t="shared" ref="BJ8:BJ37" si="30">BI8+BJ7</f>
        <v>450.32258064516128</v>
      </c>
      <c r="BK8" s="17">
        <f t="shared" si="19"/>
        <v>1</v>
      </c>
      <c r="BL8" s="16">
        <f t="shared" ref="BL8:BL37" si="31">BL7+BI8*BK8</f>
        <v>450.32258064516128</v>
      </c>
      <c r="BM8" s="249">
        <v>378.73</v>
      </c>
      <c r="BN8" s="195">
        <v>34.396999999999998</v>
      </c>
      <c r="BO8" s="197">
        <v>103.155</v>
      </c>
      <c r="BP8" s="197"/>
      <c r="BQ8" s="230"/>
      <c r="BR8" s="230"/>
      <c r="BS8" s="250"/>
      <c r="BT8" s="199"/>
      <c r="BU8" s="200">
        <v>1.1299999999999999</v>
      </c>
      <c r="BV8" s="200"/>
      <c r="BW8" s="200"/>
      <c r="BX8" s="200"/>
      <c r="BY8" s="208"/>
      <c r="BZ8" s="208"/>
      <c r="CA8" s="198"/>
      <c r="CB8" s="202">
        <v>37.409999999999997</v>
      </c>
      <c r="CC8" s="200">
        <v>43.81</v>
      </c>
      <c r="CD8" s="200">
        <v>43.89</v>
      </c>
      <c r="CE8" s="200"/>
      <c r="CF8" s="197"/>
      <c r="CG8" s="197"/>
      <c r="CH8" s="197"/>
      <c r="CI8" s="203"/>
      <c r="CJ8" s="204"/>
      <c r="CK8" s="197"/>
      <c r="CL8" s="197">
        <v>147.91999999999999</v>
      </c>
      <c r="CM8" s="198">
        <v>161.86000000000001</v>
      </c>
      <c r="CN8" s="205"/>
      <c r="CO8" s="206"/>
      <c r="CP8" s="269"/>
      <c r="CQ8" s="207"/>
      <c r="CR8" s="207"/>
      <c r="CS8" s="284"/>
      <c r="CT8" s="286">
        <f t="shared" si="20"/>
        <v>374.45035100000001</v>
      </c>
      <c r="CU8" s="24">
        <f t="shared" si="20"/>
        <v>34.396999999999998</v>
      </c>
      <c r="CV8" s="25">
        <f t="shared" si="20"/>
        <v>103.155</v>
      </c>
      <c r="CW8" s="24">
        <f t="shared" si="20"/>
        <v>0</v>
      </c>
      <c r="CX8" s="27">
        <f t="shared" si="20"/>
        <v>0</v>
      </c>
      <c r="CY8" s="237">
        <f t="shared" si="20"/>
        <v>0</v>
      </c>
      <c r="CZ8" s="280">
        <f t="shared" si="20"/>
        <v>0</v>
      </c>
      <c r="DA8" s="237">
        <f t="shared" si="21"/>
        <v>0</v>
      </c>
      <c r="DB8" s="26">
        <f t="shared" si="21"/>
        <v>0</v>
      </c>
      <c r="DC8" s="277">
        <f t="shared" si="21"/>
        <v>147.91999999999999</v>
      </c>
      <c r="DD8" s="280">
        <f t="shared" si="21"/>
        <v>161.86000000000001</v>
      </c>
      <c r="DE8" s="508">
        <f t="shared" ref="DE8:DE37" si="32">P8</f>
        <v>0</v>
      </c>
      <c r="DF8" s="247"/>
      <c r="DG8" s="293">
        <f t="shared" si="22"/>
        <v>0</v>
      </c>
      <c r="DH8" s="294"/>
      <c r="DI8" s="294"/>
      <c r="DJ8" s="295">
        <f t="shared" si="23"/>
        <v>0</v>
      </c>
      <c r="DK8" s="296">
        <f t="shared" ref="DK8:DK37" si="33">IF(I8=0,0,(DJ8*DI8%)/(AE8/100))</f>
        <v>0</v>
      </c>
      <c r="DM8" s="411"/>
    </row>
    <row r="9" spans="1:117" ht="16.5" customHeight="1" thickBot="1">
      <c r="A9" s="534">
        <v>3</v>
      </c>
      <c r="B9" s="103">
        <f>'[1]декабрь 20'!K8</f>
        <v>483.62700000000001</v>
      </c>
      <c r="C9" s="104">
        <f t="shared" si="0"/>
        <v>0.55127029715049003</v>
      </c>
      <c r="D9" s="448">
        <f t="shared" si="1"/>
        <v>480.96090799999996</v>
      </c>
      <c r="E9" s="104">
        <f t="shared" si="2"/>
        <v>39.185714383192</v>
      </c>
      <c r="F9" s="128">
        <f t="shared" si="3"/>
        <v>2.2192528123586901</v>
      </c>
      <c r="G9" s="106"/>
      <c r="H9" s="107">
        <f t="shared" si="4"/>
        <v>1.5449004162014011</v>
      </c>
      <c r="I9" s="103">
        <f>'[1]сентябрь 20'!AE8</f>
        <v>0</v>
      </c>
      <c r="J9" s="103">
        <f>'[1]декабрь 20'!AA8</f>
        <v>16.655000000000001</v>
      </c>
      <c r="K9" s="106">
        <v>28.97</v>
      </c>
      <c r="L9" s="103">
        <f>'[1]декабрь 20'!AI8</f>
        <v>146.14699999999999</v>
      </c>
      <c r="M9" s="103">
        <f t="shared" si="5"/>
        <v>0.67435239615728904</v>
      </c>
      <c r="N9" s="103">
        <f>'[1]август 20'!W8</f>
        <v>0</v>
      </c>
      <c r="O9" s="103">
        <f>'[1]сентябрь 20'!AM8</f>
        <v>0</v>
      </c>
      <c r="P9" s="447">
        <f t="shared" si="24"/>
        <v>0</v>
      </c>
      <c r="Q9" s="103">
        <f t="shared" si="25"/>
        <v>0</v>
      </c>
      <c r="R9" s="103">
        <f>'[1]декабрь 20'!S8</f>
        <v>305.14</v>
      </c>
      <c r="S9" s="108">
        <f t="shared" si="6"/>
        <v>2.9887920298879211</v>
      </c>
      <c r="T9" s="109">
        <f t="shared" si="7"/>
        <v>296.02</v>
      </c>
      <c r="U9" s="106">
        <v>2.23</v>
      </c>
      <c r="V9" s="109">
        <f t="shared" si="8"/>
        <v>296.02</v>
      </c>
      <c r="W9" s="110">
        <f t="shared" si="9"/>
        <v>1.3658973246832349</v>
      </c>
      <c r="X9" s="110">
        <f t="shared" si="26"/>
        <v>1.3658973246832349</v>
      </c>
      <c r="Y9" s="136">
        <v>216.72</v>
      </c>
      <c r="Z9" s="130">
        <v>216.72</v>
      </c>
      <c r="AA9" s="131">
        <v>0.35</v>
      </c>
      <c r="AB9" s="112">
        <v>611</v>
      </c>
      <c r="AC9" s="112">
        <v>1176</v>
      </c>
      <c r="AD9" s="144" t="s">
        <v>443</v>
      </c>
      <c r="AE9" s="131">
        <v>76.53</v>
      </c>
      <c r="AF9" s="133">
        <v>162</v>
      </c>
      <c r="AG9" s="134">
        <v>5</v>
      </c>
      <c r="AH9" s="131">
        <v>13.4</v>
      </c>
      <c r="AI9" s="115">
        <f t="shared" si="10"/>
        <v>61.83036332259762</v>
      </c>
      <c r="AJ9" s="131">
        <v>135.55000000000001</v>
      </c>
      <c r="AK9" s="115">
        <f t="shared" si="11"/>
        <v>625.45565286403792</v>
      </c>
      <c r="AL9" s="131">
        <v>40.72</v>
      </c>
      <c r="AM9" s="116"/>
      <c r="AN9" s="135">
        <v>14.69</v>
      </c>
      <c r="AO9" s="466">
        <f t="shared" si="27"/>
        <v>53.048000000000002</v>
      </c>
      <c r="AP9" s="110">
        <f t="shared" si="12"/>
        <v>0.19</v>
      </c>
      <c r="AQ9" s="137" t="s">
        <v>496</v>
      </c>
      <c r="AR9" s="150">
        <v>7.4</v>
      </c>
      <c r="AS9" s="131">
        <v>7.3</v>
      </c>
      <c r="AT9" s="131"/>
      <c r="AU9" s="131">
        <v>8.48</v>
      </c>
      <c r="AV9" s="315">
        <v>279.2</v>
      </c>
      <c r="AW9" s="131">
        <v>5.26</v>
      </c>
      <c r="AX9" s="116"/>
      <c r="AY9" s="131"/>
      <c r="AZ9" s="109"/>
      <c r="BA9" s="109">
        <f t="shared" si="13"/>
        <v>216.72199999999998</v>
      </c>
      <c r="BB9" s="115">
        <f t="shared" si="28"/>
        <v>214.99090004614999</v>
      </c>
      <c r="BC9" s="140">
        <f t="shared" si="14"/>
        <v>8.9042985915492974</v>
      </c>
      <c r="BD9" s="141">
        <f t="shared" si="15"/>
        <v>8.6688799999999997</v>
      </c>
      <c r="BE9" s="128">
        <f t="shared" si="16"/>
        <v>0.88002936849599978</v>
      </c>
      <c r="BF9" s="141">
        <f t="shared" si="17"/>
        <v>17.573178591549297</v>
      </c>
      <c r="BG9" s="535">
        <v>0.878</v>
      </c>
      <c r="BH9" s="16">
        <f t="shared" si="29"/>
        <v>549.06200000000001</v>
      </c>
      <c r="BI9" s="16">
        <f t="shared" si="18"/>
        <v>225.16129032258064</v>
      </c>
      <c r="BJ9" s="16">
        <f t="shared" si="30"/>
        <v>675.48387096774195</v>
      </c>
      <c r="BK9" s="17">
        <f t="shared" si="19"/>
        <v>1</v>
      </c>
      <c r="BL9" s="16">
        <f t="shared" si="31"/>
        <v>675.48387096774195</v>
      </c>
      <c r="BM9" s="249">
        <v>337.48</v>
      </c>
      <c r="BN9" s="195">
        <v>49.588999999999999</v>
      </c>
      <c r="BO9" s="197">
        <v>96.558000000000007</v>
      </c>
      <c r="BP9" s="197"/>
      <c r="BQ9" s="230"/>
      <c r="BR9" s="230"/>
      <c r="BS9" s="250"/>
      <c r="BT9" s="199"/>
      <c r="BU9" s="200">
        <v>0.79</v>
      </c>
      <c r="BV9" s="200"/>
      <c r="BW9" s="200"/>
      <c r="BX9" s="200"/>
      <c r="BY9" s="208"/>
      <c r="BZ9" s="208"/>
      <c r="CA9" s="201"/>
      <c r="CB9" s="202">
        <v>37.33</v>
      </c>
      <c r="CC9" s="200">
        <v>43.57</v>
      </c>
      <c r="CD9" s="200">
        <v>43.42</v>
      </c>
      <c r="CE9" s="200"/>
      <c r="CF9" s="200"/>
      <c r="CG9" s="200"/>
      <c r="CH9" s="200"/>
      <c r="CI9" s="203"/>
      <c r="CJ9" s="204"/>
      <c r="CK9" s="197"/>
      <c r="CL9" s="197">
        <v>138.46</v>
      </c>
      <c r="CM9" s="198">
        <v>157.56</v>
      </c>
      <c r="CN9" s="202"/>
      <c r="CO9" s="208"/>
      <c r="CP9" s="208"/>
      <c r="CQ9" s="201"/>
      <c r="CR9" s="201"/>
      <c r="CS9" s="284"/>
      <c r="CT9" s="286">
        <f t="shared" si="20"/>
        <v>334.81390800000003</v>
      </c>
      <c r="CU9" s="27">
        <f t="shared" si="20"/>
        <v>49.588999999999999</v>
      </c>
      <c r="CV9" s="28">
        <f t="shared" si="20"/>
        <v>96.558000000000007</v>
      </c>
      <c r="CW9" s="27">
        <f t="shared" si="20"/>
        <v>0</v>
      </c>
      <c r="CX9" s="27">
        <f t="shared" si="20"/>
        <v>0</v>
      </c>
      <c r="CY9" s="237">
        <f t="shared" si="20"/>
        <v>0</v>
      </c>
      <c r="CZ9" s="281">
        <f t="shared" si="20"/>
        <v>0</v>
      </c>
      <c r="DA9" s="237">
        <f t="shared" si="21"/>
        <v>0</v>
      </c>
      <c r="DB9" s="26">
        <f t="shared" si="21"/>
        <v>0</v>
      </c>
      <c r="DC9" s="277">
        <f t="shared" si="21"/>
        <v>138.46</v>
      </c>
      <c r="DD9" s="280">
        <f t="shared" si="21"/>
        <v>157.56</v>
      </c>
      <c r="DE9" s="508">
        <f t="shared" si="32"/>
        <v>0</v>
      </c>
      <c r="DF9" s="247"/>
      <c r="DG9" s="293">
        <f t="shared" si="22"/>
        <v>0</v>
      </c>
      <c r="DH9" s="294"/>
      <c r="DI9" s="294"/>
      <c r="DJ9" s="295">
        <f t="shared" si="23"/>
        <v>0</v>
      </c>
      <c r="DK9" s="296">
        <f t="shared" si="33"/>
        <v>0</v>
      </c>
      <c r="DM9" s="411"/>
    </row>
    <row r="10" spans="1:117" ht="16.5" customHeight="1" thickBot="1">
      <c r="A10" s="534">
        <v>4</v>
      </c>
      <c r="B10" s="103">
        <f>'[1]декабрь 20'!K9</f>
        <v>501.23500000000001</v>
      </c>
      <c r="C10" s="104">
        <f t="shared" si="0"/>
        <v>0.87464470757229629</v>
      </c>
      <c r="D10" s="448">
        <f t="shared" si="1"/>
        <v>496.85097459999997</v>
      </c>
      <c r="E10" s="104">
        <f t="shared" si="2"/>
        <v>39.480770157710452</v>
      </c>
      <c r="F10" s="128">
        <f t="shared" si="3"/>
        <v>2.0803802526515009</v>
      </c>
      <c r="G10" s="106"/>
      <c r="H10" s="107">
        <f t="shared" si="4"/>
        <v>1.3118239336423436</v>
      </c>
      <c r="I10" s="103">
        <f>'[1]сентябрь 20'!AE9</f>
        <v>0</v>
      </c>
      <c r="J10" s="103">
        <f>'[1]декабрь 20'!AA9</f>
        <v>15.167999999999999</v>
      </c>
      <c r="K10" s="106">
        <v>27.59</v>
      </c>
      <c r="L10" s="103">
        <f>'[1]декабрь 20'!AI9</f>
        <v>183.55199999999999</v>
      </c>
      <c r="M10" s="103">
        <f t="shared" si="5"/>
        <v>0.76855631900915722</v>
      </c>
      <c r="N10" s="103">
        <f>'[1]август 20'!W9</f>
        <v>0</v>
      </c>
      <c r="O10" s="103">
        <f>'[1]сентябрь 20'!AM9</f>
        <v>0</v>
      </c>
      <c r="P10" s="447">
        <f t="shared" si="24"/>
        <v>0</v>
      </c>
      <c r="Q10" s="103">
        <f t="shared" si="25"/>
        <v>0</v>
      </c>
      <c r="R10" s="103">
        <f>'[1]декабрь 20'!S9</f>
        <v>314.80099999999999</v>
      </c>
      <c r="S10" s="108">
        <f t="shared" si="6"/>
        <v>3.1038656166911816</v>
      </c>
      <c r="T10" s="109">
        <f t="shared" si="7"/>
        <v>305.02999999999997</v>
      </c>
      <c r="U10" s="106">
        <v>59.86</v>
      </c>
      <c r="V10" s="109">
        <f t="shared" si="8"/>
        <v>305.02999999999997</v>
      </c>
      <c r="W10" s="110">
        <f t="shared" si="9"/>
        <v>1.2772006515176255</v>
      </c>
      <c r="X10" s="110">
        <f t="shared" si="26"/>
        <v>1.2772006515176255</v>
      </c>
      <c r="Y10" s="136">
        <v>90.27</v>
      </c>
      <c r="Z10" s="130">
        <v>238.83</v>
      </c>
      <c r="AA10" s="131">
        <v>0.37</v>
      </c>
      <c r="AB10" s="112">
        <v>667</v>
      </c>
      <c r="AC10" s="112">
        <v>1193</v>
      </c>
      <c r="AD10" s="144" t="s">
        <v>184</v>
      </c>
      <c r="AE10" s="131">
        <v>74.53</v>
      </c>
      <c r="AF10" s="133">
        <v>167</v>
      </c>
      <c r="AG10" s="134">
        <v>5</v>
      </c>
      <c r="AH10" s="131">
        <v>11.9</v>
      </c>
      <c r="AI10" s="115">
        <f t="shared" si="10"/>
        <v>49.826862121954392</v>
      </c>
      <c r="AJ10" s="131">
        <v>147.30000000000001</v>
      </c>
      <c r="AK10" s="115">
        <f t="shared" si="11"/>
        <v>616.76443618183873</v>
      </c>
      <c r="AL10" s="131">
        <v>35.21</v>
      </c>
      <c r="AM10" s="116"/>
      <c r="AN10" s="135">
        <v>15.16</v>
      </c>
      <c r="AO10" s="466">
        <f t="shared" si="27"/>
        <v>58.652999999999999</v>
      </c>
      <c r="AP10" s="110">
        <f t="shared" si="12"/>
        <v>0.19</v>
      </c>
      <c r="AQ10" s="137" t="s">
        <v>228</v>
      </c>
      <c r="AR10" s="150">
        <v>7.69</v>
      </c>
      <c r="AS10" s="138">
        <v>7.19</v>
      </c>
      <c r="AT10" s="131"/>
      <c r="AU10" s="131">
        <v>7.56</v>
      </c>
      <c r="AV10" s="315">
        <v>308.7</v>
      </c>
      <c r="AW10" s="131">
        <v>3.94</v>
      </c>
      <c r="AX10" s="116"/>
      <c r="AY10" s="131"/>
      <c r="AZ10" s="109"/>
      <c r="BA10" s="109">
        <f t="shared" si="13"/>
        <v>238.827</v>
      </c>
      <c r="BB10" s="115">
        <f>IF(AE10=0,0,((D10*0.97)*(E10/100)*0.9)/(AE10/100))</f>
        <v>229.77082545556519</v>
      </c>
      <c r="BC10" s="140">
        <f t="shared" si="14"/>
        <v>8.626385915492957</v>
      </c>
      <c r="BD10" s="141">
        <f t="shared" si="15"/>
        <v>9.5530799999999996</v>
      </c>
      <c r="BE10" s="128">
        <f t="shared" si="16"/>
        <v>0.90740837348090819</v>
      </c>
      <c r="BF10" s="141">
        <f t="shared" si="17"/>
        <v>18.179465915492955</v>
      </c>
      <c r="BG10" s="535">
        <v>0.88700000000000001</v>
      </c>
      <c r="BH10" s="16">
        <f t="shared" si="29"/>
        <v>787.88900000000001</v>
      </c>
      <c r="BI10" s="16">
        <f t="shared" si="18"/>
        <v>225.16129032258064</v>
      </c>
      <c r="BJ10" s="16">
        <f t="shared" si="30"/>
        <v>900.64516129032256</v>
      </c>
      <c r="BK10" s="17">
        <f t="shared" si="19"/>
        <v>1</v>
      </c>
      <c r="BL10" s="16">
        <f t="shared" si="31"/>
        <v>900.64516129032256</v>
      </c>
      <c r="BM10" s="249">
        <v>317.68299999999999</v>
      </c>
      <c r="BN10" s="195">
        <v>83.522999999999996</v>
      </c>
      <c r="BO10" s="197">
        <v>100.029</v>
      </c>
      <c r="BP10" s="195"/>
      <c r="BQ10" s="195"/>
      <c r="BR10" s="230"/>
      <c r="BS10" s="250"/>
      <c r="BT10" s="199"/>
      <c r="BU10" s="200">
        <v>1.38</v>
      </c>
      <c r="BV10" s="200"/>
      <c r="BW10" s="200"/>
      <c r="BX10" s="200"/>
      <c r="BY10" s="208"/>
      <c r="BZ10" s="208"/>
      <c r="CA10" s="201"/>
      <c r="CB10" s="202">
        <v>36.86</v>
      </c>
      <c r="CC10" s="200">
        <v>44.36</v>
      </c>
      <c r="CD10" s="200">
        <v>43.73</v>
      </c>
      <c r="CE10" s="200"/>
      <c r="CF10" s="200"/>
      <c r="CG10" s="200"/>
      <c r="CH10" s="200"/>
      <c r="CI10" s="203"/>
      <c r="CJ10" s="204"/>
      <c r="CK10" s="197"/>
      <c r="CL10" s="197">
        <v>143.62</v>
      </c>
      <c r="CM10" s="198">
        <v>161.41</v>
      </c>
      <c r="CN10" s="202"/>
      <c r="CO10" s="208"/>
      <c r="CP10" s="208"/>
      <c r="CQ10" s="201"/>
      <c r="CR10" s="201"/>
      <c r="CS10" s="284"/>
      <c r="CT10" s="286">
        <f t="shared" si="20"/>
        <v>313.29897460000001</v>
      </c>
      <c r="CU10" s="29">
        <f t="shared" si="20"/>
        <v>83.522999999999996</v>
      </c>
      <c r="CV10" s="30">
        <f t="shared" si="20"/>
        <v>100.029</v>
      </c>
      <c r="CW10" s="29">
        <f t="shared" si="20"/>
        <v>0</v>
      </c>
      <c r="CX10" s="27">
        <f t="shared" si="20"/>
        <v>0</v>
      </c>
      <c r="CY10" s="24">
        <f t="shared" si="20"/>
        <v>0</v>
      </c>
      <c r="CZ10" s="282">
        <f t="shared" si="20"/>
        <v>0</v>
      </c>
      <c r="DA10" s="237">
        <f t="shared" si="21"/>
        <v>0</v>
      </c>
      <c r="DB10" s="26">
        <f t="shared" si="21"/>
        <v>0</v>
      </c>
      <c r="DC10" s="277">
        <f t="shared" si="21"/>
        <v>143.62</v>
      </c>
      <c r="DD10" s="280">
        <f t="shared" si="21"/>
        <v>161.41</v>
      </c>
      <c r="DE10" s="508">
        <f t="shared" si="32"/>
        <v>0</v>
      </c>
      <c r="DF10" s="247"/>
      <c r="DG10" s="293">
        <f t="shared" si="22"/>
        <v>0</v>
      </c>
      <c r="DH10" s="294"/>
      <c r="DI10" s="294"/>
      <c r="DJ10" s="295">
        <f t="shared" si="23"/>
        <v>0</v>
      </c>
      <c r="DK10" s="296">
        <f t="shared" si="33"/>
        <v>0</v>
      </c>
      <c r="DM10" s="411"/>
    </row>
    <row r="11" spans="1:117" ht="16.5" customHeight="1" thickBot="1">
      <c r="A11" s="534">
        <v>5</v>
      </c>
      <c r="B11" s="103">
        <f>'[1]декабрь 20'!K10</f>
        <v>504.40699999999998</v>
      </c>
      <c r="C11" s="104">
        <f t="shared" si="0"/>
        <v>0.99140440160426013</v>
      </c>
      <c r="D11" s="448">
        <f t="shared" si="1"/>
        <v>499.40628679999998</v>
      </c>
      <c r="E11" s="104">
        <f t="shared" si="2"/>
        <v>39.16645851465185</v>
      </c>
      <c r="F11" s="128">
        <f t="shared" si="3"/>
        <v>2.1314094559298016</v>
      </c>
      <c r="G11" s="106"/>
      <c r="H11" s="107">
        <f>IF(BA11=0,0,(CZ11+CW11+CY11+CT11+CX11)/BA11)</f>
        <v>1.2960944005326323</v>
      </c>
      <c r="I11" s="103">
        <f>'[1]сентябрь 20'!AE10</f>
        <v>0</v>
      </c>
      <c r="J11" s="103">
        <f>'[1]декабрь 20'!AA10</f>
        <v>16.815000000000001</v>
      </c>
      <c r="K11" s="106">
        <v>22.58</v>
      </c>
      <c r="L11" s="103">
        <f>'[1]декабрь 20'!AI10</f>
        <v>195.721</v>
      </c>
      <c r="M11" s="103">
        <f t="shared" si="5"/>
        <v>0.83531505539716955</v>
      </c>
      <c r="N11" s="103">
        <f>'[1]август 20'!W10</f>
        <v>0</v>
      </c>
      <c r="O11" s="103">
        <f>'[1]сентябрь 20'!AM10</f>
        <v>0</v>
      </c>
      <c r="P11" s="447">
        <f t="shared" si="24"/>
        <v>0</v>
      </c>
      <c r="Q11" s="103">
        <f t="shared" si="25"/>
        <v>0</v>
      </c>
      <c r="R11" s="103">
        <f>'[1]декабрь 20'!S10</f>
        <v>324.52699999999999</v>
      </c>
      <c r="S11" s="108">
        <f t="shared" si="6"/>
        <v>3.2068210041075074</v>
      </c>
      <c r="T11" s="109">
        <f t="shared" si="7"/>
        <v>314.12</v>
      </c>
      <c r="U11" s="106"/>
      <c r="V11" s="109">
        <f t="shared" si="8"/>
        <v>314.12</v>
      </c>
      <c r="W11" s="110">
        <f t="shared" si="9"/>
        <v>1.3406285743551223</v>
      </c>
      <c r="X11" s="110">
        <f t="shared" si="26"/>
        <v>1.3406285743551223</v>
      </c>
      <c r="Y11" s="136">
        <v>50.92</v>
      </c>
      <c r="Z11" s="130">
        <v>234.31</v>
      </c>
      <c r="AA11" s="131">
        <v>0.33</v>
      </c>
      <c r="AB11" s="112">
        <v>643</v>
      </c>
      <c r="AC11" s="112">
        <v>1217</v>
      </c>
      <c r="AD11" s="144" t="s">
        <v>497</v>
      </c>
      <c r="AE11" s="131">
        <v>74.41</v>
      </c>
      <c r="AF11" s="133">
        <v>169</v>
      </c>
      <c r="AG11" s="134">
        <v>5</v>
      </c>
      <c r="AH11" s="131">
        <v>7.25</v>
      </c>
      <c r="AI11" s="115">
        <f t="shared" si="10"/>
        <v>30.942178670809362</v>
      </c>
      <c r="AJ11" s="131">
        <v>145</v>
      </c>
      <c r="AK11" s="115">
        <f t="shared" si="11"/>
        <v>618.84357341618727</v>
      </c>
      <c r="AL11" s="131">
        <v>38.19</v>
      </c>
      <c r="AM11" s="116"/>
      <c r="AN11" s="135">
        <v>18.3</v>
      </c>
      <c r="AO11" s="466">
        <f t="shared" si="27"/>
        <v>58.102000000000004</v>
      </c>
      <c r="AP11" s="110">
        <f t="shared" si="12"/>
        <v>0.19</v>
      </c>
      <c r="AQ11" s="137" t="s">
        <v>270</v>
      </c>
      <c r="AR11" s="150">
        <v>7.59</v>
      </c>
      <c r="AS11" s="138">
        <v>6.83</v>
      </c>
      <c r="AT11" s="131"/>
      <c r="AU11" s="131">
        <v>8.64</v>
      </c>
      <c r="AV11" s="315">
        <v>305.8</v>
      </c>
      <c r="AW11" s="131">
        <v>4.91</v>
      </c>
      <c r="AX11" s="145"/>
      <c r="AY11" s="131"/>
      <c r="AZ11" s="109"/>
      <c r="BA11" s="109">
        <f t="shared" si="13"/>
        <v>234.30799999999999</v>
      </c>
      <c r="BB11" s="115">
        <f t="shared" si="28"/>
        <v>229.48338544472711</v>
      </c>
      <c r="BC11" s="140">
        <f t="shared" si="14"/>
        <v>9.704788732394368</v>
      </c>
      <c r="BD11" s="141">
        <f t="shared" si="15"/>
        <v>9.3723200000000002</v>
      </c>
      <c r="BE11" s="128">
        <f t="shared" si="16"/>
        <v>0.89135378408153976</v>
      </c>
      <c r="BF11" s="141">
        <f t="shared" si="17"/>
        <v>19.077108732394368</v>
      </c>
      <c r="BG11" s="535">
        <v>0.88800000000000001</v>
      </c>
      <c r="BH11" s="16">
        <f t="shared" si="29"/>
        <v>1022.197</v>
      </c>
      <c r="BI11" s="16">
        <f t="shared" si="18"/>
        <v>225.16129032258064</v>
      </c>
      <c r="BJ11" s="16">
        <f t="shared" si="30"/>
        <v>1125.8064516129032</v>
      </c>
      <c r="BK11" s="17">
        <f t="shared" si="19"/>
        <v>1</v>
      </c>
      <c r="BL11" s="16">
        <f t="shared" si="31"/>
        <v>1125.8064516129032</v>
      </c>
      <c r="BM11" s="249">
        <v>308.68599999999998</v>
      </c>
      <c r="BN11" s="195">
        <v>94.846999999999994</v>
      </c>
      <c r="BO11" s="197">
        <v>100.874</v>
      </c>
      <c r="BP11" s="197"/>
      <c r="BQ11" s="230"/>
      <c r="BR11" s="230"/>
      <c r="BS11" s="250"/>
      <c r="BT11" s="199"/>
      <c r="BU11" s="200">
        <v>1.62</v>
      </c>
      <c r="BV11" s="200"/>
      <c r="BW11" s="200"/>
      <c r="BX11" s="200"/>
      <c r="BY11" s="208"/>
      <c r="BZ11" s="208"/>
      <c r="CA11" s="201"/>
      <c r="CB11" s="202">
        <v>36.229999999999997</v>
      </c>
      <c r="CC11" s="200">
        <v>44.04</v>
      </c>
      <c r="CD11" s="200">
        <v>43.57</v>
      </c>
      <c r="CE11" s="200"/>
      <c r="CF11" s="200"/>
      <c r="CG11" s="200"/>
      <c r="CH11" s="200"/>
      <c r="CI11" s="203"/>
      <c r="CJ11" s="204"/>
      <c r="CK11" s="197"/>
      <c r="CL11" s="230">
        <v>144.47999999999999</v>
      </c>
      <c r="CM11" s="198">
        <v>169.64</v>
      </c>
      <c r="CN11" s="202"/>
      <c r="CO11" s="208"/>
      <c r="CP11" s="208"/>
      <c r="CQ11" s="201"/>
      <c r="CR11" s="201"/>
      <c r="CS11" s="284"/>
      <c r="CT11" s="286">
        <f t="shared" si="20"/>
        <v>303.68528679999997</v>
      </c>
      <c r="CU11" s="24">
        <f t="shared" si="20"/>
        <v>94.846999999999994</v>
      </c>
      <c r="CV11" s="25">
        <f t="shared" si="20"/>
        <v>100.874</v>
      </c>
      <c r="CW11" s="24">
        <f t="shared" si="20"/>
        <v>0</v>
      </c>
      <c r="CX11" s="27">
        <f t="shared" si="20"/>
        <v>0</v>
      </c>
      <c r="CY11" s="24">
        <f t="shared" si="20"/>
        <v>0</v>
      </c>
      <c r="CZ11" s="280">
        <f t="shared" si="20"/>
        <v>0</v>
      </c>
      <c r="DA11" s="237">
        <f t="shared" si="21"/>
        <v>0</v>
      </c>
      <c r="DB11" s="26">
        <f t="shared" si="21"/>
        <v>0</v>
      </c>
      <c r="DC11" s="277">
        <f t="shared" si="21"/>
        <v>144.47999999999999</v>
      </c>
      <c r="DD11" s="280">
        <f t="shared" si="21"/>
        <v>169.64</v>
      </c>
      <c r="DE11" s="508">
        <f t="shared" si="32"/>
        <v>0</v>
      </c>
      <c r="DF11" s="247"/>
      <c r="DG11" s="293">
        <f t="shared" si="22"/>
        <v>0</v>
      </c>
      <c r="DH11" s="294"/>
      <c r="DI11" s="294"/>
      <c r="DJ11" s="295">
        <f t="shared" si="23"/>
        <v>0</v>
      </c>
      <c r="DK11" s="296">
        <f t="shared" si="33"/>
        <v>0</v>
      </c>
      <c r="DM11" s="411"/>
    </row>
    <row r="12" spans="1:117" ht="16.5" customHeight="1" thickBot="1">
      <c r="A12" s="534">
        <v>6</v>
      </c>
      <c r="B12" s="103">
        <f>'[1]декабрь 20'!K11</f>
        <v>495.31400000000002</v>
      </c>
      <c r="C12" s="104">
        <f t="shared" si="0"/>
        <v>0.85388811945553722</v>
      </c>
      <c r="D12" s="448">
        <f t="shared" si="1"/>
        <v>491.0845726</v>
      </c>
      <c r="E12" s="104">
        <f t="shared" si="2"/>
        <v>39.131021917409967</v>
      </c>
      <c r="F12" s="128">
        <f t="shared" si="3"/>
        <v>2.0763446248425041</v>
      </c>
      <c r="G12" s="106"/>
      <c r="H12" s="107">
        <f t="shared" si="4"/>
        <v>1.2414384459270909</v>
      </c>
      <c r="I12" s="103">
        <f>'[1]сентябрь 20'!AE11</f>
        <v>0</v>
      </c>
      <c r="J12" s="103">
        <f>'[1]декабрь 20'!AA11</f>
        <v>15.061999999999999</v>
      </c>
      <c r="K12" s="106">
        <v>65.05</v>
      </c>
      <c r="L12" s="103">
        <f>'[1]декабрь 20'!AI11</f>
        <v>197.46700000000001</v>
      </c>
      <c r="M12" s="103">
        <f t="shared" si="5"/>
        <v>0.83490617891541308</v>
      </c>
      <c r="N12" s="103">
        <f>'[1]август 20'!W11</f>
        <v>0</v>
      </c>
      <c r="O12" s="103">
        <f>'[1]сентябрь 20'!AM11</f>
        <v>0</v>
      </c>
      <c r="P12" s="447">
        <f t="shared" si="24"/>
        <v>0</v>
      </c>
      <c r="Q12" s="103">
        <f t="shared" si="25"/>
        <v>0</v>
      </c>
      <c r="R12" s="103">
        <f>'[1]декабрь 20'!S11</f>
        <v>318.71800000000002</v>
      </c>
      <c r="S12" s="108">
        <f t="shared" si="6"/>
        <v>3.2310694720725119</v>
      </c>
      <c r="T12" s="109">
        <f t="shared" si="7"/>
        <v>308.41999999999996</v>
      </c>
      <c r="U12" s="106"/>
      <c r="V12" s="109">
        <f t="shared" si="8"/>
        <v>308.41999999999996</v>
      </c>
      <c r="W12" s="110">
        <f t="shared" si="9"/>
        <v>1.3040242860887727</v>
      </c>
      <c r="X12" s="110">
        <f t="shared" si="26"/>
        <v>1.3040242860887727</v>
      </c>
      <c r="Y12" s="136"/>
      <c r="Z12" s="130">
        <v>236.51</v>
      </c>
      <c r="AA12" s="131">
        <v>0.33</v>
      </c>
      <c r="AB12" s="112">
        <v>654</v>
      </c>
      <c r="AC12" s="133">
        <v>1201</v>
      </c>
      <c r="AD12" s="144" t="s">
        <v>498</v>
      </c>
      <c r="AE12" s="131">
        <v>73.3</v>
      </c>
      <c r="AF12" s="133">
        <v>165</v>
      </c>
      <c r="AG12" s="134">
        <v>5</v>
      </c>
      <c r="AH12" s="131">
        <v>11.15</v>
      </c>
      <c r="AI12" s="115">
        <f t="shared" si="10"/>
        <v>47.143086667174039</v>
      </c>
      <c r="AJ12" s="131">
        <v>144.65</v>
      </c>
      <c r="AK12" s="115">
        <f t="shared" si="11"/>
        <v>611.59170281674665</v>
      </c>
      <c r="AL12" s="131">
        <v>40.15</v>
      </c>
      <c r="AM12" s="116"/>
      <c r="AN12" s="135">
        <v>18.649999999999999</v>
      </c>
      <c r="AO12" s="466">
        <f t="shared" si="27"/>
        <v>58.785999999999994</v>
      </c>
      <c r="AP12" s="110">
        <f t="shared" si="12"/>
        <v>0.19</v>
      </c>
      <c r="AQ12" s="137" t="s">
        <v>194</v>
      </c>
      <c r="AR12" s="150">
        <v>7.25</v>
      </c>
      <c r="AS12" s="138">
        <v>6.8</v>
      </c>
      <c r="AT12" s="131"/>
      <c r="AU12" s="131">
        <v>9.5399999999999991</v>
      </c>
      <c r="AV12" s="315">
        <v>309.39999999999998</v>
      </c>
      <c r="AW12" s="131">
        <v>4.55</v>
      </c>
      <c r="AX12" s="116"/>
      <c r="AY12" s="131"/>
      <c r="AZ12" s="109"/>
      <c r="BA12" s="109">
        <f t="shared" si="13"/>
        <v>236.51399999999998</v>
      </c>
      <c r="BB12" s="115">
        <f t="shared" si="28"/>
        <v>228.86940988609848</v>
      </c>
      <c r="BC12" s="140">
        <f t="shared" si="14"/>
        <v>10.689838732394366</v>
      </c>
      <c r="BD12" s="141">
        <f t="shared" si="15"/>
        <v>9.4605599999999992</v>
      </c>
      <c r="BE12" s="128">
        <f t="shared" si="16"/>
        <v>0.90215954199714732</v>
      </c>
      <c r="BF12" s="141">
        <f t="shared" si="17"/>
        <v>20.150398732394365</v>
      </c>
      <c r="BG12" s="535">
        <v>0.89</v>
      </c>
      <c r="BH12" s="16">
        <f t="shared" si="29"/>
        <v>1258.711</v>
      </c>
      <c r="BI12" s="16">
        <f t="shared" si="18"/>
        <v>225.16129032258064</v>
      </c>
      <c r="BJ12" s="16">
        <f t="shared" si="30"/>
        <v>1350.9677419354839</v>
      </c>
      <c r="BK12" s="17">
        <f t="shared" si="19"/>
        <v>1</v>
      </c>
      <c r="BL12" s="16">
        <f t="shared" si="31"/>
        <v>1350.9677419354839</v>
      </c>
      <c r="BM12" s="249">
        <v>297.84699999999998</v>
      </c>
      <c r="BN12" s="195">
        <v>98.516999999999996</v>
      </c>
      <c r="BO12" s="271">
        <v>98.95</v>
      </c>
      <c r="BP12" s="197"/>
      <c r="BQ12" s="230"/>
      <c r="BR12" s="230"/>
      <c r="BS12" s="250"/>
      <c r="BT12" s="199"/>
      <c r="BU12" s="200">
        <v>1.42</v>
      </c>
      <c r="BV12" s="200"/>
      <c r="BW12" s="200"/>
      <c r="BX12" s="200"/>
      <c r="BY12" s="208"/>
      <c r="BZ12" s="208"/>
      <c r="CA12" s="201"/>
      <c r="CB12" s="202">
        <v>35.85</v>
      </c>
      <c r="CC12" s="200">
        <v>44.12</v>
      </c>
      <c r="CD12" s="200">
        <v>44.04</v>
      </c>
      <c r="CE12" s="200"/>
      <c r="CF12" s="200"/>
      <c r="CG12" s="200"/>
      <c r="CH12" s="200"/>
      <c r="CI12" s="203"/>
      <c r="CJ12" s="204"/>
      <c r="CK12" s="197"/>
      <c r="CL12" s="230">
        <v>142.76</v>
      </c>
      <c r="CM12" s="198">
        <v>165.66</v>
      </c>
      <c r="CN12" s="202"/>
      <c r="CO12" s="202"/>
      <c r="CP12" s="270"/>
      <c r="CQ12" s="201"/>
      <c r="CR12" s="201"/>
      <c r="CS12" s="284"/>
      <c r="CT12" s="286">
        <f t="shared" si="20"/>
        <v>293.61757259999996</v>
      </c>
      <c r="CU12" s="24">
        <f t="shared" si="20"/>
        <v>98.516999999999996</v>
      </c>
      <c r="CV12" s="25">
        <f t="shared" si="20"/>
        <v>98.95</v>
      </c>
      <c r="CW12" s="24">
        <f t="shared" si="20"/>
        <v>0</v>
      </c>
      <c r="CX12" s="27">
        <f t="shared" si="20"/>
        <v>0</v>
      </c>
      <c r="CY12" s="30">
        <f t="shared" si="20"/>
        <v>0</v>
      </c>
      <c r="CZ12" s="280">
        <f t="shared" si="20"/>
        <v>0</v>
      </c>
      <c r="DA12" s="237">
        <f t="shared" si="21"/>
        <v>0</v>
      </c>
      <c r="DB12" s="26">
        <f t="shared" si="21"/>
        <v>0</v>
      </c>
      <c r="DC12" s="277">
        <f t="shared" si="21"/>
        <v>142.76</v>
      </c>
      <c r="DD12" s="280">
        <f t="shared" si="21"/>
        <v>165.66</v>
      </c>
      <c r="DE12" s="508">
        <f t="shared" si="32"/>
        <v>0</v>
      </c>
      <c r="DF12" s="247"/>
      <c r="DG12" s="293">
        <f t="shared" si="22"/>
        <v>0</v>
      </c>
      <c r="DH12" s="294"/>
      <c r="DI12" s="294"/>
      <c r="DJ12" s="295">
        <f t="shared" si="23"/>
        <v>0</v>
      </c>
      <c r="DK12" s="296">
        <f t="shared" si="33"/>
        <v>0</v>
      </c>
      <c r="DM12" s="411"/>
    </row>
    <row r="13" spans="1:117" ht="16.5" customHeight="1" thickBot="1">
      <c r="A13" s="534">
        <v>7</v>
      </c>
      <c r="B13" s="103">
        <f>'[1]декабрь 20'!K12</f>
        <v>500.91300000000001</v>
      </c>
      <c r="C13" s="104">
        <f t="shared" si="0"/>
        <v>1.0548982158578433</v>
      </c>
      <c r="D13" s="448">
        <f t="shared" si="1"/>
        <v>495.62887769999998</v>
      </c>
      <c r="E13" s="104">
        <f t="shared" si="2"/>
        <v>39.130683631688534</v>
      </c>
      <c r="F13" s="128">
        <f t="shared" si="3"/>
        <v>2.1332234834594423</v>
      </c>
      <c r="G13" s="106"/>
      <c r="H13" s="107">
        <f t="shared" si="4"/>
        <v>1.3072716374420024</v>
      </c>
      <c r="I13" s="103">
        <f>'[1]сентябрь 20'!AE12</f>
        <v>0</v>
      </c>
      <c r="J13" s="103">
        <f>'[1]декабрь 20'!AA12</f>
        <v>13.145</v>
      </c>
      <c r="K13" s="106">
        <v>50.1</v>
      </c>
      <c r="L13" s="103">
        <f>'[1]декабрь 20'!AI12</f>
        <v>191.9</v>
      </c>
      <c r="M13" s="103">
        <f t="shared" si="5"/>
        <v>0.82595184601743998</v>
      </c>
      <c r="N13" s="103">
        <f>'[1]август 20'!W12</f>
        <v>0</v>
      </c>
      <c r="O13" s="103">
        <f>'[1]сентябрь 20'!AM12</f>
        <v>0</v>
      </c>
      <c r="P13" s="447">
        <f t="shared" si="24"/>
        <v>0</v>
      </c>
      <c r="Q13" s="103">
        <f t="shared" si="25"/>
        <v>0</v>
      </c>
      <c r="R13" s="103">
        <f>'[1]декабрь 20'!S12</f>
        <v>322.80799999999999</v>
      </c>
      <c r="S13" s="108">
        <f t="shared" si="6"/>
        <v>3.1684468786399189</v>
      </c>
      <c r="T13" s="109">
        <f t="shared" si="7"/>
        <v>312.5800000000001</v>
      </c>
      <c r="U13" s="106">
        <v>20.21</v>
      </c>
      <c r="V13" s="109">
        <f t="shared" si="8"/>
        <v>312.58000000000004</v>
      </c>
      <c r="W13" s="110">
        <f t="shared" si="9"/>
        <v>1.3453675248990697</v>
      </c>
      <c r="X13" s="110">
        <f t="shared" si="26"/>
        <v>1.3453675248990697</v>
      </c>
      <c r="Y13" s="136">
        <v>101.7</v>
      </c>
      <c r="Z13" s="130">
        <v>188.66</v>
      </c>
      <c r="AA13" s="131">
        <v>0.77</v>
      </c>
      <c r="AB13" s="146">
        <v>613</v>
      </c>
      <c r="AC13" s="147">
        <v>1214</v>
      </c>
      <c r="AD13" s="144" t="s">
        <v>463</v>
      </c>
      <c r="AE13" s="131">
        <v>74.64</v>
      </c>
      <c r="AF13" s="133">
        <v>167</v>
      </c>
      <c r="AG13" s="134">
        <v>5</v>
      </c>
      <c r="AH13" s="131">
        <v>11.95</v>
      </c>
      <c r="AI13" s="115">
        <f t="shared" si="10"/>
        <v>51.433687128235583</v>
      </c>
      <c r="AJ13" s="131">
        <v>129.35</v>
      </c>
      <c r="AK13" s="115">
        <f t="shared" si="11"/>
        <v>556.73200251357923</v>
      </c>
      <c r="AL13" s="131">
        <v>38.520000000000003</v>
      </c>
      <c r="AM13" s="116"/>
      <c r="AN13" s="135">
        <v>18.760000000000002</v>
      </c>
      <c r="AO13" s="466">
        <f t="shared" si="27"/>
        <v>57.722000000000001</v>
      </c>
      <c r="AP13" s="110">
        <f t="shared" si="12"/>
        <v>0.19</v>
      </c>
      <c r="AQ13" s="137" t="s">
        <v>209</v>
      </c>
      <c r="AR13" s="150">
        <v>7.87</v>
      </c>
      <c r="AS13" s="138">
        <v>6.92</v>
      </c>
      <c r="AT13" s="131"/>
      <c r="AU13" s="131">
        <v>8.1300000000000008</v>
      </c>
      <c r="AV13" s="315">
        <v>303.8</v>
      </c>
      <c r="AW13" s="131">
        <v>5.0199999999999996</v>
      </c>
      <c r="AX13" s="148"/>
      <c r="AY13" s="149"/>
      <c r="AZ13" s="109"/>
      <c r="BA13" s="109">
        <f t="shared" si="13"/>
        <v>232.33800000000002</v>
      </c>
      <c r="BB13" s="115">
        <f t="shared" si="28"/>
        <v>226.83843940089213</v>
      </c>
      <c r="BC13" s="140">
        <f t="shared" si="14"/>
        <v>8.1463172535211275</v>
      </c>
      <c r="BD13" s="141">
        <f t="shared" si="15"/>
        <v>9.2935200000000009</v>
      </c>
      <c r="BE13" s="128">
        <f t="shared" si="16"/>
        <v>0.89416535634657657</v>
      </c>
      <c r="BF13" s="141">
        <f t="shared" si="17"/>
        <v>17.439837253521127</v>
      </c>
      <c r="BG13" s="535">
        <v>0.89100000000000001</v>
      </c>
      <c r="BH13" s="16">
        <f t="shared" si="29"/>
        <v>1491.049</v>
      </c>
      <c r="BI13" s="16">
        <f t="shared" si="18"/>
        <v>225.16129032258064</v>
      </c>
      <c r="BJ13" s="16">
        <f t="shared" si="30"/>
        <v>1576.1290322580646</v>
      </c>
      <c r="BK13" s="17">
        <f t="shared" si="19"/>
        <v>1</v>
      </c>
      <c r="BL13" s="16">
        <f t="shared" si="31"/>
        <v>1576.1290322580646</v>
      </c>
      <c r="BM13" s="249">
        <v>309.01299999999998</v>
      </c>
      <c r="BN13" s="195">
        <v>94.561999999999998</v>
      </c>
      <c r="BO13" s="266">
        <v>97.337999999999994</v>
      </c>
      <c r="BP13" s="196"/>
      <c r="BQ13" s="313"/>
      <c r="BR13" s="230"/>
      <c r="BS13" s="250"/>
      <c r="BT13" s="199"/>
      <c r="BU13" s="200">
        <v>1.71</v>
      </c>
      <c r="BV13" s="200"/>
      <c r="BW13" s="200"/>
      <c r="BX13" s="200"/>
      <c r="BY13" s="208"/>
      <c r="BZ13" s="208"/>
      <c r="CA13" s="201"/>
      <c r="CB13" s="202">
        <v>36.229999999999997</v>
      </c>
      <c r="CC13" s="200">
        <v>44.04</v>
      </c>
      <c r="CD13" s="202">
        <v>43.57</v>
      </c>
      <c r="CE13" s="200"/>
      <c r="CF13" s="200"/>
      <c r="CG13" s="200"/>
      <c r="CH13" s="200"/>
      <c r="CI13" s="203"/>
      <c r="CJ13" s="204"/>
      <c r="CK13" s="197"/>
      <c r="CL13" s="264">
        <v>143.62</v>
      </c>
      <c r="CM13" s="265">
        <v>168.96</v>
      </c>
      <c r="CN13" s="202"/>
      <c r="CO13" s="202"/>
      <c r="CP13" s="270"/>
      <c r="CQ13" s="201"/>
      <c r="CR13" s="201"/>
      <c r="CS13" s="284"/>
      <c r="CT13" s="286">
        <f t="shared" si="20"/>
        <v>303.7288777</v>
      </c>
      <c r="CU13" s="24">
        <f t="shared" si="20"/>
        <v>94.561999999999998</v>
      </c>
      <c r="CV13" s="25">
        <f t="shared" si="20"/>
        <v>97.337999999999994</v>
      </c>
      <c r="CW13" s="24">
        <f t="shared" si="20"/>
        <v>0</v>
      </c>
      <c r="CX13" s="27">
        <f t="shared" si="20"/>
        <v>0</v>
      </c>
      <c r="CY13" s="24">
        <f t="shared" si="20"/>
        <v>0</v>
      </c>
      <c r="CZ13" s="280">
        <f t="shared" si="20"/>
        <v>0</v>
      </c>
      <c r="DA13" s="237">
        <f t="shared" si="21"/>
        <v>0</v>
      </c>
      <c r="DB13" s="26">
        <f t="shared" si="21"/>
        <v>0</v>
      </c>
      <c r="DC13" s="277">
        <f t="shared" si="21"/>
        <v>143.62</v>
      </c>
      <c r="DD13" s="280">
        <f t="shared" si="21"/>
        <v>168.96</v>
      </c>
      <c r="DE13" s="508">
        <f t="shared" si="32"/>
        <v>0</v>
      </c>
      <c r="DF13" s="247"/>
      <c r="DG13" s="293">
        <f t="shared" si="22"/>
        <v>0</v>
      </c>
      <c r="DH13" s="294"/>
      <c r="DI13" s="294"/>
      <c r="DJ13" s="295">
        <f t="shared" si="23"/>
        <v>0</v>
      </c>
      <c r="DK13" s="296">
        <f t="shared" si="33"/>
        <v>0</v>
      </c>
      <c r="DM13" s="411"/>
    </row>
    <row r="14" spans="1:117" ht="16.5" customHeight="1" thickBot="1">
      <c r="A14" s="534">
        <v>8</v>
      </c>
      <c r="B14" s="103">
        <f>'[1]декабрь 20'!K13</f>
        <v>507.26900000000001</v>
      </c>
      <c r="C14" s="104">
        <f>IF(B14=0,0,(BM14*BU14+BN14*BV14+BP14*BX14+BS14*CA14+BO14*BW14+BR14*BZ14+BQ14*BY14)/B14)</f>
        <v>0.93134561741403465</v>
      </c>
      <c r="D14" s="448">
        <f>B14*((100-C14)/100)</f>
        <v>502.54457239999999</v>
      </c>
      <c r="E14" s="104">
        <f>IF(B14=0,0,(BM14*CB14+BN14*CC14+BP14*CE14+BS14*CH14+BO14*CD14+BR14*CG14+BQ14*CF14)/B14)</f>
        <v>38.647229339857155</v>
      </c>
      <c r="F14" s="128">
        <f>IF(BA14=0,0,D14/BA14)</f>
        <v>2.2984866660720864</v>
      </c>
      <c r="G14" s="106"/>
      <c r="H14" s="107">
        <f>IF(BA14=0,0,(CZ14+CW14+CY14+CT14+CX14)/BA14)</f>
        <v>1.4093919608125629</v>
      </c>
      <c r="I14" s="103">
        <f>'[1]сентябрь 20'!AE13</f>
        <v>0</v>
      </c>
      <c r="J14" s="103">
        <f>'[1]декабрь 20'!AA13</f>
        <v>13.496</v>
      </c>
      <c r="K14" s="106">
        <v>29.52</v>
      </c>
      <c r="L14" s="103">
        <f>'[1]декабрь 20'!AI13</f>
        <v>194.393</v>
      </c>
      <c r="M14" s="103">
        <f>IF(BA14=0,0,(CV14+CU14)/BA14)</f>
        <v>0.88909470525952305</v>
      </c>
      <c r="N14" s="103">
        <f>'[1]август 20'!W13</f>
        <v>0</v>
      </c>
      <c r="O14" s="103">
        <f>'[1]сентябрь 20'!AM13</f>
        <v>0</v>
      </c>
      <c r="P14" s="447">
        <f t="shared" si="24"/>
        <v>0</v>
      </c>
      <c r="Q14" s="103">
        <f t="shared" si="25"/>
        <v>0</v>
      </c>
      <c r="R14" s="103">
        <f>'[1]декабрь 20'!S13</f>
        <v>327.93099999999998</v>
      </c>
      <c r="S14" s="108">
        <f>IF(R14=0,0,(1-(V14/R14))*100)</f>
        <v>3.211346289310868</v>
      </c>
      <c r="T14" s="109">
        <f>R14*((100-S14)/100)</f>
        <v>317.39999999999998</v>
      </c>
      <c r="U14" s="106">
        <v>35.94</v>
      </c>
      <c r="V14" s="109">
        <f>CJ14+CK14+CM14+CL14</f>
        <v>317.39999999999998</v>
      </c>
      <c r="W14" s="110">
        <f>IF(BA14=0,0,T14/BA14)</f>
        <v>1.4516914675393282</v>
      </c>
      <c r="X14" s="110">
        <f t="shared" si="26"/>
        <v>1.4516914675393282</v>
      </c>
      <c r="Y14" s="136">
        <v>50.44</v>
      </c>
      <c r="Z14" s="130">
        <v>218.64</v>
      </c>
      <c r="AA14" s="131">
        <v>0.41</v>
      </c>
      <c r="AB14" s="146">
        <v>685</v>
      </c>
      <c r="AC14" s="147">
        <v>1229</v>
      </c>
      <c r="AD14" s="144" t="s">
        <v>499</v>
      </c>
      <c r="AE14" s="131">
        <v>73.98</v>
      </c>
      <c r="AF14" s="133">
        <v>169</v>
      </c>
      <c r="AG14" s="134">
        <v>5</v>
      </c>
      <c r="AH14" s="131">
        <v>13.15</v>
      </c>
      <c r="AI14" s="115">
        <f t="shared" si="10"/>
        <v>60.144117196415145</v>
      </c>
      <c r="AJ14" s="131">
        <v>134.4</v>
      </c>
      <c r="AK14" s="115">
        <f>IF(BA14=0,0,AJ14/BA14*1000)</f>
        <v>614.70489362723924</v>
      </c>
      <c r="AL14" s="131">
        <v>34.450000000000003</v>
      </c>
      <c r="AM14" s="116"/>
      <c r="AN14" s="135">
        <v>23.99</v>
      </c>
      <c r="AO14" s="466">
        <f t="shared" si="27"/>
        <v>55.128499999999995</v>
      </c>
      <c r="AP14" s="110">
        <f>IF(AO14=0,0,AO14/AV14)</f>
        <v>0.19</v>
      </c>
      <c r="AQ14" s="137" t="s">
        <v>247</v>
      </c>
      <c r="AR14" s="150">
        <v>7.28</v>
      </c>
      <c r="AS14" s="138">
        <v>6.94</v>
      </c>
      <c r="AT14" s="131"/>
      <c r="AU14" s="131">
        <v>8.9600000000000009</v>
      </c>
      <c r="AV14" s="315">
        <v>290.14999999999998</v>
      </c>
      <c r="AW14" s="131">
        <v>7.61</v>
      </c>
      <c r="AX14" s="148"/>
      <c r="AY14" s="149"/>
      <c r="AZ14" s="109"/>
      <c r="BA14" s="109">
        <f>AV14-AO14-AN14+AY14+AW14</f>
        <v>218.64149999999998</v>
      </c>
      <c r="BB14" s="115">
        <f>IF(AE14=0,0,((D14*0.97)*(E14/100)*0.9)/(AE14/100))</f>
        <v>229.18852412106992</v>
      </c>
      <c r="BC14" s="140">
        <f>(AJ14*AU14)/100*(55/71)</f>
        <v>9.3284957746478874</v>
      </c>
      <c r="BD14" s="141">
        <f>BA14*$BD$6</f>
        <v>8.7456599999999991</v>
      </c>
      <c r="BE14" s="128">
        <f>IF((D14*E14)=0,0,(BA14*AE14)/(D14*E14))</f>
        <v>0.83282542279110727</v>
      </c>
      <c r="BF14" s="141">
        <f>BC14+BD14</f>
        <v>18.074155774647885</v>
      </c>
      <c r="BG14" s="535">
        <v>0.88300000000000001</v>
      </c>
      <c r="BH14" s="16">
        <f>BH13+BA14</f>
        <v>1709.6904999999999</v>
      </c>
      <c r="BI14" s="16">
        <f>IF(A14&lt;=$BG$43,$AV$43,0)</f>
        <v>225.16129032258064</v>
      </c>
      <c r="BJ14" s="16">
        <f>BI14+BJ13</f>
        <v>1801.2903225806454</v>
      </c>
      <c r="BK14" s="17">
        <f>IF(BA14&lt;&gt;0,1,0)</f>
        <v>1</v>
      </c>
      <c r="BL14" s="16">
        <f>BL13+BI14*BK14</f>
        <v>1801.2903225806454</v>
      </c>
      <c r="BM14" s="249">
        <v>312.87599999999998</v>
      </c>
      <c r="BN14" s="195">
        <v>93.004000000000005</v>
      </c>
      <c r="BO14" s="230">
        <v>101.389</v>
      </c>
      <c r="BP14" s="196"/>
      <c r="BQ14" s="313"/>
      <c r="BR14" s="230"/>
      <c r="BS14" s="250"/>
      <c r="BT14" s="199"/>
      <c r="BU14" s="200">
        <v>1.51</v>
      </c>
      <c r="BV14" s="200"/>
      <c r="BW14" s="200"/>
      <c r="BX14" s="200"/>
      <c r="BY14" s="208"/>
      <c r="BZ14" s="208"/>
      <c r="CA14" s="201"/>
      <c r="CB14" s="202">
        <v>35.450000000000003</v>
      </c>
      <c r="CC14" s="200">
        <v>44.2</v>
      </c>
      <c r="CD14" s="200">
        <v>43.42</v>
      </c>
      <c r="CE14" s="200"/>
      <c r="CF14" s="200"/>
      <c r="CG14" s="200"/>
      <c r="CH14" s="200"/>
      <c r="CI14" s="203"/>
      <c r="CJ14" s="204"/>
      <c r="CK14" s="197"/>
      <c r="CL14" s="264">
        <v>145.34</v>
      </c>
      <c r="CM14" s="265">
        <v>172.06</v>
      </c>
      <c r="CN14" s="202"/>
      <c r="CO14" s="202"/>
      <c r="CP14" s="270"/>
      <c r="CQ14" s="201"/>
      <c r="CR14" s="201"/>
      <c r="CS14" s="284"/>
      <c r="CT14" s="286">
        <f t="shared" si="20"/>
        <v>308.15157239999996</v>
      </c>
      <c r="CU14" s="27">
        <f t="shared" si="20"/>
        <v>93.004000000000005</v>
      </c>
      <c r="CV14" s="28">
        <f t="shared" si="20"/>
        <v>101.389</v>
      </c>
      <c r="CW14" s="27">
        <f t="shared" si="20"/>
        <v>0</v>
      </c>
      <c r="CX14" s="27">
        <f t="shared" si="20"/>
        <v>0</v>
      </c>
      <c r="CY14" s="24">
        <f t="shared" si="20"/>
        <v>0</v>
      </c>
      <c r="CZ14" s="282">
        <f t="shared" si="20"/>
        <v>0</v>
      </c>
      <c r="DA14" s="237">
        <f t="shared" si="21"/>
        <v>0</v>
      </c>
      <c r="DB14" s="26">
        <f t="shared" si="21"/>
        <v>0</v>
      </c>
      <c r="DC14" s="277">
        <f t="shared" si="21"/>
        <v>145.34</v>
      </c>
      <c r="DD14" s="280">
        <f t="shared" si="21"/>
        <v>172.06</v>
      </c>
      <c r="DE14" s="508">
        <f t="shared" si="32"/>
        <v>0</v>
      </c>
      <c r="DF14" s="247"/>
      <c r="DG14" s="293">
        <f t="shared" si="22"/>
        <v>0</v>
      </c>
      <c r="DH14" s="294"/>
      <c r="DI14" s="294"/>
      <c r="DJ14" s="295">
        <f t="shared" si="23"/>
        <v>0</v>
      </c>
      <c r="DK14" s="296">
        <f t="shared" si="33"/>
        <v>0</v>
      </c>
      <c r="DM14" s="411"/>
    </row>
    <row r="15" spans="1:117" ht="16.5" customHeight="1" thickBot="1">
      <c r="A15" s="536">
        <v>9</v>
      </c>
      <c r="B15" s="103">
        <f>'[1]декабрь 20'!K14</f>
        <v>378.24599999999998</v>
      </c>
      <c r="C15" s="104">
        <f t="shared" si="0"/>
        <v>1.1223462508526199</v>
      </c>
      <c r="D15" s="448">
        <f t="shared" si="1"/>
        <v>374.00077020000003</v>
      </c>
      <c r="E15" s="104">
        <f t="shared" si="2"/>
        <v>38.510459489327054</v>
      </c>
      <c r="F15" s="128">
        <f t="shared" si="3"/>
        <v>1.6798227215766948</v>
      </c>
      <c r="G15" s="106"/>
      <c r="H15" s="107">
        <f t="shared" si="4"/>
        <v>1.2271698198461214</v>
      </c>
      <c r="I15" s="103">
        <f>'[1]сентябрь 20'!AE14</f>
        <v>0</v>
      </c>
      <c r="J15" s="103">
        <f>'[1]декабрь 20'!AA14</f>
        <v>13.592000000000001</v>
      </c>
      <c r="K15" s="106">
        <v>38.25</v>
      </c>
      <c r="L15" s="103">
        <f>'[1]декабрь 20'!AI14</f>
        <v>100.78</v>
      </c>
      <c r="M15" s="103">
        <f t="shared" si="5"/>
        <v>0.45265290173057315</v>
      </c>
      <c r="N15" s="103">
        <f>'[1]август 20'!W14</f>
        <v>0</v>
      </c>
      <c r="O15" s="103">
        <f>'[1]сентябрь 20'!AM14</f>
        <v>0</v>
      </c>
      <c r="P15" s="447">
        <f t="shared" si="24"/>
        <v>0</v>
      </c>
      <c r="Q15" s="103">
        <f t="shared" si="25"/>
        <v>0</v>
      </c>
      <c r="R15" s="103">
        <f>'[1]декабрь 20'!S14</f>
        <v>243.18600000000001</v>
      </c>
      <c r="S15" s="108">
        <f t="shared" si="6"/>
        <v>3.1934404118658111</v>
      </c>
      <c r="T15" s="109">
        <f t="shared" si="7"/>
        <v>235.42000000000002</v>
      </c>
      <c r="U15" s="106">
        <v>38.57</v>
      </c>
      <c r="V15" s="109">
        <f t="shared" si="8"/>
        <v>235.42000000000002</v>
      </c>
      <c r="W15" s="110">
        <f t="shared" si="9"/>
        <v>1.0573878361322835</v>
      </c>
      <c r="X15" s="110">
        <f t="shared" si="26"/>
        <v>1.0573878361322835</v>
      </c>
      <c r="Y15" s="136">
        <v>222.64</v>
      </c>
      <c r="Z15" s="130">
        <v>119.61</v>
      </c>
      <c r="AA15" s="131">
        <v>0.82</v>
      </c>
      <c r="AB15" s="112">
        <v>680</v>
      </c>
      <c r="AC15" s="133">
        <v>1184</v>
      </c>
      <c r="AD15" s="144" t="s">
        <v>207</v>
      </c>
      <c r="AE15" s="131">
        <v>75.66</v>
      </c>
      <c r="AF15" s="133">
        <v>123</v>
      </c>
      <c r="AG15" s="134">
        <v>5</v>
      </c>
      <c r="AH15" s="131">
        <v>7.2</v>
      </c>
      <c r="AI15" s="115">
        <f t="shared" si="10"/>
        <v>32.338766545546008</v>
      </c>
      <c r="AJ15" s="131">
        <v>129.5</v>
      </c>
      <c r="AK15" s="115">
        <f t="shared" si="11"/>
        <v>581.64864828447332</v>
      </c>
      <c r="AL15" s="131">
        <v>37.65</v>
      </c>
      <c r="AM15" s="116"/>
      <c r="AN15" s="135">
        <v>20.6</v>
      </c>
      <c r="AO15" s="466">
        <f t="shared" si="27"/>
        <v>54.967000000000006</v>
      </c>
      <c r="AP15" s="110">
        <f t="shared" si="12"/>
        <v>0.19</v>
      </c>
      <c r="AQ15" s="137" t="s">
        <v>238</v>
      </c>
      <c r="AR15" s="150">
        <v>7.65</v>
      </c>
      <c r="AS15" s="138">
        <v>7.83</v>
      </c>
      <c r="AT15" s="131"/>
      <c r="AU15" s="131">
        <v>7.95</v>
      </c>
      <c r="AV15" s="315">
        <v>289.3</v>
      </c>
      <c r="AW15" s="131">
        <v>8.91</v>
      </c>
      <c r="AX15" s="116"/>
      <c r="AY15" s="131"/>
      <c r="AZ15" s="109"/>
      <c r="BA15" s="109">
        <f t="shared" si="13"/>
        <v>222.643</v>
      </c>
      <c r="BB15" s="115">
        <f t="shared" si="28"/>
        <v>166.18778665112563</v>
      </c>
      <c r="BC15" s="140">
        <f t="shared" si="14"/>
        <v>7.9751936619718311</v>
      </c>
      <c r="BD15" s="141">
        <f t="shared" si="15"/>
        <v>8.9057200000000005</v>
      </c>
      <c r="BE15" s="128">
        <f t="shared" si="16"/>
        <v>1.169564520454389</v>
      </c>
      <c r="BF15" s="141">
        <f t="shared" si="17"/>
        <v>16.880913661971832</v>
      </c>
      <c r="BG15" s="535">
        <v>0.90900000000000003</v>
      </c>
      <c r="BH15" s="16">
        <f t="shared" si="29"/>
        <v>1932.3335</v>
      </c>
      <c r="BI15" s="16">
        <f t="shared" si="18"/>
        <v>225.16129032258064</v>
      </c>
      <c r="BJ15" s="16">
        <f t="shared" si="30"/>
        <v>2026.4516129032261</v>
      </c>
      <c r="BK15" s="17">
        <f t="shared" si="19"/>
        <v>1</v>
      </c>
      <c r="BL15" s="16">
        <f t="shared" si="31"/>
        <v>2026.4516129032261</v>
      </c>
      <c r="BM15" s="249">
        <v>277.46600000000001</v>
      </c>
      <c r="BN15" s="195">
        <v>25.190999999999999</v>
      </c>
      <c r="BO15" s="195">
        <v>75.588999999999999</v>
      </c>
      <c r="BP15" s="197"/>
      <c r="BQ15" s="230"/>
      <c r="BR15" s="195"/>
      <c r="BS15" s="329"/>
      <c r="BT15" s="199"/>
      <c r="BU15" s="200">
        <v>1.53</v>
      </c>
      <c r="BV15" s="200"/>
      <c r="BW15" s="200"/>
      <c r="BX15" s="200"/>
      <c r="BY15" s="208"/>
      <c r="BZ15" s="208"/>
      <c r="CA15" s="330"/>
      <c r="CB15" s="202">
        <v>36.700000000000003</v>
      </c>
      <c r="CC15" s="200">
        <v>43.69</v>
      </c>
      <c r="CD15" s="200">
        <v>43.43</v>
      </c>
      <c r="CE15" s="200"/>
      <c r="CF15" s="200"/>
      <c r="CG15" s="200"/>
      <c r="CH15" s="200"/>
      <c r="CI15" s="203"/>
      <c r="CJ15" s="204"/>
      <c r="CK15" s="230"/>
      <c r="CL15" s="266">
        <v>108.36</v>
      </c>
      <c r="CM15" s="265">
        <v>127.06</v>
      </c>
      <c r="CN15" s="202"/>
      <c r="CO15" s="208"/>
      <c r="CP15" s="208"/>
      <c r="CQ15" s="201"/>
      <c r="CR15" s="201"/>
      <c r="CS15" s="284"/>
      <c r="CT15" s="286">
        <f t="shared" si="20"/>
        <v>273.2207702</v>
      </c>
      <c r="CU15" s="29">
        <f t="shared" si="20"/>
        <v>25.190999999999999</v>
      </c>
      <c r="CV15" s="30">
        <f t="shared" si="20"/>
        <v>75.588999999999999</v>
      </c>
      <c r="CW15" s="29">
        <f t="shared" si="20"/>
        <v>0</v>
      </c>
      <c r="CX15" s="27">
        <f t="shared" si="20"/>
        <v>0</v>
      </c>
      <c r="CY15" s="24">
        <f t="shared" si="20"/>
        <v>0</v>
      </c>
      <c r="CZ15" s="283">
        <f t="shared" si="20"/>
        <v>0</v>
      </c>
      <c r="DA15" s="237">
        <f t="shared" si="21"/>
        <v>0</v>
      </c>
      <c r="DB15" s="24">
        <f t="shared" si="21"/>
        <v>0</v>
      </c>
      <c r="DC15" s="277">
        <f t="shared" si="21"/>
        <v>108.36</v>
      </c>
      <c r="DD15" s="280">
        <f t="shared" si="21"/>
        <v>127.06</v>
      </c>
      <c r="DE15" s="508">
        <f t="shared" si="32"/>
        <v>0</v>
      </c>
      <c r="DF15" s="247"/>
      <c r="DG15" s="293">
        <f t="shared" si="22"/>
        <v>0</v>
      </c>
      <c r="DH15" s="294"/>
      <c r="DI15" s="294"/>
      <c r="DJ15" s="295">
        <f t="shared" si="23"/>
        <v>0</v>
      </c>
      <c r="DK15" s="296">
        <f t="shared" si="33"/>
        <v>0</v>
      </c>
      <c r="DM15" s="411"/>
    </row>
    <row r="16" spans="1:117" ht="16.5" customHeight="1" thickBot="1">
      <c r="A16" s="534">
        <v>10</v>
      </c>
      <c r="B16" s="103">
        <f>'[1]декабрь 20'!K15</f>
        <v>513.25699999999995</v>
      </c>
      <c r="C16" s="104">
        <f t="shared" si="0"/>
        <v>1.6137042456313313</v>
      </c>
      <c r="D16" s="448">
        <f t="shared" si="1"/>
        <v>504.97455000000002</v>
      </c>
      <c r="E16" s="104">
        <f t="shared" si="2"/>
        <v>38.304737685019404</v>
      </c>
      <c r="F16" s="128">
        <f t="shared" si="3"/>
        <v>3.9893707536735659</v>
      </c>
      <c r="G16" s="106"/>
      <c r="H16" s="107">
        <f t="shared" si="4"/>
        <v>2.9087735029230526</v>
      </c>
      <c r="I16" s="103">
        <f>'[1]сентябрь 20'!AE15</f>
        <v>0</v>
      </c>
      <c r="J16" s="103">
        <f>'[1]декабрь 20'!AA15</f>
        <v>18.091000000000001</v>
      </c>
      <c r="K16" s="106">
        <v>58.16</v>
      </c>
      <c r="L16" s="103">
        <f>'[1]декабрь 20'!AI15</f>
        <v>136.78200000000001</v>
      </c>
      <c r="M16" s="103">
        <f t="shared" si="5"/>
        <v>1.0805972507505135</v>
      </c>
      <c r="N16" s="103">
        <f>'[1]август 20'!W15</f>
        <v>0</v>
      </c>
      <c r="O16" s="103">
        <f>'[1]сентябрь 20'!AM15</f>
        <v>0</v>
      </c>
      <c r="P16" s="447">
        <f t="shared" si="24"/>
        <v>0</v>
      </c>
      <c r="Q16" s="103">
        <f t="shared" si="25"/>
        <v>0</v>
      </c>
      <c r="R16" s="103">
        <f>'[1]декабрь 20'!S15</f>
        <v>325.86900000000003</v>
      </c>
      <c r="S16" s="108">
        <f t="shared" si="6"/>
        <v>2.8934940113972241</v>
      </c>
      <c r="T16" s="109">
        <f t="shared" si="7"/>
        <v>316.44</v>
      </c>
      <c r="U16" s="106">
        <v>5.22</v>
      </c>
      <c r="V16" s="109">
        <f t="shared" si="8"/>
        <v>316.44</v>
      </c>
      <c r="W16" s="110">
        <f t="shared" si="9"/>
        <v>2.499920998577974</v>
      </c>
      <c r="X16" s="110">
        <f t="shared" si="26"/>
        <v>2.499920998577974</v>
      </c>
      <c r="Y16" s="136">
        <v>126.58</v>
      </c>
      <c r="Z16" s="130">
        <v>70.52</v>
      </c>
      <c r="AA16" s="131">
        <v>0.86</v>
      </c>
      <c r="AB16" s="112">
        <v>673</v>
      </c>
      <c r="AC16" s="133">
        <v>1200</v>
      </c>
      <c r="AD16" s="144" t="s">
        <v>447</v>
      </c>
      <c r="AE16" s="131">
        <v>76.02</v>
      </c>
      <c r="AF16" s="133">
        <v>171</v>
      </c>
      <c r="AG16" s="134">
        <v>4</v>
      </c>
      <c r="AH16" s="131">
        <v>7.35</v>
      </c>
      <c r="AI16" s="115">
        <f t="shared" si="10"/>
        <v>58.066045188813391</v>
      </c>
      <c r="AJ16" s="131">
        <v>112.75</v>
      </c>
      <c r="AK16" s="115">
        <f t="shared" si="11"/>
        <v>890.7410333386</v>
      </c>
      <c r="AL16" s="139">
        <v>30.6</v>
      </c>
      <c r="AM16" s="131"/>
      <c r="AN16" s="136">
        <v>21.19</v>
      </c>
      <c r="AO16" s="466">
        <v>118.82</v>
      </c>
      <c r="AP16" s="110">
        <f t="shared" si="12"/>
        <v>0.45832208293153326</v>
      </c>
      <c r="AQ16" s="137" t="s">
        <v>204</v>
      </c>
      <c r="AR16" s="150">
        <v>7.99</v>
      </c>
      <c r="AS16" s="138">
        <v>7.66</v>
      </c>
      <c r="AT16" s="131"/>
      <c r="AU16" s="131">
        <v>6.27</v>
      </c>
      <c r="AV16" s="315">
        <v>259.25</v>
      </c>
      <c r="AW16" s="131">
        <v>7.34</v>
      </c>
      <c r="AX16" s="116"/>
      <c r="AY16" s="131"/>
      <c r="AZ16" s="109"/>
      <c r="BA16" s="109">
        <f t="shared" si="13"/>
        <v>126.58000000000001</v>
      </c>
      <c r="BB16" s="115">
        <f t="shared" si="28"/>
        <v>222.13058577466333</v>
      </c>
      <c r="BC16" s="140">
        <f t="shared" si="14"/>
        <v>5.4763151408450703</v>
      </c>
      <c r="BD16" s="141">
        <f t="shared" si="15"/>
        <v>5.063200000000001</v>
      </c>
      <c r="BE16" s="128">
        <f t="shared" si="16"/>
        <v>0.49747467065206091</v>
      </c>
      <c r="BF16" s="141">
        <f t="shared" si="17"/>
        <v>10.539515140845072</v>
      </c>
      <c r="BG16" s="535">
        <v>0.86399999999999999</v>
      </c>
      <c r="BH16" s="16">
        <f t="shared" si="29"/>
        <v>2058.9135000000001</v>
      </c>
      <c r="BI16" s="16">
        <f t="shared" si="18"/>
        <v>225.16129032258064</v>
      </c>
      <c r="BJ16" s="16">
        <f t="shared" si="30"/>
        <v>2251.6129032258068</v>
      </c>
      <c r="BK16" s="17">
        <f t="shared" si="19"/>
        <v>1</v>
      </c>
      <c r="BL16" s="16">
        <f t="shared" si="31"/>
        <v>2251.6129032258068</v>
      </c>
      <c r="BM16" s="249">
        <v>376.47500000000002</v>
      </c>
      <c r="BN16" s="195">
        <v>34.195</v>
      </c>
      <c r="BO16" s="230">
        <v>102.587</v>
      </c>
      <c r="BP16" s="197"/>
      <c r="BQ16" s="230"/>
      <c r="BR16" s="230"/>
      <c r="BS16" s="250"/>
      <c r="BT16" s="199"/>
      <c r="BU16" s="200">
        <v>2.2000000000000002</v>
      </c>
      <c r="BV16" s="200"/>
      <c r="BW16" s="200"/>
      <c r="BX16" s="200"/>
      <c r="BY16" s="208"/>
      <c r="BZ16" s="208"/>
      <c r="CA16" s="201"/>
      <c r="CB16" s="202">
        <v>36.31</v>
      </c>
      <c r="CC16" s="200">
        <v>44.08</v>
      </c>
      <c r="CD16" s="200">
        <v>43.7</v>
      </c>
      <c r="CE16" s="200"/>
      <c r="CF16" s="200"/>
      <c r="CG16" s="200"/>
      <c r="CH16" s="200"/>
      <c r="CI16" s="203"/>
      <c r="CJ16" s="204"/>
      <c r="CK16" s="230"/>
      <c r="CL16" s="266">
        <v>147.06</v>
      </c>
      <c r="CM16" s="265">
        <v>169.38</v>
      </c>
      <c r="CN16" s="202"/>
      <c r="CO16" s="208"/>
      <c r="CP16" s="208"/>
      <c r="CQ16" s="201"/>
      <c r="CR16" s="201"/>
      <c r="CS16" s="284"/>
      <c r="CT16" s="286">
        <f t="shared" si="20"/>
        <v>368.19255000000004</v>
      </c>
      <c r="CU16" s="24">
        <f t="shared" si="20"/>
        <v>34.195</v>
      </c>
      <c r="CV16" s="25">
        <f t="shared" si="20"/>
        <v>102.587</v>
      </c>
      <c r="CW16" s="24">
        <f t="shared" si="20"/>
        <v>0</v>
      </c>
      <c r="CX16" s="27">
        <f t="shared" si="20"/>
        <v>0</v>
      </c>
      <c r="CY16" s="24">
        <f t="shared" si="20"/>
        <v>0</v>
      </c>
      <c r="CZ16" s="280">
        <f t="shared" si="20"/>
        <v>0</v>
      </c>
      <c r="DA16" s="237">
        <f t="shared" si="21"/>
        <v>0</v>
      </c>
      <c r="DB16" s="29">
        <f t="shared" si="21"/>
        <v>0</v>
      </c>
      <c r="DC16" s="277">
        <f t="shared" si="21"/>
        <v>147.06</v>
      </c>
      <c r="DD16" s="280">
        <f t="shared" si="21"/>
        <v>169.38</v>
      </c>
      <c r="DE16" s="508">
        <f t="shared" si="32"/>
        <v>0</v>
      </c>
      <c r="DF16" s="247"/>
      <c r="DG16" s="293">
        <f t="shared" si="22"/>
        <v>0</v>
      </c>
      <c r="DH16" s="294"/>
      <c r="DI16" s="294"/>
      <c r="DJ16" s="295">
        <f t="shared" si="23"/>
        <v>0</v>
      </c>
      <c r="DK16" s="296">
        <f t="shared" si="33"/>
        <v>0</v>
      </c>
      <c r="DM16" s="411"/>
    </row>
    <row r="17" spans="1:117" ht="16.5" customHeight="1" thickBot="1">
      <c r="A17" s="534">
        <v>11</v>
      </c>
      <c r="B17" s="103">
        <f>'[1]декабрь 20'!K16</f>
        <v>504.34300000000002</v>
      </c>
      <c r="C17" s="104">
        <f t="shared" si="0"/>
        <v>1.6067054762334363</v>
      </c>
      <c r="D17" s="448">
        <f t="shared" si="1"/>
        <v>496.23969340000008</v>
      </c>
      <c r="E17" s="104">
        <f t="shared" si="2"/>
        <v>39.320176685311381</v>
      </c>
      <c r="F17" s="128">
        <f t="shared" si="3"/>
        <v>2.0470203361514394</v>
      </c>
      <c r="G17" s="106"/>
      <c r="H17" s="107">
        <f t="shared" si="4"/>
        <v>1.4929046569906423</v>
      </c>
      <c r="I17" s="103">
        <f>'[1]сентябрь 20'!AE16</f>
        <v>0</v>
      </c>
      <c r="J17" s="103">
        <f>'[1]декабрь 20'!AA16</f>
        <v>18.465</v>
      </c>
      <c r="K17" s="106">
        <v>24.24</v>
      </c>
      <c r="L17" s="103">
        <f>'[1]декабрь 20'!AI16</f>
        <v>134.32900000000001</v>
      </c>
      <c r="M17" s="103">
        <f t="shared" si="5"/>
        <v>0.55411567916079707</v>
      </c>
      <c r="N17" s="103">
        <f>'[1]август 20'!W16</f>
        <v>0</v>
      </c>
      <c r="O17" s="103">
        <f>'[1]сентябрь 20'!AM16</f>
        <v>0</v>
      </c>
      <c r="P17" s="447">
        <f t="shared" si="24"/>
        <v>0</v>
      </c>
      <c r="Q17" s="103">
        <f t="shared" si="25"/>
        <v>0</v>
      </c>
      <c r="R17" s="103">
        <f>'[1]декабрь 20'!S16</f>
        <v>319</v>
      </c>
      <c r="S17" s="108">
        <f t="shared" si="6"/>
        <v>3.1316614420062727</v>
      </c>
      <c r="T17" s="109">
        <f t="shared" si="7"/>
        <v>309.01</v>
      </c>
      <c r="U17" s="106">
        <v>46.11</v>
      </c>
      <c r="V17" s="109">
        <f t="shared" si="8"/>
        <v>309.01</v>
      </c>
      <c r="W17" s="110">
        <f t="shared" si="9"/>
        <v>1.2746859279640128</v>
      </c>
      <c r="X17" s="110">
        <f t="shared" si="26"/>
        <v>1.2746859279640128</v>
      </c>
      <c r="Y17" s="136">
        <v>242.42</v>
      </c>
      <c r="Z17" s="130">
        <v>195.44</v>
      </c>
      <c r="AA17" s="131">
        <v>0.82</v>
      </c>
      <c r="AB17" s="112">
        <v>672</v>
      </c>
      <c r="AC17" s="133">
        <v>1193</v>
      </c>
      <c r="AD17" s="144" t="s">
        <v>476</v>
      </c>
      <c r="AE17" s="131">
        <v>76.790000000000006</v>
      </c>
      <c r="AF17" s="133">
        <v>168</v>
      </c>
      <c r="AG17" s="134">
        <v>5</v>
      </c>
      <c r="AH17" s="131">
        <v>11.2</v>
      </c>
      <c r="AI17" s="115">
        <f t="shared" si="10"/>
        <v>46.200713223510384</v>
      </c>
      <c r="AJ17" s="131">
        <v>148.94999999999999</v>
      </c>
      <c r="AK17" s="115">
        <f t="shared" si="11"/>
        <v>614.4282352358814</v>
      </c>
      <c r="AL17" s="139">
        <v>37.130000000000003</v>
      </c>
      <c r="AM17" s="131"/>
      <c r="AN17" s="136">
        <v>16.14</v>
      </c>
      <c r="AO17" s="466">
        <f t="shared" si="27"/>
        <v>59.289500000000004</v>
      </c>
      <c r="AP17" s="110">
        <f t="shared" si="12"/>
        <v>0.19</v>
      </c>
      <c r="AQ17" s="137" t="s">
        <v>324</v>
      </c>
      <c r="AR17" s="150">
        <v>7.67</v>
      </c>
      <c r="AS17" s="138">
        <v>7.87</v>
      </c>
      <c r="AT17" s="131"/>
      <c r="AU17" s="131">
        <v>6.03</v>
      </c>
      <c r="AV17" s="315">
        <v>312.05</v>
      </c>
      <c r="AW17" s="131">
        <v>5.8</v>
      </c>
      <c r="AX17" s="116"/>
      <c r="AY17" s="131"/>
      <c r="AZ17" s="109"/>
      <c r="BA17" s="109">
        <f t="shared" si="13"/>
        <v>242.4205</v>
      </c>
      <c r="BB17" s="115">
        <f t="shared" si="28"/>
        <v>221.8280883586815</v>
      </c>
      <c r="BC17" s="140">
        <f t="shared" si="14"/>
        <v>6.9576433098591552</v>
      </c>
      <c r="BD17" s="141">
        <f t="shared" si="15"/>
        <v>9.6968200000000007</v>
      </c>
      <c r="BE17" s="128">
        <f t="shared" si="16"/>
        <v>0.95404102368588772</v>
      </c>
      <c r="BF17" s="141">
        <f t="shared" si="17"/>
        <v>16.654463309859157</v>
      </c>
      <c r="BG17" s="535">
        <v>0.873</v>
      </c>
      <c r="BH17" s="16">
        <f t="shared" si="29"/>
        <v>2301.3340000000003</v>
      </c>
      <c r="BI17" s="16">
        <f t="shared" si="18"/>
        <v>225.16129032258064</v>
      </c>
      <c r="BJ17" s="16">
        <f t="shared" si="30"/>
        <v>2476.7741935483873</v>
      </c>
      <c r="BK17" s="17">
        <f t="shared" si="19"/>
        <v>1</v>
      </c>
      <c r="BL17" s="16">
        <f t="shared" si="31"/>
        <v>2476.7741935483873</v>
      </c>
      <c r="BM17" s="249">
        <v>370.01400000000001</v>
      </c>
      <c r="BN17" s="195">
        <v>33.591999999999999</v>
      </c>
      <c r="BO17" s="195">
        <v>100.73699999999999</v>
      </c>
      <c r="BP17" s="197"/>
      <c r="BQ17" s="230"/>
      <c r="BR17" s="230"/>
      <c r="BS17" s="250"/>
      <c r="BT17" s="199"/>
      <c r="BU17" s="200">
        <v>2.19</v>
      </c>
      <c r="BV17" s="200"/>
      <c r="BW17" s="200"/>
      <c r="BX17" s="200"/>
      <c r="BY17" s="208"/>
      <c r="BZ17" s="208"/>
      <c r="CA17" s="201"/>
      <c r="CB17" s="202">
        <v>37.799999999999997</v>
      </c>
      <c r="CC17" s="200">
        <v>44.1</v>
      </c>
      <c r="CD17" s="200">
        <v>43.31</v>
      </c>
      <c r="CE17" s="200"/>
      <c r="CF17" s="208"/>
      <c r="CG17" s="208"/>
      <c r="CH17" s="201"/>
      <c r="CI17" s="199"/>
      <c r="CJ17" s="197"/>
      <c r="CK17" s="244"/>
      <c r="CL17" s="266">
        <v>144.47999999999999</v>
      </c>
      <c r="CM17" s="265">
        <v>164.53</v>
      </c>
      <c r="CN17" s="231"/>
      <c r="CO17" s="208"/>
      <c r="CP17" s="208"/>
      <c r="CQ17" s="201"/>
      <c r="CR17" s="201"/>
      <c r="CS17" s="284"/>
      <c r="CT17" s="286">
        <f t="shared" si="20"/>
        <v>361.91069340000001</v>
      </c>
      <c r="CU17" s="24">
        <f t="shared" si="20"/>
        <v>33.591999999999999</v>
      </c>
      <c r="CV17" s="25">
        <f t="shared" si="20"/>
        <v>100.73699999999999</v>
      </c>
      <c r="CW17" s="24">
        <f t="shared" si="20"/>
        <v>0</v>
      </c>
      <c r="CX17" s="27">
        <f t="shared" si="20"/>
        <v>0</v>
      </c>
      <c r="CY17" s="27">
        <f t="shared" si="20"/>
        <v>0</v>
      </c>
      <c r="CZ17" s="280">
        <f t="shared" si="20"/>
        <v>0</v>
      </c>
      <c r="DA17" s="25">
        <f t="shared" si="21"/>
        <v>0</v>
      </c>
      <c r="DB17" s="26">
        <f t="shared" si="21"/>
        <v>0</v>
      </c>
      <c r="DC17" s="277">
        <f t="shared" si="21"/>
        <v>144.47999999999999</v>
      </c>
      <c r="DD17" s="280">
        <f t="shared" si="21"/>
        <v>164.53</v>
      </c>
      <c r="DE17" s="508">
        <f t="shared" si="32"/>
        <v>0</v>
      </c>
      <c r="DF17" s="247"/>
      <c r="DG17" s="293">
        <f t="shared" si="22"/>
        <v>0</v>
      </c>
      <c r="DH17" s="294"/>
      <c r="DI17" s="294"/>
      <c r="DJ17" s="295">
        <f t="shared" si="23"/>
        <v>0</v>
      </c>
      <c r="DK17" s="296">
        <f t="shared" si="33"/>
        <v>0</v>
      </c>
      <c r="DM17" s="411"/>
    </row>
    <row r="18" spans="1:117" ht="16.5" customHeight="1" thickBot="1">
      <c r="A18" s="534">
        <v>12</v>
      </c>
      <c r="B18" s="103">
        <f>'[1]декабрь 20'!K17</f>
        <v>513.38900000000001</v>
      </c>
      <c r="C18" s="104">
        <f t="shared" si="0"/>
        <v>1.4968413425297387</v>
      </c>
      <c r="D18" s="143">
        <f t="shared" si="1"/>
        <v>505.70438120000006</v>
      </c>
      <c r="E18" s="104">
        <f t="shared" si="2"/>
        <v>37.971631686693712</v>
      </c>
      <c r="F18" s="128">
        <f t="shared" si="3"/>
        <v>2.0943261985223471</v>
      </c>
      <c r="G18" s="106"/>
      <c r="H18" s="107">
        <f t="shared" si="4"/>
        <v>1.5282293890600669</v>
      </c>
      <c r="I18" s="103">
        <f>'[1]сентябрь 20'!AE17</f>
        <v>0</v>
      </c>
      <c r="J18" s="103">
        <f>'[1]декабрь 20'!AA17</f>
        <v>18.943999999999999</v>
      </c>
      <c r="K18" s="106">
        <v>29.45</v>
      </c>
      <c r="L18" s="103">
        <f>'[1]декабрь 20'!AI17</f>
        <v>136.69200000000001</v>
      </c>
      <c r="M18" s="103">
        <f t="shared" si="5"/>
        <v>0.56609680946228014</v>
      </c>
      <c r="N18" s="103">
        <f>'[1]август 20'!W17</f>
        <v>0</v>
      </c>
      <c r="O18" s="103">
        <f>'[1]сентябрь 20'!AM17</f>
        <v>0</v>
      </c>
      <c r="P18" s="447">
        <f t="shared" si="24"/>
        <v>0</v>
      </c>
      <c r="Q18" s="103">
        <f t="shared" si="25"/>
        <v>0</v>
      </c>
      <c r="R18" s="103">
        <f>'[1]декабрь 20'!S17</f>
        <v>324.786</v>
      </c>
      <c r="S18" s="108">
        <f t="shared" si="6"/>
        <v>3.0715609662978038</v>
      </c>
      <c r="T18" s="109">
        <f t="shared" si="7"/>
        <v>314.81</v>
      </c>
      <c r="U18" s="106"/>
      <c r="V18" s="109">
        <f t="shared" si="8"/>
        <v>314.81</v>
      </c>
      <c r="W18" s="110">
        <f t="shared" si="9"/>
        <v>1.3037554252393733</v>
      </c>
      <c r="X18" s="110">
        <f t="shared" si="26"/>
        <v>1.3037554252393733</v>
      </c>
      <c r="Y18" s="136">
        <v>241.46</v>
      </c>
      <c r="Z18" s="130">
        <v>199.25</v>
      </c>
      <c r="AA18" s="131">
        <v>0.72</v>
      </c>
      <c r="AB18" s="112">
        <v>626</v>
      </c>
      <c r="AC18" s="133">
        <v>1187</v>
      </c>
      <c r="AD18" s="144" t="s">
        <v>500</v>
      </c>
      <c r="AE18" s="131">
        <v>76.02</v>
      </c>
      <c r="AF18" s="133">
        <v>171</v>
      </c>
      <c r="AG18" s="134">
        <v>5</v>
      </c>
      <c r="AH18" s="131">
        <v>4.0999999999999996</v>
      </c>
      <c r="AI18" s="115">
        <f t="shared" si="10"/>
        <v>16.979756816751152</v>
      </c>
      <c r="AJ18" s="131">
        <v>155.1</v>
      </c>
      <c r="AK18" s="115">
        <f t="shared" si="11"/>
        <v>642.33177616539103</v>
      </c>
      <c r="AL18" s="139">
        <v>37.950000000000003</v>
      </c>
      <c r="AM18" s="131"/>
      <c r="AN18" s="136">
        <v>15.17</v>
      </c>
      <c r="AO18" s="466">
        <f t="shared" si="27"/>
        <v>58.785999999999994</v>
      </c>
      <c r="AP18" s="110">
        <f t="shared" si="12"/>
        <v>0.19</v>
      </c>
      <c r="AQ18" s="137" t="s">
        <v>225</v>
      </c>
      <c r="AR18" s="150">
        <v>7.7</v>
      </c>
      <c r="AS18" s="138">
        <v>7.58</v>
      </c>
      <c r="AT18" s="131"/>
      <c r="AU18" s="131">
        <v>7.59</v>
      </c>
      <c r="AV18" s="315">
        <v>309.39999999999998</v>
      </c>
      <c r="AW18" s="131">
        <v>6.02</v>
      </c>
      <c r="AX18" s="116"/>
      <c r="AY18" s="131"/>
      <c r="AZ18" s="109">
        <f t="shared" ref="AZ18:AZ37" si="34">IF(BA18=0,0,AY18/BA18*100)</f>
        <v>0</v>
      </c>
      <c r="BA18" s="109">
        <f t="shared" si="13"/>
        <v>241.464</v>
      </c>
      <c r="BB18" s="115">
        <f>IF(AE18=0,0,((D18*0.97)*(E18/100)*0.9)/(AE18/100))</f>
        <v>220.51714155622193</v>
      </c>
      <c r="BC18" s="140">
        <f t="shared" si="14"/>
        <v>9.1192246478873233</v>
      </c>
      <c r="BD18" s="141">
        <f t="shared" si="15"/>
        <v>9.6585599999999996</v>
      </c>
      <c r="BE18" s="128">
        <f t="shared" si="16"/>
        <v>0.95592601333559346</v>
      </c>
      <c r="BF18" s="141">
        <f t="shared" si="17"/>
        <v>18.777784647887323</v>
      </c>
      <c r="BG18" s="535">
        <v>0.88100000000000001</v>
      </c>
      <c r="BH18" s="16">
        <f t="shared" si="29"/>
        <v>2542.7980000000002</v>
      </c>
      <c r="BI18" s="16">
        <f t="shared" si="18"/>
        <v>225.16129032258064</v>
      </c>
      <c r="BJ18" s="16">
        <f t="shared" si="30"/>
        <v>2701.9354838709678</v>
      </c>
      <c r="BK18" s="17">
        <f t="shared" si="19"/>
        <v>1</v>
      </c>
      <c r="BL18" s="16">
        <f t="shared" si="31"/>
        <v>2701.9354838709678</v>
      </c>
      <c r="BM18" s="249">
        <v>376.697</v>
      </c>
      <c r="BN18" s="195">
        <v>34.134999999999998</v>
      </c>
      <c r="BO18" s="195">
        <v>102.557</v>
      </c>
      <c r="BP18" s="197"/>
      <c r="BQ18" s="230"/>
      <c r="BR18" s="230"/>
      <c r="BS18" s="250"/>
      <c r="BT18" s="199"/>
      <c r="BU18" s="200">
        <v>2.04</v>
      </c>
      <c r="BV18" s="200"/>
      <c r="BW18" s="200"/>
      <c r="BX18" s="200"/>
      <c r="BY18" s="208"/>
      <c r="BZ18" s="208"/>
      <c r="CA18" s="201"/>
      <c r="CB18" s="202">
        <v>36.03</v>
      </c>
      <c r="CC18" s="200">
        <v>43.6</v>
      </c>
      <c r="CD18" s="200">
        <v>43.23</v>
      </c>
      <c r="CE18" s="200"/>
      <c r="CF18" s="208"/>
      <c r="CG18" s="208"/>
      <c r="CH18" s="209"/>
      <c r="CI18" s="199"/>
      <c r="CJ18" s="197"/>
      <c r="CK18" s="268"/>
      <c r="CL18" s="289">
        <v>147.06</v>
      </c>
      <c r="CM18" s="267">
        <v>167.75</v>
      </c>
      <c r="CN18" s="202"/>
      <c r="CO18" s="208"/>
      <c r="CP18" s="208"/>
      <c r="CQ18" s="201"/>
      <c r="CR18" s="201"/>
      <c r="CS18" s="284"/>
      <c r="CT18" s="286">
        <f t="shared" si="20"/>
        <v>369.01238119999999</v>
      </c>
      <c r="CU18" s="24">
        <f t="shared" si="20"/>
        <v>34.134999999999998</v>
      </c>
      <c r="CV18" s="25">
        <f t="shared" si="20"/>
        <v>102.557</v>
      </c>
      <c r="CW18" s="24">
        <f t="shared" si="20"/>
        <v>0</v>
      </c>
      <c r="CX18" s="27">
        <f t="shared" si="20"/>
        <v>0</v>
      </c>
      <c r="CY18" s="30">
        <f t="shared" si="20"/>
        <v>0</v>
      </c>
      <c r="CZ18" s="280">
        <f t="shared" si="20"/>
        <v>0</v>
      </c>
      <c r="DA18" s="30">
        <f t="shared" si="21"/>
        <v>0</v>
      </c>
      <c r="DB18" s="24">
        <f t="shared" si="21"/>
        <v>0</v>
      </c>
      <c r="DC18" s="277">
        <f t="shared" si="21"/>
        <v>147.06</v>
      </c>
      <c r="DD18" s="280">
        <f t="shared" si="21"/>
        <v>167.75</v>
      </c>
      <c r="DE18" s="508">
        <f t="shared" si="32"/>
        <v>0</v>
      </c>
      <c r="DF18" s="247"/>
      <c r="DG18" s="293">
        <f t="shared" si="22"/>
        <v>0</v>
      </c>
      <c r="DH18" s="294"/>
      <c r="DI18" s="294"/>
      <c r="DJ18" s="295">
        <f t="shared" si="23"/>
        <v>0</v>
      </c>
      <c r="DK18" s="296">
        <f t="shared" si="33"/>
        <v>0</v>
      </c>
      <c r="DM18" s="411"/>
    </row>
    <row r="19" spans="1:117" ht="16.5" customHeight="1" thickBot="1">
      <c r="A19" s="534">
        <v>13</v>
      </c>
      <c r="B19" s="103">
        <f>'[1]декабрь 20'!K18</f>
        <v>501.11500000000001</v>
      </c>
      <c r="C19" s="104">
        <f t="shared" si="0"/>
        <v>0.92658491563812684</v>
      </c>
      <c r="D19" s="143">
        <f t="shared" si="1"/>
        <v>496.471744</v>
      </c>
      <c r="E19" s="104">
        <f>IF(B19=0,0,(BM19*CB19+BN19*CC19+BP19*CE19+BS19*CH19+BO19*CD19+BR19*CG19+BQ19*CF19)/B19)</f>
        <v>37.645324286840335</v>
      </c>
      <c r="F19" s="128">
        <f t="shared" si="3"/>
        <v>2.1397061733928662</v>
      </c>
      <c r="G19" s="106"/>
      <c r="H19" s="107">
        <f t="shared" si="4"/>
        <v>1.6476233213232883</v>
      </c>
      <c r="I19" s="103">
        <f>'[1]сентябрь 20'!AE18</f>
        <v>0</v>
      </c>
      <c r="J19" s="103">
        <f>'[1]декабрь 20'!AA18</f>
        <v>20.513000000000002</v>
      </c>
      <c r="K19" s="106">
        <v>27.1</v>
      </c>
      <c r="L19" s="103">
        <f>'[1]декабрь 20'!AI18</f>
        <v>114.17700000000001</v>
      </c>
      <c r="M19" s="103">
        <f t="shared" si="5"/>
        <v>0.49208285206957775</v>
      </c>
      <c r="N19" s="103">
        <f>'[1]август 20'!W18</f>
        <v>0</v>
      </c>
      <c r="O19" s="103">
        <f>'[1]сентябрь 20'!AM18</f>
        <v>0</v>
      </c>
      <c r="P19" s="447">
        <f t="shared" si="24"/>
        <v>0</v>
      </c>
      <c r="Q19" s="103">
        <f t="shared" si="25"/>
        <v>0</v>
      </c>
      <c r="R19" s="103">
        <f>'[1]декабрь 20'!S18</f>
        <v>318.17700000000002</v>
      </c>
      <c r="S19" s="108">
        <f t="shared" si="6"/>
        <v>2.8999581993670143</v>
      </c>
      <c r="T19" s="109">
        <f t="shared" si="7"/>
        <v>308.95</v>
      </c>
      <c r="U19" s="106">
        <v>10.19</v>
      </c>
      <c r="V19" s="109">
        <f t="shared" si="8"/>
        <v>308.95000000000005</v>
      </c>
      <c r="W19" s="110">
        <f t="shared" si="9"/>
        <v>1.3315203337528227</v>
      </c>
      <c r="X19" s="110">
        <f t="shared" si="26"/>
        <v>1.3315203337528227</v>
      </c>
      <c r="Y19" s="136">
        <v>232.03</v>
      </c>
      <c r="Z19" s="130">
        <v>232.03</v>
      </c>
      <c r="AA19" s="131">
        <v>0.67</v>
      </c>
      <c r="AB19" s="112">
        <v>663</v>
      </c>
      <c r="AC19" s="133">
        <v>1215</v>
      </c>
      <c r="AD19" s="144" t="s">
        <v>501</v>
      </c>
      <c r="AE19" s="131">
        <v>76.41</v>
      </c>
      <c r="AF19" s="133">
        <v>167</v>
      </c>
      <c r="AG19" s="134">
        <v>5</v>
      </c>
      <c r="AH19" s="131">
        <v>4.2</v>
      </c>
      <c r="AI19" s="115">
        <f t="shared" si="10"/>
        <v>18.1012636405951</v>
      </c>
      <c r="AJ19" s="131">
        <v>141.44999999999999</v>
      </c>
      <c r="AK19" s="115">
        <f t="shared" si="11"/>
        <v>609.62470046718488</v>
      </c>
      <c r="AL19" s="139">
        <v>37.9</v>
      </c>
      <c r="AM19" s="131"/>
      <c r="AN19" s="136">
        <v>11.66</v>
      </c>
      <c r="AO19" s="466">
        <f t="shared" si="27"/>
        <v>56.012</v>
      </c>
      <c r="AP19" s="110">
        <f t="shared" si="12"/>
        <v>0.19</v>
      </c>
      <c r="AQ19" s="137" t="s">
        <v>238</v>
      </c>
      <c r="AR19" s="150">
        <v>7.73</v>
      </c>
      <c r="AS19" s="138">
        <v>7.74</v>
      </c>
      <c r="AT19" s="134"/>
      <c r="AU19" s="131">
        <v>6.8</v>
      </c>
      <c r="AV19" s="315">
        <v>294.8</v>
      </c>
      <c r="AW19" s="131">
        <v>4.9000000000000004</v>
      </c>
      <c r="AX19" s="116"/>
      <c r="AY19" s="131"/>
      <c r="AZ19" s="109">
        <f t="shared" si="34"/>
        <v>0</v>
      </c>
      <c r="BA19" s="109">
        <f t="shared" si="13"/>
        <v>232.02800000000002</v>
      </c>
      <c r="BB19" s="115">
        <f t="shared" si="28"/>
        <v>213.53527217984904</v>
      </c>
      <c r="BC19" s="140">
        <f t="shared" si="14"/>
        <v>7.4510281690140836</v>
      </c>
      <c r="BD19" s="141">
        <f t="shared" si="15"/>
        <v>9.2811200000000014</v>
      </c>
      <c r="BE19" s="128">
        <f t="shared" si="16"/>
        <v>0.94860414362548251</v>
      </c>
      <c r="BF19" s="141">
        <f t="shared" si="17"/>
        <v>16.732148169014085</v>
      </c>
      <c r="BG19" s="535">
        <v>0.88600000000000001</v>
      </c>
      <c r="BH19" s="16">
        <f t="shared" si="29"/>
        <v>2774.826</v>
      </c>
      <c r="BI19" s="16">
        <f t="shared" si="18"/>
        <v>225.16129032258064</v>
      </c>
      <c r="BJ19" s="16">
        <f t="shared" si="30"/>
        <v>2927.0967741935483</v>
      </c>
      <c r="BK19" s="17">
        <f t="shared" si="19"/>
        <v>1</v>
      </c>
      <c r="BL19" s="16">
        <f t="shared" si="31"/>
        <v>2927.0967741935483</v>
      </c>
      <c r="BM19" s="254">
        <v>386.93799999999999</v>
      </c>
      <c r="BN19" s="197">
        <v>23.954000000000001</v>
      </c>
      <c r="BO19" s="197">
        <v>90.222999999999999</v>
      </c>
      <c r="BP19" s="197"/>
      <c r="BQ19" s="230"/>
      <c r="BR19" s="230"/>
      <c r="BS19" s="258"/>
      <c r="BT19" s="199"/>
      <c r="BU19" s="200">
        <v>1.2</v>
      </c>
      <c r="BV19" s="200"/>
      <c r="BW19" s="200"/>
      <c r="BX19" s="200"/>
      <c r="BY19" s="208"/>
      <c r="BZ19" s="208"/>
      <c r="CA19" s="201"/>
      <c r="CB19" s="202">
        <v>35.86</v>
      </c>
      <c r="CC19" s="200">
        <v>43.83</v>
      </c>
      <c r="CD19" s="200">
        <v>43.66</v>
      </c>
      <c r="CE19" s="200"/>
      <c r="CF19" s="208"/>
      <c r="CG19" s="208"/>
      <c r="CH19" s="209"/>
      <c r="CI19" s="199"/>
      <c r="CJ19" s="197"/>
      <c r="CK19" s="197"/>
      <c r="CL19" s="197">
        <v>143.62</v>
      </c>
      <c r="CM19" s="198">
        <v>165.33</v>
      </c>
      <c r="CN19" s="202"/>
      <c r="CO19" s="208"/>
      <c r="CP19" s="208"/>
      <c r="CQ19" s="201"/>
      <c r="CR19" s="201"/>
      <c r="CS19" s="284"/>
      <c r="CT19" s="286">
        <f t="shared" si="20"/>
        <v>382.29474399999998</v>
      </c>
      <c r="CU19" s="24">
        <f t="shared" si="20"/>
        <v>23.954000000000001</v>
      </c>
      <c r="CV19" s="25">
        <f t="shared" si="20"/>
        <v>90.222999999999999</v>
      </c>
      <c r="CW19" s="24">
        <f t="shared" si="20"/>
        <v>0</v>
      </c>
      <c r="CX19" s="27">
        <f t="shared" si="20"/>
        <v>0</v>
      </c>
      <c r="CY19" s="24">
        <f t="shared" si="20"/>
        <v>0</v>
      </c>
      <c r="CZ19" s="280">
        <f t="shared" si="20"/>
        <v>0</v>
      </c>
      <c r="DA19" s="237">
        <f t="shared" si="21"/>
        <v>0</v>
      </c>
      <c r="DB19" s="24">
        <f t="shared" si="21"/>
        <v>0</v>
      </c>
      <c r="DC19" s="277">
        <f t="shared" si="21"/>
        <v>143.62</v>
      </c>
      <c r="DD19" s="280">
        <f t="shared" si="21"/>
        <v>165.33</v>
      </c>
      <c r="DE19" s="508">
        <f t="shared" si="32"/>
        <v>0</v>
      </c>
      <c r="DG19" s="293">
        <f t="shared" si="22"/>
        <v>0</v>
      </c>
      <c r="DH19" s="294"/>
      <c r="DI19" s="294"/>
      <c r="DJ19" s="295">
        <f t="shared" si="23"/>
        <v>0</v>
      </c>
      <c r="DK19" s="296">
        <f t="shared" si="33"/>
        <v>0</v>
      </c>
      <c r="DM19" s="411"/>
    </row>
    <row r="20" spans="1:117" ht="16.5" customHeight="1" thickBot="1">
      <c r="A20" s="534">
        <v>14</v>
      </c>
      <c r="B20" s="103">
        <f>'[1]декабрь 20'!K19</f>
        <v>483.01600000000002</v>
      </c>
      <c r="C20" s="104">
        <f t="shared" si="0"/>
        <v>3.4309051252960558</v>
      </c>
      <c r="D20" s="143">
        <f t="shared" si="1"/>
        <v>466.44417930000009</v>
      </c>
      <c r="E20" s="104">
        <f t="shared" ref="E20:E27" si="35">IF(B20=0,0,(BM20*CB20+BN20*CC20+BP20*CE20+BS20*CH20+BO20*CD20+BR20*CG20+BQ20*CF20)/B20)</f>
        <v>38.440242621362444</v>
      </c>
      <c r="F20" s="128">
        <f t="shared" si="3"/>
        <v>2.0685711593810843</v>
      </c>
      <c r="G20" s="106"/>
      <c r="H20" s="107">
        <f t="shared" si="4"/>
        <v>1.6316623692298142</v>
      </c>
      <c r="I20" s="103">
        <f>'[1]сентябрь 20'!AE19</f>
        <v>0</v>
      </c>
      <c r="J20" s="103">
        <f>'[1]декабрь 20'!AA19</f>
        <v>20.663</v>
      </c>
      <c r="K20" s="106">
        <v>44.57</v>
      </c>
      <c r="L20" s="103">
        <f>'[1]декабрь 20'!AI19</f>
        <v>98.519000000000005</v>
      </c>
      <c r="M20" s="103">
        <f t="shared" si="5"/>
        <v>0.43690879015126993</v>
      </c>
      <c r="N20" s="103">
        <f>'[1]август 20'!W19</f>
        <v>0</v>
      </c>
      <c r="O20" s="103">
        <f>'[1]сентябрь 20'!AM19</f>
        <v>0</v>
      </c>
      <c r="P20" s="447">
        <f t="shared" si="24"/>
        <v>0</v>
      </c>
      <c r="Q20" s="103">
        <f t="shared" si="25"/>
        <v>0</v>
      </c>
      <c r="R20" s="103">
        <f>'[1]декабрь 20'!S19</f>
        <v>306.64600000000002</v>
      </c>
      <c r="S20" s="108">
        <f t="shared" si="6"/>
        <v>2.8684541784337658</v>
      </c>
      <c r="T20" s="109">
        <f t="shared" si="7"/>
        <v>297.85000000000002</v>
      </c>
      <c r="U20" s="106">
        <v>36.19</v>
      </c>
      <c r="V20" s="109">
        <f t="shared" si="8"/>
        <v>297.85000000000002</v>
      </c>
      <c r="W20" s="110">
        <f t="shared" si="9"/>
        <v>1.3208952907211375</v>
      </c>
      <c r="X20" s="110">
        <f t="shared" si="26"/>
        <v>1.3208952907211375</v>
      </c>
      <c r="Y20" s="136">
        <v>225.49</v>
      </c>
      <c r="Z20" s="130">
        <v>225.49</v>
      </c>
      <c r="AA20" s="131">
        <v>0.75</v>
      </c>
      <c r="AB20" s="112">
        <v>661</v>
      </c>
      <c r="AC20" s="133">
        <v>1225</v>
      </c>
      <c r="AD20" s="151" t="s">
        <v>502</v>
      </c>
      <c r="AE20" s="131">
        <v>76.72</v>
      </c>
      <c r="AF20" s="133">
        <v>161</v>
      </c>
      <c r="AG20" s="134">
        <v>5</v>
      </c>
      <c r="AH20" s="131">
        <v>6.75</v>
      </c>
      <c r="AI20" s="115">
        <f t="shared" si="10"/>
        <v>29.934675885068586</v>
      </c>
      <c r="AJ20" s="131">
        <v>145.44999999999999</v>
      </c>
      <c r="AK20" s="115">
        <f t="shared" si="11"/>
        <v>645.03683073825562</v>
      </c>
      <c r="AL20" s="139">
        <v>37.81</v>
      </c>
      <c r="AM20" s="131"/>
      <c r="AN20" s="136">
        <v>14.37</v>
      </c>
      <c r="AO20" s="466">
        <f t="shared" si="27"/>
        <v>55.689000000000007</v>
      </c>
      <c r="AP20" s="110">
        <f t="shared" si="12"/>
        <v>0.19</v>
      </c>
      <c r="AQ20" s="137" t="s">
        <v>238</v>
      </c>
      <c r="AR20" s="150">
        <v>7.37</v>
      </c>
      <c r="AS20" s="138">
        <v>7.48</v>
      </c>
      <c r="AT20" s="131"/>
      <c r="AU20" s="131">
        <v>7.13</v>
      </c>
      <c r="AV20" s="315">
        <v>293.10000000000002</v>
      </c>
      <c r="AW20" s="131">
        <v>2.4500000000000002</v>
      </c>
      <c r="AX20" s="148"/>
      <c r="AY20" s="131"/>
      <c r="AZ20" s="109">
        <f t="shared" si="34"/>
        <v>0</v>
      </c>
      <c r="BA20" s="109">
        <f t="shared" si="13"/>
        <v>225.49099999999999</v>
      </c>
      <c r="BB20" s="115">
        <f t="shared" si="28"/>
        <v>204.02878700559532</v>
      </c>
      <c r="BC20" s="140">
        <f t="shared" si="14"/>
        <v>8.0335517605633786</v>
      </c>
      <c r="BD20" s="141">
        <f t="shared" si="15"/>
        <v>9.019639999999999</v>
      </c>
      <c r="BE20" s="128">
        <f t="shared" si="16"/>
        <v>0.96483268801966371</v>
      </c>
      <c r="BF20" s="141">
        <f t="shared" si="17"/>
        <v>17.053191760563379</v>
      </c>
      <c r="BG20" s="535">
        <v>0.89200000000000002</v>
      </c>
      <c r="BH20" s="16">
        <f t="shared" si="29"/>
        <v>3000.317</v>
      </c>
      <c r="BI20" s="16">
        <f t="shared" si="18"/>
        <v>225.16129032258064</v>
      </c>
      <c r="BJ20" s="16">
        <f t="shared" si="30"/>
        <v>3152.2580645161288</v>
      </c>
      <c r="BK20" s="17">
        <f t="shared" si="19"/>
        <v>1</v>
      </c>
      <c r="BL20" s="16">
        <f t="shared" si="31"/>
        <v>3152.2580645161288</v>
      </c>
      <c r="BM20" s="254">
        <v>384.49700000000001</v>
      </c>
      <c r="BN20" s="197">
        <v>15.971</v>
      </c>
      <c r="BO20" s="197">
        <v>82.548000000000002</v>
      </c>
      <c r="BP20" s="197"/>
      <c r="BQ20" s="230"/>
      <c r="BR20" s="230"/>
      <c r="BS20" s="259"/>
      <c r="BT20" s="199"/>
      <c r="BU20" s="200">
        <v>4.3099999999999996</v>
      </c>
      <c r="BV20" s="200"/>
      <c r="BW20" s="200"/>
      <c r="BX20" s="200"/>
      <c r="BY20" s="208"/>
      <c r="BZ20" s="208"/>
      <c r="CA20" s="201"/>
      <c r="CB20" s="202">
        <v>37.06</v>
      </c>
      <c r="CC20" s="200">
        <v>44.07</v>
      </c>
      <c r="CD20" s="200">
        <v>43.78</v>
      </c>
      <c r="CE20" s="200"/>
      <c r="CF20" s="208"/>
      <c r="CG20" s="208"/>
      <c r="CH20" s="209"/>
      <c r="CI20" s="199"/>
      <c r="CJ20" s="197"/>
      <c r="CK20" s="197"/>
      <c r="CL20" s="197">
        <v>138.46</v>
      </c>
      <c r="CM20" s="198">
        <v>159.38999999999999</v>
      </c>
      <c r="CN20" s="202"/>
      <c r="CO20" s="208"/>
      <c r="CP20" s="208"/>
      <c r="CQ20" s="201"/>
      <c r="CR20" s="201"/>
      <c r="CS20" s="284"/>
      <c r="CT20" s="286">
        <f t="shared" si="20"/>
        <v>367.92517930000002</v>
      </c>
      <c r="CU20" s="24">
        <f t="shared" si="20"/>
        <v>15.971</v>
      </c>
      <c r="CV20" s="25">
        <f t="shared" si="20"/>
        <v>82.548000000000002</v>
      </c>
      <c r="CW20" s="24">
        <f t="shared" si="20"/>
        <v>0</v>
      </c>
      <c r="CX20" s="27">
        <f t="shared" si="20"/>
        <v>0</v>
      </c>
      <c r="CY20" s="30">
        <f t="shared" si="20"/>
        <v>0</v>
      </c>
      <c r="CZ20" s="280">
        <f t="shared" si="20"/>
        <v>0</v>
      </c>
      <c r="DA20" s="237">
        <f t="shared" si="21"/>
        <v>0</v>
      </c>
      <c r="DB20" s="29">
        <f t="shared" si="21"/>
        <v>0</v>
      </c>
      <c r="DC20" s="277">
        <f t="shared" si="21"/>
        <v>138.46</v>
      </c>
      <c r="DD20" s="280">
        <f t="shared" si="21"/>
        <v>159.38999999999999</v>
      </c>
      <c r="DE20" s="508">
        <f t="shared" si="32"/>
        <v>0</v>
      </c>
      <c r="DG20" s="293">
        <f t="shared" si="22"/>
        <v>0</v>
      </c>
      <c r="DH20" s="294"/>
      <c r="DI20" s="294"/>
      <c r="DJ20" s="295">
        <f t="shared" si="23"/>
        <v>0</v>
      </c>
      <c r="DK20" s="296">
        <f t="shared" si="33"/>
        <v>0</v>
      </c>
      <c r="DM20" s="411"/>
    </row>
    <row r="21" spans="1:117" ht="16.5" customHeight="1" thickBot="1">
      <c r="A21" s="534">
        <v>15</v>
      </c>
      <c r="B21" s="103">
        <f>'[1]декабрь 20'!K20</f>
        <v>540.096</v>
      </c>
      <c r="C21" s="104">
        <f t="shared" si="0"/>
        <v>3.0572540066951062</v>
      </c>
      <c r="D21" s="143">
        <f t="shared" si="1"/>
        <v>523.58389340000008</v>
      </c>
      <c r="E21" s="104">
        <f t="shared" si="35"/>
        <v>38.281816047517481</v>
      </c>
      <c r="F21" s="128">
        <f t="shared" si="3"/>
        <v>2.2960580496062026</v>
      </c>
      <c r="G21" s="106"/>
      <c r="H21" s="107">
        <f t="shared" si="4"/>
        <v>1.7654093800978792</v>
      </c>
      <c r="I21" s="103">
        <f>'[1]сентябрь 20'!AE20</f>
        <v>0</v>
      </c>
      <c r="J21" s="103">
        <f>'[1]декабрь 20'!AA20</f>
        <v>21.675999999999998</v>
      </c>
      <c r="K21" s="106">
        <v>37.130000000000003</v>
      </c>
      <c r="L21" s="103">
        <f>'[1]декабрь 20'!AI20</f>
        <v>121.00700000000001</v>
      </c>
      <c r="M21" s="103">
        <f t="shared" si="5"/>
        <v>0.53064866950832312</v>
      </c>
      <c r="N21" s="103">
        <f>'[1]август 20'!W20</f>
        <v>0</v>
      </c>
      <c r="O21" s="103">
        <f>'[1]сентябрь 20'!AM20</f>
        <v>0</v>
      </c>
      <c r="P21" s="447">
        <f t="shared" si="24"/>
        <v>0</v>
      </c>
      <c r="Q21" s="103">
        <f t="shared" si="25"/>
        <v>0</v>
      </c>
      <c r="R21" s="103">
        <f>'[1]декабрь 20'!S20</f>
        <v>339.30900000000003</v>
      </c>
      <c r="S21" s="108">
        <f t="shared" si="6"/>
        <v>2.9085582757899187</v>
      </c>
      <c r="T21" s="109">
        <f t="shared" si="7"/>
        <v>329.44</v>
      </c>
      <c r="U21" s="106">
        <v>19.27</v>
      </c>
      <c r="V21" s="109">
        <f t="shared" si="8"/>
        <v>329.44</v>
      </c>
      <c r="W21" s="110">
        <f t="shared" si="9"/>
        <v>1.4446841726744899</v>
      </c>
      <c r="X21" s="110">
        <f t="shared" si="26"/>
        <v>1.4446841726744899</v>
      </c>
      <c r="Y21" s="136">
        <v>228.04</v>
      </c>
      <c r="Z21" s="130"/>
      <c r="AA21" s="131">
        <v>1.48</v>
      </c>
      <c r="AB21" s="112">
        <v>631</v>
      </c>
      <c r="AC21" s="133">
        <v>1233</v>
      </c>
      <c r="AD21" s="151" t="s">
        <v>500</v>
      </c>
      <c r="AE21" s="131">
        <v>76.7</v>
      </c>
      <c r="AF21" s="133">
        <v>180</v>
      </c>
      <c r="AG21" s="134">
        <v>5</v>
      </c>
      <c r="AH21" s="131">
        <v>4.3499999999999996</v>
      </c>
      <c r="AI21" s="115">
        <f t="shared" si="10"/>
        <v>19.075935378624422</v>
      </c>
      <c r="AJ21" s="131">
        <v>134.6</v>
      </c>
      <c r="AK21" s="115">
        <f t="shared" si="11"/>
        <v>590.25767861214888</v>
      </c>
      <c r="AL21" s="139">
        <v>31.15</v>
      </c>
      <c r="AM21" s="131"/>
      <c r="AN21" s="136">
        <v>14.53</v>
      </c>
      <c r="AO21" s="466">
        <f t="shared" si="27"/>
        <v>56.164000000000001</v>
      </c>
      <c r="AP21" s="110">
        <f t="shared" si="12"/>
        <v>0.19</v>
      </c>
      <c r="AQ21" s="137" t="s">
        <v>209</v>
      </c>
      <c r="AR21" s="150">
        <v>7.89</v>
      </c>
      <c r="AS21" s="138">
        <v>7.28</v>
      </c>
      <c r="AT21" s="131"/>
      <c r="AU21" s="131">
        <v>6.67</v>
      </c>
      <c r="AV21" s="315">
        <v>295.60000000000002</v>
      </c>
      <c r="AW21" s="131">
        <v>3.13</v>
      </c>
      <c r="AX21" s="116"/>
      <c r="AY21" s="131"/>
      <c r="AZ21" s="109">
        <f t="shared" si="34"/>
        <v>0</v>
      </c>
      <c r="BA21" s="109">
        <f t="shared" si="13"/>
        <v>228.03600000000003</v>
      </c>
      <c r="BB21" s="115">
        <f t="shared" si="28"/>
        <v>228.13803157006407</v>
      </c>
      <c r="BC21" s="140">
        <f t="shared" si="14"/>
        <v>6.9546492957746473</v>
      </c>
      <c r="BD21" s="141">
        <f t="shared" si="15"/>
        <v>9.1214400000000015</v>
      </c>
      <c r="BE21" s="128">
        <f t="shared" si="16"/>
        <v>0.8726095628595858</v>
      </c>
      <c r="BF21" s="141">
        <f t="shared" si="17"/>
        <v>16.076089295774651</v>
      </c>
      <c r="BG21" s="535">
        <v>0.89</v>
      </c>
      <c r="BH21" s="16">
        <f t="shared" si="29"/>
        <v>3228.3530000000001</v>
      </c>
      <c r="BI21" s="16">
        <f t="shared" si="18"/>
        <v>225.16129032258064</v>
      </c>
      <c r="BJ21" s="16">
        <f t="shared" si="30"/>
        <v>3377.4193548387093</v>
      </c>
      <c r="BK21" s="17">
        <f t="shared" si="19"/>
        <v>1</v>
      </c>
      <c r="BL21" s="16">
        <f t="shared" si="31"/>
        <v>3377.4193548387093</v>
      </c>
      <c r="BM21" s="254">
        <v>419.089</v>
      </c>
      <c r="BN21" s="197">
        <v>21.99</v>
      </c>
      <c r="BO21" s="197">
        <v>99.016999999999996</v>
      </c>
      <c r="BP21" s="197"/>
      <c r="BQ21" s="230"/>
      <c r="BR21" s="230"/>
      <c r="BS21" s="259"/>
      <c r="BT21" s="199"/>
      <c r="BU21" s="200">
        <v>3.94</v>
      </c>
      <c r="BV21" s="200"/>
      <c r="BW21" s="200"/>
      <c r="BX21" s="200"/>
      <c r="BY21" s="208"/>
      <c r="BZ21" s="208"/>
      <c r="CA21" s="201"/>
      <c r="CB21" s="202">
        <v>36.72</v>
      </c>
      <c r="CC21" s="200">
        <v>43.56</v>
      </c>
      <c r="CD21" s="200">
        <v>43.72</v>
      </c>
      <c r="CE21" s="200"/>
      <c r="CF21" s="208"/>
      <c r="CG21" s="208"/>
      <c r="CH21" s="209"/>
      <c r="CI21" s="199"/>
      <c r="CJ21" s="197"/>
      <c r="CK21" s="197">
        <v>17.100000000000001</v>
      </c>
      <c r="CL21" s="197">
        <v>138.46</v>
      </c>
      <c r="CM21" s="198">
        <v>173.88</v>
      </c>
      <c r="CN21" s="202"/>
      <c r="CO21" s="208"/>
      <c r="CP21" s="208"/>
      <c r="CQ21" s="201"/>
      <c r="CR21" s="201"/>
      <c r="CS21" s="284"/>
      <c r="CT21" s="286">
        <f t="shared" si="20"/>
        <v>402.57689340000002</v>
      </c>
      <c r="CU21" s="27">
        <f t="shared" si="20"/>
        <v>21.99</v>
      </c>
      <c r="CV21" s="28">
        <f t="shared" si="20"/>
        <v>99.016999999999996</v>
      </c>
      <c r="CW21" s="27">
        <f t="shared" si="20"/>
        <v>0</v>
      </c>
      <c r="CX21" s="27">
        <f t="shared" si="20"/>
        <v>0</v>
      </c>
      <c r="CY21" s="24">
        <f t="shared" si="20"/>
        <v>0</v>
      </c>
      <c r="CZ21" s="281">
        <f t="shared" si="20"/>
        <v>0</v>
      </c>
      <c r="DA21" s="237">
        <f t="shared" si="21"/>
        <v>0</v>
      </c>
      <c r="DB21" s="24">
        <f t="shared" si="21"/>
        <v>17.100000000000001</v>
      </c>
      <c r="DC21" s="277">
        <f t="shared" si="21"/>
        <v>138.46</v>
      </c>
      <c r="DD21" s="280">
        <f t="shared" si="21"/>
        <v>173.88</v>
      </c>
      <c r="DE21" s="508">
        <f t="shared" si="32"/>
        <v>0</v>
      </c>
      <c r="DG21" s="293">
        <f t="shared" si="22"/>
        <v>0</v>
      </c>
      <c r="DH21" s="294"/>
      <c r="DI21" s="294"/>
      <c r="DJ21" s="295">
        <f t="shared" si="23"/>
        <v>0</v>
      </c>
      <c r="DK21" s="296">
        <f t="shared" si="33"/>
        <v>0</v>
      </c>
      <c r="DM21" s="411"/>
    </row>
    <row r="22" spans="1:117" ht="16.5" customHeight="1" thickBot="1">
      <c r="A22" s="534">
        <v>16</v>
      </c>
      <c r="B22" s="103">
        <f>'[1]декабрь 20'!K21</f>
        <v>483.32400000000001</v>
      </c>
      <c r="C22" s="104">
        <f t="shared" si="0"/>
        <v>1.623883357747598</v>
      </c>
      <c r="D22" s="143">
        <f t="shared" si="1"/>
        <v>475.47538199999997</v>
      </c>
      <c r="E22" s="104">
        <f>IF(B22=0,0,(BM22*CB22+BN22*CC22+BP22*CE22+BS22*CH22+BO22*CD22+BR22*CG22+BQ22*CF22)/B22)</f>
        <v>37.661162781074395</v>
      </c>
      <c r="F22" s="128">
        <f t="shared" si="3"/>
        <v>2.1261937015796359</v>
      </c>
      <c r="G22" s="106"/>
      <c r="H22" s="107">
        <f t="shared" si="4"/>
        <v>1.5973142033068386</v>
      </c>
      <c r="I22" s="103">
        <f>'[1]сентябрь 20'!AE21</f>
        <v>0</v>
      </c>
      <c r="J22" s="103">
        <f>'[1]декабрь 20'!AA21</f>
        <v>19.861999999999998</v>
      </c>
      <c r="K22" s="106">
        <v>31.58</v>
      </c>
      <c r="L22" s="103">
        <f>'[1]декабрь 20'!AI21</f>
        <v>118.27200000000001</v>
      </c>
      <c r="M22" s="103">
        <f t="shared" si="5"/>
        <v>0.52887949827279745</v>
      </c>
      <c r="N22" s="103">
        <f>'[1]август 20'!W21</f>
        <v>0</v>
      </c>
      <c r="O22" s="103">
        <f>'[1]сентябрь 20'!AM21</f>
        <v>0</v>
      </c>
      <c r="P22" s="447">
        <f t="shared" si="24"/>
        <v>0</v>
      </c>
      <c r="Q22" s="103">
        <f t="shared" si="25"/>
        <v>0</v>
      </c>
      <c r="R22" s="103">
        <f>'[1]декабрь 20'!S21</f>
        <v>298.49900000000002</v>
      </c>
      <c r="S22" s="108">
        <f t="shared" si="6"/>
        <v>3.2526072114144489</v>
      </c>
      <c r="T22" s="109">
        <f t="shared" si="7"/>
        <v>288.79000000000002</v>
      </c>
      <c r="U22" s="106">
        <v>27.99</v>
      </c>
      <c r="V22" s="109">
        <f t="shared" si="8"/>
        <v>288.79000000000002</v>
      </c>
      <c r="W22" s="110">
        <f t="shared" si="9"/>
        <v>1.2913885814580053</v>
      </c>
      <c r="X22" s="110">
        <f t="shared" si="26"/>
        <v>1.2913885814580053</v>
      </c>
      <c r="Y22" s="136">
        <v>223.63</v>
      </c>
      <c r="Z22" s="129">
        <v>141.93</v>
      </c>
      <c r="AA22" s="131">
        <v>0.98</v>
      </c>
      <c r="AB22" s="112">
        <v>598</v>
      </c>
      <c r="AC22" s="152">
        <v>1213</v>
      </c>
      <c r="AD22" s="144" t="s">
        <v>438</v>
      </c>
      <c r="AE22" s="131">
        <v>76.39</v>
      </c>
      <c r="AF22" s="133">
        <v>161</v>
      </c>
      <c r="AG22" s="134">
        <v>5</v>
      </c>
      <c r="AH22" s="131">
        <v>5.4</v>
      </c>
      <c r="AI22" s="115">
        <f t="shared" si="10"/>
        <v>24.147298520977969</v>
      </c>
      <c r="AJ22" s="131">
        <v>140.69999999999999</v>
      </c>
      <c r="AK22" s="115">
        <f t="shared" si="11"/>
        <v>629.17127812992589</v>
      </c>
      <c r="AL22" s="139">
        <v>25.21</v>
      </c>
      <c r="AM22" s="131"/>
      <c r="AN22" s="136">
        <v>15.36</v>
      </c>
      <c r="AO22" s="466">
        <f t="shared" si="27"/>
        <v>55.2425</v>
      </c>
      <c r="AP22" s="110">
        <f t="shared" si="12"/>
        <v>0.19</v>
      </c>
      <c r="AQ22" s="137" t="s">
        <v>206</v>
      </c>
      <c r="AR22" s="150">
        <v>7.14</v>
      </c>
      <c r="AS22" s="138">
        <v>7.7</v>
      </c>
      <c r="AT22" s="134"/>
      <c r="AU22" s="131">
        <v>6.65</v>
      </c>
      <c r="AV22" s="315">
        <v>290.75</v>
      </c>
      <c r="AW22" s="131">
        <v>3.48</v>
      </c>
      <c r="AX22" s="116"/>
      <c r="AY22" s="131"/>
      <c r="AZ22" s="109">
        <f t="shared" si="34"/>
        <v>0</v>
      </c>
      <c r="BA22" s="109">
        <f t="shared" si="13"/>
        <v>223.62749999999997</v>
      </c>
      <c r="BB22" s="115">
        <f t="shared" si="28"/>
        <v>204.6442254010839</v>
      </c>
      <c r="BC22" s="140">
        <f t="shared" si="14"/>
        <v>7.248031690140845</v>
      </c>
      <c r="BD22" s="141">
        <f t="shared" si="15"/>
        <v>8.9450999999999983</v>
      </c>
      <c r="BE22" s="128">
        <f t="shared" si="16"/>
        <v>0.95398151165699085</v>
      </c>
      <c r="BF22" s="141">
        <f t="shared" si="17"/>
        <v>16.193131690140845</v>
      </c>
      <c r="BG22" s="535">
        <v>0.89400000000000002</v>
      </c>
      <c r="BH22" s="16">
        <f t="shared" si="29"/>
        <v>3451.9805000000001</v>
      </c>
      <c r="BI22" s="16">
        <f t="shared" si="18"/>
        <v>225.16129032258064</v>
      </c>
      <c r="BJ22" s="16">
        <f t="shared" si="30"/>
        <v>3602.5806451612898</v>
      </c>
      <c r="BK22" s="17">
        <f t="shared" si="19"/>
        <v>1</v>
      </c>
      <c r="BL22" s="16">
        <f t="shared" si="31"/>
        <v>3602.5806451612898</v>
      </c>
      <c r="BM22" s="254">
        <v>365.05200000000002</v>
      </c>
      <c r="BN22" s="197">
        <v>24.286999999999999</v>
      </c>
      <c r="BO22" s="197">
        <v>93.984999999999999</v>
      </c>
      <c r="BP22" s="197"/>
      <c r="BQ22" s="230"/>
      <c r="BR22" s="230"/>
      <c r="BS22" s="258"/>
      <c r="BT22" s="199"/>
      <c r="BU22" s="200">
        <v>2.15</v>
      </c>
      <c r="BV22" s="200"/>
      <c r="BW22" s="200"/>
      <c r="BX22" s="200"/>
      <c r="BY22" s="208"/>
      <c r="BZ22" s="208"/>
      <c r="CA22" s="201"/>
      <c r="CB22" s="202">
        <v>35.729999999999997</v>
      </c>
      <c r="CC22" s="200">
        <v>43.59</v>
      </c>
      <c r="CD22" s="200">
        <v>43.63</v>
      </c>
      <c r="CE22" s="200"/>
      <c r="CF22" s="208"/>
      <c r="CG22" s="208"/>
      <c r="CH22" s="201"/>
      <c r="CI22" s="199"/>
      <c r="CJ22" s="197"/>
      <c r="CK22" s="197">
        <v>144.46</v>
      </c>
      <c r="CL22" s="197"/>
      <c r="CM22" s="198">
        <v>144.33000000000001</v>
      </c>
      <c r="CN22" s="202"/>
      <c r="CO22" s="200"/>
      <c r="CP22" s="208"/>
      <c r="CQ22" s="201"/>
      <c r="CR22" s="201"/>
      <c r="CS22" s="284"/>
      <c r="CT22" s="286">
        <f t="shared" si="20"/>
        <v>357.20338199999998</v>
      </c>
      <c r="CU22" s="29">
        <f t="shared" si="20"/>
        <v>24.286999999999999</v>
      </c>
      <c r="CV22" s="30">
        <f t="shared" si="20"/>
        <v>93.984999999999999</v>
      </c>
      <c r="CW22" s="29">
        <f t="shared" si="20"/>
        <v>0</v>
      </c>
      <c r="CX22" s="27">
        <f t="shared" si="20"/>
        <v>0</v>
      </c>
      <c r="CY22" s="24">
        <f t="shared" si="20"/>
        <v>0</v>
      </c>
      <c r="CZ22" s="282">
        <f t="shared" si="20"/>
        <v>0</v>
      </c>
      <c r="DA22" s="237">
        <f t="shared" si="21"/>
        <v>0</v>
      </c>
      <c r="DB22" s="24">
        <f t="shared" si="21"/>
        <v>144.46</v>
      </c>
      <c r="DC22" s="277">
        <f t="shared" si="21"/>
        <v>0</v>
      </c>
      <c r="DD22" s="280">
        <f t="shared" si="21"/>
        <v>144.33000000000001</v>
      </c>
      <c r="DE22" s="508">
        <f t="shared" si="32"/>
        <v>0</v>
      </c>
      <c r="DG22" s="293">
        <f t="shared" si="22"/>
        <v>0</v>
      </c>
      <c r="DH22" s="294"/>
      <c r="DI22" s="294"/>
      <c r="DJ22" s="295">
        <f t="shared" si="23"/>
        <v>0</v>
      </c>
      <c r="DK22" s="296">
        <f t="shared" si="33"/>
        <v>0</v>
      </c>
      <c r="DM22" s="411"/>
    </row>
    <row r="23" spans="1:117" ht="16.5" customHeight="1" thickBot="1">
      <c r="A23" s="534">
        <v>17</v>
      </c>
      <c r="B23" s="103">
        <f>'[1]декабрь 20'!K22</f>
        <v>495.096</v>
      </c>
      <c r="C23" s="104">
        <f t="shared" si="0"/>
        <v>1.0352363985974435</v>
      </c>
      <c r="D23" s="143">
        <f t="shared" si="1"/>
        <v>489.97058599999997</v>
      </c>
      <c r="E23" s="104">
        <f t="shared" si="35"/>
        <v>37.667573480698692</v>
      </c>
      <c r="F23" s="128">
        <f t="shared" si="3"/>
        <v>2.1646256231955765</v>
      </c>
      <c r="G23" s="106"/>
      <c r="H23" s="107">
        <f t="shared" si="4"/>
        <v>1.5947426746217752</v>
      </c>
      <c r="I23" s="103">
        <f>'[1]сентябрь 20'!AE22</f>
        <v>0</v>
      </c>
      <c r="J23" s="103">
        <f>'[1]декабрь 20'!AA22</f>
        <v>19.776</v>
      </c>
      <c r="K23" s="106">
        <v>36</v>
      </c>
      <c r="L23" s="103">
        <f>'[1]декабрь 20'!AI22</f>
        <v>128.995</v>
      </c>
      <c r="M23" s="103">
        <f t="shared" si="5"/>
        <v>0.56988294857380151</v>
      </c>
      <c r="N23" s="103">
        <f>'[1]август 20'!W22</f>
        <v>0</v>
      </c>
      <c r="O23" s="103">
        <f>'[1]сентябрь 20'!AM22</f>
        <v>0</v>
      </c>
      <c r="P23" s="447">
        <f t="shared" si="24"/>
        <v>0</v>
      </c>
      <c r="Q23" s="103">
        <f t="shared" si="25"/>
        <v>0</v>
      </c>
      <c r="R23" s="103">
        <f>'[1]декабрь 20'!S22</f>
        <v>303.34899999999999</v>
      </c>
      <c r="S23" s="108">
        <f t="shared" si="6"/>
        <v>3.2137900569970457</v>
      </c>
      <c r="T23" s="109">
        <f t="shared" si="7"/>
        <v>293.60000000000002</v>
      </c>
      <c r="U23" s="106">
        <v>48.17</v>
      </c>
      <c r="V23" s="109">
        <f t="shared" si="8"/>
        <v>293.60000000000002</v>
      </c>
      <c r="W23" s="110">
        <f t="shared" si="9"/>
        <v>1.2970861948235834</v>
      </c>
      <c r="X23" s="110">
        <f t="shared" si="26"/>
        <v>1.2970861948235834</v>
      </c>
      <c r="Y23" s="136">
        <v>226.35</v>
      </c>
      <c r="Z23" s="129">
        <v>92.89</v>
      </c>
      <c r="AA23" s="131">
        <v>1.01</v>
      </c>
      <c r="AB23" s="112">
        <v>646</v>
      </c>
      <c r="AC23" s="133">
        <v>1228</v>
      </c>
      <c r="AD23" s="144" t="s">
        <v>476</v>
      </c>
      <c r="AE23" s="131">
        <v>76.14</v>
      </c>
      <c r="AF23" s="133">
        <v>165</v>
      </c>
      <c r="AG23" s="134">
        <v>5</v>
      </c>
      <c r="AH23" s="131"/>
      <c r="AI23" s="115">
        <f t="shared" si="10"/>
        <v>0</v>
      </c>
      <c r="AJ23" s="131">
        <v>128.80000000000001</v>
      </c>
      <c r="AK23" s="115">
        <f t="shared" si="11"/>
        <v>569.02146421416057</v>
      </c>
      <c r="AL23" s="139">
        <v>26.7</v>
      </c>
      <c r="AM23" s="131"/>
      <c r="AN23" s="136">
        <v>12.44</v>
      </c>
      <c r="AO23" s="466">
        <f t="shared" si="27"/>
        <v>54.976500000000001</v>
      </c>
      <c r="AP23" s="110">
        <f t="shared" si="12"/>
        <v>0.19</v>
      </c>
      <c r="AQ23" s="137" t="s">
        <v>503</v>
      </c>
      <c r="AR23" s="150">
        <v>6.97</v>
      </c>
      <c r="AS23" s="138">
        <v>7.13</v>
      </c>
      <c r="AT23" s="134"/>
      <c r="AU23" s="131">
        <v>6.72</v>
      </c>
      <c r="AV23" s="315">
        <v>289.35000000000002</v>
      </c>
      <c r="AW23" s="131">
        <v>4.42</v>
      </c>
      <c r="AX23" s="116"/>
      <c r="AY23" s="131"/>
      <c r="AZ23" s="109">
        <f t="shared" si="34"/>
        <v>0</v>
      </c>
      <c r="BA23" s="109">
        <f t="shared" si="13"/>
        <v>226.35350000000003</v>
      </c>
      <c r="BB23" s="115">
        <f t="shared" si="28"/>
        <v>211.611382505791</v>
      </c>
      <c r="BC23" s="140">
        <f t="shared" si="14"/>
        <v>6.7048563380281685</v>
      </c>
      <c r="BD23" s="141">
        <f t="shared" si="15"/>
        <v>9.0541400000000021</v>
      </c>
      <c r="BE23" s="128">
        <f t="shared" si="16"/>
        <v>0.93381841354678685</v>
      </c>
      <c r="BF23" s="141">
        <f t="shared" si="17"/>
        <v>15.758996338028171</v>
      </c>
      <c r="BG23" s="535">
        <v>0.89600000000000002</v>
      </c>
      <c r="BH23" s="16">
        <f t="shared" si="29"/>
        <v>3678.3340000000003</v>
      </c>
      <c r="BI23" s="16">
        <f t="shared" si="18"/>
        <v>225.16129032258064</v>
      </c>
      <c r="BJ23" s="16">
        <f t="shared" si="30"/>
        <v>3827.7419354838703</v>
      </c>
      <c r="BK23" s="17">
        <f t="shared" si="19"/>
        <v>1</v>
      </c>
      <c r="BL23" s="16">
        <f t="shared" si="31"/>
        <v>3827.7419354838703</v>
      </c>
      <c r="BM23" s="254">
        <v>366.101</v>
      </c>
      <c r="BN23" s="197">
        <v>24.524999999999999</v>
      </c>
      <c r="BO23" s="197">
        <v>104.47</v>
      </c>
      <c r="BP23" s="197"/>
      <c r="BQ23" s="230"/>
      <c r="BR23" s="230"/>
      <c r="BS23" s="258"/>
      <c r="BT23" s="199"/>
      <c r="BU23" s="200">
        <v>1.4</v>
      </c>
      <c r="BV23" s="200"/>
      <c r="BW23" s="200"/>
      <c r="BX23" s="200"/>
      <c r="BY23" s="208"/>
      <c r="BZ23" s="208"/>
      <c r="CA23" s="201"/>
      <c r="CB23" s="202">
        <v>35.51</v>
      </c>
      <c r="CC23" s="200">
        <v>43.71</v>
      </c>
      <c r="CD23" s="200">
        <v>43.81</v>
      </c>
      <c r="CE23" s="200"/>
      <c r="CF23" s="208"/>
      <c r="CG23" s="208"/>
      <c r="CH23" s="209"/>
      <c r="CI23" s="199"/>
      <c r="CJ23" s="197"/>
      <c r="CK23" s="197">
        <v>146.85</v>
      </c>
      <c r="CL23" s="197"/>
      <c r="CM23" s="198">
        <v>146.75</v>
      </c>
      <c r="CN23" s="202"/>
      <c r="CO23" s="208"/>
      <c r="CP23" s="208"/>
      <c r="CQ23" s="201"/>
      <c r="CR23" s="201"/>
      <c r="CS23" s="284"/>
      <c r="CT23" s="286">
        <f t="shared" si="20"/>
        <v>360.97558600000002</v>
      </c>
      <c r="CU23" s="24">
        <f t="shared" si="20"/>
        <v>24.524999999999999</v>
      </c>
      <c r="CV23" s="25">
        <f t="shared" si="20"/>
        <v>104.47</v>
      </c>
      <c r="CW23" s="24">
        <f t="shared" si="20"/>
        <v>0</v>
      </c>
      <c r="CX23" s="27">
        <f t="shared" si="20"/>
        <v>0</v>
      </c>
      <c r="CY23" s="24">
        <f t="shared" si="20"/>
        <v>0</v>
      </c>
      <c r="CZ23" s="280">
        <f t="shared" si="20"/>
        <v>0</v>
      </c>
      <c r="DA23" s="237">
        <f t="shared" si="21"/>
        <v>0</v>
      </c>
      <c r="DB23" s="29">
        <f t="shared" si="21"/>
        <v>146.85</v>
      </c>
      <c r="DC23" s="277">
        <f t="shared" si="21"/>
        <v>0</v>
      </c>
      <c r="DD23" s="280">
        <f t="shared" si="21"/>
        <v>146.75</v>
      </c>
      <c r="DE23" s="508">
        <f t="shared" si="32"/>
        <v>0</v>
      </c>
      <c r="DG23" s="293">
        <f t="shared" si="22"/>
        <v>0</v>
      </c>
      <c r="DH23" s="294"/>
      <c r="DI23" s="294"/>
      <c r="DJ23" s="295">
        <f t="shared" si="23"/>
        <v>0</v>
      </c>
      <c r="DK23" s="296">
        <f t="shared" si="33"/>
        <v>0</v>
      </c>
      <c r="DM23" s="411"/>
    </row>
    <row r="24" spans="1:117" ht="16.5" customHeight="1" thickBot="1">
      <c r="A24" s="534">
        <v>18</v>
      </c>
      <c r="B24" s="103">
        <f>'[1]декабрь 20'!K23</f>
        <v>525.98400000000004</v>
      </c>
      <c r="C24" s="104">
        <f t="shared" si="0"/>
        <v>0.660082816207337</v>
      </c>
      <c r="D24" s="143">
        <f t="shared" si="1"/>
        <v>522.51207000000011</v>
      </c>
      <c r="E24" s="104">
        <f t="shared" si="35"/>
        <v>38.720478873882087</v>
      </c>
      <c r="F24" s="128">
        <f t="shared" si="3"/>
        <v>2.2438845145484105</v>
      </c>
      <c r="G24" s="106"/>
      <c r="H24" s="107">
        <f t="shared" si="4"/>
        <v>1.6417471833995032</v>
      </c>
      <c r="I24" s="103">
        <f>'[1]сентябрь 20'!AE23</f>
        <v>0</v>
      </c>
      <c r="J24" s="103">
        <f>'[1]декабрь 20'!AA23</f>
        <v>21.038</v>
      </c>
      <c r="K24" s="106">
        <v>33.96</v>
      </c>
      <c r="L24" s="103">
        <f>'[1]декабрь 20'!AI23</f>
        <v>140.214</v>
      </c>
      <c r="M24" s="103">
        <f t="shared" si="5"/>
        <v>0.60213733114890677</v>
      </c>
      <c r="N24" s="103">
        <f>'[1]август 20'!W23</f>
        <v>0</v>
      </c>
      <c r="O24" s="103">
        <f>'[1]сентябрь 20'!AM23</f>
        <v>0</v>
      </c>
      <c r="P24" s="447">
        <f t="shared" si="24"/>
        <v>0</v>
      </c>
      <c r="Q24" s="103">
        <f t="shared" si="25"/>
        <v>0</v>
      </c>
      <c r="R24" s="103">
        <f>'[1]декабрь 20'!S23</f>
        <v>322.57499999999999</v>
      </c>
      <c r="S24" s="108">
        <f t="shared" si="6"/>
        <v>3.0396031930558842</v>
      </c>
      <c r="T24" s="109">
        <f t="shared" si="7"/>
        <v>312.77</v>
      </c>
      <c r="U24" s="106">
        <v>16.93</v>
      </c>
      <c r="V24" s="109">
        <f t="shared" si="8"/>
        <v>312.77</v>
      </c>
      <c r="W24" s="110">
        <f t="shared" si="9"/>
        <v>1.3431646844355312</v>
      </c>
      <c r="X24" s="110">
        <f t="shared" si="26"/>
        <v>1.3431646844355312</v>
      </c>
      <c r="Y24" s="136">
        <v>232.86</v>
      </c>
      <c r="Z24" s="129">
        <v>232.86</v>
      </c>
      <c r="AA24" s="131">
        <v>0.63</v>
      </c>
      <c r="AB24" s="133">
        <v>594</v>
      </c>
      <c r="AC24" s="133">
        <v>1229</v>
      </c>
      <c r="AD24" s="144" t="s">
        <v>426</v>
      </c>
      <c r="AE24" s="131">
        <v>76.06</v>
      </c>
      <c r="AF24" s="133">
        <v>176</v>
      </c>
      <c r="AG24" s="134">
        <v>5</v>
      </c>
      <c r="AH24" s="131">
        <v>11.8</v>
      </c>
      <c r="AI24" s="115">
        <f t="shared" si="10"/>
        <v>50.674116048020167</v>
      </c>
      <c r="AJ24" s="131">
        <v>136</v>
      </c>
      <c r="AK24" s="115">
        <f t="shared" si="11"/>
        <v>584.04065953650365</v>
      </c>
      <c r="AL24" s="139">
        <v>34.799999999999997</v>
      </c>
      <c r="AM24" s="131"/>
      <c r="AN24" s="136">
        <v>12.55</v>
      </c>
      <c r="AO24" s="466">
        <f t="shared" si="27"/>
        <v>57.009500000000003</v>
      </c>
      <c r="AP24" s="110">
        <f t="shared" si="12"/>
        <v>0.19</v>
      </c>
      <c r="AQ24" s="137" t="s">
        <v>206</v>
      </c>
      <c r="AR24" s="150">
        <v>6.75</v>
      </c>
      <c r="AS24" s="138">
        <v>7.23</v>
      </c>
      <c r="AT24" s="134"/>
      <c r="AU24" s="131">
        <v>7.56</v>
      </c>
      <c r="AV24" s="315">
        <v>300.05</v>
      </c>
      <c r="AW24" s="131">
        <v>2.37</v>
      </c>
      <c r="AX24" s="116"/>
      <c r="AY24" s="131"/>
      <c r="AZ24" s="109">
        <f t="shared" si="34"/>
        <v>0</v>
      </c>
      <c r="BA24" s="109">
        <f t="shared" si="13"/>
        <v>232.8605</v>
      </c>
      <c r="BB24" s="115">
        <f t="shared" si="28"/>
        <v>232.21751297232325</v>
      </c>
      <c r="BC24" s="140">
        <f t="shared" si="14"/>
        <v>7.9646197183098586</v>
      </c>
      <c r="BD24" s="141">
        <f t="shared" si="15"/>
        <v>9.3144200000000001</v>
      </c>
      <c r="BE24" s="128">
        <f t="shared" si="16"/>
        <v>0.87541724953461486</v>
      </c>
      <c r="BF24" s="141">
        <f>BC24+BD24</f>
        <v>17.279039718309861</v>
      </c>
      <c r="BG24" s="535">
        <v>0.89500000000000002</v>
      </c>
      <c r="BH24" s="16">
        <f t="shared" si="29"/>
        <v>3911.1945000000005</v>
      </c>
      <c r="BI24" s="16">
        <f t="shared" si="18"/>
        <v>225.16129032258064</v>
      </c>
      <c r="BJ24" s="16">
        <f t="shared" si="30"/>
        <v>4052.9032258064508</v>
      </c>
      <c r="BK24" s="17">
        <f t="shared" si="19"/>
        <v>1</v>
      </c>
      <c r="BL24" s="16">
        <f t="shared" si="31"/>
        <v>4052.9032258064508</v>
      </c>
      <c r="BM24" s="254">
        <v>385.77</v>
      </c>
      <c r="BN24" s="197">
        <v>26.19</v>
      </c>
      <c r="BO24" s="197">
        <v>114.024</v>
      </c>
      <c r="BP24" s="197"/>
      <c r="BQ24" s="230"/>
      <c r="BR24" s="230"/>
      <c r="BS24" s="258"/>
      <c r="BT24" s="199"/>
      <c r="BU24" s="200">
        <v>0.9</v>
      </c>
      <c r="BV24" s="200"/>
      <c r="BW24" s="200"/>
      <c r="BX24" s="200"/>
      <c r="BY24" s="208"/>
      <c r="BZ24" s="208"/>
      <c r="CA24" s="201"/>
      <c r="CB24" s="202">
        <v>36.909999999999997</v>
      </c>
      <c r="CC24" s="200">
        <v>43.97</v>
      </c>
      <c r="CD24" s="200">
        <v>43.64</v>
      </c>
      <c r="CE24" s="200"/>
      <c r="CF24" s="208"/>
      <c r="CG24" s="208"/>
      <c r="CH24" s="209"/>
      <c r="CI24" s="199"/>
      <c r="CJ24" s="197"/>
      <c r="CK24" s="197">
        <v>156.63999999999999</v>
      </c>
      <c r="CL24" s="197"/>
      <c r="CM24" s="198">
        <v>156.13</v>
      </c>
      <c r="CN24" s="202"/>
      <c r="CO24" s="208"/>
      <c r="CP24" s="208"/>
      <c r="CQ24" s="201"/>
      <c r="CR24" s="201"/>
      <c r="CS24" s="284"/>
      <c r="CT24" s="286">
        <f t="shared" si="20"/>
        <v>382.29807</v>
      </c>
      <c r="CU24" s="29">
        <f t="shared" si="20"/>
        <v>26.19</v>
      </c>
      <c r="CV24" s="30">
        <f t="shared" si="20"/>
        <v>114.024</v>
      </c>
      <c r="CW24" s="29">
        <f t="shared" si="20"/>
        <v>0</v>
      </c>
      <c r="CX24" s="27">
        <f t="shared" si="20"/>
        <v>0</v>
      </c>
      <c r="CY24" s="27">
        <f t="shared" si="20"/>
        <v>0</v>
      </c>
      <c r="CZ24" s="282">
        <f t="shared" si="20"/>
        <v>0</v>
      </c>
      <c r="DA24" s="25">
        <f t="shared" si="21"/>
        <v>0</v>
      </c>
      <c r="DB24" s="26">
        <f t="shared" si="21"/>
        <v>156.63999999999999</v>
      </c>
      <c r="DC24" s="277">
        <f t="shared" si="21"/>
        <v>0</v>
      </c>
      <c r="DD24" s="280">
        <f t="shared" si="21"/>
        <v>156.13</v>
      </c>
      <c r="DE24" s="508">
        <f t="shared" si="32"/>
        <v>0</v>
      </c>
      <c r="DG24" s="293">
        <f t="shared" si="22"/>
        <v>0</v>
      </c>
      <c r="DH24" s="294"/>
      <c r="DI24" s="294"/>
      <c r="DJ24" s="295">
        <f t="shared" si="23"/>
        <v>0</v>
      </c>
      <c r="DK24" s="296">
        <f t="shared" si="33"/>
        <v>0</v>
      </c>
      <c r="DM24" s="411"/>
    </row>
    <row r="25" spans="1:117" ht="16.5" customHeight="1" thickBot="1">
      <c r="A25" s="534">
        <v>19</v>
      </c>
      <c r="B25" s="103">
        <f>'[1]декабрь 20'!K24</f>
        <v>527.66499999999996</v>
      </c>
      <c r="C25" s="104">
        <f t="shared" si="0"/>
        <v>1.5466922005439057</v>
      </c>
      <c r="D25" s="143">
        <f t="shared" si="1"/>
        <v>519.50364660000002</v>
      </c>
      <c r="E25" s="104">
        <f t="shared" si="35"/>
        <v>39.121703372404838</v>
      </c>
      <c r="F25" s="128">
        <f t="shared" si="3"/>
        <v>2.1411264290218477</v>
      </c>
      <c r="G25" s="106"/>
      <c r="H25" s="107">
        <f t="shared" si="4"/>
        <v>1.5605287312833063</v>
      </c>
      <c r="I25" s="103">
        <f>'[1]сентябрь 20'!AE24</f>
        <v>0</v>
      </c>
      <c r="J25" s="103">
        <f>'[1]декабрь 20'!AA24</f>
        <v>19.661999999999999</v>
      </c>
      <c r="K25" s="106">
        <v>36.61</v>
      </c>
      <c r="L25" s="103">
        <f>'[1]декабрь 20'!AI24</f>
        <v>140.87100000000001</v>
      </c>
      <c r="M25" s="103">
        <f t="shared" si="5"/>
        <v>0.5805976977385412</v>
      </c>
      <c r="N25" s="103">
        <f>'[1]август 20'!W24</f>
        <v>0</v>
      </c>
      <c r="O25" s="103">
        <f>'[1]сентябрь 20'!AM24</f>
        <v>0</v>
      </c>
      <c r="P25" s="447">
        <f t="shared" si="24"/>
        <v>0</v>
      </c>
      <c r="Q25" s="103">
        <f t="shared" si="25"/>
        <v>0</v>
      </c>
      <c r="R25" s="103">
        <f>'[1]декабрь 20'!S24</f>
        <v>322.654</v>
      </c>
      <c r="S25" s="108">
        <f t="shared" si="6"/>
        <v>3.4879468408883896</v>
      </c>
      <c r="T25" s="109">
        <f t="shared" si="7"/>
        <v>311.40000000000003</v>
      </c>
      <c r="U25" s="106"/>
      <c r="V25" s="109">
        <f t="shared" si="8"/>
        <v>311.39999999999998</v>
      </c>
      <c r="W25" s="110">
        <f t="shared" si="9"/>
        <v>1.2834303943024592</v>
      </c>
      <c r="X25" s="110">
        <f t="shared" si="26"/>
        <v>1.2834303943024592</v>
      </c>
      <c r="Y25" s="136">
        <v>242.63</v>
      </c>
      <c r="Z25" s="129">
        <v>201.09</v>
      </c>
      <c r="AA25" s="131">
        <v>0.74</v>
      </c>
      <c r="AB25" s="133">
        <v>582</v>
      </c>
      <c r="AC25" s="133">
        <v>1243</v>
      </c>
      <c r="AD25" s="144" t="s">
        <v>461</v>
      </c>
      <c r="AE25" s="131">
        <v>76.38</v>
      </c>
      <c r="AF25" s="133">
        <v>176</v>
      </c>
      <c r="AG25" s="134">
        <v>5</v>
      </c>
      <c r="AH25" s="131">
        <v>10.6</v>
      </c>
      <c r="AI25" s="115">
        <f t="shared" si="10"/>
        <v>43.687739818901946</v>
      </c>
      <c r="AJ25" s="131">
        <v>143.5</v>
      </c>
      <c r="AK25" s="115">
        <f t="shared" si="11"/>
        <v>591.43308151060648</v>
      </c>
      <c r="AL25" s="139">
        <v>35.29</v>
      </c>
      <c r="AM25" s="131"/>
      <c r="AN25" s="136">
        <v>9.2899999999999991</v>
      </c>
      <c r="AO25" s="466">
        <f t="shared" si="27"/>
        <v>58.539000000000001</v>
      </c>
      <c r="AP25" s="110">
        <f t="shared" si="12"/>
        <v>0.19</v>
      </c>
      <c r="AQ25" s="137" t="s">
        <v>431</v>
      </c>
      <c r="AR25" s="150">
        <v>7.06</v>
      </c>
      <c r="AS25" s="138">
        <v>7.54</v>
      </c>
      <c r="AT25" s="153"/>
      <c r="AU25" s="131">
        <v>8.0299999999999994</v>
      </c>
      <c r="AV25" s="315">
        <v>308.10000000000002</v>
      </c>
      <c r="AW25" s="131">
        <v>2.36</v>
      </c>
      <c r="AX25" s="148"/>
      <c r="AY25" s="131"/>
      <c r="AZ25" s="109">
        <f t="shared" si="34"/>
        <v>0</v>
      </c>
      <c r="BA25" s="109">
        <f t="shared" si="13"/>
        <v>242.63100000000006</v>
      </c>
      <c r="BB25" s="115">
        <f t="shared" si="28"/>
        <v>232.29557976755063</v>
      </c>
      <c r="BC25" s="140">
        <f t="shared" si="14"/>
        <v>8.9263063380281675</v>
      </c>
      <c r="BD25" s="141">
        <f t="shared" ref="BD25:BD37" si="36">BA25*$BD$6</f>
        <v>9.7052400000000016</v>
      </c>
      <c r="BE25" s="128">
        <f t="shared" si="16"/>
        <v>0.91184198688566165</v>
      </c>
      <c r="BF25" s="141">
        <f t="shared" si="17"/>
        <v>18.631546338028169</v>
      </c>
      <c r="BG25" s="535">
        <v>0.89600000000000002</v>
      </c>
      <c r="BH25" s="16">
        <f t="shared" si="29"/>
        <v>4153.8255000000008</v>
      </c>
      <c r="BI25" s="16">
        <f t="shared" si="18"/>
        <v>225.16129032258064</v>
      </c>
      <c r="BJ25" s="16">
        <f t="shared" si="30"/>
        <v>4278.0645161290313</v>
      </c>
      <c r="BK25" s="17">
        <f t="shared" si="19"/>
        <v>1</v>
      </c>
      <c r="BL25" s="16">
        <f t="shared" si="31"/>
        <v>4278.0645161290313</v>
      </c>
      <c r="BM25" s="254">
        <v>386.79399999999998</v>
      </c>
      <c r="BN25" s="197">
        <v>26.405999999999999</v>
      </c>
      <c r="BO25" s="197">
        <v>114.465</v>
      </c>
      <c r="BP25" s="197"/>
      <c r="BQ25" s="230"/>
      <c r="BR25" s="230"/>
      <c r="BS25" s="258"/>
      <c r="BT25" s="199"/>
      <c r="BU25" s="200">
        <v>2.11</v>
      </c>
      <c r="BV25" s="200"/>
      <c r="BW25" s="200"/>
      <c r="BX25" s="200"/>
      <c r="BY25" s="208"/>
      <c r="BZ25" s="208"/>
      <c r="CA25" s="201"/>
      <c r="CB25" s="202">
        <v>37.479999999999997</v>
      </c>
      <c r="CC25" s="200">
        <v>43.54</v>
      </c>
      <c r="CD25" s="200">
        <v>43.65</v>
      </c>
      <c r="CE25" s="200"/>
      <c r="CF25" s="208"/>
      <c r="CG25" s="208"/>
      <c r="CH25" s="201"/>
      <c r="CI25" s="199"/>
      <c r="CJ25" s="197"/>
      <c r="CK25" s="197">
        <v>156.63999999999999</v>
      </c>
      <c r="CL25" s="197"/>
      <c r="CM25" s="198">
        <v>154.76</v>
      </c>
      <c r="CN25" s="202"/>
      <c r="CO25" s="208"/>
      <c r="CP25" s="208"/>
      <c r="CQ25" s="201"/>
      <c r="CR25" s="201"/>
      <c r="CS25" s="284"/>
      <c r="CT25" s="286">
        <f t="shared" si="20"/>
        <v>378.63264659999999</v>
      </c>
      <c r="CU25" s="24">
        <f t="shared" si="20"/>
        <v>26.405999999999999</v>
      </c>
      <c r="CV25" s="25">
        <f t="shared" si="20"/>
        <v>114.465</v>
      </c>
      <c r="CW25" s="24">
        <f t="shared" si="20"/>
        <v>0</v>
      </c>
      <c r="CX25" s="27">
        <f t="shared" si="20"/>
        <v>0</v>
      </c>
      <c r="CY25" s="30">
        <f t="shared" si="20"/>
        <v>0</v>
      </c>
      <c r="CZ25" s="280">
        <f t="shared" si="20"/>
        <v>0</v>
      </c>
      <c r="DA25" s="25">
        <f t="shared" si="21"/>
        <v>0</v>
      </c>
      <c r="DB25" s="26">
        <f t="shared" si="21"/>
        <v>156.63999999999999</v>
      </c>
      <c r="DC25" s="277">
        <f t="shared" si="21"/>
        <v>0</v>
      </c>
      <c r="DD25" s="280">
        <f t="shared" si="21"/>
        <v>154.76</v>
      </c>
      <c r="DE25" s="508">
        <f t="shared" si="32"/>
        <v>0</v>
      </c>
      <c r="DG25" s="293">
        <f t="shared" si="22"/>
        <v>0</v>
      </c>
      <c r="DH25" s="294"/>
      <c r="DI25" s="294"/>
      <c r="DJ25" s="295">
        <f t="shared" si="23"/>
        <v>0</v>
      </c>
      <c r="DK25" s="296">
        <f t="shared" si="33"/>
        <v>0</v>
      </c>
      <c r="DM25" s="411"/>
    </row>
    <row r="26" spans="1:117" ht="16.5" customHeight="1" thickBot="1">
      <c r="A26" s="534">
        <v>20</v>
      </c>
      <c r="B26" s="103">
        <f>'[1]декабрь 20'!K25</f>
        <v>516.84100000000001</v>
      </c>
      <c r="C26" s="104">
        <f t="shared" si="0"/>
        <v>0.7774959029953119</v>
      </c>
      <c r="D26" s="143">
        <f t="shared" si="1"/>
        <v>512.82258239999999</v>
      </c>
      <c r="E26" s="104">
        <f t="shared" si="35"/>
        <v>38.518063775900131</v>
      </c>
      <c r="F26" s="128">
        <f t="shared" si="3"/>
        <v>2.1109022079525808</v>
      </c>
      <c r="G26" s="106"/>
      <c r="H26" s="107">
        <f t="shared" si="4"/>
        <v>1.5439103581131144</v>
      </c>
      <c r="I26" s="103">
        <f>'[1]сентябрь 20'!AE25</f>
        <v>0</v>
      </c>
      <c r="J26" s="103">
        <f>'[1]декабрь 20'!AA25</f>
        <v>20.187999999999999</v>
      </c>
      <c r="K26" s="106">
        <v>51.82</v>
      </c>
      <c r="L26" s="103">
        <f>'[1]декабрь 20'!AI25</f>
        <v>137.745</v>
      </c>
      <c r="M26" s="103">
        <f t="shared" si="5"/>
        <v>0.5669918498394666</v>
      </c>
      <c r="N26" s="103">
        <f>'[1]август 20'!W25</f>
        <v>0</v>
      </c>
      <c r="O26" s="103">
        <f>'[1]сентябрь 20'!AM25</f>
        <v>0</v>
      </c>
      <c r="P26" s="447">
        <f t="shared" si="24"/>
        <v>0</v>
      </c>
      <c r="Q26" s="103">
        <f t="shared" si="25"/>
        <v>0</v>
      </c>
      <c r="R26" s="103">
        <f>'[1]декабрь 20'!S25</f>
        <v>311.75099999999998</v>
      </c>
      <c r="S26" s="108">
        <f t="shared" si="6"/>
        <v>3.3876394943400112</v>
      </c>
      <c r="T26" s="109">
        <f t="shared" si="7"/>
        <v>301.19000000000005</v>
      </c>
      <c r="U26" s="106">
        <v>19.149999999999999</v>
      </c>
      <c r="V26" s="109">
        <f t="shared" si="8"/>
        <v>301.19000000000005</v>
      </c>
      <c r="W26" s="110">
        <f t="shared" si="9"/>
        <v>1.2397711369062323</v>
      </c>
      <c r="X26" s="110">
        <f t="shared" si="26"/>
        <v>1.2397711369062323</v>
      </c>
      <c r="Y26" s="136">
        <v>242.94</v>
      </c>
      <c r="Z26" s="154">
        <v>138.77000000000001</v>
      </c>
      <c r="AA26" s="149">
        <v>0.8</v>
      </c>
      <c r="AB26" s="147">
        <v>630</v>
      </c>
      <c r="AC26" s="147">
        <v>1229</v>
      </c>
      <c r="AD26" s="144" t="s">
        <v>203</v>
      </c>
      <c r="AE26" s="149">
        <v>76.010000000000005</v>
      </c>
      <c r="AF26" s="147">
        <v>172</v>
      </c>
      <c r="AG26" s="155">
        <v>5</v>
      </c>
      <c r="AH26" s="149">
        <v>4.25</v>
      </c>
      <c r="AI26" s="115">
        <f t="shared" si="10"/>
        <v>17.49403144809418</v>
      </c>
      <c r="AJ26" s="149">
        <v>143.44999999999999</v>
      </c>
      <c r="AK26" s="115">
        <f t="shared" si="11"/>
        <v>590.47501440684937</v>
      </c>
      <c r="AL26" s="156">
        <v>34.47</v>
      </c>
      <c r="AM26" s="149"/>
      <c r="AN26" s="157">
        <v>12.49</v>
      </c>
      <c r="AO26" s="466">
        <v>60.7</v>
      </c>
      <c r="AP26" s="110">
        <f t="shared" si="12"/>
        <v>0.19346613545816735</v>
      </c>
      <c r="AQ26" s="158" t="s">
        <v>225</v>
      </c>
      <c r="AR26" s="404">
        <v>7.01</v>
      </c>
      <c r="AS26" s="159">
        <v>7.61</v>
      </c>
      <c r="AT26" s="155"/>
      <c r="AU26" s="149">
        <v>6.45</v>
      </c>
      <c r="AV26" s="315">
        <v>313.75</v>
      </c>
      <c r="AW26" s="131">
        <v>2.38</v>
      </c>
      <c r="AX26" s="148"/>
      <c r="AY26" s="149"/>
      <c r="AZ26" s="160">
        <f t="shared" si="34"/>
        <v>0</v>
      </c>
      <c r="BA26" s="109">
        <f t="shared" si="13"/>
        <v>242.94</v>
      </c>
      <c r="BB26" s="115">
        <f t="shared" si="28"/>
        <v>226.86897055532381</v>
      </c>
      <c r="BC26" s="140">
        <f t="shared" si="14"/>
        <v>7.1674489436619702</v>
      </c>
      <c r="BD26" s="140">
        <f t="shared" si="36"/>
        <v>9.7176000000000009</v>
      </c>
      <c r="BE26" s="161">
        <f t="shared" si="16"/>
        <v>0.93484190227010777</v>
      </c>
      <c r="BF26" s="140">
        <f t="shared" si="17"/>
        <v>16.885048943661971</v>
      </c>
      <c r="BG26" s="537">
        <v>0.89800000000000002</v>
      </c>
      <c r="BH26" s="16">
        <f t="shared" si="29"/>
        <v>4396.7655000000004</v>
      </c>
      <c r="BI26" s="16">
        <f t="shared" si="18"/>
        <v>225.16129032258064</v>
      </c>
      <c r="BJ26" s="16">
        <f t="shared" si="30"/>
        <v>4503.2258064516118</v>
      </c>
      <c r="BK26" s="17">
        <f t="shared" si="19"/>
        <v>1</v>
      </c>
      <c r="BL26" s="16">
        <f t="shared" si="31"/>
        <v>4503.2258064516118</v>
      </c>
      <c r="BM26" s="254">
        <v>379.096</v>
      </c>
      <c r="BN26" s="197">
        <v>25.716000000000001</v>
      </c>
      <c r="BO26" s="197">
        <v>112.029</v>
      </c>
      <c r="BP26" s="197"/>
      <c r="BQ26" s="230"/>
      <c r="BR26" s="230"/>
      <c r="BS26" s="258"/>
      <c r="BT26" s="199"/>
      <c r="BU26" s="200">
        <v>1.06</v>
      </c>
      <c r="BV26" s="200"/>
      <c r="BW26" s="200"/>
      <c r="BX26" s="200"/>
      <c r="BY26" s="208"/>
      <c r="BZ26" s="208"/>
      <c r="CA26" s="201"/>
      <c r="CB26" s="202">
        <v>36.71</v>
      </c>
      <c r="CC26" s="200">
        <v>43.73</v>
      </c>
      <c r="CD26" s="200">
        <v>43.44</v>
      </c>
      <c r="CE26" s="200"/>
      <c r="CF26" s="208"/>
      <c r="CG26" s="208"/>
      <c r="CH26" s="209"/>
      <c r="CI26" s="199"/>
      <c r="CJ26" s="197"/>
      <c r="CK26" s="197">
        <v>153.08000000000001</v>
      </c>
      <c r="CL26" s="197"/>
      <c r="CM26" s="198">
        <v>148.11000000000001</v>
      </c>
      <c r="CN26" s="202"/>
      <c r="CO26" s="208"/>
      <c r="CP26" s="208"/>
      <c r="CQ26" s="201"/>
      <c r="CR26" s="201"/>
      <c r="CS26" s="284"/>
      <c r="CT26" s="286">
        <f t="shared" si="20"/>
        <v>375.07758239999998</v>
      </c>
      <c r="CU26" s="24">
        <f t="shared" si="20"/>
        <v>25.716000000000001</v>
      </c>
      <c r="CV26" s="25">
        <f t="shared" si="20"/>
        <v>112.029</v>
      </c>
      <c r="CW26" s="24">
        <f t="shared" si="20"/>
        <v>0</v>
      </c>
      <c r="CX26" s="27">
        <f t="shared" si="20"/>
        <v>0</v>
      </c>
      <c r="CY26" s="24">
        <f t="shared" si="20"/>
        <v>0</v>
      </c>
      <c r="CZ26" s="280">
        <f t="shared" si="20"/>
        <v>0</v>
      </c>
      <c r="DA26" s="30">
        <f t="shared" si="21"/>
        <v>0</v>
      </c>
      <c r="DB26" s="26">
        <f t="shared" si="21"/>
        <v>153.08000000000001</v>
      </c>
      <c r="DC26" s="277">
        <f t="shared" si="21"/>
        <v>0</v>
      </c>
      <c r="DD26" s="280">
        <f t="shared" si="21"/>
        <v>148.11000000000001</v>
      </c>
      <c r="DE26" s="508">
        <f t="shared" si="32"/>
        <v>0</v>
      </c>
      <c r="DG26" s="293">
        <f t="shared" si="22"/>
        <v>0</v>
      </c>
      <c r="DH26" s="294"/>
      <c r="DI26" s="294"/>
      <c r="DJ26" s="295">
        <f t="shared" si="23"/>
        <v>0</v>
      </c>
      <c r="DK26" s="296">
        <f t="shared" si="33"/>
        <v>0</v>
      </c>
      <c r="DM26" s="411"/>
    </row>
    <row r="27" spans="1:117" ht="16.5" customHeight="1" thickBot="1">
      <c r="A27" s="534">
        <v>21</v>
      </c>
      <c r="B27" s="103">
        <f>'[1]декабрь 20'!K26</f>
        <v>510.11</v>
      </c>
      <c r="C27" s="104">
        <f t="shared" si="0"/>
        <v>3.2848532277351947</v>
      </c>
      <c r="D27" s="143">
        <f t="shared" si="1"/>
        <v>493.35363519999999</v>
      </c>
      <c r="E27" s="104">
        <f t="shared" si="35"/>
        <v>38.745920272098168</v>
      </c>
      <c r="F27" s="128">
        <f t="shared" si="3"/>
        <v>2.2307341912263405</v>
      </c>
      <c r="G27" s="106"/>
      <c r="H27" s="107">
        <f t="shared" si="4"/>
        <v>1.6154205297474249</v>
      </c>
      <c r="I27" s="103">
        <f>'[1]сентябрь 20'!AE26</f>
        <v>0</v>
      </c>
      <c r="J27" s="103">
        <f>'[1]декабрь 20'!AA26</f>
        <v>19.071000000000002</v>
      </c>
      <c r="K27" s="106">
        <v>21.03</v>
      </c>
      <c r="L27" s="103">
        <f>'[1]декабрь 20'!AI26</f>
        <v>136.084</v>
      </c>
      <c r="M27" s="103">
        <f t="shared" si="5"/>
        <v>0.61531366147891586</v>
      </c>
      <c r="N27" s="103">
        <f>'[1]август 20'!W26</f>
        <v>0</v>
      </c>
      <c r="O27" s="103">
        <f>'[1]сентябрь 20'!AM26</f>
        <v>0</v>
      </c>
      <c r="P27" s="447">
        <f t="shared" si="24"/>
        <v>0</v>
      </c>
      <c r="Q27" s="103">
        <f t="shared" si="25"/>
        <v>0</v>
      </c>
      <c r="R27" s="103">
        <f>'[1]декабрь 20'!S26</f>
        <v>311.39400000000001</v>
      </c>
      <c r="S27" s="108">
        <f t="shared" si="6"/>
        <v>3.3025684502591579</v>
      </c>
      <c r="T27" s="109">
        <f t="shared" si="7"/>
        <v>301.11</v>
      </c>
      <c r="U27" s="106">
        <v>24.1</v>
      </c>
      <c r="V27" s="109">
        <f t="shared" si="8"/>
        <v>301.11</v>
      </c>
      <c r="W27" s="110">
        <f t="shared" si="9"/>
        <v>1.3614906719960933</v>
      </c>
      <c r="X27" s="110">
        <f t="shared" si="26"/>
        <v>1.3614906719960933</v>
      </c>
      <c r="Y27" s="129">
        <v>221.16</v>
      </c>
      <c r="Z27" s="129">
        <v>221.16</v>
      </c>
      <c r="AA27" s="131">
        <v>0.46</v>
      </c>
      <c r="AB27" s="133">
        <v>646</v>
      </c>
      <c r="AC27" s="133">
        <v>1230</v>
      </c>
      <c r="AD27" s="144" t="s">
        <v>144</v>
      </c>
      <c r="AE27" s="131">
        <v>76.180000000000007</v>
      </c>
      <c r="AF27" s="133">
        <v>170</v>
      </c>
      <c r="AG27" s="134">
        <v>5</v>
      </c>
      <c r="AH27" s="131">
        <v>12.6</v>
      </c>
      <c r="AI27" s="115">
        <f t="shared" si="10"/>
        <v>56.971812517521094</v>
      </c>
      <c r="AJ27" s="131">
        <v>149.9</v>
      </c>
      <c r="AK27" s="115">
        <f t="shared" si="11"/>
        <v>677.78370606162002</v>
      </c>
      <c r="AL27" s="139">
        <v>32.36</v>
      </c>
      <c r="AM27" s="131"/>
      <c r="AN27" s="136">
        <v>15.4</v>
      </c>
      <c r="AO27" s="466">
        <f t="shared" si="27"/>
        <v>54.757999999999996</v>
      </c>
      <c r="AP27" s="110">
        <f t="shared" si="12"/>
        <v>0.19</v>
      </c>
      <c r="AQ27" s="137" t="s">
        <v>504</v>
      </c>
      <c r="AR27" s="150">
        <v>6.58</v>
      </c>
      <c r="AS27" s="138">
        <v>7.27</v>
      </c>
      <c r="AT27" s="134"/>
      <c r="AU27" s="131">
        <v>9.5</v>
      </c>
      <c r="AV27" s="139">
        <v>288.2</v>
      </c>
      <c r="AW27" s="131">
        <v>3.12</v>
      </c>
      <c r="AX27" s="148"/>
      <c r="AY27" s="131"/>
      <c r="AZ27" s="109">
        <f t="shared" si="34"/>
        <v>0</v>
      </c>
      <c r="BA27" s="109">
        <f t="shared" si="13"/>
        <v>221.16200000000001</v>
      </c>
      <c r="BB27" s="115">
        <f t="shared" si="28"/>
        <v>219.05722837033423</v>
      </c>
      <c r="BC27" s="140">
        <f t="shared" si="14"/>
        <v>11.031373239436618</v>
      </c>
      <c r="BD27" s="141">
        <f t="shared" si="36"/>
        <v>8.8464799999999997</v>
      </c>
      <c r="BE27" s="128">
        <f t="shared" si="16"/>
        <v>0.88138806208938192</v>
      </c>
      <c r="BF27" s="141">
        <f t="shared" si="17"/>
        <v>19.877853239436618</v>
      </c>
      <c r="BG27" s="535">
        <v>0.89700000000000002</v>
      </c>
      <c r="BH27" s="16">
        <f t="shared" si="29"/>
        <v>4617.9275000000007</v>
      </c>
      <c r="BI27" s="16">
        <f t="shared" si="18"/>
        <v>225.16129032258064</v>
      </c>
      <c r="BJ27" s="16">
        <f t="shared" si="30"/>
        <v>4728.3870967741923</v>
      </c>
      <c r="BK27" s="17">
        <f t="shared" si="19"/>
        <v>1</v>
      </c>
      <c r="BL27" s="16">
        <f t="shared" si="31"/>
        <v>4728.3870967741923</v>
      </c>
      <c r="BM27" s="254">
        <v>374.02600000000001</v>
      </c>
      <c r="BN27" s="197">
        <v>25.460999999999999</v>
      </c>
      <c r="BO27" s="197">
        <v>110.623</v>
      </c>
      <c r="BP27" s="197"/>
      <c r="BQ27" s="230"/>
      <c r="BR27" s="230"/>
      <c r="BS27" s="258"/>
      <c r="BT27" s="199"/>
      <c r="BU27" s="200">
        <v>4.4800000000000004</v>
      </c>
      <c r="BV27" s="200"/>
      <c r="BW27" s="200"/>
      <c r="BX27" s="200"/>
      <c r="BY27" s="208"/>
      <c r="BZ27" s="208"/>
      <c r="CA27" s="201"/>
      <c r="CB27" s="202">
        <v>36.909999999999997</v>
      </c>
      <c r="CC27" s="200">
        <v>43.67</v>
      </c>
      <c r="CD27" s="200">
        <v>43.82</v>
      </c>
      <c r="CE27" s="200"/>
      <c r="CF27" s="208"/>
      <c r="CG27" s="208"/>
      <c r="CH27" s="209"/>
      <c r="CI27" s="199"/>
      <c r="CJ27" s="197"/>
      <c r="CK27" s="197">
        <v>152.19</v>
      </c>
      <c r="CL27" s="197"/>
      <c r="CM27" s="198">
        <v>148.91999999999999</v>
      </c>
      <c r="CN27" s="202"/>
      <c r="CO27" s="208"/>
      <c r="CP27" s="208"/>
      <c r="CQ27" s="201"/>
      <c r="CR27" s="201"/>
      <c r="CS27" s="284"/>
      <c r="CT27" s="286">
        <f t="shared" si="20"/>
        <v>357.26963519999998</v>
      </c>
      <c r="CU27" s="24">
        <f t="shared" si="20"/>
        <v>25.460999999999999</v>
      </c>
      <c r="CV27" s="25">
        <f t="shared" si="20"/>
        <v>110.623</v>
      </c>
      <c r="CW27" s="24">
        <f t="shared" si="20"/>
        <v>0</v>
      </c>
      <c r="CX27" s="27">
        <f t="shared" si="20"/>
        <v>0</v>
      </c>
      <c r="CY27" s="29">
        <f t="shared" si="20"/>
        <v>0</v>
      </c>
      <c r="CZ27" s="280">
        <f t="shared" si="20"/>
        <v>0</v>
      </c>
      <c r="DA27" s="237">
        <f t="shared" si="21"/>
        <v>0</v>
      </c>
      <c r="DB27" s="26">
        <f t="shared" si="21"/>
        <v>152.19</v>
      </c>
      <c r="DC27" s="277">
        <f t="shared" si="21"/>
        <v>0</v>
      </c>
      <c r="DD27" s="280">
        <f t="shared" si="21"/>
        <v>148.91999999999999</v>
      </c>
      <c r="DE27" s="508">
        <f t="shared" si="32"/>
        <v>0</v>
      </c>
      <c r="DG27" s="293">
        <f t="shared" si="22"/>
        <v>0</v>
      </c>
      <c r="DH27" s="294"/>
      <c r="DI27" s="294"/>
      <c r="DJ27" s="295">
        <f t="shared" si="23"/>
        <v>0</v>
      </c>
      <c r="DK27" s="296">
        <f t="shared" si="33"/>
        <v>0</v>
      </c>
      <c r="DM27" s="411"/>
    </row>
    <row r="28" spans="1:117" ht="16.5" customHeight="1" thickBot="1">
      <c r="A28" s="534">
        <v>22</v>
      </c>
      <c r="B28" s="103">
        <f>'[1]декабрь 20'!K27</f>
        <v>491.80599999999998</v>
      </c>
      <c r="C28" s="104">
        <f t="shared" si="0"/>
        <v>1.745494320931424</v>
      </c>
      <c r="D28" s="143">
        <f t="shared" si="1"/>
        <v>483.22155419999996</v>
      </c>
      <c r="E28" s="104">
        <f t="shared" si="2"/>
        <v>38.700232266381455</v>
      </c>
      <c r="F28" s="128">
        <f t="shared" si="3"/>
        <v>2.3341612064447408</v>
      </c>
      <c r="G28" s="106"/>
      <c r="H28" s="107">
        <f t="shared" si="4"/>
        <v>1.7008211910357136</v>
      </c>
      <c r="I28" s="103">
        <f>'[1]сентябрь 20'!AE27</f>
        <v>0</v>
      </c>
      <c r="J28" s="103">
        <f>'[1]декабрь 20'!AA27</f>
        <v>18.036000000000001</v>
      </c>
      <c r="K28" s="106">
        <v>47.35</v>
      </c>
      <c r="L28" s="103">
        <f>'[1]декабрь 20'!AI27</f>
        <v>131.11500000000001</v>
      </c>
      <c r="M28" s="103">
        <f t="shared" si="5"/>
        <v>0.63334001540902762</v>
      </c>
      <c r="N28" s="103">
        <f>'[1]август 20'!W27</f>
        <v>0</v>
      </c>
      <c r="O28" s="103">
        <f>'[1]сентябрь 20'!AM27</f>
        <v>0</v>
      </c>
      <c r="P28" s="447">
        <f t="shared" si="24"/>
        <v>0</v>
      </c>
      <c r="Q28" s="103">
        <f t="shared" si="25"/>
        <v>0</v>
      </c>
      <c r="R28" s="103">
        <f>'[1]декабрь 20'!S27</f>
        <v>300.83999999999997</v>
      </c>
      <c r="S28" s="108">
        <f t="shared" si="6"/>
        <v>3.3406461906661189</v>
      </c>
      <c r="T28" s="109">
        <f t="shared" si="7"/>
        <v>290.79000000000002</v>
      </c>
      <c r="U28" s="106">
        <v>18.04</v>
      </c>
      <c r="V28" s="109">
        <f t="shared" si="8"/>
        <v>290.79000000000002</v>
      </c>
      <c r="W28" s="110">
        <f t="shared" si="9"/>
        <v>1.4046367164763081</v>
      </c>
      <c r="X28" s="110">
        <f t="shared" si="26"/>
        <v>1.4046367164763081</v>
      </c>
      <c r="Y28" s="129">
        <v>182.42</v>
      </c>
      <c r="Z28" s="136">
        <v>207.02</v>
      </c>
      <c r="AA28" s="131">
        <v>0.48</v>
      </c>
      <c r="AB28" s="133">
        <v>640</v>
      </c>
      <c r="AC28" s="133">
        <v>1215</v>
      </c>
      <c r="AD28" s="144" t="s">
        <v>236</v>
      </c>
      <c r="AE28" s="131">
        <v>76.41</v>
      </c>
      <c r="AF28" s="133">
        <v>164</v>
      </c>
      <c r="AG28" s="134">
        <v>5</v>
      </c>
      <c r="AH28" s="131">
        <v>7.05</v>
      </c>
      <c r="AI28" s="115">
        <f t="shared" si="10"/>
        <v>34.054433959757802</v>
      </c>
      <c r="AJ28" s="131">
        <v>136.35</v>
      </c>
      <c r="AK28" s="115">
        <f t="shared" si="11"/>
        <v>658.62724403020934</v>
      </c>
      <c r="AL28" s="139">
        <v>29.36</v>
      </c>
      <c r="AM28" s="131"/>
      <c r="AN28" s="136">
        <v>16.11</v>
      </c>
      <c r="AO28" s="466">
        <f t="shared" si="27"/>
        <v>51.328499999999998</v>
      </c>
      <c r="AP28" s="110">
        <f t="shared" si="12"/>
        <v>0.19</v>
      </c>
      <c r="AQ28" s="137" t="s">
        <v>206</v>
      </c>
      <c r="AR28" s="150">
        <v>6.42</v>
      </c>
      <c r="AS28" s="138">
        <v>7.25</v>
      </c>
      <c r="AT28" s="134"/>
      <c r="AU28" s="131">
        <v>9.9499999999999993</v>
      </c>
      <c r="AV28" s="139">
        <v>270.14999999999998</v>
      </c>
      <c r="AW28" s="131">
        <v>4.3099999999999996</v>
      </c>
      <c r="AX28" s="148"/>
      <c r="AY28" s="131"/>
      <c r="AZ28" s="109">
        <f t="shared" si="34"/>
        <v>0</v>
      </c>
      <c r="BA28" s="109">
        <f t="shared" si="13"/>
        <v>207.0215</v>
      </c>
      <c r="BB28" s="115">
        <f t="shared" si="28"/>
        <v>213.66033913017642</v>
      </c>
      <c r="BC28" s="140">
        <f t="shared" si="14"/>
        <v>10.509512323943662</v>
      </c>
      <c r="BD28" s="141">
        <f t="shared" si="36"/>
        <v>8.2808600000000006</v>
      </c>
      <c r="BE28" s="128">
        <f t="shared" si="16"/>
        <v>0.84587420499172339</v>
      </c>
      <c r="BF28" s="141">
        <f t="shared" si="17"/>
        <v>18.790372323943664</v>
      </c>
      <c r="BG28" s="535">
        <v>0.89500000000000002</v>
      </c>
      <c r="BH28" s="16">
        <f t="shared" si="29"/>
        <v>4824.9490000000005</v>
      </c>
      <c r="BI28" s="16">
        <f t="shared" si="18"/>
        <v>225.16129032258064</v>
      </c>
      <c r="BJ28" s="16">
        <f t="shared" si="30"/>
        <v>4953.5483870967728</v>
      </c>
      <c r="BK28" s="17">
        <f t="shared" si="19"/>
        <v>1</v>
      </c>
      <c r="BL28" s="16">
        <f t="shared" si="31"/>
        <v>4953.5483870967728</v>
      </c>
      <c r="BM28" s="254">
        <v>360.69099999999997</v>
      </c>
      <c r="BN28" s="197">
        <v>24.571999999999999</v>
      </c>
      <c r="BO28" s="197">
        <v>106.54300000000001</v>
      </c>
      <c r="BP28" s="197"/>
      <c r="BQ28" s="230"/>
      <c r="BR28" s="230"/>
      <c r="BS28" s="258"/>
      <c r="BT28" s="199"/>
      <c r="BU28" s="200">
        <v>2.38</v>
      </c>
      <c r="BV28" s="200"/>
      <c r="BW28" s="200"/>
      <c r="BX28" s="200"/>
      <c r="BY28" s="208"/>
      <c r="BZ28" s="208"/>
      <c r="CA28" s="201"/>
      <c r="CB28" s="202">
        <v>37.049999999999997</v>
      </c>
      <c r="CC28" s="200">
        <v>43.76</v>
      </c>
      <c r="CD28" s="200">
        <v>43.12</v>
      </c>
      <c r="CE28" s="200"/>
      <c r="CF28" s="208"/>
      <c r="CG28" s="208"/>
      <c r="CH28" s="209"/>
      <c r="CI28" s="199"/>
      <c r="CJ28" s="197"/>
      <c r="CK28" s="197">
        <v>145.96</v>
      </c>
      <c r="CL28" s="197"/>
      <c r="CM28" s="198">
        <v>144.83000000000001</v>
      </c>
      <c r="CN28" s="202"/>
      <c r="CO28" s="208"/>
      <c r="CP28" s="208"/>
      <c r="CQ28" s="201"/>
      <c r="CR28" s="201"/>
      <c r="CS28" s="284"/>
      <c r="CT28" s="286">
        <f t="shared" si="20"/>
        <v>352.10655420000001</v>
      </c>
      <c r="CU28" s="29">
        <f t="shared" si="20"/>
        <v>24.571999999999999</v>
      </c>
      <c r="CV28" s="30">
        <f t="shared" si="20"/>
        <v>106.54300000000001</v>
      </c>
      <c r="CW28" s="29">
        <f t="shared" si="20"/>
        <v>0</v>
      </c>
      <c r="CX28" s="27">
        <f t="shared" si="20"/>
        <v>0</v>
      </c>
      <c r="CY28" s="24">
        <f t="shared" si="20"/>
        <v>0</v>
      </c>
      <c r="CZ28" s="282">
        <f t="shared" si="20"/>
        <v>0</v>
      </c>
      <c r="DA28" s="25">
        <f t="shared" si="21"/>
        <v>0</v>
      </c>
      <c r="DB28" s="24">
        <f t="shared" si="21"/>
        <v>145.96</v>
      </c>
      <c r="DC28" s="277">
        <f t="shared" si="21"/>
        <v>0</v>
      </c>
      <c r="DD28" s="280">
        <f t="shared" si="21"/>
        <v>144.83000000000001</v>
      </c>
      <c r="DE28" s="508">
        <f t="shared" si="32"/>
        <v>0</v>
      </c>
      <c r="DG28" s="293">
        <f>I28</f>
        <v>0</v>
      </c>
      <c r="DH28" s="297"/>
      <c r="DI28" s="294"/>
      <c r="DJ28" s="295">
        <f t="shared" si="23"/>
        <v>0</v>
      </c>
      <c r="DK28" s="296">
        <f t="shared" si="33"/>
        <v>0</v>
      </c>
      <c r="DM28" s="411"/>
    </row>
    <row r="29" spans="1:117" ht="16.5" customHeight="1" thickBot="1">
      <c r="A29" s="534">
        <v>23</v>
      </c>
      <c r="B29" s="103">
        <f>'[1]декабрь 20'!K28</f>
        <v>473.73200000000003</v>
      </c>
      <c r="C29" s="104">
        <f t="shared" si="0"/>
        <v>1.6436857970329217</v>
      </c>
      <c r="D29" s="143">
        <f t="shared" si="1"/>
        <v>465.94533440000009</v>
      </c>
      <c r="E29" s="104">
        <f t="shared" si="2"/>
        <v>38.792793499278069</v>
      </c>
      <c r="F29" s="128">
        <f t="shared" si="3"/>
        <v>2.099174352828812</v>
      </c>
      <c r="G29" s="106"/>
      <c r="H29" s="107">
        <f t="shared" si="4"/>
        <v>1.5310107602065182</v>
      </c>
      <c r="I29" s="103">
        <f>'[1]сентябрь 20'!AE28</f>
        <v>0</v>
      </c>
      <c r="J29" s="103">
        <f>'[1]декабрь 20'!AA28</f>
        <v>17.265999999999998</v>
      </c>
      <c r="K29" s="106">
        <v>26.58</v>
      </c>
      <c r="L29" s="103">
        <f>'[1]декабрь 20'!AI28</f>
        <v>126.113</v>
      </c>
      <c r="M29" s="103">
        <f t="shared" si="5"/>
        <v>0.56816359262229343</v>
      </c>
      <c r="N29" s="103">
        <f>'[1]август 20'!W28</f>
        <v>0</v>
      </c>
      <c r="O29" s="103">
        <f>'[1]сентябрь 20'!AM28</f>
        <v>0</v>
      </c>
      <c r="P29" s="447">
        <f t="shared" si="24"/>
        <v>0</v>
      </c>
      <c r="Q29" s="103">
        <f t="shared" si="25"/>
        <v>0</v>
      </c>
      <c r="R29" s="103">
        <f>'[1]декабрь 20'!S28</f>
        <v>290.95699999999999</v>
      </c>
      <c r="S29" s="108">
        <f t="shared" si="6"/>
        <v>3.3396687483030041</v>
      </c>
      <c r="T29" s="109">
        <f t="shared" si="7"/>
        <v>281.24000000000007</v>
      </c>
      <c r="U29" s="106">
        <v>27.88</v>
      </c>
      <c r="V29" s="109">
        <f t="shared" si="8"/>
        <v>281.24</v>
      </c>
      <c r="W29" s="110">
        <f t="shared" si="9"/>
        <v>1.2670408981555736</v>
      </c>
      <c r="X29" s="110">
        <f t="shared" si="26"/>
        <v>1.2670408981555736</v>
      </c>
      <c r="Y29" s="129">
        <v>221.97</v>
      </c>
      <c r="Z29" s="136">
        <v>221.97</v>
      </c>
      <c r="AA29" s="131">
        <v>0.63</v>
      </c>
      <c r="AB29" s="133">
        <v>644</v>
      </c>
      <c r="AC29" s="133">
        <v>1237</v>
      </c>
      <c r="AD29" s="144" t="s">
        <v>505</v>
      </c>
      <c r="AE29" s="131">
        <v>76.88</v>
      </c>
      <c r="AF29" s="133">
        <v>158</v>
      </c>
      <c r="AG29" s="134">
        <v>5</v>
      </c>
      <c r="AH29" s="131">
        <v>11.35</v>
      </c>
      <c r="AI29" s="115">
        <f t="shared" si="10"/>
        <v>51.133957452943243</v>
      </c>
      <c r="AJ29" s="131">
        <v>138.15</v>
      </c>
      <c r="AK29" s="115">
        <f t="shared" si="11"/>
        <v>622.39261868934886</v>
      </c>
      <c r="AL29" s="139">
        <v>30.77</v>
      </c>
      <c r="AM29" s="131"/>
      <c r="AN29" s="136">
        <v>17.55</v>
      </c>
      <c r="AO29" s="466">
        <f t="shared" si="27"/>
        <v>55.214000000000006</v>
      </c>
      <c r="AP29" s="110">
        <f t="shared" si="12"/>
        <v>0.19</v>
      </c>
      <c r="AQ29" s="137" t="s">
        <v>228</v>
      </c>
      <c r="AR29" s="150">
        <v>6.74</v>
      </c>
      <c r="AS29" s="138">
        <v>7.02</v>
      </c>
      <c r="AT29" s="134"/>
      <c r="AU29" s="131">
        <v>7.31</v>
      </c>
      <c r="AV29" s="139">
        <v>290.60000000000002</v>
      </c>
      <c r="AW29" s="131">
        <v>4.13</v>
      </c>
      <c r="AX29" s="148"/>
      <c r="AY29" s="131"/>
      <c r="AZ29" s="109">
        <f t="shared" si="34"/>
        <v>0</v>
      </c>
      <c r="BA29" s="109">
        <f t="shared" si="13"/>
        <v>221.96600000000001</v>
      </c>
      <c r="BB29" s="115">
        <f t="shared" si="28"/>
        <v>205.25176059620446</v>
      </c>
      <c r="BC29" s="140">
        <f t="shared" si="14"/>
        <v>7.8229869718309857</v>
      </c>
      <c r="BD29" s="141">
        <f t="shared" si="36"/>
        <v>8.8786400000000008</v>
      </c>
      <c r="BE29" s="128">
        <f t="shared" si="16"/>
        <v>0.94409089323827866</v>
      </c>
      <c r="BF29" s="141">
        <f t="shared" si="17"/>
        <v>16.701626971830986</v>
      </c>
      <c r="BG29" s="535">
        <v>0.89700000000000002</v>
      </c>
      <c r="BH29" s="16">
        <f t="shared" si="29"/>
        <v>5046.9150000000009</v>
      </c>
      <c r="BI29" s="16">
        <f t="shared" si="18"/>
        <v>225.16129032258064</v>
      </c>
      <c r="BJ29" s="16">
        <f t="shared" si="30"/>
        <v>5178.7096774193533</v>
      </c>
      <c r="BK29" s="17">
        <f t="shared" si="19"/>
        <v>1</v>
      </c>
      <c r="BL29" s="16">
        <f t="shared" si="31"/>
        <v>5178.7096774193533</v>
      </c>
      <c r="BM29" s="254">
        <v>347.61900000000003</v>
      </c>
      <c r="BN29" s="197">
        <v>23.417000000000002</v>
      </c>
      <c r="BO29" s="197">
        <v>102.696</v>
      </c>
      <c r="BP29" s="197"/>
      <c r="BQ29" s="230"/>
      <c r="BR29" s="230"/>
      <c r="BS29" s="258"/>
      <c r="BT29" s="199"/>
      <c r="BU29" s="200">
        <v>2.2400000000000002</v>
      </c>
      <c r="BV29" s="200"/>
      <c r="BW29" s="200"/>
      <c r="BX29" s="200"/>
      <c r="BY29" s="208"/>
      <c r="BZ29" s="208"/>
      <c r="CA29" s="201"/>
      <c r="CB29" s="202">
        <v>37.14</v>
      </c>
      <c r="CC29" s="200">
        <v>43.43</v>
      </c>
      <c r="CD29" s="200">
        <v>43.33</v>
      </c>
      <c r="CE29" s="200"/>
      <c r="CF29" s="208"/>
      <c r="CG29" s="208"/>
      <c r="CH29" s="201"/>
      <c r="CI29" s="199"/>
      <c r="CJ29" s="197"/>
      <c r="CK29" s="197">
        <v>140.62</v>
      </c>
      <c r="CL29" s="230"/>
      <c r="CM29" s="198">
        <v>140.62</v>
      </c>
      <c r="CN29" s="202"/>
      <c r="CO29" s="208"/>
      <c r="CP29" s="208"/>
      <c r="CQ29" s="201"/>
      <c r="CR29" s="201"/>
      <c r="CS29" s="284"/>
      <c r="CT29" s="286">
        <f t="shared" si="20"/>
        <v>339.83233440000004</v>
      </c>
      <c r="CU29" s="24">
        <f t="shared" si="20"/>
        <v>23.417000000000002</v>
      </c>
      <c r="CV29" s="25">
        <f t="shared" si="20"/>
        <v>102.696</v>
      </c>
      <c r="CW29" s="24">
        <f t="shared" si="20"/>
        <v>0</v>
      </c>
      <c r="CX29" s="27">
        <f t="shared" si="20"/>
        <v>0</v>
      </c>
      <c r="CY29" s="29">
        <f t="shared" si="20"/>
        <v>0</v>
      </c>
      <c r="CZ29" s="280">
        <f t="shared" si="20"/>
        <v>0</v>
      </c>
      <c r="DA29" s="30">
        <f t="shared" si="21"/>
        <v>0</v>
      </c>
      <c r="DB29" s="29">
        <f t="shared" si="21"/>
        <v>140.62</v>
      </c>
      <c r="DC29" s="277">
        <f t="shared" si="21"/>
        <v>0</v>
      </c>
      <c r="DD29" s="280">
        <f t="shared" si="21"/>
        <v>140.62</v>
      </c>
      <c r="DE29" s="508">
        <f t="shared" si="32"/>
        <v>0</v>
      </c>
      <c r="DG29" s="293">
        <f t="shared" si="22"/>
        <v>0</v>
      </c>
      <c r="DH29" s="294"/>
      <c r="DI29" s="294"/>
      <c r="DJ29" s="295">
        <f t="shared" si="23"/>
        <v>0</v>
      </c>
      <c r="DK29" s="296">
        <f t="shared" si="33"/>
        <v>0</v>
      </c>
      <c r="DM29" s="411"/>
    </row>
    <row r="30" spans="1:117" ht="16.5" customHeight="1" thickBot="1">
      <c r="A30" s="534">
        <v>24</v>
      </c>
      <c r="B30" s="103">
        <f>'[1]декабрь 20'!K29</f>
        <v>537.90599999999995</v>
      </c>
      <c r="C30" s="104">
        <f t="shared" si="0"/>
        <v>1.3941090078935725</v>
      </c>
      <c r="D30" s="143">
        <f t="shared" si="1"/>
        <v>530.40700399999992</v>
      </c>
      <c r="E30" s="104">
        <f t="shared" si="2"/>
        <v>38.162501552315838</v>
      </c>
      <c r="F30" s="128">
        <f t="shared" si="3"/>
        <v>2.2481398371985089</v>
      </c>
      <c r="G30" s="106"/>
      <c r="H30" s="107">
        <f t="shared" si="4"/>
        <v>1.6410907572748872</v>
      </c>
      <c r="I30" s="103">
        <f>'[1]сентябрь 20'!AE29</f>
        <v>0</v>
      </c>
      <c r="J30" s="103">
        <f>'[1]декабрь 20'!AA29</f>
        <v>20.36</v>
      </c>
      <c r="K30" s="106">
        <v>46.11</v>
      </c>
      <c r="L30" s="103">
        <f>'[1]декабрь 20'!AI29</f>
        <v>143.22200000000001</v>
      </c>
      <c r="M30" s="103">
        <f t="shared" si="5"/>
        <v>0.607049079923622</v>
      </c>
      <c r="N30" s="103">
        <f>'[1]август 20'!W29</f>
        <v>0</v>
      </c>
      <c r="O30" s="103">
        <f>'[1]сентябрь 20'!AM29</f>
        <v>0</v>
      </c>
      <c r="P30" s="447">
        <f t="shared" si="24"/>
        <v>0</v>
      </c>
      <c r="Q30" s="103">
        <f t="shared" si="25"/>
        <v>0</v>
      </c>
      <c r="R30" s="103">
        <f>'[1]декабрь 20'!S29</f>
        <v>331.76100000000002</v>
      </c>
      <c r="S30" s="108">
        <f t="shared" si="6"/>
        <v>3.2707280240896419</v>
      </c>
      <c r="T30" s="109">
        <f t="shared" si="7"/>
        <v>320.91000000000003</v>
      </c>
      <c r="U30" s="106">
        <v>17.47</v>
      </c>
      <c r="V30" s="109">
        <f t="shared" si="8"/>
        <v>320.90999999999997</v>
      </c>
      <c r="W30" s="110">
        <f t="shared" si="9"/>
        <v>1.3601829344534326</v>
      </c>
      <c r="X30" s="110">
        <f t="shared" si="26"/>
        <v>1.3601829344534326</v>
      </c>
      <c r="Y30" s="154">
        <v>235.93</v>
      </c>
      <c r="Z30" s="157">
        <v>235.93</v>
      </c>
      <c r="AA30" s="149">
        <v>0.74</v>
      </c>
      <c r="AB30" s="147">
        <v>595</v>
      </c>
      <c r="AC30" s="147">
        <v>1232</v>
      </c>
      <c r="AD30" s="144" t="s">
        <v>183</v>
      </c>
      <c r="AE30" s="149">
        <v>75.98</v>
      </c>
      <c r="AF30" s="147">
        <v>180</v>
      </c>
      <c r="AG30" s="155">
        <v>5</v>
      </c>
      <c r="AH30" s="149">
        <v>12.5</v>
      </c>
      <c r="AI30" s="115">
        <f t="shared" si="10"/>
        <v>52.981479793923242</v>
      </c>
      <c r="AJ30" s="131">
        <v>134.35</v>
      </c>
      <c r="AK30" s="115">
        <f t="shared" si="11"/>
        <v>569.44494482508696</v>
      </c>
      <c r="AL30" s="139">
        <v>29.13</v>
      </c>
      <c r="AM30" s="131"/>
      <c r="AN30" s="157">
        <v>12.57</v>
      </c>
      <c r="AO30" s="466">
        <f t="shared" si="27"/>
        <v>57.218499999999999</v>
      </c>
      <c r="AP30" s="110">
        <f t="shared" si="12"/>
        <v>0.19</v>
      </c>
      <c r="AQ30" s="158" t="s">
        <v>225</v>
      </c>
      <c r="AR30" s="404">
        <v>6.83</v>
      </c>
      <c r="AS30" s="159">
        <v>7.45</v>
      </c>
      <c r="AT30" s="155"/>
      <c r="AU30" s="149">
        <v>7.13</v>
      </c>
      <c r="AV30" s="156">
        <v>301.14999999999998</v>
      </c>
      <c r="AW30" s="131">
        <v>4.57</v>
      </c>
      <c r="AX30" s="164"/>
      <c r="AY30" s="149"/>
      <c r="AZ30" s="109">
        <f t="shared" si="34"/>
        <v>0</v>
      </c>
      <c r="BA30" s="109">
        <f t="shared" si="13"/>
        <v>235.93149999999997</v>
      </c>
      <c r="BB30" s="115">
        <f t="shared" si="28"/>
        <v>232.57393436553724</v>
      </c>
      <c r="BC30" s="140">
        <f t="shared" si="14"/>
        <v>7.4204721830985916</v>
      </c>
      <c r="BD30" s="141">
        <f t="shared" si="36"/>
        <v>9.4372599999999984</v>
      </c>
      <c r="BE30" s="128">
        <f t="shared" si="16"/>
        <v>0.88560310966008349</v>
      </c>
      <c r="BF30" s="141">
        <f t="shared" si="17"/>
        <v>16.857732183098591</v>
      </c>
      <c r="BG30" s="537">
        <v>0.89700000000000002</v>
      </c>
      <c r="BH30" s="16">
        <f t="shared" si="29"/>
        <v>5282.8465000000006</v>
      </c>
      <c r="BI30" s="16">
        <f t="shared" si="18"/>
        <v>225.16129032258064</v>
      </c>
      <c r="BJ30" s="16">
        <f t="shared" si="30"/>
        <v>5403.8709677419338</v>
      </c>
      <c r="BK30" s="17">
        <f t="shared" si="19"/>
        <v>1</v>
      </c>
      <c r="BL30" s="16">
        <f t="shared" si="31"/>
        <v>5403.8709677419338</v>
      </c>
      <c r="BM30" s="255">
        <v>394.68400000000003</v>
      </c>
      <c r="BN30" s="210">
        <v>26.672999999999998</v>
      </c>
      <c r="BO30" s="210">
        <v>116.54900000000001</v>
      </c>
      <c r="BP30" s="210"/>
      <c r="BQ30" s="233"/>
      <c r="BR30" s="233"/>
      <c r="BS30" s="260"/>
      <c r="BT30" s="212"/>
      <c r="BU30" s="213">
        <v>1.9</v>
      </c>
      <c r="BV30" s="213"/>
      <c r="BW30" s="213"/>
      <c r="BX30" s="213"/>
      <c r="BY30" s="235"/>
      <c r="BZ30" s="235"/>
      <c r="CA30" s="214"/>
      <c r="CB30" s="215">
        <v>36.43</v>
      </c>
      <c r="CC30" s="213">
        <v>43.36</v>
      </c>
      <c r="CD30" s="216">
        <v>42.84</v>
      </c>
      <c r="CE30" s="213"/>
      <c r="CF30" s="235"/>
      <c r="CG30" s="235"/>
      <c r="CH30" s="214"/>
      <c r="CI30" s="212"/>
      <c r="CJ30" s="210"/>
      <c r="CK30" s="210">
        <v>158.9</v>
      </c>
      <c r="CL30" s="233"/>
      <c r="CM30" s="198">
        <v>162.01</v>
      </c>
      <c r="CN30" s="202"/>
      <c r="CO30" s="208"/>
      <c r="CP30" s="208"/>
      <c r="CQ30" s="201"/>
      <c r="CR30" s="201"/>
      <c r="CS30" s="284"/>
      <c r="CT30" s="286">
        <f t="shared" si="20"/>
        <v>387.18500399999999</v>
      </c>
      <c r="CU30" s="24">
        <f t="shared" si="20"/>
        <v>26.672999999999998</v>
      </c>
      <c r="CV30" s="25">
        <f t="shared" si="20"/>
        <v>116.54900000000001</v>
      </c>
      <c r="CW30" s="24">
        <f t="shared" si="20"/>
        <v>0</v>
      </c>
      <c r="CX30" s="27">
        <f t="shared" si="20"/>
        <v>0</v>
      </c>
      <c r="CY30" s="24">
        <f t="shared" si="20"/>
        <v>0</v>
      </c>
      <c r="CZ30" s="280">
        <f t="shared" si="20"/>
        <v>0</v>
      </c>
      <c r="DA30" s="25">
        <f t="shared" si="21"/>
        <v>0</v>
      </c>
      <c r="DB30" s="26">
        <f t="shared" si="21"/>
        <v>158.9</v>
      </c>
      <c r="DC30" s="277">
        <f t="shared" si="21"/>
        <v>0</v>
      </c>
      <c r="DD30" s="280">
        <f t="shared" si="21"/>
        <v>162.01</v>
      </c>
      <c r="DE30" s="508">
        <f t="shared" si="32"/>
        <v>0</v>
      </c>
      <c r="DG30" s="293">
        <f t="shared" si="22"/>
        <v>0</v>
      </c>
      <c r="DH30" s="294"/>
      <c r="DI30" s="294"/>
      <c r="DJ30" s="295">
        <f t="shared" si="23"/>
        <v>0</v>
      </c>
      <c r="DK30" s="296">
        <f t="shared" si="33"/>
        <v>0</v>
      </c>
      <c r="DM30" s="411"/>
    </row>
    <row r="31" spans="1:117" ht="16.5" customHeight="1" thickBot="1">
      <c r="A31" s="534">
        <v>25</v>
      </c>
      <c r="B31" s="103">
        <f>'[1]декабрь 20'!K30</f>
        <v>225.14400000000001</v>
      </c>
      <c r="C31" s="104">
        <f t="shared" si="0"/>
        <v>1.0992764630636394</v>
      </c>
      <c r="D31" s="143">
        <f t="shared" si="1"/>
        <v>222.66904499999998</v>
      </c>
      <c r="E31" s="104">
        <f t="shared" si="2"/>
        <v>38.24965466545855</v>
      </c>
      <c r="F31" s="128">
        <f t="shared" si="3"/>
        <v>1.7827928566281552</v>
      </c>
      <c r="G31" s="106"/>
      <c r="H31" s="107">
        <f t="shared" si="4"/>
        <v>1.3012277520236351</v>
      </c>
      <c r="I31" s="103">
        <f>'[1]сентябрь 20'!AE30</f>
        <v>0</v>
      </c>
      <c r="J31" s="103">
        <f>'[1]декабрь 20'!AA30</f>
        <v>9.1709999999999994</v>
      </c>
      <c r="K31" s="106">
        <v>13.52</v>
      </c>
      <c r="L31" s="103">
        <f>'[1]декабрь 20'!AI30</f>
        <v>60.146999999999998</v>
      </c>
      <c r="M31" s="103">
        <f t="shared" si="5"/>
        <v>0.4815651046045204</v>
      </c>
      <c r="N31" s="103">
        <f>'[1]август 20'!W30</f>
        <v>0</v>
      </c>
      <c r="O31" s="103">
        <f>'[1]сентябрь 20'!AM30</f>
        <v>0</v>
      </c>
      <c r="P31" s="447">
        <f t="shared" si="24"/>
        <v>0</v>
      </c>
      <c r="Q31" s="103">
        <f t="shared" si="25"/>
        <v>0</v>
      </c>
      <c r="R31" s="103">
        <f>'[1]декабрь 20'!S30</f>
        <v>142.70400000000001</v>
      </c>
      <c r="S31" s="108">
        <f t="shared" si="6"/>
        <v>3.2963336696939183</v>
      </c>
      <c r="T31" s="109">
        <f t="shared" si="7"/>
        <v>138</v>
      </c>
      <c r="U31" s="106">
        <v>31.22</v>
      </c>
      <c r="V31" s="109">
        <f t="shared" si="8"/>
        <v>138</v>
      </c>
      <c r="W31" s="110">
        <f t="shared" si="9"/>
        <v>1.1048927533447024</v>
      </c>
      <c r="X31" s="110">
        <f t="shared" si="26"/>
        <v>1.1048927533447024</v>
      </c>
      <c r="Y31" s="136">
        <v>124.9</v>
      </c>
      <c r="Z31" s="136">
        <v>29.9</v>
      </c>
      <c r="AA31" s="131">
        <v>1.1000000000000001</v>
      </c>
      <c r="AB31" s="133">
        <v>581</v>
      </c>
      <c r="AC31" s="133">
        <v>1155</v>
      </c>
      <c r="AD31" s="144" t="s">
        <v>157</v>
      </c>
      <c r="AE31" s="131">
        <v>76.28</v>
      </c>
      <c r="AF31" s="133">
        <v>76</v>
      </c>
      <c r="AG31" s="134">
        <v>3</v>
      </c>
      <c r="AH31" s="131"/>
      <c r="AI31" s="115">
        <f t="shared" si="10"/>
        <v>0</v>
      </c>
      <c r="AJ31" s="131">
        <v>75.650000000000006</v>
      </c>
      <c r="AK31" s="115">
        <f t="shared" si="11"/>
        <v>605.68939703280239</v>
      </c>
      <c r="AL31" s="139">
        <v>21.28</v>
      </c>
      <c r="AM31" s="131"/>
      <c r="AN31" s="136">
        <v>9.6300000000000008</v>
      </c>
      <c r="AO31" s="466">
        <f t="shared" si="27"/>
        <v>30.951000000000001</v>
      </c>
      <c r="AP31" s="110">
        <f t="shared" si="12"/>
        <v>0.19</v>
      </c>
      <c r="AQ31" s="137" t="s">
        <v>225</v>
      </c>
      <c r="AR31" s="150">
        <v>7</v>
      </c>
      <c r="AS31" s="138">
        <v>7.42</v>
      </c>
      <c r="AT31" s="134"/>
      <c r="AU31" s="131">
        <v>7.84</v>
      </c>
      <c r="AV31" s="139">
        <v>162.9</v>
      </c>
      <c r="AW31" s="131">
        <v>2.58</v>
      </c>
      <c r="AX31" s="148"/>
      <c r="AY31" s="131"/>
      <c r="AZ31" s="109">
        <f t="shared" si="34"/>
        <v>0</v>
      </c>
      <c r="BA31" s="109">
        <f t="shared" si="13"/>
        <v>124.89900000000002</v>
      </c>
      <c r="BB31" s="115">
        <f t="shared" si="28"/>
        <v>97.474479395561005</v>
      </c>
      <c r="BC31" s="140">
        <f t="shared" si="14"/>
        <v>4.5944056338028165</v>
      </c>
      <c r="BD31" s="141">
        <f t="shared" si="36"/>
        <v>4.9959600000000011</v>
      </c>
      <c r="BE31" s="128">
        <f t="shared" si="16"/>
        <v>1.1186192291165555</v>
      </c>
      <c r="BF31" s="141">
        <f t="shared" si="17"/>
        <v>9.5903656338028185</v>
      </c>
      <c r="BG31" s="535">
        <v>0.90100000000000002</v>
      </c>
      <c r="BH31" s="16">
        <f t="shared" si="29"/>
        <v>5407.7455000000009</v>
      </c>
      <c r="BI31" s="16">
        <f t="shared" si="18"/>
        <v>225.16129032258064</v>
      </c>
      <c r="BJ31" s="16">
        <f t="shared" si="30"/>
        <v>5629.0322580645143</v>
      </c>
      <c r="BK31" s="17">
        <f>IF(BA31&lt;&gt;0,1,0)</f>
        <v>1</v>
      </c>
      <c r="BL31" s="16">
        <f t="shared" si="31"/>
        <v>5629.0322580645143</v>
      </c>
      <c r="BM31" s="254">
        <v>164.99700000000001</v>
      </c>
      <c r="BN31" s="197">
        <v>11.401999999999999</v>
      </c>
      <c r="BO31" s="197">
        <v>48.744999999999997</v>
      </c>
      <c r="BP31" s="197"/>
      <c r="BQ31" s="230"/>
      <c r="BR31" s="230"/>
      <c r="BS31" s="259"/>
      <c r="BT31" s="199"/>
      <c r="BU31" s="200">
        <v>1.5</v>
      </c>
      <c r="BV31" s="200"/>
      <c r="BW31" s="200"/>
      <c r="BX31" s="200"/>
      <c r="BY31" s="208"/>
      <c r="BZ31" s="208"/>
      <c r="CA31" s="201"/>
      <c r="CB31" s="202">
        <v>36.36</v>
      </c>
      <c r="CC31" s="200">
        <v>43.79</v>
      </c>
      <c r="CD31" s="200">
        <v>43.35</v>
      </c>
      <c r="CE31" s="200"/>
      <c r="CF31" s="208"/>
      <c r="CG31" s="208"/>
      <c r="CH31" s="209"/>
      <c r="CI31" s="199"/>
      <c r="CJ31" s="197"/>
      <c r="CK31" s="197">
        <v>69.75</v>
      </c>
      <c r="CL31" s="230"/>
      <c r="CM31" s="198">
        <v>68.25</v>
      </c>
      <c r="CN31" s="202"/>
      <c r="CO31" s="208"/>
      <c r="CP31" s="208"/>
      <c r="CQ31" s="201"/>
      <c r="CR31" s="201"/>
      <c r="CS31" s="284"/>
      <c r="CT31" s="286">
        <f t="shared" si="20"/>
        <v>162.52204500000002</v>
      </c>
      <c r="CU31" s="24">
        <f t="shared" si="20"/>
        <v>11.401999999999999</v>
      </c>
      <c r="CV31" s="25">
        <f t="shared" si="20"/>
        <v>48.744999999999997</v>
      </c>
      <c r="CW31" s="24">
        <f t="shared" si="20"/>
        <v>0</v>
      </c>
      <c r="CX31" s="27">
        <f t="shared" si="20"/>
        <v>0</v>
      </c>
      <c r="CY31" s="24">
        <f t="shared" si="20"/>
        <v>0</v>
      </c>
      <c r="CZ31" s="280">
        <f t="shared" si="20"/>
        <v>0</v>
      </c>
      <c r="DA31" s="28">
        <f t="shared" si="21"/>
        <v>0</v>
      </c>
      <c r="DB31" s="24">
        <f t="shared" si="21"/>
        <v>69.75</v>
      </c>
      <c r="DC31" s="277">
        <f t="shared" si="21"/>
        <v>0</v>
      </c>
      <c r="DD31" s="280">
        <f t="shared" si="21"/>
        <v>68.25</v>
      </c>
      <c r="DE31" s="508">
        <f t="shared" si="32"/>
        <v>0</v>
      </c>
      <c r="DG31" s="293">
        <f t="shared" si="22"/>
        <v>0</v>
      </c>
      <c r="DH31" s="294"/>
      <c r="DI31" s="294"/>
      <c r="DJ31" s="295">
        <f t="shared" si="23"/>
        <v>0</v>
      </c>
      <c r="DK31" s="296">
        <f t="shared" si="33"/>
        <v>0</v>
      </c>
      <c r="DM31" s="411"/>
    </row>
    <row r="32" spans="1:117" ht="16.5" customHeight="1" thickBot="1">
      <c r="A32" s="534">
        <v>26</v>
      </c>
      <c r="B32" s="103">
        <f>'[1]декабрь 20'!K31</f>
        <v>498.09199999999998</v>
      </c>
      <c r="C32" s="104">
        <f t="shared" si="0"/>
        <v>0.81498088706504013</v>
      </c>
      <c r="D32" s="143">
        <f t="shared" si="1"/>
        <v>494.03264540000004</v>
      </c>
      <c r="E32" s="104">
        <f t="shared" si="2"/>
        <v>39.433949210186071</v>
      </c>
      <c r="F32" s="128">
        <f t="shared" si="3"/>
        <v>2.4899144735615271</v>
      </c>
      <c r="G32" s="106"/>
      <c r="H32" s="107">
        <f t="shared" si="4"/>
        <v>1.603276215580089</v>
      </c>
      <c r="I32" s="103">
        <f>'[1]сентябрь 20'!AE31</f>
        <v>0</v>
      </c>
      <c r="J32" s="103">
        <f>'[1]декабрь 20'!AA31</f>
        <v>14.596</v>
      </c>
      <c r="K32" s="106">
        <v>34.869999999999997</v>
      </c>
      <c r="L32" s="103">
        <f>'[1]декабрь 20'!AI31</f>
        <v>175.92099999999999</v>
      </c>
      <c r="M32" s="103">
        <f t="shared" si="5"/>
        <v>0.88663825798143769</v>
      </c>
      <c r="N32" s="103">
        <f>'[1]август 20'!W31</f>
        <v>0</v>
      </c>
      <c r="O32" s="103">
        <f>'[1]сентябрь 20'!AM31</f>
        <v>0</v>
      </c>
      <c r="P32" s="447">
        <f t="shared" si="24"/>
        <v>0</v>
      </c>
      <c r="Q32" s="103">
        <f t="shared" si="25"/>
        <v>0</v>
      </c>
      <c r="R32" s="103">
        <f>'[1]декабрь 20'!S31</f>
        <v>312.05200000000002</v>
      </c>
      <c r="S32" s="108">
        <f t="shared" si="6"/>
        <v>3.1507569251278622</v>
      </c>
      <c r="T32" s="109">
        <f t="shared" si="7"/>
        <v>302.22000000000003</v>
      </c>
      <c r="U32" s="106">
        <v>14.45</v>
      </c>
      <c r="V32" s="109">
        <f t="shared" si="8"/>
        <v>302.22000000000003</v>
      </c>
      <c r="W32" s="110">
        <f t="shared" si="9"/>
        <v>1.523182646342109</v>
      </c>
      <c r="X32" s="110">
        <f t="shared" si="26"/>
        <v>1.523182646342109</v>
      </c>
      <c r="Y32" s="136">
        <v>108.34</v>
      </c>
      <c r="Z32" s="136">
        <v>198.41</v>
      </c>
      <c r="AA32" s="131">
        <v>0.59</v>
      </c>
      <c r="AB32" s="133">
        <v>681</v>
      </c>
      <c r="AC32" s="133">
        <v>1184</v>
      </c>
      <c r="AD32" s="144" t="s">
        <v>506</v>
      </c>
      <c r="AE32" s="131">
        <v>75.69</v>
      </c>
      <c r="AF32" s="133">
        <v>166</v>
      </c>
      <c r="AG32" s="134">
        <v>5</v>
      </c>
      <c r="AH32" s="131">
        <v>10.1</v>
      </c>
      <c r="AI32" s="115">
        <f t="shared" si="10"/>
        <v>50.903794348670829</v>
      </c>
      <c r="AJ32" s="131">
        <v>132.4</v>
      </c>
      <c r="AK32" s="115">
        <f t="shared" si="11"/>
        <v>667.29330413505124</v>
      </c>
      <c r="AL32" s="139">
        <v>28.33</v>
      </c>
      <c r="AM32" s="131"/>
      <c r="AN32" s="136">
        <v>12.02</v>
      </c>
      <c r="AO32" s="466">
        <f t="shared" si="27"/>
        <v>48.706500000000005</v>
      </c>
      <c r="AP32" s="110">
        <f t="shared" si="12"/>
        <v>0.19</v>
      </c>
      <c r="AQ32" s="137" t="s">
        <v>273</v>
      </c>
      <c r="AR32" s="150">
        <v>6.81</v>
      </c>
      <c r="AS32" s="138">
        <v>6.83</v>
      </c>
      <c r="AT32" s="134"/>
      <c r="AU32" s="131">
        <v>9.1199999999999992</v>
      </c>
      <c r="AV32" s="139">
        <v>256.35000000000002</v>
      </c>
      <c r="AW32" s="131">
        <v>2.79</v>
      </c>
      <c r="AX32" s="148"/>
      <c r="AY32" s="131"/>
      <c r="AZ32" s="109">
        <f t="shared" si="34"/>
        <v>0</v>
      </c>
      <c r="BA32" s="109">
        <f t="shared" si="13"/>
        <v>198.4135</v>
      </c>
      <c r="BB32" s="115">
        <f t="shared" si="28"/>
        <v>224.69926872141667</v>
      </c>
      <c r="BC32" s="140">
        <f t="shared" si="14"/>
        <v>9.3537802816901401</v>
      </c>
      <c r="BD32" s="141">
        <f t="shared" si="36"/>
        <v>7.9365399999999999</v>
      </c>
      <c r="BE32" s="128">
        <f t="shared" si="16"/>
        <v>0.77087471839862909</v>
      </c>
      <c r="BF32" s="141">
        <f t="shared" si="17"/>
        <v>17.290320281690139</v>
      </c>
      <c r="BG32" s="535">
        <v>0.89500000000000002</v>
      </c>
      <c r="BH32" s="16">
        <f t="shared" si="29"/>
        <v>5606.1590000000006</v>
      </c>
      <c r="BI32" s="16">
        <f t="shared" si="18"/>
        <v>225.16129032258064</v>
      </c>
      <c r="BJ32" s="16">
        <f t="shared" si="30"/>
        <v>5854.1935483870948</v>
      </c>
      <c r="BK32" s="17">
        <f>IF(BA32&lt;&gt;0,1,0)</f>
        <v>1</v>
      </c>
      <c r="BL32" s="16">
        <f t="shared" si="31"/>
        <v>5854.1935483870948</v>
      </c>
      <c r="BM32" s="254">
        <v>322.17099999999999</v>
      </c>
      <c r="BN32" s="197">
        <v>68.067999999999998</v>
      </c>
      <c r="BO32" s="197">
        <v>107.85299999999999</v>
      </c>
      <c r="BP32" s="197"/>
      <c r="BQ32" s="230"/>
      <c r="BR32" s="230"/>
      <c r="BS32" s="258"/>
      <c r="BT32" s="199"/>
      <c r="BU32" s="200">
        <v>1.26</v>
      </c>
      <c r="BV32" s="200"/>
      <c r="BW32" s="200"/>
      <c r="BX32" s="200"/>
      <c r="BY32" s="208"/>
      <c r="BZ32" s="208"/>
      <c r="CA32" s="201"/>
      <c r="CB32" s="202">
        <v>36.9</v>
      </c>
      <c r="CC32" s="200">
        <v>44.24</v>
      </c>
      <c r="CD32" s="200">
        <v>43.97</v>
      </c>
      <c r="CE32" s="200"/>
      <c r="CF32" s="208"/>
      <c r="CG32" s="208"/>
      <c r="CH32" s="209"/>
      <c r="CI32" s="199"/>
      <c r="CJ32" s="197"/>
      <c r="CK32" s="197">
        <v>148.63</v>
      </c>
      <c r="CL32" s="230"/>
      <c r="CM32" s="198">
        <v>153.59</v>
      </c>
      <c r="CN32" s="202"/>
      <c r="CO32" s="208"/>
      <c r="CP32" s="208"/>
      <c r="CQ32" s="201"/>
      <c r="CR32" s="201"/>
      <c r="CS32" s="284"/>
      <c r="CT32" s="286">
        <f t="shared" si="20"/>
        <v>318.11164539999999</v>
      </c>
      <c r="CU32" s="24">
        <f t="shared" si="20"/>
        <v>68.067999999999998</v>
      </c>
      <c r="CV32" s="25">
        <f t="shared" si="20"/>
        <v>107.85299999999999</v>
      </c>
      <c r="CW32" s="24">
        <f t="shared" si="20"/>
        <v>0</v>
      </c>
      <c r="CX32" s="27">
        <f t="shared" si="20"/>
        <v>0</v>
      </c>
      <c r="CY32" s="24">
        <f t="shared" si="20"/>
        <v>0</v>
      </c>
      <c r="CZ32" s="280">
        <f t="shared" si="20"/>
        <v>0</v>
      </c>
      <c r="DA32" s="25">
        <f t="shared" si="21"/>
        <v>0</v>
      </c>
      <c r="DB32" s="24">
        <f t="shared" si="21"/>
        <v>148.63</v>
      </c>
      <c r="DC32" s="277">
        <f t="shared" si="21"/>
        <v>0</v>
      </c>
      <c r="DD32" s="280">
        <f t="shared" si="21"/>
        <v>153.59</v>
      </c>
      <c r="DE32" s="508">
        <f t="shared" si="32"/>
        <v>0</v>
      </c>
      <c r="DG32" s="293">
        <f t="shared" si="22"/>
        <v>0</v>
      </c>
      <c r="DH32" s="294"/>
      <c r="DI32" s="294"/>
      <c r="DJ32" s="295">
        <f t="shared" si="23"/>
        <v>0</v>
      </c>
      <c r="DK32" s="296">
        <f t="shared" si="33"/>
        <v>0</v>
      </c>
      <c r="DM32" s="411"/>
    </row>
    <row r="33" spans="1:117" ht="16.5" customHeight="1" thickBot="1">
      <c r="A33" s="534">
        <v>27</v>
      </c>
      <c r="B33" s="103">
        <f>'[1]декабрь 20'!K32</f>
        <v>515.72199999999998</v>
      </c>
      <c r="C33" s="104">
        <f t="shared" si="0"/>
        <v>0.60015861258585046</v>
      </c>
      <c r="D33" s="143">
        <f t="shared" si="1"/>
        <v>512.62684999999999</v>
      </c>
      <c r="E33" s="104">
        <f t="shared" si="2"/>
        <v>39.762938695653858</v>
      </c>
      <c r="F33" s="128">
        <f t="shared" si="3"/>
        <v>2.1321827941112246</v>
      </c>
      <c r="G33" s="106"/>
      <c r="H33" s="107">
        <f t="shared" si="4"/>
        <v>1.2745004128132231</v>
      </c>
      <c r="I33" s="103">
        <f>'[1]сентябрь 20'!AE32</f>
        <v>0</v>
      </c>
      <c r="J33" s="103">
        <f>'[1]декабрь 20'!AA32</f>
        <v>12.089</v>
      </c>
      <c r="K33" s="106">
        <v>40.58</v>
      </c>
      <c r="L33" s="103">
        <f>'[1]декабрь 20'!AI32</f>
        <v>206.20699999999999</v>
      </c>
      <c r="M33" s="103">
        <f t="shared" si="5"/>
        <v>0.85768238129800112</v>
      </c>
      <c r="N33" s="103">
        <f>'[1]август 20'!W32</f>
        <v>0</v>
      </c>
      <c r="O33" s="103">
        <f>'[1]сентябрь 20'!AM32</f>
        <v>0</v>
      </c>
      <c r="P33" s="447">
        <f t="shared" si="24"/>
        <v>0</v>
      </c>
      <c r="Q33" s="103">
        <f t="shared" si="25"/>
        <v>0</v>
      </c>
      <c r="R33" s="103">
        <f>'[1]декабрь 20'!S32</f>
        <v>323.16500000000002</v>
      </c>
      <c r="S33" s="108">
        <f t="shared" si="6"/>
        <v>3.3032661333993518</v>
      </c>
      <c r="T33" s="109">
        <f t="shared" si="7"/>
        <v>312.49</v>
      </c>
      <c r="U33" s="106"/>
      <c r="V33" s="109">
        <f t="shared" si="8"/>
        <v>312.49</v>
      </c>
      <c r="W33" s="110">
        <f t="shared" si="9"/>
        <v>1.2997481527388128</v>
      </c>
      <c r="X33" s="110">
        <f t="shared" si="26"/>
        <v>1.2997481527388128</v>
      </c>
      <c r="Y33" s="136">
        <v>56.7</v>
      </c>
      <c r="Z33" s="136">
        <v>240.42</v>
      </c>
      <c r="AA33" s="131">
        <v>0.51</v>
      </c>
      <c r="AB33" s="133">
        <v>629</v>
      </c>
      <c r="AC33" s="133">
        <v>1214</v>
      </c>
      <c r="AD33" s="144" t="s">
        <v>478</v>
      </c>
      <c r="AE33" s="131">
        <v>74.349999999999994</v>
      </c>
      <c r="AF33" s="133">
        <v>172</v>
      </c>
      <c r="AG33" s="134">
        <v>5</v>
      </c>
      <c r="AH33" s="131">
        <v>10.45</v>
      </c>
      <c r="AI33" s="115">
        <f t="shared" si="10"/>
        <v>43.464969106597316</v>
      </c>
      <c r="AJ33" s="131">
        <v>129.6</v>
      </c>
      <c r="AK33" s="115">
        <f t="shared" si="11"/>
        <v>539.04880346555137</v>
      </c>
      <c r="AL33" s="139">
        <v>30.44</v>
      </c>
      <c r="AM33" s="131"/>
      <c r="AN33" s="136">
        <v>17.05</v>
      </c>
      <c r="AO33" s="466">
        <f t="shared" si="27"/>
        <v>59.536500000000004</v>
      </c>
      <c r="AP33" s="110">
        <f t="shared" si="12"/>
        <v>0.19</v>
      </c>
      <c r="AQ33" s="137" t="s">
        <v>415</v>
      </c>
      <c r="AR33" s="150">
        <v>7.32</v>
      </c>
      <c r="AS33" s="138">
        <v>6.81</v>
      </c>
      <c r="AT33" s="134"/>
      <c r="AU33" s="131">
        <v>7.4</v>
      </c>
      <c r="AV33" s="139">
        <v>313.35000000000002</v>
      </c>
      <c r="AW33" s="131">
        <v>3.66</v>
      </c>
      <c r="AX33" s="116"/>
      <c r="AY33" s="131"/>
      <c r="AZ33" s="109">
        <f t="shared" si="34"/>
        <v>0</v>
      </c>
      <c r="BA33" s="109">
        <f t="shared" si="13"/>
        <v>240.42350000000002</v>
      </c>
      <c r="BB33" s="115">
        <f t="shared" si="28"/>
        <v>239.33879164745846</v>
      </c>
      <c r="BC33" s="140">
        <f t="shared" si="14"/>
        <v>7.4291830985915484</v>
      </c>
      <c r="BD33" s="141">
        <f t="shared" si="36"/>
        <v>9.6169400000000014</v>
      </c>
      <c r="BE33" s="128">
        <f t="shared" si="16"/>
        <v>0.87695652700195648</v>
      </c>
      <c r="BF33" s="141">
        <f t="shared" si="17"/>
        <v>17.046123098591551</v>
      </c>
      <c r="BG33" s="535">
        <v>0.89500000000000002</v>
      </c>
      <c r="BH33" s="16">
        <f t="shared" si="29"/>
        <v>5846.5825000000004</v>
      </c>
      <c r="BI33" s="16">
        <f t="shared" si="18"/>
        <v>225.16129032258064</v>
      </c>
      <c r="BJ33" s="16">
        <f t="shared" si="30"/>
        <v>6079.3548387096753</v>
      </c>
      <c r="BK33" s="17">
        <f t="shared" si="19"/>
        <v>1</v>
      </c>
      <c r="BL33" s="16">
        <f t="shared" si="31"/>
        <v>6079.3548387096753</v>
      </c>
      <c r="BM33" s="254">
        <v>309.51499999999999</v>
      </c>
      <c r="BN33" s="197">
        <v>94.543000000000006</v>
      </c>
      <c r="BO33" s="197">
        <v>111.664</v>
      </c>
      <c r="BP33" s="197"/>
      <c r="BQ33" s="230"/>
      <c r="BR33" s="230"/>
      <c r="BS33" s="258"/>
      <c r="BT33" s="199"/>
      <c r="BU33" s="200">
        <v>1</v>
      </c>
      <c r="BV33" s="200"/>
      <c r="BW33" s="200"/>
      <c r="BX33" s="200"/>
      <c r="BY33" s="208"/>
      <c r="BZ33" s="208"/>
      <c r="CA33" s="201"/>
      <c r="CB33" s="202">
        <v>37.340000000000003</v>
      </c>
      <c r="CC33" s="200">
        <v>43.99</v>
      </c>
      <c r="CD33" s="200">
        <v>42.9</v>
      </c>
      <c r="CE33" s="200"/>
      <c r="CF33" s="208"/>
      <c r="CG33" s="208"/>
      <c r="CH33" s="209"/>
      <c r="CI33" s="199"/>
      <c r="CJ33" s="197"/>
      <c r="CK33" s="197">
        <v>153.08000000000001</v>
      </c>
      <c r="CL33" s="230"/>
      <c r="CM33" s="198">
        <v>159.41</v>
      </c>
      <c r="CN33" s="202"/>
      <c r="CO33" s="208"/>
      <c r="CP33" s="208"/>
      <c r="CQ33" s="209"/>
      <c r="CR33" s="201"/>
      <c r="CS33" s="284"/>
      <c r="CT33" s="286">
        <f t="shared" si="20"/>
        <v>306.41985</v>
      </c>
      <c r="CU33" s="24">
        <f t="shared" si="20"/>
        <v>94.543000000000006</v>
      </c>
      <c r="CV33" s="25">
        <f t="shared" si="20"/>
        <v>111.664</v>
      </c>
      <c r="CW33" s="24">
        <f t="shared" si="20"/>
        <v>0</v>
      </c>
      <c r="CX33" s="27">
        <f t="shared" si="20"/>
        <v>0</v>
      </c>
      <c r="CY33" s="24">
        <f t="shared" si="20"/>
        <v>0</v>
      </c>
      <c r="CZ33" s="280">
        <f t="shared" si="20"/>
        <v>0</v>
      </c>
      <c r="DA33" s="25">
        <f t="shared" si="21"/>
        <v>0</v>
      </c>
      <c r="DB33" s="24">
        <f t="shared" si="21"/>
        <v>153.08000000000001</v>
      </c>
      <c r="DC33" s="277">
        <f t="shared" si="21"/>
        <v>0</v>
      </c>
      <c r="DD33" s="280">
        <f t="shared" si="21"/>
        <v>159.41</v>
      </c>
      <c r="DE33" s="508">
        <f t="shared" si="32"/>
        <v>0</v>
      </c>
      <c r="DG33" s="293">
        <f t="shared" si="22"/>
        <v>0</v>
      </c>
      <c r="DH33" s="294"/>
      <c r="DI33" s="294"/>
      <c r="DJ33" s="295">
        <f t="shared" si="23"/>
        <v>0</v>
      </c>
      <c r="DK33" s="296">
        <f t="shared" si="33"/>
        <v>0</v>
      </c>
      <c r="DM33" s="411"/>
    </row>
    <row r="34" spans="1:117" ht="16.5" customHeight="1" thickBot="1">
      <c r="A34" s="534">
        <v>28</v>
      </c>
      <c r="B34" s="103">
        <f>'[1]декабрь 20'!K33</f>
        <v>486.447</v>
      </c>
      <c r="C34" s="104">
        <f t="shared" si="0"/>
        <v>0.97206593935207741</v>
      </c>
      <c r="D34" s="143">
        <f t="shared" si="1"/>
        <v>481.71841440000003</v>
      </c>
      <c r="E34" s="104">
        <f t="shared" si="2"/>
        <v>39.272298420999618</v>
      </c>
      <c r="F34" s="128">
        <f t="shared" si="3"/>
        <v>2.061241894199048</v>
      </c>
      <c r="G34" s="106"/>
      <c r="H34" s="107">
        <f t="shared" si="4"/>
        <v>1.2287365348326724</v>
      </c>
      <c r="I34" s="103">
        <f>'[1]сентябрь 20'!AE33</f>
        <v>0</v>
      </c>
      <c r="J34" s="103">
        <f>'[1]декабрь 20'!AA33</f>
        <v>12.494</v>
      </c>
      <c r="K34" s="106">
        <v>36.28</v>
      </c>
      <c r="L34" s="103">
        <f>'[1]декабрь 20'!AI33</f>
        <v>194.559</v>
      </c>
      <c r="M34" s="103">
        <f t="shared" si="5"/>
        <v>0.83250535936637537</v>
      </c>
      <c r="N34" s="103">
        <f>'[1]август 20'!W33</f>
        <v>0</v>
      </c>
      <c r="O34" s="103">
        <f>'[1]сентябрь 20'!AM33</f>
        <v>0</v>
      </c>
      <c r="P34" s="447">
        <f t="shared" si="24"/>
        <v>0</v>
      </c>
      <c r="Q34" s="103">
        <f t="shared" si="25"/>
        <v>0</v>
      </c>
      <c r="R34" s="103">
        <f>'[1]декабрь 20'!S33</f>
        <v>303.88600000000002</v>
      </c>
      <c r="S34" s="108">
        <f t="shared" si="6"/>
        <v>3.2499029241228716</v>
      </c>
      <c r="T34" s="109">
        <f t="shared" si="7"/>
        <v>294.00999999999993</v>
      </c>
      <c r="U34" s="106"/>
      <c r="V34" s="109">
        <f t="shared" si="8"/>
        <v>294.01</v>
      </c>
      <c r="W34" s="110">
        <f t="shared" si="9"/>
        <v>1.258049746900981</v>
      </c>
      <c r="X34" s="110">
        <f t="shared" si="26"/>
        <v>1.258049746900981</v>
      </c>
      <c r="Y34" s="157"/>
      <c r="Z34" s="157">
        <v>233.7</v>
      </c>
      <c r="AA34" s="149">
        <v>0.69</v>
      </c>
      <c r="AB34" s="147">
        <v>645</v>
      </c>
      <c r="AC34" s="147">
        <v>1217</v>
      </c>
      <c r="AD34" s="144" t="s">
        <v>463</v>
      </c>
      <c r="AE34" s="149">
        <v>74.17</v>
      </c>
      <c r="AF34" s="147">
        <v>162</v>
      </c>
      <c r="AG34" s="155">
        <v>5</v>
      </c>
      <c r="AH34" s="149">
        <v>3.5</v>
      </c>
      <c r="AI34" s="115">
        <f t="shared" si="10"/>
        <v>14.976273304150997</v>
      </c>
      <c r="AJ34" s="149">
        <v>121.2</v>
      </c>
      <c r="AK34" s="115">
        <f t="shared" si="11"/>
        <v>518.60694984660029</v>
      </c>
      <c r="AL34" s="156">
        <v>26.85</v>
      </c>
      <c r="AM34" s="149"/>
      <c r="AN34" s="157">
        <v>13.71</v>
      </c>
      <c r="AO34" s="466">
        <f t="shared" si="27"/>
        <v>56.867000000000004</v>
      </c>
      <c r="AP34" s="110">
        <f t="shared" si="12"/>
        <v>0.19</v>
      </c>
      <c r="AQ34" s="158" t="s">
        <v>281</v>
      </c>
      <c r="AR34" s="404">
        <v>7.54</v>
      </c>
      <c r="AS34" s="159">
        <v>7.06</v>
      </c>
      <c r="AT34" s="155"/>
      <c r="AU34" s="149">
        <v>7.28</v>
      </c>
      <c r="AV34" s="156">
        <v>299.3</v>
      </c>
      <c r="AW34" s="131">
        <v>4.9800000000000004</v>
      </c>
      <c r="AX34" s="148"/>
      <c r="AY34" s="149"/>
      <c r="AZ34" s="109">
        <f t="shared" si="34"/>
        <v>0</v>
      </c>
      <c r="BA34" s="109">
        <f t="shared" si="13"/>
        <v>233.70299999999997</v>
      </c>
      <c r="BB34" s="115">
        <f t="shared" si="28"/>
        <v>222.67196010389915</v>
      </c>
      <c r="BC34" s="140">
        <f t="shared" si="14"/>
        <v>6.8349971830985918</v>
      </c>
      <c r="BD34" s="141">
        <f t="shared" si="36"/>
        <v>9.3481199999999998</v>
      </c>
      <c r="BE34" s="128">
        <f t="shared" si="16"/>
        <v>0.91624791421785934</v>
      </c>
      <c r="BF34" s="141">
        <f t="shared" si="17"/>
        <v>16.183117183098592</v>
      </c>
      <c r="BG34" s="538">
        <v>0.89500000000000002</v>
      </c>
      <c r="BH34" s="16">
        <f t="shared" si="29"/>
        <v>6080.2855</v>
      </c>
      <c r="BI34" s="16">
        <f t="shared" si="18"/>
        <v>225.16129032258064</v>
      </c>
      <c r="BJ34" s="16">
        <f t="shared" si="30"/>
        <v>6304.5161290322558</v>
      </c>
      <c r="BK34" s="17">
        <f t="shared" si="19"/>
        <v>1</v>
      </c>
      <c r="BL34" s="16">
        <f t="shared" si="31"/>
        <v>6304.5161290322558</v>
      </c>
      <c r="BM34" s="255">
        <v>291.88799999999998</v>
      </c>
      <c r="BN34" s="210">
        <v>89.058999999999997</v>
      </c>
      <c r="BO34" s="210">
        <v>105.5</v>
      </c>
      <c r="BP34" s="210"/>
      <c r="BQ34" s="233"/>
      <c r="BR34" s="233"/>
      <c r="BS34" s="260"/>
      <c r="BT34" s="212"/>
      <c r="BU34" s="213">
        <v>1.62</v>
      </c>
      <c r="BV34" s="213"/>
      <c r="BW34" s="213"/>
      <c r="BX34" s="213"/>
      <c r="BY34" s="235"/>
      <c r="BZ34" s="235"/>
      <c r="CA34" s="214"/>
      <c r="CB34" s="215">
        <v>36.39</v>
      </c>
      <c r="CC34" s="213">
        <v>43.77</v>
      </c>
      <c r="CD34" s="213">
        <v>43.45</v>
      </c>
      <c r="CE34" s="213"/>
      <c r="CF34" s="235"/>
      <c r="CG34" s="235"/>
      <c r="CH34" s="211"/>
      <c r="CI34" s="212"/>
      <c r="CJ34" s="210"/>
      <c r="CK34" s="210">
        <v>144.18</v>
      </c>
      <c r="CL34" s="233"/>
      <c r="CM34" s="198">
        <v>149.83000000000001</v>
      </c>
      <c r="CN34" s="202"/>
      <c r="CO34" s="208"/>
      <c r="CP34" s="208"/>
      <c r="CQ34" s="209"/>
      <c r="CR34" s="201"/>
      <c r="CS34" s="284"/>
      <c r="CT34" s="286">
        <f t="shared" si="20"/>
        <v>287.1594144</v>
      </c>
      <c r="CU34" s="24">
        <f t="shared" si="20"/>
        <v>89.058999999999997</v>
      </c>
      <c r="CV34" s="25">
        <f t="shared" si="20"/>
        <v>105.5</v>
      </c>
      <c r="CW34" s="24">
        <f t="shared" si="20"/>
        <v>0</v>
      </c>
      <c r="CX34" s="27">
        <f t="shared" si="20"/>
        <v>0</v>
      </c>
      <c r="CY34" s="24">
        <f t="shared" si="20"/>
        <v>0</v>
      </c>
      <c r="CZ34" s="280">
        <f t="shared" si="20"/>
        <v>0</v>
      </c>
      <c r="DA34" s="30">
        <f t="shared" si="21"/>
        <v>0</v>
      </c>
      <c r="DB34" s="29">
        <f t="shared" si="21"/>
        <v>144.18</v>
      </c>
      <c r="DC34" s="277">
        <f t="shared" si="21"/>
        <v>0</v>
      </c>
      <c r="DD34" s="280">
        <f t="shared" si="21"/>
        <v>149.83000000000001</v>
      </c>
      <c r="DE34" s="508">
        <f t="shared" si="32"/>
        <v>0</v>
      </c>
      <c r="DG34" s="293">
        <f t="shared" si="22"/>
        <v>0</v>
      </c>
      <c r="DH34" s="294"/>
      <c r="DI34" s="294"/>
      <c r="DJ34" s="295">
        <f t="shared" si="23"/>
        <v>0</v>
      </c>
      <c r="DK34" s="296">
        <f t="shared" si="33"/>
        <v>0</v>
      </c>
      <c r="DM34" s="411"/>
    </row>
    <row r="35" spans="1:117" ht="16.5" customHeight="1" thickBot="1">
      <c r="A35" s="534">
        <v>29</v>
      </c>
      <c r="B35" s="103">
        <f>'[1]декабрь 20'!K34</f>
        <v>447.18799999999999</v>
      </c>
      <c r="C35" s="104">
        <f t="shared" si="0"/>
        <v>0.85829163573262246</v>
      </c>
      <c r="D35" s="143">
        <f t="shared" si="1"/>
        <v>443.34982279999997</v>
      </c>
      <c r="E35" s="104">
        <f t="shared" si="2"/>
        <v>39.971171252359191</v>
      </c>
      <c r="F35" s="128">
        <f t="shared" si="3"/>
        <v>1.9040555854753161</v>
      </c>
      <c r="G35" s="106"/>
      <c r="H35" s="107">
        <f t="shared" si="4"/>
        <v>1.1362314964890807</v>
      </c>
      <c r="I35" s="103">
        <f>'[1]сентябрь 20'!AE34</f>
        <v>0</v>
      </c>
      <c r="J35" s="103">
        <f>'[1]декабрь 20'!AA34</f>
        <v>12.047000000000001</v>
      </c>
      <c r="K35" s="106">
        <v>17.3</v>
      </c>
      <c r="L35" s="103">
        <f>'[1]декабрь 20'!AI34</f>
        <v>178.78399999999999</v>
      </c>
      <c r="M35" s="103">
        <f t="shared" si="5"/>
        <v>0.76782408898623544</v>
      </c>
      <c r="N35" s="103">
        <f>'[1]август 20'!W34</f>
        <v>0</v>
      </c>
      <c r="O35" s="103">
        <f>'[1]сентябрь 20'!AM34</f>
        <v>0</v>
      </c>
      <c r="P35" s="447">
        <f t="shared" si="24"/>
        <v>0</v>
      </c>
      <c r="Q35" s="103">
        <f t="shared" si="25"/>
        <v>0</v>
      </c>
      <c r="R35" s="103">
        <f>'[1]декабрь 20'!S34</f>
        <v>279.19600000000003</v>
      </c>
      <c r="S35" s="108">
        <f t="shared" si="6"/>
        <v>3.182710354016538</v>
      </c>
      <c r="T35" s="109">
        <f t="shared" si="7"/>
        <v>270.31</v>
      </c>
      <c r="U35" s="106">
        <v>24.35</v>
      </c>
      <c r="V35" s="109">
        <f t="shared" si="8"/>
        <v>270.31</v>
      </c>
      <c r="W35" s="110">
        <f t="shared" si="9"/>
        <v>1.1609010285812451</v>
      </c>
      <c r="X35" s="110">
        <f t="shared" si="26"/>
        <v>1.1609010285812451</v>
      </c>
      <c r="Y35" s="136">
        <v>52.11</v>
      </c>
      <c r="Z35" s="136">
        <v>232.85</v>
      </c>
      <c r="AA35" s="131">
        <v>0.5</v>
      </c>
      <c r="AB35" s="133">
        <v>682</v>
      </c>
      <c r="AC35" s="133">
        <v>1224</v>
      </c>
      <c r="AD35" s="144" t="s">
        <v>144</v>
      </c>
      <c r="AE35" s="131">
        <v>74.349999999999994</v>
      </c>
      <c r="AF35" s="133">
        <v>149</v>
      </c>
      <c r="AG35" s="134">
        <v>5</v>
      </c>
      <c r="AH35" s="166">
        <v>3.45</v>
      </c>
      <c r="AI35" s="115">
        <f t="shared" si="10"/>
        <v>14.816723571474586</v>
      </c>
      <c r="AJ35" s="166">
        <v>133.05000000000001</v>
      </c>
      <c r="AK35" s="115">
        <f t="shared" si="11"/>
        <v>571.4101655607808</v>
      </c>
      <c r="AL35" s="139">
        <v>29.86</v>
      </c>
      <c r="AM35" s="131"/>
      <c r="AN35" s="167">
        <v>15.75</v>
      </c>
      <c r="AO35" s="466">
        <f t="shared" si="27"/>
        <v>57.094999999999999</v>
      </c>
      <c r="AP35" s="110">
        <f t="shared" si="12"/>
        <v>0.19</v>
      </c>
      <c r="AQ35" s="168" t="s">
        <v>191</v>
      </c>
      <c r="AR35" s="405">
        <v>7.36</v>
      </c>
      <c r="AS35" s="169">
        <v>7.17</v>
      </c>
      <c r="AT35" s="170"/>
      <c r="AU35" s="166">
        <v>7.34</v>
      </c>
      <c r="AV35" s="171">
        <v>300.5</v>
      </c>
      <c r="AW35" s="131">
        <v>5.19</v>
      </c>
      <c r="AX35" s="116"/>
      <c r="AY35" s="131"/>
      <c r="AZ35" s="109">
        <f t="shared" si="34"/>
        <v>0</v>
      </c>
      <c r="BA35" s="109">
        <f t="shared" si="13"/>
        <v>232.845</v>
      </c>
      <c r="BB35" s="115">
        <f t="shared" si="28"/>
        <v>208.07824891698695</v>
      </c>
      <c r="BC35" s="140">
        <f t="shared" si="14"/>
        <v>7.5651105633802826</v>
      </c>
      <c r="BD35" s="141">
        <f t="shared" si="36"/>
        <v>9.3138000000000005</v>
      </c>
      <c r="BE35" s="128">
        <f t="shared" si="16"/>
        <v>0.97690982146382932</v>
      </c>
      <c r="BF35" s="141">
        <f t="shared" si="17"/>
        <v>16.878910563380284</v>
      </c>
      <c r="BG35" s="538">
        <v>0.89800000000000002</v>
      </c>
      <c r="BH35" s="16">
        <f t="shared" si="29"/>
        <v>6313.1305000000002</v>
      </c>
      <c r="BI35" s="16">
        <f t="shared" si="18"/>
        <v>225.16129032258064</v>
      </c>
      <c r="BJ35" s="16">
        <f t="shared" si="30"/>
        <v>6529.6774193548363</v>
      </c>
      <c r="BK35" s="17">
        <f t="shared" si="19"/>
        <v>1</v>
      </c>
      <c r="BL35" s="16">
        <f t="shared" si="31"/>
        <v>6529.6774193548363</v>
      </c>
      <c r="BM35" s="254">
        <v>268.404</v>
      </c>
      <c r="BN35" s="197">
        <v>81.933000000000007</v>
      </c>
      <c r="BO35" s="197">
        <v>96.850999999999999</v>
      </c>
      <c r="BP35" s="197"/>
      <c r="BQ35" s="230"/>
      <c r="BR35" s="230"/>
      <c r="BS35" s="259"/>
      <c r="BT35" s="199"/>
      <c r="BU35" s="200">
        <v>1.43</v>
      </c>
      <c r="BV35" s="200"/>
      <c r="BW35" s="200"/>
      <c r="BX35" s="200"/>
      <c r="BY35" s="208"/>
      <c r="BZ35" s="208"/>
      <c r="CA35" s="201"/>
      <c r="CB35" s="202">
        <v>37.36</v>
      </c>
      <c r="CC35" s="200">
        <v>43.81</v>
      </c>
      <c r="CD35" s="200">
        <v>43.96</v>
      </c>
      <c r="CE35" s="200"/>
      <c r="CF35" s="208"/>
      <c r="CG35" s="208"/>
      <c r="CH35" s="209"/>
      <c r="CI35" s="199"/>
      <c r="CJ35" s="197"/>
      <c r="CK35" s="197">
        <v>132.61000000000001</v>
      </c>
      <c r="CL35" s="230"/>
      <c r="CM35" s="198">
        <v>137.69999999999999</v>
      </c>
      <c r="CN35" s="202"/>
      <c r="CO35" s="208"/>
      <c r="CP35" s="208"/>
      <c r="CQ35" s="209"/>
      <c r="CR35" s="201"/>
      <c r="CT35" s="286">
        <f t="shared" si="20"/>
        <v>264.56582279999998</v>
      </c>
      <c r="CU35" s="24">
        <f t="shared" si="20"/>
        <v>81.933000000000007</v>
      </c>
      <c r="CV35" s="24">
        <f t="shared" si="20"/>
        <v>96.850999999999999</v>
      </c>
      <c r="CW35" s="24">
        <f t="shared" si="20"/>
        <v>0</v>
      </c>
      <c r="CX35" s="27">
        <f t="shared" si="20"/>
        <v>0</v>
      </c>
      <c r="CY35" s="27">
        <f t="shared" si="20"/>
        <v>0</v>
      </c>
      <c r="CZ35" s="280">
        <f t="shared" si="20"/>
        <v>0</v>
      </c>
      <c r="DA35" s="237">
        <f t="shared" si="21"/>
        <v>0</v>
      </c>
      <c r="DB35" s="26">
        <f t="shared" si="21"/>
        <v>132.61000000000001</v>
      </c>
      <c r="DC35" s="277">
        <f t="shared" si="21"/>
        <v>0</v>
      </c>
      <c r="DD35" s="280">
        <f t="shared" si="21"/>
        <v>137.69999999999999</v>
      </c>
      <c r="DE35" s="508">
        <f t="shared" si="32"/>
        <v>0</v>
      </c>
      <c r="DG35" s="293">
        <f t="shared" si="22"/>
        <v>0</v>
      </c>
      <c r="DH35" s="294"/>
      <c r="DI35" s="294"/>
      <c r="DJ35" s="295">
        <f t="shared" si="23"/>
        <v>0</v>
      </c>
      <c r="DK35" s="296">
        <f t="shared" si="33"/>
        <v>0</v>
      </c>
      <c r="DM35" s="411"/>
    </row>
    <row r="36" spans="1:117" ht="16.5" customHeight="1" thickBot="1">
      <c r="A36" s="534">
        <v>30</v>
      </c>
      <c r="B36" s="103">
        <f>'[1]декабрь 20'!K35</f>
        <v>375.15300000000002</v>
      </c>
      <c r="C36" s="104">
        <f t="shared" si="0"/>
        <v>1.2069976249690124</v>
      </c>
      <c r="D36" s="143">
        <f t="shared" si="1"/>
        <v>370.62491220000004</v>
      </c>
      <c r="E36" s="104">
        <f t="shared" si="2"/>
        <v>39.604917033850185</v>
      </c>
      <c r="F36" s="128">
        <f t="shared" si="3"/>
        <v>2.4612175912767462</v>
      </c>
      <c r="G36" s="106"/>
      <c r="H36" s="107">
        <f t="shared" si="4"/>
        <v>1.4659391457373196</v>
      </c>
      <c r="I36" s="103">
        <f>'[1]сентябрь 20'!AE35</f>
        <v>0</v>
      </c>
      <c r="J36" s="103">
        <f>'[1]декабрь 20'!AA35</f>
        <v>9.9529999999999994</v>
      </c>
      <c r="K36" s="106">
        <v>14.71</v>
      </c>
      <c r="L36" s="103">
        <f>'[1]декабрь 20'!AI35</f>
        <v>149.875</v>
      </c>
      <c r="M36" s="103">
        <f t="shared" si="5"/>
        <v>0.99527844553942613</v>
      </c>
      <c r="N36" s="103">
        <f>'[1]август 20'!W35</f>
        <v>0</v>
      </c>
      <c r="O36" s="103">
        <f>'[1]сентябрь 20'!AM35</f>
        <v>0</v>
      </c>
      <c r="P36" s="447">
        <f t="shared" si="24"/>
        <v>0</v>
      </c>
      <c r="Q36" s="103">
        <f t="shared" si="25"/>
        <v>0</v>
      </c>
      <c r="R36" s="103">
        <f>'[1]декабрь 20'!S35</f>
        <v>241.40899999999999</v>
      </c>
      <c r="S36" s="108">
        <f t="shared" si="6"/>
        <v>3.3673143917583803</v>
      </c>
      <c r="T36" s="109">
        <f t="shared" si="7"/>
        <v>233.28</v>
      </c>
      <c r="U36" s="106">
        <v>15.38</v>
      </c>
      <c r="V36" s="109">
        <f t="shared" si="8"/>
        <v>233.28</v>
      </c>
      <c r="W36" s="110">
        <f t="shared" si="9"/>
        <v>1.5491479951655533</v>
      </c>
      <c r="X36" s="110">
        <f t="shared" si="26"/>
        <v>1.5491479951655533</v>
      </c>
      <c r="Y36" s="136"/>
      <c r="Z36" s="136">
        <v>92.78</v>
      </c>
      <c r="AA36" s="131">
        <v>0.66</v>
      </c>
      <c r="AB36" s="133">
        <v>643</v>
      </c>
      <c r="AC36" s="133">
        <v>1196</v>
      </c>
      <c r="AD36" s="144" t="s">
        <v>484</v>
      </c>
      <c r="AE36" s="131">
        <v>73.77</v>
      </c>
      <c r="AF36" s="133">
        <v>126</v>
      </c>
      <c r="AG36" s="134">
        <v>3</v>
      </c>
      <c r="AH36" s="131">
        <v>5.05</v>
      </c>
      <c r="AI36" s="115">
        <f t="shared" si="10"/>
        <v>33.535654044864728</v>
      </c>
      <c r="AJ36" s="131">
        <v>82.7</v>
      </c>
      <c r="AK36" s="115">
        <f t="shared" si="11"/>
        <v>549.18783950699276</v>
      </c>
      <c r="AL36" s="139">
        <v>16.809999999999999</v>
      </c>
      <c r="AM36" s="131"/>
      <c r="AN36" s="136">
        <v>17.02</v>
      </c>
      <c r="AO36" s="466">
        <f t="shared" si="27"/>
        <v>38.683999999999997</v>
      </c>
      <c r="AP36" s="110">
        <f t="shared" si="12"/>
        <v>0.19</v>
      </c>
      <c r="AQ36" s="137" t="s">
        <v>281</v>
      </c>
      <c r="AR36" s="150">
        <v>7.72</v>
      </c>
      <c r="AS36" s="138">
        <v>6.49</v>
      </c>
      <c r="AT36" s="134"/>
      <c r="AU36" s="131">
        <v>7.04</v>
      </c>
      <c r="AV36" s="139">
        <v>203.6</v>
      </c>
      <c r="AW36" s="131">
        <v>2.69</v>
      </c>
      <c r="AX36" s="116"/>
      <c r="AY36" s="131"/>
      <c r="AZ36" s="109">
        <f t="shared" si="34"/>
        <v>0</v>
      </c>
      <c r="BA36" s="109">
        <f t="shared" si="13"/>
        <v>150.58599999999998</v>
      </c>
      <c r="BB36" s="115">
        <f t="shared" si="28"/>
        <v>173.70734239212985</v>
      </c>
      <c r="BC36" s="140">
        <f t="shared" si="14"/>
        <v>4.5100619718309858</v>
      </c>
      <c r="BD36" s="141">
        <f t="shared" si="36"/>
        <v>6.0234399999999999</v>
      </c>
      <c r="BE36" s="128">
        <f t="shared" si="16"/>
        <v>0.75679920140184076</v>
      </c>
      <c r="BF36" s="141">
        <f t="shared" si="17"/>
        <v>10.533501971830987</v>
      </c>
      <c r="BG36" s="538">
        <v>0.89400000000000002</v>
      </c>
      <c r="BH36" s="16">
        <f t="shared" si="29"/>
        <v>6463.7165000000005</v>
      </c>
      <c r="BI36" s="16">
        <f t="shared" si="18"/>
        <v>225.16129032258064</v>
      </c>
      <c r="BJ36" s="16">
        <f t="shared" si="30"/>
        <v>6754.8387096774168</v>
      </c>
      <c r="BK36" s="17">
        <f t="shared" si="19"/>
        <v>1</v>
      </c>
      <c r="BL36" s="16">
        <f t="shared" si="31"/>
        <v>6754.8387096774168</v>
      </c>
      <c r="BM36" s="254">
        <v>225.27799999999999</v>
      </c>
      <c r="BN36" s="197">
        <v>68.64</v>
      </c>
      <c r="BO36" s="197">
        <v>81.234999999999999</v>
      </c>
      <c r="BP36" s="197"/>
      <c r="BQ36" s="230"/>
      <c r="BR36" s="230"/>
      <c r="BS36" s="258"/>
      <c r="BT36" s="199"/>
      <c r="BU36" s="200">
        <v>2.0099999999999998</v>
      </c>
      <c r="BV36" s="200"/>
      <c r="BW36" s="200"/>
      <c r="BX36" s="200"/>
      <c r="BY36" s="208"/>
      <c r="BZ36" s="208"/>
      <c r="CA36" s="201"/>
      <c r="CB36" s="202">
        <v>36.880000000000003</v>
      </c>
      <c r="CC36" s="200">
        <v>43.82</v>
      </c>
      <c r="CD36" s="200">
        <v>43.6</v>
      </c>
      <c r="CE36" s="200"/>
      <c r="CF36" s="208"/>
      <c r="CG36" s="208"/>
      <c r="CH36" s="209"/>
      <c r="CI36" s="199"/>
      <c r="CJ36" s="197"/>
      <c r="CK36" s="197">
        <v>114.45</v>
      </c>
      <c r="CL36" s="230"/>
      <c r="CM36" s="198">
        <v>118.83</v>
      </c>
      <c r="CN36" s="202"/>
      <c r="CO36" s="208"/>
      <c r="CP36" s="208"/>
      <c r="CQ36" s="209"/>
      <c r="CR36" s="201"/>
      <c r="CT36" s="286">
        <f t="shared" si="20"/>
        <v>220.74991219999998</v>
      </c>
      <c r="CU36" s="27">
        <f t="shared" si="20"/>
        <v>68.64</v>
      </c>
      <c r="CV36" s="28">
        <f t="shared" si="20"/>
        <v>81.234999999999999</v>
      </c>
      <c r="CW36" s="27">
        <f t="shared" si="20"/>
        <v>0</v>
      </c>
      <c r="CX36" s="27">
        <f t="shared" si="20"/>
        <v>0</v>
      </c>
      <c r="CY36" s="29">
        <f t="shared" si="20"/>
        <v>0</v>
      </c>
      <c r="CZ36" s="281">
        <f t="shared" si="20"/>
        <v>0</v>
      </c>
      <c r="DA36" s="25">
        <f t="shared" si="21"/>
        <v>0</v>
      </c>
      <c r="DB36" s="24">
        <f t="shared" si="21"/>
        <v>114.45</v>
      </c>
      <c r="DC36" s="277">
        <f t="shared" si="21"/>
        <v>0</v>
      </c>
      <c r="DD36" s="280">
        <f t="shared" si="21"/>
        <v>118.83</v>
      </c>
      <c r="DE36" s="508">
        <f t="shared" si="32"/>
        <v>0</v>
      </c>
      <c r="DG36" s="293">
        <f t="shared" si="22"/>
        <v>0</v>
      </c>
      <c r="DH36" s="294"/>
      <c r="DI36" s="294"/>
      <c r="DJ36" s="295">
        <f t="shared" si="23"/>
        <v>0</v>
      </c>
      <c r="DK36" s="296">
        <f t="shared" si="33"/>
        <v>0</v>
      </c>
      <c r="DM36" s="411"/>
    </row>
    <row r="37" spans="1:117" ht="16.5" customHeight="1" thickBot="1">
      <c r="A37" s="539">
        <v>31</v>
      </c>
      <c r="B37" s="103">
        <f>'[1]декабрь 20'!K36</f>
        <v>515.77700000000004</v>
      </c>
      <c r="C37" s="541">
        <f t="shared" si="0"/>
        <v>0.43234364851476503</v>
      </c>
      <c r="D37" s="542">
        <f t="shared" si="1"/>
        <v>513.54707090000011</v>
      </c>
      <c r="E37" s="541">
        <f t="shared" si="2"/>
        <v>38.990154252709985</v>
      </c>
      <c r="F37" s="505">
        <f t="shared" si="3"/>
        <v>2.3173461075763733</v>
      </c>
      <c r="G37" s="543"/>
      <c r="H37" s="544">
        <f t="shared" si="4"/>
        <v>1.5871444018771714</v>
      </c>
      <c r="I37" s="540">
        <f>'[1]сентябрь 20'!AE36</f>
        <v>0</v>
      </c>
      <c r="J37" s="103">
        <f>'[1]декабрь 20'!AA36</f>
        <v>17.129000000000001</v>
      </c>
      <c r="K37" s="543">
        <v>60.53</v>
      </c>
      <c r="L37" s="505">
        <f>'[1]декабрь 20'!AI36</f>
        <v>161.82</v>
      </c>
      <c r="M37" s="540">
        <f t="shared" si="5"/>
        <v>0.73020170569920118</v>
      </c>
      <c r="N37" s="540">
        <f>'[1]август 20'!W36</f>
        <v>0</v>
      </c>
      <c r="O37" s="103">
        <f>'[1]сентябрь 20'!AM36</f>
        <v>0</v>
      </c>
      <c r="P37" s="447">
        <f t="shared" si="24"/>
        <v>0</v>
      </c>
      <c r="Q37" s="568">
        <f t="shared" si="25"/>
        <v>0</v>
      </c>
      <c r="R37" s="103">
        <f>'[1]декабрь 20'!S36</f>
        <v>325.16199999999998</v>
      </c>
      <c r="S37" s="546">
        <f t="shared" si="6"/>
        <v>3.3128102299776474</v>
      </c>
      <c r="T37" s="547">
        <f t="shared" si="7"/>
        <v>314.39000000000004</v>
      </c>
      <c r="U37" s="548">
        <v>17.78</v>
      </c>
      <c r="V37" s="547">
        <f t="shared" si="8"/>
        <v>314.39000000000004</v>
      </c>
      <c r="W37" s="549">
        <f t="shared" si="9"/>
        <v>1.4186634177158071</v>
      </c>
      <c r="X37" s="227">
        <f t="shared" si="26"/>
        <v>1.4186634177158071</v>
      </c>
      <c r="Y37" s="550">
        <v>118.08</v>
      </c>
      <c r="Z37" s="550">
        <v>221.61</v>
      </c>
      <c r="AA37" s="548">
        <v>0.7</v>
      </c>
      <c r="AB37" s="551">
        <v>612</v>
      </c>
      <c r="AC37" s="551">
        <v>1224</v>
      </c>
      <c r="AD37" s="552" t="s">
        <v>181</v>
      </c>
      <c r="AE37" s="548">
        <v>75.099999999999994</v>
      </c>
      <c r="AF37" s="551">
        <v>172</v>
      </c>
      <c r="AG37" s="553">
        <v>5</v>
      </c>
      <c r="AH37" s="548">
        <v>15.05</v>
      </c>
      <c r="AI37" s="554">
        <f t="shared" si="10"/>
        <v>67.912097829520334</v>
      </c>
      <c r="AJ37" s="548">
        <v>136.05000000000001</v>
      </c>
      <c r="AK37" s="555">
        <f t="shared" si="11"/>
        <v>613.91633951536483</v>
      </c>
      <c r="AL37" s="556">
        <v>35.049999999999997</v>
      </c>
      <c r="AM37" s="548"/>
      <c r="AN37" s="550">
        <v>17.809999999999999</v>
      </c>
      <c r="AO37" s="619">
        <v>100.77</v>
      </c>
      <c r="AP37" s="549">
        <f t="shared" si="12"/>
        <v>0.30347839180846253</v>
      </c>
      <c r="AQ37" s="558" t="s">
        <v>228</v>
      </c>
      <c r="AR37" s="559">
        <v>7.29</v>
      </c>
      <c r="AS37" s="560">
        <v>7.42</v>
      </c>
      <c r="AT37" s="553"/>
      <c r="AU37" s="548">
        <v>6.83</v>
      </c>
      <c r="AV37" s="548">
        <v>332.05</v>
      </c>
      <c r="AW37" s="548">
        <v>8.14</v>
      </c>
      <c r="AX37" s="548"/>
      <c r="AY37" s="548"/>
      <c r="AZ37" s="547">
        <f t="shared" si="34"/>
        <v>0</v>
      </c>
      <c r="BA37" s="547">
        <f t="shared" si="13"/>
        <v>221.61</v>
      </c>
      <c r="BB37" s="554">
        <f t="shared" si="28"/>
        <v>232.76062599993693</v>
      </c>
      <c r="BC37" s="561">
        <f t="shared" si="14"/>
        <v>7.1981947183098596</v>
      </c>
      <c r="BD37" s="555">
        <f t="shared" si="36"/>
        <v>8.8644000000000016</v>
      </c>
      <c r="BE37" s="505">
        <f t="shared" si="16"/>
        <v>0.83117807906244612</v>
      </c>
      <c r="BF37" s="555">
        <f t="shared" si="17"/>
        <v>16.06259471830986</v>
      </c>
      <c r="BG37" s="562">
        <v>0.89200000000000002</v>
      </c>
      <c r="BH37" s="16">
        <f t="shared" si="29"/>
        <v>6685.3265000000001</v>
      </c>
      <c r="BI37" s="16">
        <f t="shared" si="18"/>
        <v>225.16129032258064</v>
      </c>
      <c r="BJ37" s="16">
        <f t="shared" si="30"/>
        <v>6979.9999999999973</v>
      </c>
      <c r="BK37" s="17">
        <f t="shared" si="19"/>
        <v>1</v>
      </c>
      <c r="BL37" s="16">
        <f t="shared" si="31"/>
        <v>6979.9999999999973</v>
      </c>
      <c r="BM37" s="256">
        <v>353.95699999999999</v>
      </c>
      <c r="BN37" s="257">
        <v>50.02</v>
      </c>
      <c r="BO37" s="257">
        <v>111.8</v>
      </c>
      <c r="BP37" s="257"/>
      <c r="BQ37" s="261"/>
      <c r="BR37" s="261"/>
      <c r="BS37" s="262"/>
      <c r="BT37" s="219"/>
      <c r="BU37" s="220">
        <v>0.63</v>
      </c>
      <c r="BV37" s="220"/>
      <c r="BW37" s="220"/>
      <c r="BX37" s="220"/>
      <c r="BY37" s="224"/>
      <c r="BZ37" s="224"/>
      <c r="CA37" s="221"/>
      <c r="CB37" s="222">
        <v>37.07</v>
      </c>
      <c r="CC37" s="220">
        <v>44.04</v>
      </c>
      <c r="CD37" s="220">
        <v>42.81</v>
      </c>
      <c r="CE37" s="220"/>
      <c r="CF37" s="224"/>
      <c r="CG37" s="224"/>
      <c r="CH37" s="221"/>
      <c r="CI37" s="219"/>
      <c r="CJ37" s="217"/>
      <c r="CK37" s="217">
        <v>69.42</v>
      </c>
      <c r="CL37" s="234">
        <v>85.54</v>
      </c>
      <c r="CM37" s="223">
        <v>159.43</v>
      </c>
      <c r="CN37" s="222"/>
      <c r="CO37" s="224"/>
      <c r="CP37" s="224"/>
      <c r="CQ37" s="218"/>
      <c r="CR37" s="221"/>
      <c r="CT37" s="287">
        <f t="shared" si="20"/>
        <v>351.7270709</v>
      </c>
      <c r="CU37" s="32">
        <f t="shared" si="20"/>
        <v>50.02</v>
      </c>
      <c r="CV37" s="30">
        <f t="shared" si="20"/>
        <v>111.8</v>
      </c>
      <c r="CW37" s="246">
        <f t="shared" si="20"/>
        <v>0</v>
      </c>
      <c r="CX37" s="27">
        <f t="shared" si="20"/>
        <v>0</v>
      </c>
      <c r="CY37" s="26">
        <f t="shared" si="20"/>
        <v>0</v>
      </c>
      <c r="CZ37" s="282">
        <f t="shared" si="20"/>
        <v>0</v>
      </c>
      <c r="DA37" s="30">
        <f t="shared" si="21"/>
        <v>0</v>
      </c>
      <c r="DB37" s="32">
        <f t="shared" si="21"/>
        <v>69.42</v>
      </c>
      <c r="DC37" s="246">
        <f t="shared" si="21"/>
        <v>85.54</v>
      </c>
      <c r="DD37" s="280">
        <f t="shared" si="21"/>
        <v>159.43</v>
      </c>
      <c r="DE37" s="563">
        <f t="shared" si="32"/>
        <v>0</v>
      </c>
      <c r="DG37" s="293">
        <f t="shared" si="22"/>
        <v>0</v>
      </c>
      <c r="DH37" s="298"/>
      <c r="DI37" s="298"/>
      <c r="DJ37" s="295">
        <f t="shared" si="23"/>
        <v>0</v>
      </c>
      <c r="DK37" s="296">
        <f t="shared" si="33"/>
        <v>0</v>
      </c>
      <c r="DM37" s="411"/>
    </row>
    <row r="38" spans="1:117" ht="16.5" customHeight="1" thickBot="1">
      <c r="A38" s="55" t="s">
        <v>58</v>
      </c>
      <c r="B38" s="575">
        <f>SUM(B7:B37)</f>
        <v>14802.548000000003</v>
      </c>
      <c r="C38" s="616"/>
      <c r="D38" s="340">
        <f>SUM(D7:D37)</f>
        <v>14608.777912837602</v>
      </c>
      <c r="E38" s="528"/>
      <c r="F38" s="340"/>
      <c r="G38" s="343">
        <f>SUM(G7:G37)</f>
        <v>0</v>
      </c>
      <c r="H38" s="340"/>
      <c r="I38" s="340">
        <f>SUM(I7:I37)</f>
        <v>0</v>
      </c>
      <c r="J38" s="575">
        <f>SUM(J7:J37)</f>
        <v>512.53300000000013</v>
      </c>
      <c r="K38" s="327">
        <f>SUM(K7:K37)</f>
        <v>1085.5800000000002</v>
      </c>
      <c r="L38" s="340">
        <f>SUM(L7:L37)</f>
        <v>4481.3629999999985</v>
      </c>
      <c r="M38" s="575"/>
      <c r="N38" s="340">
        <f>SUM(N7:N37)</f>
        <v>0</v>
      </c>
      <c r="O38" s="340">
        <f>SUM(O7:O37)</f>
        <v>0</v>
      </c>
      <c r="P38" s="340">
        <f>SUM(P7:P37)</f>
        <v>0</v>
      </c>
      <c r="Q38" s="575"/>
      <c r="R38" s="575">
        <f>SUM(R7:R37)</f>
        <v>9281.3050000000003</v>
      </c>
      <c r="S38" s="340"/>
      <c r="T38" s="343">
        <f>SUM(T7:T37)</f>
        <v>8986.8300001999996</v>
      </c>
      <c r="U38" s="340">
        <f>SUM(U7:U37)</f>
        <v>649.34000000000015</v>
      </c>
      <c r="V38" s="343">
        <f>SUM(V7:V37)</f>
        <v>8986.8300002000015</v>
      </c>
      <c r="W38" s="346"/>
      <c r="X38" s="344"/>
      <c r="Y38" s="343">
        <f>SUM(Y7:Y37)</f>
        <v>4818.0199999999995</v>
      </c>
      <c r="Z38" s="343">
        <f>SUM(Z7:Z37)</f>
        <v>5618.5899999999992</v>
      </c>
      <c r="AA38" s="345"/>
      <c r="AB38" s="346"/>
      <c r="AC38" s="347"/>
      <c r="AD38" s="348"/>
      <c r="AE38" s="345"/>
      <c r="AF38" s="345"/>
      <c r="AG38" s="347">
        <f>SUM(AG7:AG37)</f>
        <v>147</v>
      </c>
      <c r="AH38" s="343">
        <f>SUM(AH7:AH37)</f>
        <v>264.14999999999998</v>
      </c>
      <c r="AI38" s="351"/>
      <c r="AJ38" s="343">
        <f>SUM(AJ7:AJ37)</f>
        <v>4072.1</v>
      </c>
      <c r="AK38" s="343"/>
      <c r="AL38" s="617">
        <f>SUM(AL7:AL37)</f>
        <v>996.95</v>
      </c>
      <c r="AM38" s="343">
        <f>SUM(AM7:AM37)</f>
        <v>0</v>
      </c>
      <c r="AN38" s="343">
        <f>SUM(AN7:AN37)</f>
        <v>476.87999999999994</v>
      </c>
      <c r="AO38" s="618">
        <f>SUM(AO7:AO37)</f>
        <v>1780.6534999999994</v>
      </c>
      <c r="AP38" s="530"/>
      <c r="AQ38" s="351"/>
      <c r="AR38" s="343"/>
      <c r="AS38" s="351"/>
      <c r="AT38" s="351"/>
      <c r="AU38" s="352"/>
      <c r="AV38" s="343">
        <f>SUM(AV7:AV37)</f>
        <v>8801.7000000000007</v>
      </c>
      <c r="AW38" s="343">
        <f>SUM(AW7:AW37)</f>
        <v>141.16000000000003</v>
      </c>
      <c r="AX38" s="343">
        <f>SUM(AX7:AX36)</f>
        <v>0</v>
      </c>
      <c r="AY38" s="343">
        <f>SUM(AY7:AY37)</f>
        <v>0</v>
      </c>
      <c r="AZ38" s="340"/>
      <c r="BA38" s="343">
        <f>SUM(BA7:BA37)</f>
        <v>6685.3265000000001</v>
      </c>
      <c r="BB38" s="343">
        <f>SUM(BB7:BB37)</f>
        <v>6543.0517869886198</v>
      </c>
      <c r="BC38" s="351">
        <f>SUM(BC7:BC36)</f>
        <v>235.24524471830978</v>
      </c>
      <c r="BD38" s="351">
        <f>SUM(BD7:BD36)</f>
        <v>258.54865999999998</v>
      </c>
      <c r="BE38" s="340"/>
      <c r="BF38" s="351">
        <f>SUM(BF7:BF37)</f>
        <v>509.85649943661969</v>
      </c>
      <c r="BG38" s="353"/>
      <c r="BH38" s="16"/>
      <c r="BI38" s="16">
        <f t="shared" si="18"/>
        <v>0</v>
      </c>
      <c r="BJ38" s="16"/>
      <c r="BK38" s="17">
        <f>SUM(BK7:BK37)</f>
        <v>31</v>
      </c>
      <c r="BL38" s="33"/>
      <c r="BM38" s="417">
        <f t="shared" ref="BM38:BS38" si="37">SUM(BM7:BM37)</f>
        <v>10321.184999999999</v>
      </c>
      <c r="BN38" s="38">
        <f t="shared" si="37"/>
        <v>1443.989</v>
      </c>
      <c r="BO38" s="38">
        <f t="shared" si="37"/>
        <v>3037.3740000000003</v>
      </c>
      <c r="BP38" s="38">
        <f t="shared" si="37"/>
        <v>9.9999999999999995E-8</v>
      </c>
      <c r="BQ38" s="38">
        <f t="shared" si="37"/>
        <v>9.9999999999999995E-8</v>
      </c>
      <c r="BR38" s="38">
        <f t="shared" si="37"/>
        <v>9.9999999999999995E-8</v>
      </c>
      <c r="BS38" s="38">
        <f t="shared" si="37"/>
        <v>9.9999999999999995E-8</v>
      </c>
      <c r="BT38" s="236">
        <f>SUM(BT7:BT36)</f>
        <v>9.9999999999999995E-8</v>
      </c>
      <c r="BU38" s="241"/>
      <c r="BV38" s="35"/>
      <c r="BW38" s="35"/>
      <c r="BX38" s="35"/>
      <c r="BY38" s="236"/>
      <c r="BZ38" s="236"/>
      <c r="CA38" s="36"/>
      <c r="CB38" s="34"/>
      <c r="CC38" s="35"/>
      <c r="CD38" s="35"/>
      <c r="CE38" s="35"/>
      <c r="CF38" s="236"/>
      <c r="CG38" s="236"/>
      <c r="CH38" s="36"/>
      <c r="CI38" s="37"/>
      <c r="CJ38" s="38">
        <f>SUM(CJ7:CJ37)</f>
        <v>9.9999999999999995E-8</v>
      </c>
      <c r="CK38" s="39">
        <f>SUM(CK7:CK37)</f>
        <v>2204.5600001000003</v>
      </c>
      <c r="CL38" s="39">
        <f>SUM(CL7:CL37)</f>
        <v>2132.3199999999997</v>
      </c>
      <c r="CM38" s="40">
        <f>SUM(CM7:CM37)</f>
        <v>4649.95</v>
      </c>
      <c r="CN38" s="34"/>
      <c r="CO38" s="35"/>
      <c r="CP38" s="236"/>
      <c r="CQ38" s="36"/>
      <c r="CR38" s="36"/>
      <c r="CT38" s="189">
        <f t="shared" ref="CT38:DE38" si="38">SUM(CT7:CT37)</f>
        <v>10127.4149129</v>
      </c>
      <c r="CU38" s="190">
        <f t="shared" si="38"/>
        <v>1443.9889999843904</v>
      </c>
      <c r="CV38" s="191">
        <f t="shared" si="38"/>
        <v>3037.373999953209</v>
      </c>
      <c r="CW38" s="192">
        <f t="shared" si="38"/>
        <v>9.99999999E-8</v>
      </c>
      <c r="CX38" s="192">
        <f t="shared" si="38"/>
        <v>9.99999999E-8</v>
      </c>
      <c r="CY38" s="192">
        <f t="shared" si="38"/>
        <v>9.99999999E-8</v>
      </c>
      <c r="CZ38" s="278">
        <f t="shared" si="38"/>
        <v>9.99999999E-8</v>
      </c>
      <c r="DA38" s="278">
        <f t="shared" si="38"/>
        <v>9.99999999E-8</v>
      </c>
      <c r="DB38" s="192">
        <f t="shared" si="38"/>
        <v>2204.5600001000003</v>
      </c>
      <c r="DC38" s="192">
        <f t="shared" si="38"/>
        <v>2132.31999992692</v>
      </c>
      <c r="DD38" s="498">
        <f t="shared" si="38"/>
        <v>4649.9499999280197</v>
      </c>
      <c r="DE38" s="564">
        <f t="shared" si="38"/>
        <v>0</v>
      </c>
      <c r="DG38" s="299">
        <f>SUM(DG7:DG37)</f>
        <v>0</v>
      </c>
      <c r="DH38" s="300" t="e">
        <f>(SUMPRODUCT(DG7:DG37,DH7:DH37))/DG38</f>
        <v>#DIV/0!</v>
      </c>
      <c r="DI38" s="300" t="e">
        <f>(SUMPRODUCT(DG7:DG37,DI7:DI37))/DG38</f>
        <v>#DIV/0!</v>
      </c>
      <c r="DJ38" s="299">
        <f>SUM(DJ7:DJ37)</f>
        <v>0</v>
      </c>
      <c r="DK38" s="301">
        <f>SUM(DK7:DK37)</f>
        <v>0</v>
      </c>
    </row>
    <row r="39" spans="1:117" ht="16.5" customHeight="1" thickBot="1">
      <c r="A39" s="56" t="s">
        <v>59</v>
      </c>
      <c r="B39" s="84">
        <f>B38/AV2</f>
        <v>477.50154838709688</v>
      </c>
      <c r="C39" s="84">
        <f>(BM38*BU39+BN38*BV39+BP38*BX39+BS38*CA39+BO38*BW39+BR38*BZ39+BQ38*BY39)/B38</f>
        <v>1.3090319799158965</v>
      </c>
      <c r="D39" s="82"/>
      <c r="E39" s="354">
        <f>(BM38*CB39+BN38*CC39+BP38*CE39+BS38*CH39+BO38*CD39+BR38*CG39+BQ38*CF39)/B38</f>
        <v>38.780755586132869</v>
      </c>
      <c r="F39" s="355">
        <f>IF(BA38=0,0,D38/BA38)</f>
        <v>2.1852003657319656</v>
      </c>
      <c r="G39" s="354">
        <f>G38/AV2</f>
        <v>0</v>
      </c>
      <c r="H39" s="355">
        <f>IF(BA38=0,0,(CZ38+CW38+CY38+CT38+CX38)/BA38)</f>
        <v>1.5148721477253206</v>
      </c>
      <c r="I39" s="354">
        <f>I38/AV2</f>
        <v>0</v>
      </c>
      <c r="J39" s="572">
        <f>J38/AV2</f>
        <v>16.533322580645166</v>
      </c>
      <c r="K39" s="354">
        <f>K38/AV2</f>
        <v>35.018709677419359</v>
      </c>
      <c r="L39" s="354">
        <f>L38/AV2</f>
        <v>144.56009677419351</v>
      </c>
      <c r="M39" s="355">
        <f>IF($BA$38=0,0,(CV38+CU38)/$BA$38)</f>
        <v>0.67032821806647724</v>
      </c>
      <c r="N39" s="354">
        <f>N38/AV2</f>
        <v>0</v>
      </c>
      <c r="O39" s="354">
        <f>O38/AV2</f>
        <v>0</v>
      </c>
      <c r="P39" s="354">
        <f>P38/AV2</f>
        <v>0</v>
      </c>
      <c r="Q39" s="504">
        <f>IF(O39=0,0,P38/BA38)</f>
        <v>0</v>
      </c>
      <c r="R39" s="356">
        <f>R38/AV2</f>
        <v>299.396935483871</v>
      </c>
      <c r="S39" s="354">
        <f>(SUMPRODUCT(R7:R37,S7:S37))/R38</f>
        <v>3.172775809005306</v>
      </c>
      <c r="T39" s="357"/>
      <c r="U39" s="354">
        <f>U38/AV2</f>
        <v>20.946451612903232</v>
      </c>
      <c r="V39" s="354">
        <f>V38/AV2:AV2</f>
        <v>289.89774194193552</v>
      </c>
      <c r="W39" s="358">
        <f>IF($BA$38=0,0,T38/$BA$38)</f>
        <v>1.3442619444540218</v>
      </c>
      <c r="X39" s="358">
        <f>Q39+W39</f>
        <v>1.3442619444540218</v>
      </c>
      <c r="Y39" s="354">
        <f>Y38/AV2</f>
        <v>155.41999999999999</v>
      </c>
      <c r="Z39" s="354">
        <f>Z38/AV2</f>
        <v>181.2448387096774</v>
      </c>
      <c r="AA39" s="354">
        <f>(SUMPRODUCT(AA7:AA37,BA7:BA37))/BA38</f>
        <v>0.66995196345309393</v>
      </c>
      <c r="AB39" s="359">
        <f>AVERAGE(AB7:AB37)</f>
        <v>637.29032258064512</v>
      </c>
      <c r="AC39" s="359">
        <f>AVERAGE(AC7:AC37)</f>
        <v>1207.1935483870968</v>
      </c>
      <c r="AD39" s="359"/>
      <c r="AE39" s="354">
        <f>(SUMPRODUCT(AE7:AE37,BA7:BA37))/BA38</f>
        <v>75.602982982955282</v>
      </c>
      <c r="AF39" s="360">
        <f>AVERAGE(AF7:AF37)</f>
        <v>159.25806451612902</v>
      </c>
      <c r="AG39" s="360">
        <f>AVERAGE(AG7:AG37)</f>
        <v>4.741935483870968</v>
      </c>
      <c r="AH39" s="354">
        <f>AH38/AV2</f>
        <v>8.5209677419354826</v>
      </c>
      <c r="AI39" s="361">
        <f>IF(BA38=0,0,AH38/BA38*1000)</f>
        <v>39.511907159657795</v>
      </c>
      <c r="AJ39" s="361">
        <f>AJ38/AV2</f>
        <v>131.35806451612902</v>
      </c>
      <c r="AK39" s="361">
        <f>IF(BA38=0,0,AJ38/BA38*1000)</f>
        <v>609.11011601303244</v>
      </c>
      <c r="AL39" s="354">
        <f>AL38/AV2</f>
        <v>32.159677419354843</v>
      </c>
      <c r="AM39" s="359"/>
      <c r="AN39" s="354">
        <f>AN38/AV2</f>
        <v>15.383225806451611</v>
      </c>
      <c r="AO39" s="354">
        <f>AO38/AV2</f>
        <v>57.440435483870949</v>
      </c>
      <c r="AP39" s="346">
        <f>IF(AO39=0,0,AO39/AV39)</f>
        <v>0.20230790642716739</v>
      </c>
      <c r="AQ39" s="361">
        <f>SUM(AQ8:AQ38)</f>
        <v>0</v>
      </c>
      <c r="AR39" s="354">
        <f>AVERAGE(AR7:AR37)</f>
        <v>7.3009677419354846</v>
      </c>
      <c r="AS39" s="354">
        <f>AVERAGE(AS7:AS37)</f>
        <v>7.3135483870967741</v>
      </c>
      <c r="AT39" s="362"/>
      <c r="AU39" s="354">
        <f>AVERAGE(AU7:AU37)</f>
        <v>7.6758064516129041</v>
      </c>
      <c r="AV39" s="363">
        <f>AV38/AV2</f>
        <v>283.92580645161291</v>
      </c>
      <c r="AW39" s="363">
        <f>AW38/AV2</f>
        <v>4.5535483870967752</v>
      </c>
      <c r="AX39" s="362" t="e">
        <f>AX38/AY2</f>
        <v>#DIV/0!</v>
      </c>
      <c r="AY39" s="354">
        <f>AY38/AV2</f>
        <v>0</v>
      </c>
      <c r="AZ39" s="354">
        <f>IF(BA39=0,0,AY39/BA39*100)</f>
        <v>0</v>
      </c>
      <c r="BA39" s="361">
        <f>BA38/AV2</f>
        <v>215.65569354838709</v>
      </c>
      <c r="BB39" s="354">
        <f>BB38/AV2</f>
        <v>211.06618667705226</v>
      </c>
      <c r="BC39" s="362" t="e">
        <f>BC38/$AY$2</f>
        <v>#DIV/0!</v>
      </c>
      <c r="BD39" s="362" t="e">
        <f>BD38/$AY$2</f>
        <v>#DIV/0!</v>
      </c>
      <c r="BE39" s="355">
        <f>(BA38*AE39)/(D38*E39)</f>
        <v>0.89213668967964588</v>
      </c>
      <c r="BF39" s="354">
        <f>BF38/AV2</f>
        <v>16.446983852794183</v>
      </c>
      <c r="BG39" s="364">
        <f>BG38/AV2</f>
        <v>0</v>
      </c>
      <c r="BH39" s="16"/>
      <c r="BI39" s="16"/>
      <c r="BJ39" s="16"/>
      <c r="BK39" s="16"/>
      <c r="BL39" s="18"/>
      <c r="BM39" s="41"/>
      <c r="BN39" s="42"/>
      <c r="BO39" s="42"/>
      <c r="BP39" s="42"/>
      <c r="BQ39" s="42"/>
      <c r="BR39" s="42"/>
      <c r="BS39" s="43"/>
      <c r="BT39" s="20"/>
      <c r="BU39" s="242">
        <f>(SUMPRODUCT(BM7:BM37,BU7:BU37))/BM38</f>
        <v>1.8774015493376002</v>
      </c>
      <c r="BV39" s="42">
        <f t="shared" ref="BV39:CA39" si="39">(SUMPRODUCT(BN7:BN37,BV7:BV37))/BN38</f>
        <v>1.0810331657651132E-9</v>
      </c>
      <c r="BW39" s="42">
        <f t="shared" si="39"/>
        <v>1.5405083470129129E-9</v>
      </c>
      <c r="BX39" s="42">
        <f>(SUMPRODUCT(BP7:BP37,BX7:BX37))/BP38</f>
        <v>9.9999999999999982E-8</v>
      </c>
      <c r="BY39" s="42">
        <f t="shared" si="39"/>
        <v>9.9999999999999982E-8</v>
      </c>
      <c r="BZ39" s="46">
        <f t="shared" si="39"/>
        <v>9.9999999999999982E-8</v>
      </c>
      <c r="CA39" s="240">
        <f t="shared" si="39"/>
        <v>9.9999999999999982E-8</v>
      </c>
      <c r="CB39" s="41">
        <f t="shared" ref="CB39:CH39" si="40">(SUMPRODUCT(BM7:BM37,CB7:CB37))/BM38</f>
        <v>36.664483290436131</v>
      </c>
      <c r="CC39" s="42">
        <f t="shared" si="40"/>
        <v>43.925846782766349</v>
      </c>
      <c r="CD39" s="42">
        <f>(SUMPRODUCT(BO7:BO37,CD7:CD37))/BO38</f>
        <v>43.525967332307431</v>
      </c>
      <c r="CE39" s="42">
        <f t="shared" si="40"/>
        <v>9.9999999999999982E-8</v>
      </c>
      <c r="CF39" s="42">
        <f t="shared" si="40"/>
        <v>9.9999999999999982E-8</v>
      </c>
      <c r="CG39" s="46">
        <f t="shared" si="40"/>
        <v>9.9999999999999982E-8</v>
      </c>
      <c r="CH39" s="240">
        <f t="shared" si="40"/>
        <v>9.9999999999999982E-8</v>
      </c>
      <c r="CI39" s="41">
        <f>(SUMPRODUCT(BT7:BT36,CI7:CI36))/BT38</f>
        <v>9.9999999999999982E-8</v>
      </c>
      <c r="CJ39" s="43"/>
      <c r="CK39" s="43"/>
      <c r="CL39" s="20"/>
      <c r="CM39" s="44"/>
      <c r="CN39" s="45">
        <f>(SUMPRODUCT(CJ7:CJ37,CN7:CN37))/CJ38</f>
        <v>9.9999999999999982E-8</v>
      </c>
      <c r="CO39" s="46">
        <f>(SUMPRODUCT(CK7:CK37,CO7:CO37))/CK38</f>
        <v>4.5360525454269298E-18</v>
      </c>
      <c r="CP39" s="46">
        <f>(SUMPRODUCT(CL7:CL37,CP7:CP37))/CL38</f>
        <v>3.4272529451489458E-9</v>
      </c>
      <c r="CQ39" s="44">
        <f>(SUMPRODUCT(CM7:CM37,CQ7:CQ37))/CM38</f>
        <v>1.5479736341250982E-9</v>
      </c>
      <c r="CR39" s="44" t="e">
        <f>(SUMPRODUCT(O7:O37,CR7:CR37))/O38</f>
        <v>#DIV/0!</v>
      </c>
      <c r="CT39" s="667">
        <f>CT38+CU38</f>
        <v>11571.403912884391</v>
      </c>
      <c r="CU39" s="667"/>
      <c r="CV39" s="668">
        <f>CV38+CW38+CZ38+CY38+CX38</f>
        <v>3037.3740003532084</v>
      </c>
      <c r="CW39" s="668"/>
      <c r="CX39" s="668"/>
      <c r="CY39" s="668"/>
      <c r="CZ39" s="668"/>
      <c r="DA39" s="669">
        <f>DA38+DB38+DD38+DC38</f>
        <v>8986.8300000549389</v>
      </c>
      <c r="DB39" s="668"/>
      <c r="DC39" s="668"/>
      <c r="DD39" s="668"/>
      <c r="DE39" s="514"/>
      <c r="DG39" s="302"/>
      <c r="DH39" s="303"/>
      <c r="DI39" s="303"/>
      <c r="DJ39" s="304"/>
      <c r="DK39" s="305"/>
      <c r="DM39" s="411"/>
    </row>
    <row r="40" spans="1:117" ht="16.5" customHeight="1" thickBot="1">
      <c r="A40" s="57" t="s">
        <v>60</v>
      </c>
      <c r="B40" s="85"/>
      <c r="C40" s="86"/>
      <c r="D40" s="87"/>
      <c r="E40" s="365">
        <v>39.299999999999997</v>
      </c>
      <c r="F40" s="366">
        <v>2.13</v>
      </c>
      <c r="G40" s="366"/>
      <c r="H40" s="366">
        <v>1.4910000000000001</v>
      </c>
      <c r="I40" s="366"/>
      <c r="J40" s="570">
        <v>20.260000000000002</v>
      </c>
      <c r="K40" s="366">
        <v>20.149999999999999</v>
      </c>
      <c r="L40" s="366"/>
      <c r="M40" s="366">
        <v>0.63900000000000001</v>
      </c>
      <c r="N40" s="365"/>
      <c r="O40" s="366"/>
      <c r="P40" s="366"/>
      <c r="Q40" s="366"/>
      <c r="R40" s="367"/>
      <c r="S40" s="368"/>
      <c r="T40" s="367"/>
      <c r="U40" s="450">
        <v>20.49</v>
      </c>
      <c r="V40" s="367"/>
      <c r="W40" s="369">
        <v>1.3</v>
      </c>
      <c r="X40" s="484"/>
      <c r="Y40" s="370">
        <v>6980</v>
      </c>
      <c r="Z40" s="370">
        <v>6980</v>
      </c>
      <c r="AA40" s="371"/>
      <c r="AB40" s="371"/>
      <c r="AC40" s="372">
        <v>1250</v>
      </c>
      <c r="AD40" s="373"/>
      <c r="AE40" s="374">
        <v>76</v>
      </c>
      <c r="AF40" s="367"/>
      <c r="AG40" s="367"/>
      <c r="AH40" s="367"/>
      <c r="AI40" s="367"/>
      <c r="AJ40" s="367"/>
      <c r="AK40" s="375">
        <v>610</v>
      </c>
      <c r="AL40" s="367"/>
      <c r="AM40" s="376"/>
      <c r="AN40" s="367"/>
      <c r="AO40" s="367"/>
      <c r="AP40" s="367"/>
      <c r="AQ40" s="367"/>
      <c r="AR40" s="367"/>
      <c r="AS40" s="367"/>
      <c r="AT40" s="367"/>
      <c r="AU40" s="377"/>
      <c r="AV40" s="378">
        <v>6980</v>
      </c>
      <c r="AW40" s="379">
        <v>83.76</v>
      </c>
      <c r="AX40" s="380"/>
      <c r="AY40" s="381"/>
      <c r="AZ40" s="382"/>
      <c r="BA40" s="365">
        <v>225.16</v>
      </c>
      <c r="BB40" s="382"/>
      <c r="BC40" s="382"/>
      <c r="BD40" s="382"/>
      <c r="BE40" s="366">
        <v>0.9</v>
      </c>
      <c r="BF40" s="382"/>
      <c r="BG40" s="383"/>
      <c r="BH40" s="16"/>
      <c r="BI40" s="16"/>
      <c r="BJ40" s="16"/>
      <c r="BK40" s="16"/>
      <c r="BL40" s="18"/>
      <c r="BM40" s="23"/>
      <c r="BN40" s="43"/>
      <c r="BO40" s="43"/>
      <c r="BP40" s="43"/>
      <c r="BQ40" s="43"/>
      <c r="BR40" s="43"/>
      <c r="BS40" s="43"/>
      <c r="BT40" s="20"/>
      <c r="BU40" s="243"/>
      <c r="BV40" s="43"/>
      <c r="BW40" s="43"/>
      <c r="BX40" s="43"/>
      <c r="BY40" s="20"/>
      <c r="BZ40" s="20"/>
      <c r="CA40" s="31"/>
      <c r="CB40" s="23"/>
      <c r="CC40" s="43"/>
      <c r="CD40" s="43"/>
      <c r="CE40" s="43"/>
      <c r="CF40" s="20"/>
      <c r="CG40" s="20"/>
      <c r="CH40" s="31"/>
      <c r="CI40" s="23"/>
      <c r="CJ40" s="43"/>
      <c r="CK40" s="43"/>
      <c r="CL40" s="20"/>
      <c r="CM40" s="31"/>
      <c r="CN40" s="19"/>
      <c r="CO40" s="20"/>
      <c r="CP40" s="20"/>
      <c r="CQ40" s="31"/>
      <c r="CR40" s="31"/>
      <c r="CT40" s="676">
        <f>CT39+CV39</f>
        <v>14608.777913237598</v>
      </c>
      <c r="CU40" s="676"/>
      <c r="CV40" s="676"/>
      <c r="CW40" s="676"/>
      <c r="CX40" s="676"/>
      <c r="CY40" s="676"/>
      <c r="CZ40" s="676"/>
      <c r="DA40" s="193"/>
      <c r="DB40" s="193"/>
      <c r="DC40" s="193"/>
      <c r="DD40" s="193"/>
      <c r="DE40" s="497"/>
      <c r="DG40" s="306"/>
      <c r="DH40" s="307"/>
      <c r="DI40" s="307"/>
      <c r="DJ40" s="308"/>
      <c r="DK40" s="309"/>
    </row>
    <row r="41" spans="1:117" ht="16.5" customHeight="1" thickBot="1">
      <c r="A41" s="58" t="s">
        <v>61</v>
      </c>
      <c r="B41" s="88"/>
      <c r="C41" s="88"/>
      <c r="D41" s="88"/>
      <c r="E41" s="384"/>
      <c r="F41" s="385">
        <f>F39-F40</f>
        <v>5.5200365731965739E-2</v>
      </c>
      <c r="G41" s="385">
        <f>G39-G40</f>
        <v>0</v>
      </c>
      <c r="H41" s="385"/>
      <c r="I41" s="386">
        <f>I39-I40</f>
        <v>0</v>
      </c>
      <c r="J41" s="386"/>
      <c r="K41" s="386"/>
      <c r="L41" s="386"/>
      <c r="M41" s="386"/>
      <c r="N41" s="386"/>
      <c r="O41" s="387"/>
      <c r="P41" s="387"/>
      <c r="Q41" s="387"/>
      <c r="R41" s="388"/>
      <c r="S41" s="386">
        <f>S39-S40</f>
        <v>3.172775809005306</v>
      </c>
      <c r="T41" s="386"/>
      <c r="U41" s="388"/>
      <c r="V41" s="388"/>
      <c r="W41" s="385">
        <f>W39-W40</f>
        <v>4.4261944454021762E-2</v>
      </c>
      <c r="X41" s="385"/>
      <c r="Y41" s="385"/>
      <c r="Z41" s="385"/>
      <c r="AA41" s="385"/>
      <c r="AB41" s="385"/>
      <c r="AC41" s="389">
        <f>AC39-AC40</f>
        <v>-42.806451612903174</v>
      </c>
      <c r="AD41" s="390">
        <f>AD39-AD40</f>
        <v>0</v>
      </c>
      <c r="AE41" s="384"/>
      <c r="AF41" s="384"/>
      <c r="AG41" s="384"/>
      <c r="AH41" s="384"/>
      <c r="AI41" s="384"/>
      <c r="AJ41" s="384"/>
      <c r="AK41" s="384"/>
      <c r="AL41" s="384"/>
      <c r="AM41" s="384"/>
      <c r="AN41" s="384"/>
      <c r="AO41" s="384"/>
      <c r="AP41" s="384"/>
      <c r="AQ41" s="384"/>
      <c r="AR41" s="384"/>
      <c r="AS41" s="384"/>
      <c r="AT41" s="384"/>
      <c r="AU41" s="391"/>
      <c r="AV41" s="392">
        <f>AV38+AX38-AV40</f>
        <v>1821.7000000000007</v>
      </c>
      <c r="AW41" s="392"/>
      <c r="AX41" s="392"/>
      <c r="AY41" s="393"/>
      <c r="AZ41" s="384"/>
      <c r="BA41" s="386"/>
      <c r="BB41" s="384"/>
      <c r="BC41" s="384"/>
      <c r="BD41" s="384"/>
      <c r="BE41" s="384"/>
      <c r="BF41" s="384"/>
      <c r="BG41" s="394"/>
      <c r="BH41" s="47"/>
      <c r="BI41" s="47"/>
      <c r="BJ41" s="47"/>
      <c r="BK41" s="47"/>
      <c r="BL41" s="48"/>
      <c r="BM41" s="23"/>
      <c r="BN41" s="43"/>
      <c r="BO41" s="43"/>
      <c r="BP41" s="43"/>
      <c r="BQ41" s="43"/>
      <c r="BR41" s="43"/>
      <c r="BS41" s="43"/>
      <c r="BT41" s="20"/>
      <c r="BU41" s="243"/>
      <c r="BV41" s="43"/>
      <c r="BW41" s="43"/>
      <c r="BX41" s="43"/>
      <c r="BY41" s="20"/>
      <c r="BZ41" s="20"/>
      <c r="CA41" s="31"/>
      <c r="CB41" s="23"/>
      <c r="CC41" s="43"/>
      <c r="CD41" s="43"/>
      <c r="CE41" s="43"/>
      <c r="CF41" s="20"/>
      <c r="CG41" s="20"/>
      <c r="CH41" s="31"/>
      <c r="CI41" s="23"/>
      <c r="CJ41" s="43"/>
      <c r="CK41" s="43"/>
      <c r="CL41" s="20"/>
      <c r="CM41" s="31"/>
      <c r="CN41" s="19"/>
      <c r="CO41" s="20"/>
      <c r="CP41" s="20"/>
      <c r="CQ41" s="31"/>
      <c r="CR41" s="31"/>
      <c r="CS41" s="13"/>
      <c r="CT41" s="13"/>
      <c r="CU41" s="13"/>
      <c r="CV41" s="13"/>
      <c r="DI41" s="311"/>
    </row>
    <row r="42" spans="1:117" ht="12.75" hidden="1" customHeight="1">
      <c r="A42" s="59"/>
      <c r="B42" s="60"/>
      <c r="C42" s="60"/>
      <c r="D42" s="60"/>
      <c r="E42" s="60"/>
      <c r="F42" s="61"/>
      <c r="G42" s="60"/>
      <c r="H42" s="62" t="s">
        <v>62</v>
      </c>
      <c r="I42" s="63"/>
      <c r="J42" s="63"/>
      <c r="K42" s="63"/>
      <c r="L42" s="63"/>
      <c r="M42" s="63"/>
      <c r="N42" s="63"/>
      <c r="O42" s="63"/>
      <c r="P42" s="63"/>
      <c r="Q42" s="63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677"/>
      <c r="AH42" s="64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59"/>
      <c r="AV42" s="678"/>
      <c r="AW42" s="678"/>
      <c r="AX42" s="678"/>
      <c r="AY42" s="59"/>
      <c r="AZ42" s="59"/>
      <c r="BA42" s="60"/>
      <c r="BB42" s="60"/>
      <c r="BC42" s="60"/>
      <c r="BD42" s="60"/>
      <c r="BE42" s="60"/>
      <c r="BF42" s="60"/>
      <c r="BG42" s="60"/>
    </row>
    <row r="43" spans="1:117" ht="13.5" thickBot="1">
      <c r="A43" s="60"/>
      <c r="B43" s="60"/>
      <c r="C43" s="60"/>
      <c r="D43" s="60"/>
      <c r="E43" s="60"/>
      <c r="F43" s="60"/>
      <c r="G43" s="60"/>
      <c r="H43" s="65" t="s">
        <v>63</v>
      </c>
      <c r="I43" s="66"/>
      <c r="J43" s="66"/>
      <c r="K43" s="66"/>
      <c r="L43" s="66"/>
      <c r="M43" s="66"/>
      <c r="N43" s="66"/>
      <c r="O43" s="66"/>
      <c r="P43" s="66"/>
      <c r="Q43" s="66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7"/>
      <c r="AH43" s="64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9" t="s">
        <v>64</v>
      </c>
      <c r="AV43" s="239">
        <f>AV40/BG43</f>
        <v>225.16129032258064</v>
      </c>
      <c r="AW43" s="89"/>
      <c r="AX43" s="59"/>
      <c r="AY43" s="59" t="s">
        <v>65</v>
      </c>
      <c r="AZ43" s="59"/>
      <c r="BA43" s="60"/>
      <c r="BB43" s="60"/>
      <c r="BC43" s="60"/>
      <c r="BD43" s="60"/>
      <c r="BE43" s="60"/>
      <c r="BF43" s="90" t="s">
        <v>66</v>
      </c>
      <c r="BG43" s="60">
        <v>31</v>
      </c>
      <c r="CU43" s="247"/>
    </row>
    <row r="44" spans="1:117" ht="20.25" customHeight="1" thickBot="1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467" t="s">
        <v>354</v>
      </c>
      <c r="AI44" s="468"/>
      <c r="AJ44" s="468"/>
      <c r="AK44" s="468"/>
      <c r="AL44" s="468"/>
      <c r="AM44" s="468"/>
      <c r="AN44" s="468"/>
      <c r="AO44" s="469">
        <f>AO38/AV38</f>
        <v>0.20230790642716739</v>
      </c>
      <c r="AP44" s="470"/>
      <c r="AQ44" s="471" t="s">
        <v>355</v>
      </c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59"/>
      <c r="BG44" s="59"/>
      <c r="BI44" s="13"/>
      <c r="BP44" s="247"/>
      <c r="BQ44" s="247"/>
      <c r="CT44" s="411"/>
      <c r="CU44" s="411"/>
      <c r="CV44" s="411"/>
      <c r="CW44" s="411">
        <v>14608.778</v>
      </c>
      <c r="CX44" s="411"/>
      <c r="CY44" s="411"/>
      <c r="CZ44" s="411"/>
      <c r="DA44" s="411"/>
      <c r="DB44" s="411"/>
      <c r="DC44" s="411"/>
      <c r="DD44" s="411"/>
    </row>
    <row r="45" spans="1:117" ht="15" customHeight="1" thickBot="1">
      <c r="A45" s="60"/>
      <c r="B45" s="60"/>
      <c r="C45" s="91" t="s">
        <v>67</v>
      </c>
      <c r="D45" s="60"/>
      <c r="E45" s="60"/>
      <c r="F45" s="60"/>
      <c r="G45" s="60"/>
      <c r="H45" s="60"/>
      <c r="I45" s="60"/>
      <c r="J45" s="679">
        <f>AV38/AG38</f>
        <v>59.875510204081635</v>
      </c>
      <c r="K45" s="679"/>
      <c r="L45" s="679"/>
      <c r="M45" s="60"/>
      <c r="N45" s="60"/>
      <c r="O45" s="60"/>
      <c r="P45" s="60"/>
      <c r="Q45" s="60"/>
      <c r="R45" s="92"/>
      <c r="S45" s="60"/>
      <c r="T45" s="60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64"/>
      <c r="AH45" s="64"/>
      <c r="AI45" s="60"/>
      <c r="AJ45" s="60"/>
      <c r="AK45" s="60"/>
      <c r="AL45" s="60"/>
      <c r="AM45" s="60"/>
      <c r="AN45" s="60"/>
      <c r="AO45" s="93" t="s">
        <v>68</v>
      </c>
      <c r="AP45" s="93"/>
      <c r="AQ45" s="93"/>
      <c r="AR45" s="93"/>
      <c r="AS45" s="93"/>
      <c r="AT45" s="93"/>
      <c r="AU45" s="94" t="s">
        <v>69</v>
      </c>
      <c r="AV45" s="95">
        <v>30</v>
      </c>
      <c r="AW45" s="96"/>
      <c r="AX45" s="60"/>
      <c r="AY45" s="60"/>
      <c r="AZ45" s="60"/>
      <c r="BA45" s="60"/>
      <c r="BB45" s="60"/>
      <c r="BC45" s="60"/>
      <c r="BD45" s="60"/>
      <c r="BE45" s="60"/>
      <c r="BF45" s="59"/>
      <c r="BG45" s="59"/>
    </row>
    <row r="46" spans="1:117" ht="13.5" customHeight="1" thickBot="1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64"/>
      <c r="AH46" s="64"/>
      <c r="AI46" s="60"/>
      <c r="AJ46" s="60"/>
      <c r="AK46" s="60"/>
      <c r="AL46" s="60"/>
      <c r="AM46" s="60"/>
      <c r="AN46" s="60"/>
      <c r="AO46" s="60"/>
      <c r="AP46" s="60"/>
      <c r="AQ46" s="93"/>
      <c r="AR46" s="93"/>
      <c r="AS46" s="93"/>
      <c r="AT46" s="93"/>
      <c r="AU46" s="94" t="s">
        <v>70</v>
      </c>
      <c r="AV46" s="97">
        <f>AV40/AV45</f>
        <v>232.66666666666666</v>
      </c>
      <c r="AW46" s="97"/>
      <c r="AX46" s="60"/>
      <c r="AY46" s="60"/>
      <c r="AZ46" s="98"/>
      <c r="BA46" s="60"/>
      <c r="BB46" s="680" t="s">
        <v>71</v>
      </c>
      <c r="BC46" s="680"/>
      <c r="BD46" s="680"/>
      <c r="BE46" s="680"/>
      <c r="BF46" s="680"/>
      <c r="BG46" s="680"/>
      <c r="BU46" s="247"/>
    </row>
    <row r="47" spans="1:117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8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98"/>
      <c r="BA47" s="60"/>
      <c r="BB47" s="680"/>
      <c r="BC47" s="680"/>
      <c r="BD47" s="680"/>
      <c r="BE47" s="680"/>
      <c r="BF47" s="680"/>
      <c r="BG47" s="680"/>
      <c r="BH47" s="13"/>
      <c r="BI47" s="13"/>
      <c r="BJ47" s="13"/>
    </row>
    <row r="48" spans="1:117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81">
        <f>BH37-BL37</f>
        <v>-294.67349999999715</v>
      </c>
      <c r="BC48" s="681"/>
      <c r="BD48" s="681"/>
      <c r="BE48" s="681"/>
      <c r="BF48" s="682" t="s">
        <v>72</v>
      </c>
      <c r="BG48" s="99"/>
      <c r="BH48" s="13"/>
    </row>
    <row r="49" spans="1:59">
      <c r="A49" s="60"/>
      <c r="B49" s="60"/>
      <c r="C49" s="63"/>
      <c r="D49" s="59"/>
      <c r="E49" s="59"/>
      <c r="F49" s="59"/>
      <c r="G49" s="59"/>
      <c r="H49" s="59"/>
      <c r="I49" s="59"/>
      <c r="J49" s="83"/>
      <c r="K49" s="59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9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81"/>
      <c r="BC49" s="681"/>
      <c r="BD49" s="681"/>
      <c r="BE49" s="681"/>
      <c r="BF49" s="682"/>
      <c r="BG49" s="99"/>
    </row>
    <row r="50" spans="1:59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100"/>
      <c r="BC50" s="59"/>
      <c r="BD50" s="59"/>
      <c r="BE50" s="59"/>
      <c r="BF50" s="59"/>
      <c r="BG50" s="99"/>
    </row>
    <row r="51" spans="1:59" ht="13.5" thickBot="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72">
        <f>BB48/AV40*100</f>
        <v>-4.2216833810887842</v>
      </c>
      <c r="BC51" s="672"/>
      <c r="BD51" s="672"/>
      <c r="BE51" s="672"/>
      <c r="BF51" s="673" t="s">
        <v>73</v>
      </c>
      <c r="BG51" s="99"/>
    </row>
    <row r="52" spans="1:59" ht="13.5" thickBot="1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72"/>
      <c r="BC52" s="672"/>
      <c r="BD52" s="672"/>
      <c r="BE52" s="672"/>
      <c r="BF52" s="673"/>
      <c r="BG52" s="101"/>
    </row>
    <row r="53" spans="1:59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</row>
    <row r="54" spans="1:59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</row>
    <row r="55" spans="1:59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</row>
    <row r="56" spans="1:59" ht="13.5" thickBo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</row>
    <row r="57" spans="1:59" ht="15.75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472" t="s">
        <v>356</v>
      </c>
      <c r="BC57" s="473"/>
      <c r="BD57" s="473"/>
      <c r="BE57" s="473"/>
      <c r="BF57" s="473"/>
      <c r="BG57" s="474"/>
    </row>
    <row r="58" spans="1:59" ht="15.75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475" t="s">
        <v>357</v>
      </c>
      <c r="BC58" s="476"/>
      <c r="BD58" s="476"/>
      <c r="BE58" s="476"/>
      <c r="BF58" s="683">
        <f>'[4]декабрь 20'!$G$38</f>
        <v>1780.6534999999994</v>
      </c>
      <c r="BG58" s="684"/>
    </row>
    <row r="59" spans="1:59" ht="16.5" thickBo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325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475" t="s">
        <v>358</v>
      </c>
      <c r="BC59" s="476"/>
      <c r="BD59" s="476"/>
      <c r="BE59" s="476"/>
      <c r="BF59" s="685">
        <f>'[4]декабрь 20'!$C$38</f>
        <v>1780.65</v>
      </c>
      <c r="BG59" s="686"/>
    </row>
    <row r="60" spans="1:59" ht="16.5" thickBo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477" t="s">
        <v>359</v>
      </c>
      <c r="BC60" s="478"/>
      <c r="BD60" s="478"/>
      <c r="BE60" s="478"/>
      <c r="BF60" s="687">
        <f>BF59-BF58</f>
        <v>-3.4999999993488018E-3</v>
      </c>
      <c r="BG60" s="688"/>
    </row>
    <row r="61" spans="1:59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</row>
    <row r="62" spans="1:59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</row>
    <row r="63" spans="1:59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</row>
    <row r="64" spans="1:59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</row>
    <row r="65" spans="1:59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</row>
    <row r="66" spans="1:59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</row>
    <row r="67" spans="1:59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</row>
    <row r="68" spans="1:59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</row>
    <row r="69" spans="1:5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</row>
    <row r="70" spans="1:59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</row>
    <row r="71" spans="1:59" ht="18.75">
      <c r="A71" s="60"/>
      <c r="B71" s="316"/>
      <c r="C71" s="317"/>
      <c r="D71" s="316"/>
      <c r="E71" s="316"/>
      <c r="F71" s="318"/>
      <c r="G71" s="318"/>
      <c r="H71" s="316"/>
      <c r="I71" s="316"/>
      <c r="J71" s="316"/>
      <c r="K71" s="316"/>
      <c r="L71" s="316"/>
      <c r="M71" s="318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</row>
    <row r="72" spans="1:59" ht="18.75">
      <c r="A72" s="60"/>
      <c r="B72" s="674" t="s">
        <v>74</v>
      </c>
      <c r="C72" s="674"/>
      <c r="D72" s="674"/>
      <c r="E72" s="674"/>
      <c r="F72" s="674"/>
      <c r="G72" s="674"/>
      <c r="H72" s="674"/>
      <c r="I72" s="60"/>
      <c r="J72" s="60"/>
      <c r="K72" s="60"/>
      <c r="L72" s="60"/>
      <c r="M72" s="60"/>
      <c r="N72" s="675" t="s">
        <v>482</v>
      </c>
      <c r="O72" s="675"/>
      <c r="P72" s="675"/>
      <c r="Q72" s="675"/>
      <c r="R72" s="675"/>
      <c r="S72" s="675"/>
      <c r="T72" s="675"/>
      <c r="U72" s="675"/>
      <c r="V72" s="675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</row>
    <row r="73" spans="1:59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</row>
    <row r="74" spans="1:59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</row>
    <row r="75" spans="1:59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</row>
    <row r="76" spans="1:59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</row>
    <row r="77" spans="1:59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</row>
    <row r="78" spans="1:59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</row>
    <row r="79" spans="1:5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</row>
    <row r="80" spans="1:59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</row>
    <row r="81" spans="1:59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</row>
    <row r="82" spans="1:59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</row>
    <row r="83" spans="1:59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</row>
    <row r="84" spans="1:59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</row>
    <row r="85" spans="1:59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</row>
    <row r="86" spans="1:59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</row>
    <row r="87" spans="1:59">
      <c r="A87" s="54"/>
      <c r="B87" s="54"/>
      <c r="C87" s="54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</row>
    <row r="88" spans="1:59">
      <c r="A88" s="54"/>
      <c r="B88" s="54"/>
      <c r="C88" s="54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</row>
  </sheetData>
  <sheetProtection selectLockedCells="1" selectUnlockedCells="1"/>
  <mergeCells count="87">
    <mergeCell ref="B72:H72"/>
    <mergeCell ref="N72:V72"/>
    <mergeCell ref="CT40:CZ40"/>
    <mergeCell ref="AG42:AG43"/>
    <mergeCell ref="AV42:AX42"/>
    <mergeCell ref="J45:L45"/>
    <mergeCell ref="BB46:BG47"/>
    <mergeCell ref="BB48:BE49"/>
    <mergeCell ref="BF48:BF49"/>
    <mergeCell ref="BB51:BE52"/>
    <mergeCell ref="BF51:BF52"/>
    <mergeCell ref="BF58:BG58"/>
    <mergeCell ref="BF59:BG59"/>
    <mergeCell ref="BF60:BG60"/>
    <mergeCell ref="BM3:BS5"/>
    <mergeCell ref="BU3:CA5"/>
    <mergeCell ref="CB3:CH5"/>
    <mergeCell ref="CJ3:CM5"/>
    <mergeCell ref="CN3:CQ5"/>
    <mergeCell ref="DG5:DK5"/>
    <mergeCell ref="CT39:CU39"/>
    <mergeCell ref="CV39:CZ39"/>
    <mergeCell ref="DA39:DD39"/>
    <mergeCell ref="CR3:CR6"/>
    <mergeCell ref="Y3:Y6"/>
    <mergeCell ref="V4:V6"/>
    <mergeCell ref="W4:W6"/>
    <mergeCell ref="X4:X6"/>
    <mergeCell ref="AH5:AH6"/>
    <mergeCell ref="AN3:AN6"/>
    <mergeCell ref="B4:B6"/>
    <mergeCell ref="C4:C6"/>
    <mergeCell ref="D4:D6"/>
    <mergeCell ref="E4:E6"/>
    <mergeCell ref="F4:F6"/>
    <mergeCell ref="AJ5:AJ6"/>
    <mergeCell ref="P4:P6"/>
    <mergeCell ref="Q4:Q6"/>
    <mergeCell ref="R4:R6"/>
    <mergeCell ref="S4:S6"/>
    <mergeCell ref="T4:T6"/>
    <mergeCell ref="U4:U6"/>
    <mergeCell ref="AF3:AF6"/>
    <mergeCell ref="AG3:AG6"/>
    <mergeCell ref="AH3:AI4"/>
    <mergeCell ref="BG3:BG6"/>
    <mergeCell ref="AU3:AU6"/>
    <mergeCell ref="AV3:BA4"/>
    <mergeCell ref="BB3:BB6"/>
    <mergeCell ref="BC3:BD4"/>
    <mergeCell ref="BE3:BE6"/>
    <mergeCell ref="BF3:BF6"/>
    <mergeCell ref="AV5:AV6"/>
    <mergeCell ref="AW5:AW6"/>
    <mergeCell ref="AX5:AX6"/>
    <mergeCell ref="AY5:AY6"/>
    <mergeCell ref="AZ5:AZ6"/>
    <mergeCell ref="BA5:BA6"/>
    <mergeCell ref="AO3:AO6"/>
    <mergeCell ref="AP3:AP6"/>
    <mergeCell ref="AQ3:AQ6"/>
    <mergeCell ref="AR3:AR6"/>
    <mergeCell ref="AS3:AS6"/>
    <mergeCell ref="AL3:AL6"/>
    <mergeCell ref="AM3:AM6"/>
    <mergeCell ref="AK5:AK6"/>
    <mergeCell ref="Z3:Z6"/>
    <mergeCell ref="AA3:AA6"/>
    <mergeCell ref="AB3:AB6"/>
    <mergeCell ref="AC3:AC6"/>
    <mergeCell ref="AD3:AD6"/>
    <mergeCell ref="AE3:AE6"/>
    <mergeCell ref="AJ3:AK4"/>
    <mergeCell ref="AI5:AI6"/>
    <mergeCell ref="A3:A6"/>
    <mergeCell ref="B3:F3"/>
    <mergeCell ref="G3:G6"/>
    <mergeCell ref="H3:O3"/>
    <mergeCell ref="P3:X3"/>
    <mergeCell ref="L4:L6"/>
    <mergeCell ref="M4:M6"/>
    <mergeCell ref="N4:N6"/>
    <mergeCell ref="O4:O6"/>
    <mergeCell ref="H4:H6"/>
    <mergeCell ref="I4:I6"/>
    <mergeCell ref="J4:J6"/>
    <mergeCell ref="K4:K6"/>
  </mergeCells>
  <printOptions horizontalCentered="1" verticalCentered="1"/>
  <pageMargins left="0" right="0" top="0" bottom="0" header="0" footer="0"/>
  <pageSetup paperSize="9" scale="47" firstPageNumber="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29</vt:i4>
      </vt:variant>
      <vt:variant>
        <vt:lpstr>Именованные диапазоны</vt:lpstr>
      </vt:variant>
      <vt:variant>
        <vt:i4>29</vt:i4>
      </vt:variant>
    </vt:vector>
  </HeadingPairs>
  <TitlesOfParts>
    <vt:vector size="58" baseType="lpstr">
      <vt:lpstr>январь 20</vt:lpstr>
      <vt:lpstr>январь 20 (+руда,-агл,-кокс)</vt:lpstr>
      <vt:lpstr>февраль 20</vt:lpstr>
      <vt:lpstr>февраль 20 (-руда,+агл)</vt:lpstr>
      <vt:lpstr>март 20 </vt:lpstr>
      <vt:lpstr>март 20  (-руда,+агл)</vt:lpstr>
      <vt:lpstr>апрель 20 </vt:lpstr>
      <vt:lpstr>апрель 20  (+371т,+ру,кок)</vt:lpstr>
      <vt:lpstr>май 20</vt:lpstr>
      <vt:lpstr>май 20 (+руда,+кокс,-агл)</vt:lpstr>
      <vt:lpstr>июнь 20</vt:lpstr>
      <vt:lpstr>июнь 20 (+руда,кокс)</vt:lpstr>
      <vt:lpstr>июль 20 (факт)</vt:lpstr>
      <vt:lpstr>июль 20</vt:lpstr>
      <vt:lpstr>июль 20 (+руда,кокс,агл)</vt:lpstr>
      <vt:lpstr>август 20  (факт)</vt:lpstr>
      <vt:lpstr>август 20 </vt:lpstr>
      <vt:lpstr>август 20  (-руда,+агл.кокс)</vt:lpstr>
      <vt:lpstr>сентябрь 20 (факт)</vt:lpstr>
      <vt:lpstr>сентябрь 20</vt:lpstr>
      <vt:lpstr>сентябрь 20 (-руда,+кокс)</vt:lpstr>
      <vt:lpstr>октябрь 20 (факт)</vt:lpstr>
      <vt:lpstr>октябрь 20 </vt:lpstr>
      <vt:lpstr>октябрь 20  (+руда,кокс)</vt:lpstr>
      <vt:lpstr>ноябрь 20 (факт)</vt:lpstr>
      <vt:lpstr>ноябрь 20</vt:lpstr>
      <vt:lpstr>ноябрь 20 (+агл,кокс)</vt:lpstr>
      <vt:lpstr>декабрь 20 (факт)</vt:lpstr>
      <vt:lpstr>декабрь 20</vt:lpstr>
      <vt:lpstr>'август 20 '!Область_печати</vt:lpstr>
      <vt:lpstr>'август 20  (-руда,+агл.кокс)'!Область_печати</vt:lpstr>
      <vt:lpstr>'август 20  (факт)'!Область_печати</vt:lpstr>
      <vt:lpstr>'апрель 20 '!Область_печати</vt:lpstr>
      <vt:lpstr>'апрель 20  (+371т,+ру,кок)'!Область_печати</vt:lpstr>
      <vt:lpstr>'декабрь 20'!Область_печати</vt:lpstr>
      <vt:lpstr>'декабрь 20 (факт)'!Область_печати</vt:lpstr>
      <vt:lpstr>'июль 20'!Область_печати</vt:lpstr>
      <vt:lpstr>'июль 20 (+руда,кокс,агл)'!Область_печати</vt:lpstr>
      <vt:lpstr>'июль 20 (факт)'!Область_печати</vt:lpstr>
      <vt:lpstr>'июнь 20'!Область_печати</vt:lpstr>
      <vt:lpstr>'июнь 20 (+руда,кокс)'!Область_печати</vt:lpstr>
      <vt:lpstr>'май 20'!Область_печати</vt:lpstr>
      <vt:lpstr>'май 20 (+руда,+кокс,-агл)'!Область_печати</vt:lpstr>
      <vt:lpstr>'март 20 '!Область_печати</vt:lpstr>
      <vt:lpstr>'март 20  (-руда,+агл)'!Область_печати</vt:lpstr>
      <vt:lpstr>'ноябрь 20'!Область_печати</vt:lpstr>
      <vt:lpstr>'ноябрь 20 (+агл,кокс)'!Область_печати</vt:lpstr>
      <vt:lpstr>'ноябрь 20 (факт)'!Область_печати</vt:lpstr>
      <vt:lpstr>'октябрь 20 '!Область_печати</vt:lpstr>
      <vt:lpstr>'октябрь 20  (+руда,кокс)'!Область_печати</vt:lpstr>
      <vt:lpstr>'октябрь 20 (факт)'!Область_печати</vt:lpstr>
      <vt:lpstr>'сентябрь 20'!Область_печати</vt:lpstr>
      <vt:lpstr>'сентябрь 20 (-руда,+кокс)'!Область_печати</vt:lpstr>
      <vt:lpstr>'сентябрь 20 (факт)'!Область_печати</vt:lpstr>
      <vt:lpstr>'февраль 20'!Область_печати</vt:lpstr>
      <vt:lpstr>'февраль 20 (-руда,+агл)'!Область_печати</vt:lpstr>
      <vt:lpstr>'январь 20'!Область_печати</vt:lpstr>
      <vt:lpstr>'январь 20 (+руда,-агл,-кокс)'!Область_печати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Кутлыахметов В.А.</dc:creator>
  <cp:lastModifiedBy>Диспетчер1</cp:lastModifiedBy>
  <cp:lastPrinted>2021-02-02T08:31:18Z</cp:lastPrinted>
  <dcterms:created xsi:type="dcterms:W3CDTF">2017-08-07T02:10:15Z</dcterms:created>
  <dcterms:modified xsi:type="dcterms:W3CDTF">2021-02-02T08:31:25Z</dcterms:modified>
</cp:coreProperties>
</file>