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34671\Desktop\"/>
    </mc:Choice>
  </mc:AlternateContent>
  <xr:revisionPtr revIDLastSave="0" documentId="13_ncr:1_{FE0C3FE4-BD4A-4A48-AAE2-4837FF66511E}" xr6:coauthVersionLast="47" xr6:coauthVersionMax="47" xr10:uidLastSave="{00000000-0000-0000-0000-000000000000}"/>
  <bookViews>
    <workbookView xWindow="12" yWindow="0" windowWidth="23016" windowHeight="12360" xr2:uid="{EA944FB1-DE3F-40F9-BBAA-0980B1568DEE}"/>
  </bookViews>
  <sheets>
    <sheet name="Dashboard" sheetId="23" r:id="rId1"/>
    <sheet name="Data" sheetId="16" r:id="rId2"/>
    <sheet name="Data Prep" sheetId="22" state="hidden" r:id="rId3"/>
    <sheet name="New Data (Aug 2021)" sheetId="21" state="hidden" r:id="rId4"/>
    <sheet name="New Data (Sep 2021)" sheetId="18" state="hidden" r:id="rId5"/>
  </sheets>
  <definedNames>
    <definedName name="_xlnm._FilterDatabase" localSheetId="1" hidden="1">Data!$A$1:$J$4266</definedName>
    <definedName name="CurMonth">'Data Prep'!$B$9</definedName>
    <definedName name="Cur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  <definedName name="Total_Revenue">"TextBox 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" i="23" l="1"/>
  <c r="V19" i="23"/>
  <c r="B3" i="22"/>
  <c r="B8" i="22"/>
  <c r="M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M10" i="22" l="1"/>
  <c r="M14" i="22"/>
  <c r="M13" i="22"/>
  <c r="M12" i="22"/>
  <c r="M11" i="22"/>
  <c r="M5" i="22"/>
  <c r="M4" i="22"/>
  <c r="M3" i="22"/>
  <c r="M9" i="22"/>
  <c r="M8" i="22"/>
  <c r="M7" i="22"/>
  <c r="M6" i="22"/>
  <c r="C9" i="22" a="1"/>
  <c r="C9" i="22" s="1"/>
  <c r="B10" i="22"/>
  <c r="L2" i="22" s="1"/>
  <c r="B9" i="22"/>
  <c r="B13" i="22" s="1"/>
  <c r="F7" i="23" s="1"/>
  <c r="AY14" i="16" l="1"/>
  <c r="Q10" i="22"/>
  <c r="Q12" i="22"/>
  <c r="Q7" i="22"/>
  <c r="Q11" i="22"/>
  <c r="AE19" i="22"/>
  <c r="Q6" i="22"/>
  <c r="Q3" i="22"/>
  <c r="Q9" i="22"/>
  <c r="Q8" i="22"/>
  <c r="Q4" i="22"/>
  <c r="Q5" i="22"/>
  <c r="AE33" i="22"/>
  <c r="AE3" i="22"/>
  <c r="AE36" i="22"/>
  <c r="AE31" i="22"/>
  <c r="AY26" i="16"/>
  <c r="AY39" i="16"/>
  <c r="AY20" i="16"/>
  <c r="AY27" i="16"/>
  <c r="AY9" i="16"/>
  <c r="AY37" i="16"/>
  <c r="AY18" i="16"/>
  <c r="AY45" i="16"/>
  <c r="AY34" i="16"/>
  <c r="AY8" i="16"/>
  <c r="AY44" i="16"/>
  <c r="AY42" i="16"/>
  <c r="AY41" i="16"/>
  <c r="AY47" i="16"/>
  <c r="AY49" i="16"/>
  <c r="AY25" i="16"/>
  <c r="AY12" i="16"/>
  <c r="AY10" i="16"/>
  <c r="AY38" i="16"/>
  <c r="AY31" i="16"/>
  <c r="AY35" i="16"/>
  <c r="AY16" i="16"/>
  <c r="AY36" i="16"/>
  <c r="AY52" i="16"/>
  <c r="AY6" i="16"/>
  <c r="AY23" i="16"/>
  <c r="AY11" i="16"/>
  <c r="AY51" i="16"/>
  <c r="AY28" i="16"/>
  <c r="AY33" i="16"/>
  <c r="AY17" i="16"/>
  <c r="AY48" i="16"/>
  <c r="AY43" i="16"/>
  <c r="AE27" i="22"/>
  <c r="AE15" i="22"/>
  <c r="AE35" i="22"/>
  <c r="AY13" i="16"/>
  <c r="AY3" i="16"/>
  <c r="AY40" i="16"/>
  <c r="AY24" i="16"/>
  <c r="AY19" i="16"/>
  <c r="AE10" i="22"/>
  <c r="AE23" i="22"/>
  <c r="AE6" i="22"/>
  <c r="AE26" i="22"/>
  <c r="AE18" i="22"/>
  <c r="AE4" i="22"/>
  <c r="AE5" i="22"/>
  <c r="AE8" i="22"/>
  <c r="AE14" i="22"/>
  <c r="AE9" i="22"/>
  <c r="AE34" i="22"/>
  <c r="AE12" i="22"/>
  <c r="AE13" i="22"/>
  <c r="AE16" i="22"/>
  <c r="AE22" i="22"/>
  <c r="AE17" i="22"/>
  <c r="AE20" i="22"/>
  <c r="AE21" i="22"/>
  <c r="AE32" i="22"/>
  <c r="AE30" i="22"/>
  <c r="AE25" i="22"/>
  <c r="AE11" i="22"/>
  <c r="AE28" i="22"/>
  <c r="AE24" i="22"/>
  <c r="AE29" i="22"/>
  <c r="AE7" i="22"/>
  <c r="AY4" i="16"/>
  <c r="AY46" i="16"/>
  <c r="AY15" i="16"/>
  <c r="AY30" i="16"/>
  <c r="AY50" i="16"/>
  <c r="E2" i="22"/>
  <c r="B12" i="22"/>
  <c r="E3" i="22"/>
  <c r="B11" i="22"/>
  <c r="AY22" i="16"/>
  <c r="AY32" i="16"/>
  <c r="AY21" i="16"/>
  <c r="AY29" i="16"/>
  <c r="AY7" i="16"/>
  <c r="AY5" i="16"/>
  <c r="L9" i="22"/>
  <c r="L8" i="22"/>
  <c r="L7" i="22"/>
  <c r="L14" i="22"/>
  <c r="L6" i="22"/>
  <c r="L10" i="22"/>
  <c r="L13" i="22"/>
  <c r="L5" i="22"/>
  <c r="L12" i="22"/>
  <c r="L4" i="22"/>
  <c r="L11" i="22"/>
  <c r="L3" i="22"/>
  <c r="T9" i="22" l="1"/>
  <c r="T3" i="22"/>
  <c r="T6" i="22"/>
  <c r="T11" i="22"/>
  <c r="AF31" i="22"/>
  <c r="AG31" i="22" s="1"/>
  <c r="AF18" i="22"/>
  <c r="AG18" i="22" s="1"/>
  <c r="AF5" i="22"/>
  <c r="AG5" i="22" s="1"/>
  <c r="AF10" i="22"/>
  <c r="AG10" i="22" s="1"/>
  <c r="AF26" i="22"/>
  <c r="AG26" i="22" s="1"/>
  <c r="AF21" i="22"/>
  <c r="AG21" i="22" s="1"/>
  <c r="AF34" i="22"/>
  <c r="AF29" i="22"/>
  <c r="AG29" i="22" s="1"/>
  <c r="AF4" i="22"/>
  <c r="AG4" i="22" s="1"/>
  <c r="AF36" i="22"/>
  <c r="AG36" i="22" s="1"/>
  <c r="AF13" i="22"/>
  <c r="AG13" i="22" s="1"/>
  <c r="AF8" i="22"/>
  <c r="AG8" i="22" s="1"/>
  <c r="AF9" i="22"/>
  <c r="AG9" i="22" s="1"/>
  <c r="AF3" i="22"/>
  <c r="AG3" i="22" s="1"/>
  <c r="AF12" i="22"/>
  <c r="AG12" i="22" s="1"/>
  <c r="AF7" i="22"/>
  <c r="AG7" i="22" s="1"/>
  <c r="AF16" i="22"/>
  <c r="AG16" i="22" s="1"/>
  <c r="AF6" i="22"/>
  <c r="AG6" i="22" s="1"/>
  <c r="AF17" i="22"/>
  <c r="AG17" i="22" s="1"/>
  <c r="AF19" i="22"/>
  <c r="AG19" i="22" s="1"/>
  <c r="AF11" i="22"/>
  <c r="AG11" i="22" s="1"/>
  <c r="AF20" i="22"/>
  <c r="AG20" i="22" s="1"/>
  <c r="AF15" i="22"/>
  <c r="AG15" i="22" s="1"/>
  <c r="AF14" i="22"/>
  <c r="AG14" i="22" s="1"/>
  <c r="AF24" i="22"/>
  <c r="AG24" i="22" s="1"/>
  <c r="AF22" i="22"/>
  <c r="AG22" i="22" s="1"/>
  <c r="AF25" i="22"/>
  <c r="AG25" i="22" s="1"/>
  <c r="AF35" i="22"/>
  <c r="AG35" i="22" s="1"/>
  <c r="AF27" i="22"/>
  <c r="AG27" i="22" s="1"/>
  <c r="AF28" i="22"/>
  <c r="AG28" i="22" s="1"/>
  <c r="AF23" i="22"/>
  <c r="AG23" i="22" s="1"/>
  <c r="AF30" i="22"/>
  <c r="AG30" i="22" s="1"/>
  <c r="AF32" i="22"/>
  <c r="AG32" i="22" s="1"/>
  <c r="AF33" i="22"/>
  <c r="AG33" i="22" s="1"/>
  <c r="AG34" i="22"/>
  <c r="T5" i="22"/>
  <c r="T7" i="22"/>
  <c r="T4" i="22"/>
  <c r="T12" i="22"/>
  <c r="T8" i="22"/>
  <c r="T10" i="22"/>
  <c r="R6" i="22"/>
  <c r="S6" i="22" s="1"/>
  <c r="R9" i="22"/>
  <c r="S9" i="22" s="1"/>
  <c r="R8" i="22"/>
  <c r="S8" i="22" s="1"/>
  <c r="R3" i="22"/>
  <c r="S3" i="22" s="1"/>
  <c r="R5" i="22"/>
  <c r="S5" i="22" s="1"/>
  <c r="R4" i="22"/>
  <c r="S4" i="22" s="1"/>
  <c r="R7" i="22"/>
  <c r="S7" i="22" s="1"/>
  <c r="R10" i="22"/>
  <c r="S10" i="22" s="1"/>
  <c r="R12" i="22"/>
  <c r="S12" i="22" s="1"/>
  <c r="R11" i="22"/>
  <c r="S11" i="22" s="1"/>
  <c r="E4" i="22"/>
  <c r="E6" i="22" s="1"/>
  <c r="B19" i="23" s="1"/>
  <c r="E5" i="22"/>
  <c r="D19" i="23" s="1"/>
  <c r="W3" i="22" l="1"/>
  <c r="X3" i="22" s="1"/>
  <c r="AA3" i="22" s="1"/>
  <c r="Z3" i="22"/>
  <c r="Y3" i="22"/>
  <c r="AH6" i="22"/>
  <c r="Z4" i="22"/>
  <c r="AI35" i="22"/>
  <c r="AH19" i="22"/>
  <c r="AI8" i="22"/>
  <c r="AI17" i="22"/>
  <c r="AH10" i="22"/>
  <c r="AI10" i="22"/>
  <c r="AH13" i="22"/>
  <c r="AI13" i="22"/>
  <c r="AH33" i="22"/>
  <c r="AI33" i="22"/>
  <c r="AI22" i="22"/>
  <c r="AI36" i="22"/>
  <c r="AH36" i="22"/>
  <c r="AI32" i="22"/>
  <c r="AI24" i="22"/>
  <c r="AH24" i="22"/>
  <c r="AH16" i="22"/>
  <c r="AI16" i="22"/>
  <c r="AH22" i="22"/>
  <c r="AI18" i="22"/>
  <c r="AI26" i="22"/>
  <c r="AH29" i="22"/>
  <c r="AI31" i="22"/>
  <c r="AH28" i="22"/>
  <c r="AH17" i="22"/>
  <c r="AI34" i="22"/>
  <c r="AH25" i="22"/>
  <c r="AI25" i="22"/>
  <c r="AH27" i="22"/>
  <c r="AH14" i="22"/>
  <c r="AI27" i="22"/>
  <c r="AI3" i="22"/>
  <c r="AI14" i="22"/>
  <c r="AH5" i="22"/>
  <c r="AH34" i="22"/>
  <c r="AI29" i="22"/>
  <c r="AI28" i="22"/>
  <c r="AH18" i="22"/>
  <c r="AH26" i="22"/>
  <c r="AH3" i="22"/>
  <c r="AI4" i="22"/>
  <c r="AH4" i="22"/>
  <c r="AI5" i="22"/>
  <c r="AH23" i="22"/>
  <c r="AI23" i="22"/>
  <c r="AH15" i="22"/>
  <c r="AI15" i="22"/>
  <c r="AI12" i="22"/>
  <c r="AH12" i="22"/>
  <c r="AH31" i="22"/>
  <c r="AI7" i="22"/>
  <c r="AH7" i="22"/>
  <c r="AI20" i="22"/>
  <c r="AH20" i="22"/>
  <c r="AH21" i="22"/>
  <c r="AI21" i="22"/>
  <c r="AH11" i="22"/>
  <c r="AH9" i="22"/>
  <c r="AI9" i="22"/>
  <c r="AH32" i="22"/>
  <c r="AI11" i="22"/>
  <c r="AI6" i="22"/>
  <c r="Z6" i="22"/>
  <c r="AH8" i="22"/>
  <c r="AH30" i="22"/>
  <c r="AI30" i="22"/>
  <c r="AI19" i="22"/>
  <c r="Y4" i="22"/>
  <c r="W6" i="22"/>
  <c r="X6" i="22" s="1"/>
  <c r="Z7" i="22"/>
  <c r="W7" i="22"/>
  <c r="X7" i="22" s="1"/>
  <c r="Z11" i="22"/>
  <c r="Y6" i="22"/>
  <c r="Z12" i="22"/>
  <c r="W4" i="22"/>
  <c r="X4" i="22" s="1"/>
  <c r="Y7" i="22"/>
  <c r="Z9" i="22"/>
  <c r="Y9" i="22"/>
  <c r="Y5" i="22"/>
  <c r="Z10" i="22"/>
  <c r="W12" i="22"/>
  <c r="X12" i="22" s="1"/>
  <c r="W10" i="22"/>
  <c r="X10" i="22" s="1"/>
  <c r="Z8" i="22"/>
  <c r="W9" i="22"/>
  <c r="X9" i="22" s="1"/>
  <c r="Y12" i="22"/>
  <c r="Z5" i="22"/>
  <c r="Y10" i="22"/>
  <c r="Y8" i="22"/>
  <c r="Y11" i="22"/>
  <c r="W5" i="22"/>
  <c r="X5" i="22" s="1"/>
  <c r="AH35" i="22"/>
  <c r="W8" i="22"/>
  <c r="X8" i="22" s="1"/>
  <c r="W11" i="22"/>
  <c r="X11" i="22" s="1"/>
  <c r="AB3" i="22" l="1"/>
  <c r="AA9" i="22"/>
  <c r="AB9" i="22"/>
  <c r="AA4" i="22"/>
  <c r="AB4" i="22"/>
  <c r="AB10" i="22"/>
  <c r="AA10" i="22"/>
  <c r="AB5" i="22"/>
  <c r="AA5" i="22"/>
  <c r="AB12" i="22"/>
  <c r="AA12" i="22"/>
  <c r="AA7" i="22"/>
  <c r="AB7" i="22"/>
  <c r="AB11" i="22"/>
  <c r="AA11" i="22"/>
  <c r="AA6" i="22"/>
  <c r="AB6" i="22"/>
  <c r="AB8" i="22"/>
  <c r="AA8" i="22"/>
  <c r="AM6" i="22"/>
  <c r="AN6" i="22"/>
  <c r="AL17" i="22"/>
  <c r="AL16" i="22"/>
  <c r="AN3" i="22"/>
  <c r="AN18" i="22"/>
  <c r="AM18" i="22"/>
  <c r="AL14" i="22"/>
  <c r="AL4" i="22"/>
  <c r="AL13" i="22"/>
  <c r="AL6" i="22"/>
  <c r="AL15" i="22"/>
  <c r="AM15" i="22"/>
  <c r="AM3" i="22"/>
  <c r="AN17" i="22"/>
  <c r="AN5" i="22"/>
  <c r="AN8" i="22"/>
  <c r="AL5" i="22"/>
  <c r="AN13" i="22"/>
  <c r="AN15" i="22"/>
  <c r="AN14" i="22"/>
  <c r="AM4" i="22"/>
  <c r="AM13" i="22"/>
  <c r="AM17" i="22"/>
  <c r="AM16" i="22"/>
  <c r="AL3" i="22"/>
  <c r="AM14" i="22"/>
  <c r="AM8" i="22"/>
  <c r="AN7" i="22"/>
  <c r="AL7" i="22"/>
  <c r="AN16" i="22"/>
  <c r="AN4" i="22"/>
  <c r="AL8" i="22"/>
  <c r="AL18" i="22"/>
  <c r="AM7" i="22"/>
  <c r="AM5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<sst xmlns="http://schemas.openxmlformats.org/spreadsheetml/2006/main" count="24229" uniqueCount="126">
  <si>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</si>
  <si>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</si>
  <si>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</si>
  <si>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</si>
  <si>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</si>
  <si>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</si>
  <si>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</si>
  <si>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</si>
  <si>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</si>
  <si>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</si>
  <si>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</si>
  <si>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</si>
  <si>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</si>
  <si>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</si>
  <si>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</si>
  <si>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</si>
  <si>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</si>
  <si>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</si>
  <si>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</si>
  <si>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</si>
  <si>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</si>
  <si>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</si>
  <si>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</si>
  <si>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</si>
  <si>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</si>
  <si>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</si>
  <si>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</si>
  <si>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</si>
  <si>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</si>
  <si>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</si>
  <si>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</si>
  <si>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</si>
  <si>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</si>
  <si>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</si>
  <si>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</si>
  <si>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</si>
  <si>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</si>
  <si>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</si>
  <si>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</si>
  <si>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</si>
  <si>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</si>
  <si>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</si>
  <si>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</si>
  <si>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</si>
  <si>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</si>
  <si>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</si>
  <si>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</si>
  <si>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</si>
  <si>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</si>
  <si>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</si>
  <si>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</si>
  <si>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</si>
  <si>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</si>
  <si>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</si>
  <si>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</si>
  <si>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</si>
  <si>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</si>
  <si>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</si>
  <si>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</si>
  <si>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</si>
  <si>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</si>
  <si>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</si>
  <si>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</si>
  <si>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</si>
  <si>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</si>
  <si>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</si>
  <si>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</si>
  <si>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</si>
  <si>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</si>
  <si>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</si>
  <si>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</si>
  <si>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</si>
  <si>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</si>
  <si>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</si>
  <si>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</si>
  <si>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</si>
  <si>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</si>
  <si>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</si>
  <si>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</si>
  <si>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</si>
  <si>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</si>
  <si>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</si>
  <si>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</si>
  <si>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</si>
  <si>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PY Revenue</t>
  </si>
  <si>
    <t>PM Revenue</t>
  </si>
  <si>
    <t>PM Year</t>
  </si>
  <si>
    <t>PM %∆</t>
  </si>
  <si>
    <r>
      <t>PY %</t>
    </r>
    <r>
      <rPr>
        <b/>
        <sz val="11"/>
        <color theme="1"/>
        <rFont val="Calibri"/>
        <family val="2"/>
      </rPr>
      <t>∆</t>
    </r>
  </si>
  <si>
    <t>REVENUETREND</t>
  </si>
  <si>
    <t xml:space="preserve">F
</t>
  </si>
  <si>
    <t>J</t>
  </si>
  <si>
    <t>M</t>
  </si>
  <si>
    <t>A</t>
  </si>
  <si>
    <t>S</t>
  </si>
  <si>
    <t>O</t>
  </si>
  <si>
    <t>N</t>
  </si>
  <si>
    <t>D</t>
  </si>
  <si>
    <t>STORE PERFORMANCE</t>
  </si>
  <si>
    <t>MoM %∆</t>
  </si>
  <si>
    <t>Rank</t>
  </si>
  <si>
    <t>STORE PERFORMANCE (SORTED)</t>
  </si>
  <si>
    <t>PRODUCT PERFORMANCE</t>
  </si>
  <si>
    <t>Product</t>
  </si>
  <si>
    <t>Rank (+)</t>
  </si>
  <si>
    <t>Rank (-)</t>
  </si>
  <si>
    <t>TOP PERFORMING PRODUCTS</t>
  </si>
  <si>
    <t>BOTTOM PERFORMING PRODUCTS</t>
  </si>
  <si>
    <r>
      <t xml:space="preserve">MoM Revenue </t>
    </r>
    <r>
      <rPr>
        <b/>
        <sz val="11"/>
        <color theme="1"/>
        <rFont val="Calibri"/>
        <family val="2"/>
      </rPr>
      <t>∆</t>
    </r>
  </si>
  <si>
    <t>% Selection</t>
  </si>
  <si>
    <t>How did</t>
  </si>
  <si>
    <t>Current Period:</t>
  </si>
  <si>
    <t>Month #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</si>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</sst>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#,##0\ &quot;€&quot;"/>
    <numFmt numFmtId="166" formatCode="0.0%"/>
    <numFmt numFmtId="167" formatCode=";;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4" tint="-0.249977111117893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0" borderId="0" xfId="0" applyFont="1"/>
    <xf numFmtId="165" fontId="0" fillId="0" borderId="0" xfId="0" applyNumberFormat="1"/>
    <xf numFmtId="9" fontId="0" fillId="0" borderId="0" xfId="1" applyFont="1"/>
    <xf numFmtId="0" fontId="1" fillId="7" borderId="0" xfId="0" applyFont="1" applyFill="1" applyAlignment="1">
      <alignment horizontal="center"/>
    </xf>
    <xf numFmtId="167" fontId="0" fillId="0" borderId="0" xfId="0" applyNumberFormat="1"/>
    <xf numFmtId="0" fontId="3" fillId="6" borderId="0" xfId="0" applyFont="1" applyFill="1" applyAlignment="1">
      <alignment horizontal="center"/>
    </xf>
    <xf numFmtId="166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/>
    <xf numFmtId="0" fontId="1" fillId="9" borderId="0" xfId="0" applyFont="1" applyFill="1"/>
    <xf numFmtId="0" fontId="8" fillId="0" borderId="0" xfId="0" applyFont="1"/>
    <xf numFmtId="0" fontId="6" fillId="8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font>
        <color theme="9" tint="-0.24994659260841701"/>
      </font>
    </dxf>
    <dxf>
      <font>
        <color rgb="FF9C0006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ont>
        <color theme="9" tint="-0.24994659260841701"/>
      </font>
    </dxf>
    <dxf>
      <font>
        <color rgb="FFFF000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A9496"/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Prep'!$K$3:$K$14</c:f>
              <c:strCache>
                <c:ptCount val="12"/>
                <c:pt idx="0">
                  <c:v>J</c:v>
                </c:pt>
                <c:pt idx="1">
                  <c:v>F
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Prep'!$L$3:$L$14</c:f>
              <c:numCache>
                <c:formatCode>#,##0\ "€"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490-4DDE-8653-A9EFDB89AD00}"/>
            </c:ext>
          </c:extLst>
        </c:ser>
        <c:ser>
          <c:idx val="1"/>
          <c:order val="1"/>
          <c:tx>
            <c:v>2021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Prep'!$K$3:$K$14</c:f>
              <c:strCache>
                <c:ptCount val="12"/>
                <c:pt idx="0">
                  <c:v>J</c:v>
                </c:pt>
                <c:pt idx="1">
                  <c:v>F
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Prep'!$M$3:$M$14</c:f>
              <c:numCache>
                <c:formatCode>#,##0\ "€"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 formatCode=";;;">
                  <c:v>0</c:v>
                </c:pt>
                <c:pt idx="8" formatCode=";;;">
                  <c:v>0</c:v>
                </c:pt>
                <c:pt idx="9" formatCode=";;;">
                  <c:v>0</c:v>
                </c:pt>
                <c:pt idx="10" formatCode=";;;">
                  <c:v>0</c:v>
                </c:pt>
                <c:pt idx="11" formatCode=";;;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490-4DDE-8653-A9EFDB89A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455103"/>
        <c:axId val="251455935"/>
      </c:lineChart>
      <c:catAx>
        <c:axId val="25145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3299890638670169"/>
              <c:y val="0.87851163945257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1455935"/>
        <c:crosses val="autoZero"/>
        <c:auto val="1"/>
        <c:lblAlgn val="ctr"/>
        <c:lblOffset val="100"/>
        <c:noMultiLvlLbl val="0"/>
      </c:catAx>
      <c:valAx>
        <c:axId val="251455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€&quot;#,##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1455103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Prep'!$W$3:$W$12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#,##0\ "€"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F-4FDD-9ADE-ABF48047E88C}"/>
            </c:ext>
          </c:extLst>
        </c:ser>
        <c:ser>
          <c:idx val="1"/>
          <c:order val="1"/>
          <c:tx>
            <c:strRef>
              <c:f>'Data Prep'!$AA$2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€&quot;\ 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Prep'!$AA$3:$AA$12</c:f>
              <c:numCache>
                <c:formatCode>#,##0\ "€"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E-4707-9D6C-35D6F6706A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0"/>
        <c:overlap val="100"/>
        <c:axId val="1475814671"/>
        <c:axId val="1475811759"/>
      </c:barChart>
      <c:catAx>
        <c:axId val="1475814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5811759"/>
        <c:crosses val="autoZero"/>
        <c:auto val="1"/>
        <c:lblAlgn val="ctr"/>
        <c:lblOffset val="100"/>
        <c:noMultiLvlLbl val="0"/>
      </c:catAx>
      <c:valAx>
        <c:axId val="147581175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0.17718885576272569"/>
              <c:y val="0.93861100695746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\ &quot;€&quot;" sourceLinked="1"/>
        <c:majorTickMark val="none"/>
        <c:minorTickMark val="none"/>
        <c:tickLblPos val="nextTo"/>
        <c:crossAx val="147581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80C-4276-9BC0-50B5186C309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0C-4276-9BC0-50B5186C309C}"/>
              </c:ext>
            </c:extLst>
          </c:dPt>
          <c:dLbls>
            <c:delete val="1"/>
          </c:dLbls>
          <c:cat>
            <c:numRef>
              <c:f>'Data Prep'!$O$3:$O$12</c:f>
              <c:numCache>
                <c:formatCode>General</c:formatCode>
                <c:ptCount val="10"/>
              </c:numCache>
            </c:numRef>
          </c:cat>
          <c:val>
            <c:numRef>
              <c:f>'Data Prep'!$S$3:$S$12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C-4276-9BC0-50B5186C309C}"/>
            </c:ext>
          </c:extLst>
        </c:ser>
        <c:ser>
          <c:idx val="1"/>
          <c:order val="1"/>
          <c:tx>
            <c:strRef>
              <c:f>'Data Prep'!$AB$2</c:f>
              <c:strCache>
                <c:ptCount val="1"/>
                <c:pt idx="0">
                  <c:v>% 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Prep'!$AB$3:$AB$12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4-87B1-4274-8DCC-B30C52A5EB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0"/>
        <c:overlap val="100"/>
        <c:axId val="1475814671"/>
        <c:axId val="1475811759"/>
      </c:barChart>
      <c:catAx>
        <c:axId val="1475814671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5811759"/>
        <c:crosses val="autoZero"/>
        <c:auto val="1"/>
        <c:lblAlgn val="ctr"/>
        <c:lblOffset val="100"/>
        <c:noMultiLvlLbl val="0"/>
      </c:catAx>
      <c:valAx>
        <c:axId val="147581175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MoM %∆</a:t>
                </a:r>
              </a:p>
            </c:rich>
          </c:tx>
          <c:layout>
            <c:manualLayout>
              <c:xMode val="edge"/>
              <c:yMode val="edge"/>
              <c:x val="0.33348144563637783"/>
              <c:y val="0.94654751489397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none"/>
        <c:minorTickMark val="none"/>
        <c:tickLblPos val="nextTo"/>
        <c:crossAx val="147581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17</xdr:row>
      <xdr:rowOff>161925</xdr:rowOff>
    </xdr:from>
    <xdr:to>
      <xdr:col>5</xdr:col>
      <xdr:colOff>76200</xdr:colOff>
      <xdr:row>22</xdr:row>
      <xdr:rowOff>38100</xdr:rowOff>
    </xdr:to>
    <xdr:sp macro="" textlink="'Data Prep'!$E$5">
      <xdr:nvSpPr>
        <xdr:cNvPr id="32" name="TextBox 31">
          <a:extLst>
            <a:ext uri="{FF2B5EF4-FFF2-40B4-BE49-F238E27FC236}">
              <a16:creationId xmlns:a16="http://schemas.microsoft.com/office/drawing/2014/main" id="{AFEE163E-1B09-7CD5-BAB4-21C528AD00B4}"/>
            </a:ext>
          </a:extLst>
        </xdr:cNvPr>
        <xdr:cNvSpPr txBox="1"/>
      </xdr:nvSpPr>
      <xdr:spPr>
        <a:xfrm>
          <a:off x="2714624" y="3152775"/>
          <a:ext cx="1009651" cy="7810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B05E69E-4298-4817-A748-4D5F366B89A8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34,0%</a:t>
          </a:fld>
          <a:endParaRPr lang="es-ES" sz="4800" b="1"/>
        </a:p>
      </xdr:txBody>
    </xdr:sp>
    <xdr:clientData/>
  </xdr:twoCellAnchor>
  <xdr:twoCellAnchor>
    <xdr:from>
      <xdr:col>1</xdr:col>
      <xdr:colOff>314324</xdr:colOff>
      <xdr:row>18</xdr:row>
      <xdr:rowOff>76200</xdr:rowOff>
    </xdr:from>
    <xdr:to>
      <xdr:col>2</xdr:col>
      <xdr:colOff>685799</xdr:colOff>
      <xdr:row>21</xdr:row>
      <xdr:rowOff>142875</xdr:rowOff>
    </xdr:to>
    <xdr:sp macro="" textlink="'Data Prep'!$E$6">
      <xdr:nvSpPr>
        <xdr:cNvPr id="15" name="TextBox 14">
          <a:extLst>
            <a:ext uri="{FF2B5EF4-FFF2-40B4-BE49-F238E27FC236}">
              <a16:creationId xmlns:a16="http://schemas.microsoft.com/office/drawing/2014/main" id="{541CBC7A-FD6C-1B52-D781-C92D05B2246E}"/>
            </a:ext>
          </a:extLst>
        </xdr:cNvPr>
        <xdr:cNvSpPr txBox="1"/>
      </xdr:nvSpPr>
      <xdr:spPr>
        <a:xfrm>
          <a:off x="523874" y="3248025"/>
          <a:ext cx="1247775" cy="6096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6FE3D42-E111-48C9-B8CB-52ED8A32EF51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3,6%</a:t>
          </a:fld>
          <a:endParaRPr lang="es-ES" sz="2400" b="1"/>
        </a:p>
      </xdr:txBody>
    </xdr:sp>
    <xdr:clientData/>
  </xdr:twoCellAnchor>
  <xdr:twoCellAnchor>
    <xdr:from>
      <xdr:col>1</xdr:col>
      <xdr:colOff>15240</xdr:colOff>
      <xdr:row>1</xdr:row>
      <xdr:rowOff>133351</xdr:rowOff>
    </xdr:from>
    <xdr:to>
      <xdr:col>12</xdr:col>
      <xdr:colOff>38100</xdr:colOff>
      <xdr:row>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E9E0D4-0E18-D5FB-1242-1FF39169709D}"/>
            </a:ext>
          </a:extLst>
        </xdr:cNvPr>
        <xdr:cNvSpPr txBox="1"/>
      </xdr:nvSpPr>
      <xdr:spPr>
        <a:xfrm>
          <a:off x="624840" y="314326"/>
          <a:ext cx="672846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3600" b="1">
              <a:solidFill>
                <a:schemeClr val="bg1">
                  <a:lumMod val="50000"/>
                </a:schemeClr>
              </a:solidFill>
            </a:rPr>
            <a:t>REGIONAL REVENUE DASHBOARD</a:t>
          </a:r>
        </a:p>
      </xdr:txBody>
    </xdr:sp>
    <xdr:clientData/>
  </xdr:twoCellAnchor>
  <xdr:twoCellAnchor>
    <xdr:from>
      <xdr:col>1</xdr:col>
      <xdr:colOff>68580</xdr:colOff>
      <xdr:row>7</xdr:row>
      <xdr:rowOff>159489</xdr:rowOff>
    </xdr:from>
    <xdr:to>
      <xdr:col>22</xdr:col>
      <xdr:colOff>230372</xdr:colOff>
      <xdr:row>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9D3A640-FF8C-60AC-D414-DA3C260BDD5C}"/>
            </a:ext>
          </a:extLst>
        </xdr:cNvPr>
        <xdr:cNvCxnSpPr/>
      </xdr:nvCxnSpPr>
      <xdr:spPr>
        <a:xfrm flipV="1">
          <a:off x="281231" y="1364512"/>
          <a:ext cx="14887885" cy="26581"/>
        </a:xfrm>
        <a:prstGeom prst="line">
          <a:avLst/>
        </a:prstGeom>
        <a:ln w="1270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178647</xdr:colOff>
      <xdr:row>8</xdr:row>
      <xdr:rowOff>136526</xdr:rowOff>
    </xdr:from>
    <xdr:to>
      <xdr:col>5</xdr:col>
      <xdr:colOff>101600</xdr:colOff>
      <xdr:row>11</xdr:row>
      <xdr:rowOff>20321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75B5D7-2458-4359-A43D-A74BDC3249AC}"/>
            </a:ext>
          </a:extLst>
        </xdr:cNvPr>
        <xdr:cNvSpPr txBox="1"/>
      </xdr:nvSpPr>
      <xdr:spPr>
        <a:xfrm>
          <a:off x="390314" y="1525059"/>
          <a:ext cx="3360419" cy="4425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ysClr val="windowText" lastClr="000000"/>
              </a:solidFill>
            </a:rPr>
            <a:t>This</a:t>
          </a:r>
          <a:r>
            <a:rPr lang="es-ES" sz="1600" b="1" baseline="0">
              <a:solidFill>
                <a:sysClr val="windowText" lastClr="000000"/>
              </a:solidFill>
            </a:rPr>
            <a:t> was the</a:t>
          </a:r>
          <a:r>
            <a:rPr lang="es-ES" sz="1600" b="1">
              <a:solidFill>
                <a:sysClr val="windowText" lastClr="000000"/>
              </a:solidFill>
            </a:rPr>
            <a:t> </a:t>
          </a:r>
          <a:r>
            <a:rPr lang="es-ES" sz="16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s-ES" sz="1600" b="1">
              <a:solidFill>
                <a:sysClr val="windowText" lastClr="000000"/>
              </a:solidFill>
            </a:rPr>
            <a:t>we drove in...</a:t>
          </a:r>
        </a:p>
      </xdr:txBody>
    </xdr:sp>
    <xdr:clientData/>
  </xdr:twoCellAnchor>
  <xdr:twoCellAnchor>
    <xdr:from>
      <xdr:col>1</xdr:col>
      <xdr:colOff>66675</xdr:colOff>
      <xdr:row>22</xdr:row>
      <xdr:rowOff>7833</xdr:rowOff>
    </xdr:from>
    <xdr:to>
      <xdr:col>2</xdr:col>
      <xdr:colOff>669925</xdr:colOff>
      <xdr:row>24</xdr:row>
      <xdr:rowOff>74507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C6FDBE-6E5B-4A16-A06A-5FF65D659017}"/>
            </a:ext>
          </a:extLst>
        </xdr:cNvPr>
        <xdr:cNvSpPr txBox="1"/>
      </xdr:nvSpPr>
      <xdr:spPr>
        <a:xfrm>
          <a:off x="276225" y="3903558"/>
          <a:ext cx="1479550" cy="42862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vs.</a:t>
          </a:r>
          <a:r>
            <a:rPr lang="es-ES" sz="1600" b="1" baseline="0">
              <a:solidFill>
                <a:schemeClr val="tx1"/>
              </a:solidFill>
            </a:rPr>
            <a:t> Last Month</a:t>
          </a:r>
          <a:endParaRPr lang="es-E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1099517</xdr:colOff>
      <xdr:row>21</xdr:row>
      <xdr:rowOff>180765</xdr:rowOff>
    </xdr:from>
    <xdr:to>
      <xdr:col>5</xdr:col>
      <xdr:colOff>147017</xdr:colOff>
      <xdr:row>24</xdr:row>
      <xdr:rowOff>61172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BFF4F3-22B9-4451-A872-A4EE33149688}"/>
            </a:ext>
          </a:extLst>
        </xdr:cNvPr>
        <xdr:cNvSpPr txBox="1"/>
      </xdr:nvSpPr>
      <xdr:spPr>
        <a:xfrm>
          <a:off x="2185367" y="3895515"/>
          <a:ext cx="1609725" cy="42333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 baseline="0">
              <a:solidFill>
                <a:schemeClr val="tx1"/>
              </a:solidFill>
            </a:rPr>
            <a:t>vs. Last Year</a:t>
          </a:r>
          <a:endParaRPr lang="es-E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60110</xdr:colOff>
      <xdr:row>24</xdr:row>
      <xdr:rowOff>128061</xdr:rowOff>
    </xdr:from>
    <xdr:to>
      <xdr:col>5</xdr:col>
      <xdr:colOff>364065</xdr:colOff>
      <xdr:row>27</xdr:row>
      <xdr:rowOff>8468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F2474D-7368-40F4-8EF3-224817BB5035}"/>
            </a:ext>
          </a:extLst>
        </xdr:cNvPr>
        <xdr:cNvSpPr txBox="1"/>
      </xdr:nvSpPr>
      <xdr:spPr>
        <a:xfrm>
          <a:off x="271777" y="4496861"/>
          <a:ext cx="3741421" cy="43920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ysClr val="windowText" lastClr="000000"/>
              </a:solidFill>
            </a:rPr>
            <a:t>...and the Revenue Trend in </a:t>
          </a:r>
          <a:r>
            <a:rPr lang="es-ES" sz="1600" b="1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s-ES" sz="1600" b="1">
              <a:solidFill>
                <a:sysClr val="windowText" lastClr="000000"/>
              </a:solidFill>
            </a:rPr>
            <a:t>vs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 2020</a:t>
          </a:r>
        </a:p>
      </xdr:txBody>
    </xdr:sp>
    <xdr:clientData/>
  </xdr:twoCellAnchor>
  <xdr:twoCellAnchor>
    <xdr:from>
      <xdr:col>5</xdr:col>
      <xdr:colOff>440267</xdr:colOff>
      <xdr:row>8</xdr:row>
      <xdr:rowOff>51860</xdr:rowOff>
    </xdr:from>
    <xdr:to>
      <xdr:col>17</xdr:col>
      <xdr:colOff>592666</xdr:colOff>
      <xdr:row>10</xdr:row>
      <xdr:rowOff>118534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10490B6-A71E-4CF4-A530-696274E5947C}"/>
            </a:ext>
          </a:extLst>
        </xdr:cNvPr>
        <xdr:cNvSpPr txBox="1"/>
      </xdr:nvSpPr>
      <xdr:spPr>
        <a:xfrm>
          <a:off x="3835400" y="1685927"/>
          <a:ext cx="7467599" cy="43920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This is how </a:t>
          </a:r>
          <a:r>
            <a:rPr lang="es-ES" sz="1600" b="1">
              <a:solidFill>
                <a:schemeClr val="accent1">
                  <a:lumMod val="75000"/>
                </a:schemeClr>
              </a:solidFill>
            </a:rPr>
            <a:t>our stores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 </a:t>
          </a:r>
          <a:r>
            <a:rPr lang="es-ES" sz="1600" b="1">
              <a:solidFill>
                <a:sysClr val="windowText" lastClr="000000"/>
              </a:solidFill>
            </a:rPr>
            <a:t>rank compared to 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other regions</a:t>
          </a:r>
        </a:p>
      </xdr:txBody>
    </xdr:sp>
    <xdr:clientData/>
  </xdr:twoCellAnchor>
  <xdr:twoCellAnchor>
    <xdr:from>
      <xdr:col>18</xdr:col>
      <xdr:colOff>0</xdr:colOff>
      <xdr:row>8</xdr:row>
      <xdr:rowOff>51013</xdr:rowOff>
    </xdr:from>
    <xdr:to>
      <xdr:col>23</xdr:col>
      <xdr:colOff>220133</xdr:colOff>
      <xdr:row>10</xdr:row>
      <xdr:rowOff>117687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1E4597-0D59-4E4B-A54D-0749B0C2EC0E}"/>
            </a:ext>
          </a:extLst>
        </xdr:cNvPr>
        <xdr:cNvSpPr txBox="1"/>
      </xdr:nvSpPr>
      <xdr:spPr>
        <a:xfrm>
          <a:off x="11328400" y="1439546"/>
          <a:ext cx="4411133" cy="43920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Where these products </a:t>
          </a:r>
          <a:r>
            <a:rPr lang="es-ES" sz="1600" b="1">
              <a:solidFill>
                <a:schemeClr val="accent6"/>
              </a:solidFill>
            </a:rPr>
            <a:t>drove growth</a:t>
          </a:r>
          <a:r>
            <a:rPr lang="es-ES" sz="1600" b="1">
              <a:solidFill>
                <a:schemeClr val="bg1">
                  <a:lumMod val="50000"/>
                </a:schemeClr>
              </a:solidFill>
            </a:rPr>
            <a:t>...</a:t>
          </a:r>
        </a:p>
      </xdr:txBody>
    </xdr:sp>
    <xdr:clientData/>
  </xdr:twoCellAnchor>
  <xdr:twoCellAnchor>
    <xdr:from>
      <xdr:col>17</xdr:col>
      <xdr:colOff>516466</xdr:colOff>
      <xdr:row>22</xdr:row>
      <xdr:rowOff>137372</xdr:rowOff>
    </xdr:from>
    <xdr:to>
      <xdr:col>23</xdr:col>
      <xdr:colOff>143933</xdr:colOff>
      <xdr:row>25</xdr:row>
      <xdr:rowOff>17779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6FE9AF3-9D83-490C-A62F-374FB5D0D97D}"/>
            </a:ext>
          </a:extLst>
        </xdr:cNvPr>
        <xdr:cNvSpPr txBox="1"/>
      </xdr:nvSpPr>
      <xdr:spPr>
        <a:xfrm>
          <a:off x="11235266" y="4133639"/>
          <a:ext cx="4428067" cy="43920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 b="1">
              <a:solidFill>
                <a:schemeClr val="tx1"/>
              </a:solidFill>
            </a:rPr>
            <a:t>...</a:t>
          </a:r>
          <a:r>
            <a:rPr lang="es-ES" sz="1600" b="1" baseline="0">
              <a:solidFill>
                <a:schemeClr val="tx1"/>
              </a:solidFill>
            </a:rPr>
            <a:t> and these products </a:t>
          </a:r>
          <a:r>
            <a:rPr lang="es-ES" sz="1600" b="1" baseline="0">
              <a:solidFill>
                <a:srgbClr val="FF0000"/>
              </a:solidFill>
            </a:rPr>
            <a:t>caused losses</a:t>
          </a:r>
          <a:endParaRPr lang="es-E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169333</xdr:colOff>
      <xdr:row>10</xdr:row>
      <xdr:rowOff>59267</xdr:rowOff>
    </xdr:from>
    <xdr:to>
      <xdr:col>4</xdr:col>
      <xdr:colOff>592667</xdr:colOff>
      <xdr:row>16</xdr:row>
      <xdr:rowOff>169333</xdr:rowOff>
    </xdr:to>
    <xdr:sp macro="" textlink="'Data Prep'!$E$2">
      <xdr:nvSpPr>
        <xdr:cNvPr id="21" name="TextBox 20">
          <a:extLst>
            <a:ext uri="{FF2B5EF4-FFF2-40B4-BE49-F238E27FC236}">
              <a16:creationId xmlns:a16="http://schemas.microsoft.com/office/drawing/2014/main" id="{45E1EC15-6349-4141-B9A5-1B295D4890A9}"/>
            </a:ext>
          </a:extLst>
        </xdr:cNvPr>
        <xdr:cNvSpPr txBox="1"/>
      </xdr:nvSpPr>
      <xdr:spPr>
        <a:xfrm>
          <a:off x="381000" y="1820334"/>
          <a:ext cx="3251200" cy="12276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AC16280-6B4D-480C-AE48-5BBCB073352D}" type="TxLink">
            <a:rPr lang="en-US" sz="6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94.953 €</a:t>
          </a:fld>
          <a:endParaRPr lang="es-ES" sz="16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143933</xdr:colOff>
      <xdr:row>16</xdr:row>
      <xdr:rowOff>160867</xdr:rowOff>
    </xdr:from>
    <xdr:to>
      <xdr:col>4</xdr:col>
      <xdr:colOff>592667</xdr:colOff>
      <xdr:row>16</xdr:row>
      <xdr:rowOff>160867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0B536E3-E84C-6D9E-D3A2-97F0F0400A66}"/>
            </a:ext>
          </a:extLst>
        </xdr:cNvPr>
        <xdr:cNvCxnSpPr/>
      </xdr:nvCxnSpPr>
      <xdr:spPr>
        <a:xfrm>
          <a:off x="355600" y="3285067"/>
          <a:ext cx="3022600" cy="0"/>
        </a:xfrm>
        <a:prstGeom prst="line">
          <a:avLst/>
        </a:prstGeom>
        <a:ln w="1270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958850</xdr:colOff>
      <xdr:row>16</xdr:row>
      <xdr:rowOff>159808</xdr:rowOff>
    </xdr:from>
    <xdr:to>
      <xdr:col>2</xdr:col>
      <xdr:colOff>958850</xdr:colOff>
      <xdr:row>23</xdr:row>
      <xdr:rowOff>49741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B720921-1A21-EE40-A62F-1397A01C34B3}"/>
            </a:ext>
          </a:extLst>
        </xdr:cNvPr>
        <xdr:cNvCxnSpPr/>
      </xdr:nvCxnSpPr>
      <xdr:spPr>
        <a:xfrm>
          <a:off x="2044700" y="2969683"/>
          <a:ext cx="0" cy="1156758"/>
        </a:xfrm>
        <a:prstGeom prst="line">
          <a:avLst/>
        </a:prstGeom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93133</xdr:rowOff>
    </xdr:from>
    <xdr:to>
      <xdr:col>5</xdr:col>
      <xdr:colOff>152400</xdr:colOff>
      <xdr:row>36</xdr:row>
      <xdr:rowOff>13783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3A13702-002D-4126-A947-9F5C27F80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448734</xdr:colOff>
      <xdr:row>10</xdr:row>
      <xdr:rowOff>42333</xdr:rowOff>
    </xdr:from>
    <xdr:to>
      <xdr:col>13</xdr:col>
      <xdr:colOff>531089</xdr:colOff>
      <xdr:row>36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28DAC52-77B3-4436-9339-76A4EA3AE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199875</xdr:colOff>
      <xdr:row>10</xdr:row>
      <xdr:rowOff>42332</xdr:rowOff>
    </xdr:from>
    <xdr:to>
      <xdr:col>18</xdr:col>
      <xdr:colOff>50800</xdr:colOff>
      <xdr:row>35</xdr:row>
      <xdr:rowOff>186266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94748E2F-5BFD-4746-8C96-C4C08A739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25400</xdr:colOff>
      <xdr:row>12</xdr:row>
      <xdr:rowOff>0</xdr:rowOff>
    </xdr:from>
    <xdr:to>
      <xdr:col>22</xdr:col>
      <xdr:colOff>0</xdr:colOff>
      <xdr:row>12</xdr:row>
      <xdr:rowOff>8467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7F3CADB-B7B1-2CBE-8E06-EFFC2F441708}"/>
            </a:ext>
          </a:extLst>
        </xdr:cNvPr>
        <xdr:cNvCxnSpPr/>
      </xdr:nvCxnSpPr>
      <xdr:spPr>
        <a:xfrm>
          <a:off x="11954933" y="2133600"/>
          <a:ext cx="2794000" cy="8467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</xdr:colOff>
      <xdr:row>18</xdr:row>
      <xdr:rowOff>0</xdr:rowOff>
    </xdr:from>
    <xdr:to>
      <xdr:col>22</xdr:col>
      <xdr:colOff>0</xdr:colOff>
      <xdr:row>18</xdr:row>
      <xdr:rowOff>8467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6FE845B-EAF4-4463-9373-DF805C8413D6}"/>
            </a:ext>
          </a:extLst>
        </xdr:cNvPr>
        <xdr:cNvCxnSpPr/>
      </xdr:nvCxnSpPr>
      <xdr:spPr>
        <a:xfrm>
          <a:off x="13665200" y="3251200"/>
          <a:ext cx="1083733" cy="8467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26</xdr:row>
      <xdr:rowOff>0</xdr:rowOff>
    </xdr:from>
    <xdr:to>
      <xdr:col>22</xdr:col>
      <xdr:colOff>0</xdr:colOff>
      <xdr:row>26</xdr:row>
      <xdr:rowOff>8467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3483679-AD3B-4194-A35E-950B7D378877}"/>
            </a:ext>
          </a:extLst>
        </xdr:cNvPr>
        <xdr:cNvCxnSpPr/>
      </xdr:nvCxnSpPr>
      <xdr:spPr>
        <a:xfrm>
          <a:off x="11954933" y="2133600"/>
          <a:ext cx="2794000" cy="8467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</xdr:colOff>
      <xdr:row>32</xdr:row>
      <xdr:rowOff>0</xdr:rowOff>
    </xdr:from>
    <xdr:to>
      <xdr:col>22</xdr:col>
      <xdr:colOff>0</xdr:colOff>
      <xdr:row>32</xdr:row>
      <xdr:rowOff>8467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81765BC-F4FC-4334-95AE-A9DDD290C681}"/>
            </a:ext>
          </a:extLst>
        </xdr:cNvPr>
        <xdr:cNvCxnSpPr/>
      </xdr:nvCxnSpPr>
      <xdr:spPr>
        <a:xfrm>
          <a:off x="13665200" y="3251200"/>
          <a:ext cx="1083733" cy="8467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384920</xdr:colOff>
      <xdr:row>2</xdr:row>
      <xdr:rowOff>68128</xdr:rowOff>
    </xdr:from>
    <xdr:to>
      <xdr:col>21</xdr:col>
      <xdr:colOff>940205</xdr:colOff>
      <xdr:row>6</xdr:row>
      <xdr:rowOff>249733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E13D08-38AD-6143-123D-D40BDBDF1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2920" y="195128"/>
          <a:ext cx="2426418" cy="9266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A1F23-8F71-49C2-A50F-A90ABDEC006A}" name="Data" displayName="Data" ref="A1:J4266" totalsRowShown="0" headerRowDxfId="4">
  <autoFilter ref="A1:J4266" xr:uid="{18CA1F23-8F71-49C2-A50F-A90ABDEC006A}"/>
  <tableColumns count="10">
    <tableColumn id="1" xr3:uid="{6545149E-FEBB-4751-9FA9-238A5C753682}" name="Year"/>
    <tableColumn id="2" xr3:uid="{631E9DD6-FC2D-4106-81E5-F5A0BA73D872}" name="Month"/>
    <tableColumn id="3" xr3:uid="{BDD976C6-1A06-456B-AEF7-17D6AC4BBC49}" name="Store Name"/>
    <tableColumn id="4" xr3:uid="{B7A73B37-38E4-4600-BA0A-7A85AB173F2C}" name="Region"/>
    <tableColumn id="5" xr3:uid="{46209A38-6ECA-4EF1-A6FA-4542175D811D}" name="Store Type"/>
    <tableColumn id="6" xr3:uid="{DFBD095F-96DA-4A18-9319-A0F97E5CE554}" name="Product Name"/>
    <tableColumn id="7" xr3:uid="{6D942974-53E9-4FEC-833A-B95C5809DAA4}" name="Product Category"/>
    <tableColumn id="8" xr3:uid="{B8600164-289C-4786-A480-377DA536D34C}" name="Units Sold"/>
    <tableColumn id="9" xr3:uid="{202D158D-4235-4546-929C-CFA26700D2B1}" name="Revenue" dataDxfId="3"/>
    <tableColumn id="10" xr3:uid="{26605A37-EAB8-4CA4-A25C-58D75E8EC24D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2C0F-7C08-41BF-A19B-9A1DAA0476BC}">
  <sheetPr>
    <tabColor theme="4" tint="0.59999389629810485"/>
  </sheetPr>
  <dimension ref="B1:V33"/>
  <sheetViews>
    <sheetView showGridLines="0" showRowColHeaders="0" tabSelected="1" zoomScale="90" zoomScaleNormal="90" workbookViewId="0">
      <selection activeCell="V13" sqref="V13"/>
    </sheetView>
  </sheetViews>
  <sheetFormatPr defaultRowHeight="14.4" x14ac:dyDescent="0.3"/>
  <cols>
    <col min="1" max="1" width="3.109375" customWidth="1"/>
    <col min="2" max="2" width="12.77734375" customWidth="1"/>
    <col min="3" max="3" width="19.5546875" bestFit="1" customWidth="1"/>
    <col min="15" max="15" width="5.33203125" customWidth="1"/>
    <col min="20" max="20" width="16.21875" customWidth="1"/>
    <col min="21" max="21" width="11.109375" customWidth="1"/>
    <col min="22" max="22" width="16" bestFit="1" customWidth="1"/>
  </cols>
  <sheetData>
    <row r="1" spans="2:22" ht="10.199999999999999" customHeight="1" x14ac:dyDescent="0.3"/>
    <row r="2" spans="2:22" hidden="1" x14ac:dyDescent="0.3"/>
    <row r="7" spans="2:22" ht="25.8" x14ac:dyDescent="0.5">
      <c r="B7" s="16" t="s">
        <v>110</v>
      </c>
      <c r="C7" s="19" t="s">
        <v>48</v>
      </c>
      <c r="D7" s="16" t="s">
        <v>125</v>
      </c>
      <c r="F7" s="18" t="str">
        <f>'Data Prep'!B13&amp;"?"</f>
        <v>July 2021?</v>
      </c>
    </row>
    <row r="12" spans="2:22" x14ac:dyDescent="0.3">
      <c r="T12" s="6" t="s">
        <v>103</v>
      </c>
      <c r="U12" s="13" t="s">
        <v>46</v>
      </c>
      <c r="V12" s="13" t="s">
        <v>108</v>
      </c>
    </row>
    <row r="13" spans="2:22" x14ac:dyDescent="0.3">
      <c r="T13" t="s">
        <v>26</v>
      </c>
      <c r="U13" s="14">
        <v>3418.2899999999995</v>
      </c>
      <c r="V13" s="14">
        <v>1679.1599999999996</v>
      </c>
    </row>
    <row r="14" spans="2:22" x14ac:dyDescent="0.3">
      <c r="T14" t="s">
        <v>28</v>
      </c>
      <c r="U14" s="14">
        <v>2413.39</v>
      </c>
      <c r="V14" s="14">
        <v>1409.06</v>
      </c>
    </row>
    <row r="15" spans="2:22" x14ac:dyDescent="0.3">
      <c r="T15" t="s">
        <v>10</v>
      </c>
      <c r="U15" s="14">
        <v>3058.4699999999993</v>
      </c>
      <c r="V15" s="14">
        <v>1379.3099999999997</v>
      </c>
    </row>
    <row r="16" spans="2:22" x14ac:dyDescent="0.3">
      <c r="T16" t="s">
        <v>23</v>
      </c>
      <c r="U16" s="14">
        <v>2105.1899999999996</v>
      </c>
      <c r="V16" s="14">
        <v>1377.4699999999998</v>
      </c>
    </row>
    <row r="17" spans="2:22" x14ac:dyDescent="0.3">
      <c r="T17" t="s">
        <v>31</v>
      </c>
      <c r="U17" s="14">
        <v>3338.33</v>
      </c>
      <c r="V17" s="14">
        <v>1059.4700000000003</v>
      </c>
    </row>
    <row r="18" spans="2:22" x14ac:dyDescent="0.3">
      <c r="D18" s="20"/>
      <c r="T18" t="s">
        <v>43</v>
      </c>
      <c r="U18" s="14">
        <v>2078.0099999999998</v>
      </c>
      <c r="V18" s="14">
        <v>923.56</v>
      </c>
    </row>
    <row r="19" spans="2:22" ht="14.4" customHeight="1" x14ac:dyDescent="0.3">
      <c r="B19" s="21" t="str">
        <f>IF('Data Prep'!E6&gt;0,"↑","↓")</f>
        <v>↑</v>
      </c>
      <c r="D19" s="21" t="str">
        <f>IF('Data Prep'!E5&gt;0,"↑    ","↓")</f>
        <v xml:space="preserve">↑    </v>
      </c>
      <c r="V19" s="15">
        <f>SUM(V13:V18)</f>
        <v>7828.0299999999988</v>
      </c>
    </row>
    <row r="20" spans="2:22" ht="14.4" customHeight="1" x14ac:dyDescent="0.3">
      <c r="B20" s="21"/>
      <c r="D20" s="21"/>
    </row>
    <row r="21" spans="2:22" ht="14.4" customHeight="1" x14ac:dyDescent="0.3">
      <c r="B21" s="21"/>
      <c r="D21" s="21"/>
    </row>
    <row r="22" spans="2:22" ht="14.4" customHeight="1" x14ac:dyDescent="0.3">
      <c r="B22" s="21"/>
      <c r="D22" s="21"/>
    </row>
    <row r="26" spans="2:22" x14ac:dyDescent="0.3">
      <c r="T26" s="6" t="s">
        <v>103</v>
      </c>
      <c r="U26" s="13" t="s">
        <v>46</v>
      </c>
      <c r="V26" s="13" t="s">
        <v>108</v>
      </c>
    </row>
    <row r="27" spans="2:22" x14ac:dyDescent="0.3">
      <c r="T27" t="s">
        <v>13</v>
      </c>
      <c r="U27" s="14">
        <v>1551.03</v>
      </c>
      <c r="V27" s="14">
        <v>-1087.3200000000004</v>
      </c>
    </row>
    <row r="28" spans="2:22" x14ac:dyDescent="0.3">
      <c r="T28" t="s">
        <v>32</v>
      </c>
      <c r="U28" s="14">
        <v>4538.87</v>
      </c>
      <c r="V28" s="14">
        <v>-802.27000000000044</v>
      </c>
    </row>
    <row r="29" spans="2:22" x14ac:dyDescent="0.3">
      <c r="T29" t="s">
        <v>6</v>
      </c>
      <c r="U29" s="14">
        <v>4557.93</v>
      </c>
      <c r="V29" s="14">
        <v>-701.21999999999935</v>
      </c>
    </row>
    <row r="30" spans="2:22" x14ac:dyDescent="0.3">
      <c r="T30" t="s">
        <v>27</v>
      </c>
      <c r="U30" s="14">
        <v>1336.5300000000002</v>
      </c>
      <c r="V30" s="14">
        <v>-580.05999999999995</v>
      </c>
    </row>
    <row r="31" spans="2:22" x14ac:dyDescent="0.3">
      <c r="T31" t="s">
        <v>25</v>
      </c>
      <c r="U31" s="14">
        <v>1087.32</v>
      </c>
      <c r="V31" s="14">
        <v>-383.76</v>
      </c>
    </row>
    <row r="32" spans="2:22" x14ac:dyDescent="0.3">
      <c r="T32" t="s">
        <v>15</v>
      </c>
      <c r="U32" s="14">
        <v>11517.119999999999</v>
      </c>
      <c r="V32" s="14">
        <v>-199.95000000000073</v>
      </c>
    </row>
    <row r="33" spans="22:22" x14ac:dyDescent="0.3">
      <c r="V33" s="15">
        <f>SUM(V27:V32)</f>
        <v>-3754.5800000000008</v>
      </c>
    </row>
  </sheetData>
  <sheetProtection selectLockedCells="1"/>
  <mergeCells count="2">
    <mergeCell ref="D19:D22"/>
    <mergeCell ref="B19:B22"/>
  </mergeCells>
  <conditionalFormatting sqref="V13:V18">
    <cfRule type="colorScale" priority="9">
      <colorScale>
        <cfvo type="min"/>
        <cfvo type="max"/>
        <color theme="0"/>
        <color theme="9" tint="0.39997558519241921"/>
      </colorScale>
    </cfRule>
  </conditionalFormatting>
  <conditionalFormatting sqref="V27:V32">
    <cfRule type="colorScale" priority="7">
      <colorScale>
        <cfvo type="min"/>
        <cfvo type="max"/>
        <color rgb="FFFA9496"/>
        <color theme="0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97826FD7-1E9A-4B0F-8509-E5A847A9EAD7}">
            <xm:f>'Data Prep'!$E$6&lt;0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14:cfRule type="expression" priority="6" id="{741D1CBD-4363-4827-B214-762E478D9A76}">
            <xm:f>'Data Prep'!$E$6&gt;0</xm:f>
            <x14:dxf>
              <font>
                <color theme="9" tint="-0.24994659260841701"/>
              </font>
              <fill>
                <patternFill patternType="none">
                  <bgColor auto="1"/>
                </patternFill>
              </fill>
            </x14:dxf>
          </x14:cfRule>
          <xm:sqref>B19:B22</xm:sqref>
        </x14:conditionalFormatting>
        <x14:conditionalFormatting xmlns:xm="http://schemas.microsoft.com/office/excel/2006/main">
          <x14:cfRule type="expression" priority="1" id="{F184AB33-E816-47E8-9586-31B801F020B2}">
            <xm:f>'Data Prep'!$E$5&lt;0</xm:f>
            <x14:dxf>
              <font>
                <color rgb="FFFF0000"/>
              </font>
            </x14:dxf>
          </x14:cfRule>
          <x14:cfRule type="expression" priority="2" id="{823B7534-C765-4426-ADC9-3D4314E53B59}">
            <xm:f>'Data Prep'!$E$5&gt;0</xm:f>
            <x14:dxf>
              <font>
                <color theme="9" tint="-0.24994659260841701"/>
              </font>
            </x14:dxf>
          </x14:cfRule>
          <xm:sqref>D19:D22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8ED057-4A37-440B-A23D-1D7D505E3BAD}">
          <x14:formula1>
            <xm:f>'Data Prep'!$A$3:$A$5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topLeftCell="A4231" zoomScaleNormal="100" workbookViewId="0">
      <selection activeCell="I4269" sqref="I4269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11614.690000000002</v>
      </c>
    </row>
    <row r="29" spans="1:5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2064.44</v>
      </c>
    </row>
    <row r="30" spans="1:5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389.74</v>
      </c>
    </row>
    <row r="31" spans="1:5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3356.0000000000005</v>
      </c>
    </row>
    <row r="32" spans="1:5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4404.9199999999992</v>
      </c>
    </row>
    <row r="33" spans="1:5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7264.0700000000006</v>
      </c>
    </row>
    <row r="34" spans="1:5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1870.42</v>
      </c>
    </row>
    <row r="35" spans="1:5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2643.4500000000003</v>
      </c>
    </row>
    <row r="36" spans="1:5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1386.08</v>
      </c>
    </row>
    <row r="37" spans="1:5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2967.7599999999998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5912.5400000000009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2679.7799999999997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1759.0099999999998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4014.55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6524.26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13971.98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4241.28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2660.5299999999997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7464.3899999999994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7763.5800000000008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5B4-05D2-49C6-B246-152B0AE5A216}">
  <dimension ref="A1:AN36"/>
  <sheetViews>
    <sheetView zoomScale="86" zoomScaleNormal="86" workbookViewId="0">
      <selection activeCell="H3" sqref="H3"/>
    </sheetView>
  </sheetViews>
  <sheetFormatPr defaultRowHeight="14.4" x14ac:dyDescent="0.3"/>
  <cols>
    <col min="1" max="1" width="18.21875" customWidth="1"/>
    <col min="2" max="2" width="14.77734375" customWidth="1"/>
    <col min="4" max="4" width="14.21875" customWidth="1"/>
    <col min="16" max="16" width="15.88671875" customWidth="1"/>
    <col min="18" max="18" width="11.77734375" customWidth="1"/>
    <col min="23" max="23" width="13" bestFit="1" customWidth="1"/>
    <col min="24" max="24" width="13" customWidth="1"/>
    <col min="27" max="27" width="9.5546875" bestFit="1" customWidth="1"/>
    <col min="28" max="28" width="11.109375" bestFit="1" customWidth="1"/>
    <col min="30" max="30" width="17.109375" bestFit="1" customWidth="1"/>
    <col min="32" max="32" width="12.21875" bestFit="1" customWidth="1"/>
    <col min="33" max="33" width="9" bestFit="1" customWidth="1"/>
    <col min="38" max="38" width="16" customWidth="1"/>
    <col min="40" max="40" width="9" bestFit="1" customWidth="1"/>
  </cols>
  <sheetData>
    <row r="1" spans="1:40" x14ac:dyDescent="0.3">
      <c r="A1" s="23" t="s">
        <v>75</v>
      </c>
      <c r="B1" s="23"/>
      <c r="D1" s="22" t="s">
        <v>82</v>
      </c>
      <c r="E1" s="22"/>
      <c r="J1" s="22" t="s">
        <v>89</v>
      </c>
      <c r="K1" s="22"/>
      <c r="L1" s="22"/>
      <c r="M1" s="22"/>
      <c r="P1" s="22" t="s">
        <v>98</v>
      </c>
      <c r="Q1" s="22"/>
      <c r="R1" s="22"/>
      <c r="S1" s="22"/>
      <c r="T1" s="22"/>
      <c r="V1" s="22" t="s">
        <v>101</v>
      </c>
      <c r="W1" s="22"/>
      <c r="X1" s="22"/>
      <c r="Y1" s="22"/>
      <c r="Z1" s="22"/>
      <c r="AA1" s="11"/>
      <c r="AB1" s="11"/>
      <c r="AD1" s="22" t="s">
        <v>102</v>
      </c>
      <c r="AE1" s="22"/>
      <c r="AF1" s="22"/>
      <c r="AG1" s="22"/>
      <c r="AH1" s="22"/>
      <c r="AI1" s="22"/>
      <c r="AK1" s="22" t="s">
        <v>106</v>
      </c>
      <c r="AL1" s="22"/>
      <c r="AM1" s="22"/>
      <c r="AN1" s="22"/>
    </row>
    <row r="2" spans="1:40" x14ac:dyDescent="0.3">
      <c r="A2" s="5" t="s">
        <v>52</v>
      </c>
      <c r="B2" s="5" t="s">
        <v>76</v>
      </c>
      <c r="D2" s="6" t="s">
        <v>83</v>
      </c>
      <c r="E2" s="7">
        <f>SUMIFS(Data[Revenue],Data[Region],Region,Data[Month],CurMonth,Data[Year],CurYear)</f>
        <v>94953.469999999958</v>
      </c>
      <c r="J2" s="9" t="s">
        <v>49</v>
      </c>
      <c r="K2" s="9" t="s">
        <v>49</v>
      </c>
      <c r="L2" s="9">
        <f>PrevYear</f>
        <v>2020</v>
      </c>
      <c r="M2" s="9">
        <f>CurYear</f>
        <v>2021</v>
      </c>
      <c r="P2" s="9" t="s">
        <v>63</v>
      </c>
      <c r="Q2" s="9" t="s">
        <v>46</v>
      </c>
      <c r="R2" s="9" t="s">
        <v>85</v>
      </c>
      <c r="S2" s="9" t="s">
        <v>99</v>
      </c>
      <c r="T2" s="9" t="s">
        <v>100</v>
      </c>
      <c r="V2" s="9" t="s">
        <v>100</v>
      </c>
      <c r="W2" s="9" t="s">
        <v>63</v>
      </c>
      <c r="X2" s="9" t="s">
        <v>52</v>
      </c>
      <c r="Y2" s="9" t="s">
        <v>46</v>
      </c>
      <c r="Z2" s="9" t="s">
        <v>99</v>
      </c>
      <c r="AA2" s="9" t="s">
        <v>76</v>
      </c>
      <c r="AB2" s="9" t="s">
        <v>109</v>
      </c>
      <c r="AD2" s="9" t="s">
        <v>103</v>
      </c>
      <c r="AE2" s="9" t="s">
        <v>46</v>
      </c>
      <c r="AF2" s="9" t="s">
        <v>85</v>
      </c>
      <c r="AG2" s="9" t="s">
        <v>99</v>
      </c>
      <c r="AH2" s="9" t="s">
        <v>104</v>
      </c>
      <c r="AI2" s="9" t="s">
        <v>105</v>
      </c>
      <c r="AK2" s="9" t="s">
        <v>100</v>
      </c>
      <c r="AL2" s="9" t="s">
        <v>103</v>
      </c>
      <c r="AM2" s="9" t="s">
        <v>46</v>
      </c>
      <c r="AN2" s="9" t="s">
        <v>99</v>
      </c>
    </row>
    <row r="3" spans="1:40" x14ac:dyDescent="0.3">
      <c r="A3" t="s">
        <v>4</v>
      </c>
      <c r="B3" t="str">
        <f>Dashboard!C7</f>
        <v>Chicago</v>
      </c>
      <c r="D3" s="6" t="s">
        <v>84</v>
      </c>
      <c r="E3" s="7">
        <f>SUMIFS(Data[Revenue],Data[Region],Region,Data[Month],CurMonth,Data[Year],PrevYear)</f>
        <v>70835.710000000006</v>
      </c>
      <c r="J3">
        <v>1</v>
      </c>
      <c r="K3" t="s">
        <v>91</v>
      </c>
      <c r="L3" s="7">
        <f>SUMIFS(Data[Revenue],Data[Region],Region,Data[Month],$J3,Data[Year],L$2)</f>
        <v>63051.609999999993</v>
      </c>
      <c r="M3" s="7">
        <f>SUMIFS(Data[Revenue],Data[Region],Region,Data[Month],$J3,Data[Year],M$2)</f>
        <v>81321.820000000022</v>
      </c>
      <c r="P3" t="s">
        <v>59</v>
      </c>
      <c r="Q3" s="7">
        <f>SUMIFS(Data[Revenue],Data[Store Name],P3,Data[Month],CurMonth,Data[Year],CurYear)</f>
        <v>12894.550000000001</v>
      </c>
      <c r="R3" s="7">
        <f>SUMIFS(Data[Revenue],Data[Store Name],P3,Data[Month],PrevMonth,Data[Year],PMYear)</f>
        <v>9291.49</v>
      </c>
      <c r="S3" s="8">
        <f t="shared" ref="S3:S12" si="0">Q3/R3-1</f>
        <v>0.38778064659166622</v>
      </c>
      <c r="T3">
        <f>_xlfn.RANK.AVG(Q3,$Q$3:$Q$12,1)</f>
        <v>1</v>
      </c>
      <c r="V3">
        <v>1</v>
      </c>
      <c r="W3" t="str">
        <f>INDEX($P$3:$S$12,MATCH($V3,$T$3:$T$12,0),MATCH(W$2,$P$2:$S$2,0))</f>
        <v>Hollywood</v>
      </c>
      <c r="X3" t="str">
        <f>VLOOKUP(W3,Data!C:D,2,0)</f>
        <v>Los Angeles</v>
      </c>
      <c r="Y3" s="7">
        <f t="shared" ref="Y3:Z3" si="1">INDEX($P$3:$S$12,MATCH($V3,$T$3:$T$12,0),MATCH(Y$2,$P$2:$S$2,0))</f>
        <v>12894.550000000001</v>
      </c>
      <c r="Z3" s="8">
        <f t="shared" si="1"/>
        <v>0.38778064659166622</v>
      </c>
      <c r="AA3" s="7">
        <f t="shared" ref="AA3:AA12" si="2">IF($X3=Region,Y3,0)</f>
        <v>0</v>
      </c>
      <c r="AB3" s="8">
        <f t="shared" ref="AB3:AB12" si="3">IF($X3=Region,Z3,0)</f>
        <v>0</v>
      </c>
      <c r="AD3" t="s">
        <v>13</v>
      </c>
      <c r="AE3" s="7">
        <f>SUMIFS(Data[Revenue],Data[Region],Region,Data[Month],CurMonth,Data[Year],CurYear,Data[Product Name],'Data Prep'!$AD3)</f>
        <v>3965.52</v>
      </c>
      <c r="AF3" s="7">
        <f>SUMIFS(Data[Revenue],Data[Region],Region,Data[Month],PrevMonth,Data[Year],PMYear,Data[Product Name],'Data Prep'!$AD3)</f>
        <v>6300.0599999999995</v>
      </c>
      <c r="AG3" s="7">
        <f>AE3-AF3</f>
        <v>-2334.5399999999995</v>
      </c>
      <c r="AH3">
        <f>_xlfn.RANK.AVG(AG3,$AG$3:$AG$36,0)</f>
        <v>32</v>
      </c>
      <c r="AI3">
        <f>_xlfn.RANK.AVG(AG3,$AG$3:$AG$36,1)</f>
        <v>3</v>
      </c>
      <c r="AK3">
        <v>1</v>
      </c>
      <c r="AL3" t="str">
        <f>INDEX($AD$3:$AG$36,MATCH($AK3,$AH$3:$AH$36,0),MATCH(AL$2,$AD$2:$AG$2,0))</f>
        <v>Lego Bricks</v>
      </c>
      <c r="AM3" s="7">
        <f t="shared" ref="AM3:AN8" si="4">INDEX($AD$3:$AG$36,MATCH($AK3,$AH$3:$AH$36,0),MATCH(AM$2,$AD$2:$AG$2,0))</f>
        <v>19035.240000000002</v>
      </c>
      <c r="AN3" s="7">
        <f>INDEX($AD$3:$AG$36,MATCH($AK3,$AH$3:$AH$36,0),MATCH(AN$2,$AD$2:$AG$2,0))</f>
        <v>4718.8200000000033</v>
      </c>
    </row>
    <row r="4" spans="1:40" x14ac:dyDescent="0.3">
      <c r="A4" t="s">
        <v>5</v>
      </c>
      <c r="D4" s="6" t="s">
        <v>85</v>
      </c>
      <c r="E4" s="7">
        <f>SUMIFS(Data[Revenue],Data[Region],Region,Data[Month],PrevMonth,Data[Year],B12)</f>
        <v>91637.330000000016</v>
      </c>
      <c r="J4">
        <v>2</v>
      </c>
      <c r="K4" t="s">
        <v>90</v>
      </c>
      <c r="L4" s="7">
        <f>SUMIFS(Data[Revenue],Data[Region],Region,Data[Month],$J4,Data[Year],L$2)</f>
        <v>65298.220000000023</v>
      </c>
      <c r="M4" s="7">
        <f>SUMIFS(Data[Revenue],Data[Region],Region,Data[Month],$J4,Data[Year],M$2)</f>
        <v>87902.16</v>
      </c>
      <c r="P4" t="s">
        <v>56</v>
      </c>
      <c r="Q4" s="7">
        <f>SUMIFS(Data[Revenue],Data[Store Name],P4,Data[Month],CurMonth,Data[Year],CurYear)</f>
        <v>14836.320000000002</v>
      </c>
      <c r="R4" s="7">
        <f>SUMIFS(Data[Revenue],Data[Store Name],P4,Data[Month],PrevMonth,Data[Year],PMYear)</f>
        <v>11676.369999999999</v>
      </c>
      <c r="S4" s="8">
        <f t="shared" si="0"/>
        <v>0.27062777215864209</v>
      </c>
      <c r="T4">
        <f t="shared" ref="T4:T12" si="5">_xlfn.RANK.AVG(Q4,$Q$3:$Q$12,1)</f>
        <v>2</v>
      </c>
      <c r="V4">
        <v>2</v>
      </c>
      <c r="W4" t="str">
        <f t="shared" ref="W4:Z12" si="6">INDEX($P$3:$S$12,MATCH($V4,$T$3:$T$12,0),MATCH(W$2,$P$2:$S$2,0))</f>
        <v>Beverly Hills</v>
      </c>
      <c r="X4" t="str">
        <f>VLOOKUP(W4,Data!C:D,2,0)</f>
        <v>Los Angeles</v>
      </c>
      <c r="Y4" s="7">
        <f t="shared" si="6"/>
        <v>14836.320000000002</v>
      </c>
      <c r="Z4" s="8">
        <f t="shared" si="6"/>
        <v>0.27062777215864209</v>
      </c>
      <c r="AA4" s="7">
        <f t="shared" si="2"/>
        <v>0</v>
      </c>
      <c r="AB4" s="8">
        <f t="shared" si="3"/>
        <v>0</v>
      </c>
      <c r="AD4" t="s">
        <v>24</v>
      </c>
      <c r="AE4" s="7">
        <f>SUMIFS(Data[Revenue],Data[Region],Region,Data[Month],CurMonth,Data[Year],CurYear,Data[Product Name],'Data Prep'!AD4)</f>
        <v>5066.1000000000004</v>
      </c>
      <c r="AF4" s="7">
        <f>SUMIFS(Data[Revenue],Data[Region],Region,Data[Month],PrevMonth,Data[Year],PMYear,Data[Product Name],'Data Prep'!$AD4)</f>
        <v>3234.5099999999998</v>
      </c>
      <c r="AG4" s="7">
        <f t="shared" ref="AG4:AG36" si="7">AE4-AF4</f>
        <v>1831.5900000000006</v>
      </c>
      <c r="AH4">
        <f t="shared" ref="AH4:AH36" si="8">_xlfn.RANK.AVG(AG4,$AG$3:$AG$36,0)</f>
        <v>4</v>
      </c>
      <c r="AI4">
        <f t="shared" ref="AI4:AI36" si="9">_xlfn.RANK.AVG(AG4,$AG$3:$AG$36,1)</f>
        <v>31</v>
      </c>
      <c r="AK4">
        <v>2</v>
      </c>
      <c r="AL4" t="str">
        <f t="shared" ref="AL4:AL7" si="10">INDEX($AD$3:$AG$36,MATCH($AK4,$AH$3:$AH$36,0),MATCH(AL$2,$AD$2:$AG$2,0))</f>
        <v>Etch A Sketch</v>
      </c>
      <c r="AM4" s="7">
        <f t="shared" si="4"/>
        <v>4407.8999999999996</v>
      </c>
      <c r="AN4" s="7">
        <f t="shared" si="4"/>
        <v>2896.62</v>
      </c>
    </row>
    <row r="5" spans="1:40" x14ac:dyDescent="0.3">
      <c r="A5" t="s">
        <v>48</v>
      </c>
      <c r="D5" s="6" t="s">
        <v>88</v>
      </c>
      <c r="E5" s="12">
        <f>E2/E3-1</f>
        <v>0.34047459960519832</v>
      </c>
      <c r="J5">
        <v>3</v>
      </c>
      <c r="K5" t="s">
        <v>92</v>
      </c>
      <c r="L5" s="7">
        <f>SUMIFS(Data[Revenue],Data[Region],Region,Data[Month],$J5,Data[Year],L$2)</f>
        <v>64161.95</v>
      </c>
      <c r="M5" s="7">
        <f>SUMIFS(Data[Revenue],Data[Region],Region,Data[Month],$J5,Data[Year],M$2)</f>
        <v>105385.7199999999</v>
      </c>
      <c r="P5" t="s">
        <v>54</v>
      </c>
      <c r="Q5" s="7">
        <f>SUMIFS(Data[Revenue],Data[Store Name],P5,Data[Month],CurMonth,Data[Year],CurYear)</f>
        <v>16131.78</v>
      </c>
      <c r="R5" s="7">
        <f>SUMIFS(Data[Revenue],Data[Store Name],P5,Data[Month],PrevMonth,Data[Year],PMYear)</f>
        <v>19646.239999999998</v>
      </c>
      <c r="S5" s="8">
        <f t="shared" si="0"/>
        <v>-0.1788871560156039</v>
      </c>
      <c r="T5">
        <f t="shared" si="5"/>
        <v>3</v>
      </c>
      <c r="V5">
        <v>3</v>
      </c>
      <c r="W5" t="str">
        <f t="shared" si="6"/>
        <v>Michigan Ave</v>
      </c>
      <c r="X5" t="str">
        <f>VLOOKUP(W5,Data!C:D,2,0)</f>
        <v>Chicago</v>
      </c>
      <c r="Y5" s="7">
        <f t="shared" si="6"/>
        <v>16131.78</v>
      </c>
      <c r="Z5" s="8">
        <f t="shared" si="6"/>
        <v>-0.1788871560156039</v>
      </c>
      <c r="AA5" s="7">
        <f t="shared" si="2"/>
        <v>16131.78</v>
      </c>
      <c r="AB5" s="8">
        <f t="shared" si="3"/>
        <v>-0.1788871560156039</v>
      </c>
      <c r="AD5" t="s">
        <v>18</v>
      </c>
      <c r="AE5" s="7">
        <f>SUMIFS(Data[Revenue],Data[Region],Region,Data[Month],CurMonth,Data[Year],CurYear,Data[Product Name],'Data Prep'!AD5)</f>
        <v>0</v>
      </c>
      <c r="AF5" s="7">
        <f>SUMIFS(Data[Revenue],Data[Region],Region,Data[Month],PrevMonth,Data[Year],PMYear,Data[Product Name],'Data Prep'!$AD5)</f>
        <v>64.95</v>
      </c>
      <c r="AG5" s="7">
        <f t="shared" si="7"/>
        <v>-64.95</v>
      </c>
      <c r="AH5">
        <f t="shared" si="8"/>
        <v>18</v>
      </c>
      <c r="AI5">
        <f t="shared" si="9"/>
        <v>17</v>
      </c>
      <c r="AK5">
        <v>3</v>
      </c>
      <c r="AL5" t="str">
        <f t="shared" si="10"/>
        <v>Nerf Gun</v>
      </c>
      <c r="AM5" s="7">
        <f t="shared" si="4"/>
        <v>5617.19</v>
      </c>
      <c r="AN5" s="7">
        <f t="shared" si="4"/>
        <v>2538.73</v>
      </c>
    </row>
    <row r="6" spans="1:40" x14ac:dyDescent="0.3">
      <c r="D6" s="6" t="s">
        <v>87</v>
      </c>
      <c r="E6" s="12">
        <f>E2/E4-1</f>
        <v>3.6187654092496357E-2</v>
      </c>
      <c r="J6">
        <v>4</v>
      </c>
      <c r="K6" t="s">
        <v>93</v>
      </c>
      <c r="L6" s="7">
        <f>SUMIFS(Data[Revenue],Data[Region],Region,Data[Month],$J6,Data[Year],L$2)</f>
        <v>80619.25999999998</v>
      </c>
      <c r="M6" s="7">
        <f>SUMIFS(Data[Revenue],Data[Region],Region,Data[Month],$J6,Data[Year],M$2)</f>
        <v>99650.11000000003</v>
      </c>
      <c r="P6" t="s">
        <v>55</v>
      </c>
      <c r="Q6" s="7">
        <f>SUMIFS(Data[Revenue],Data[Store Name],P6,Data[Month],CurMonth,Data[Year],CurYear)</f>
        <v>20890.14</v>
      </c>
      <c r="R6" s="7">
        <f>SUMIFS(Data[Revenue],Data[Store Name],P6,Data[Month],PrevMonth,Data[Year],PMYear)</f>
        <v>24100.490000000009</v>
      </c>
      <c r="S6" s="8">
        <f t="shared" si="0"/>
        <v>-0.13320683521372423</v>
      </c>
      <c r="T6">
        <f t="shared" si="5"/>
        <v>4</v>
      </c>
      <c r="V6">
        <v>4</v>
      </c>
      <c r="W6" t="str">
        <f t="shared" si="6"/>
        <v>Millenium</v>
      </c>
      <c r="X6" t="str">
        <f>VLOOKUP(W6,Data!C:D,2,0)</f>
        <v>Chicago</v>
      </c>
      <c r="Y6" s="7">
        <f t="shared" si="6"/>
        <v>20890.14</v>
      </c>
      <c r="Z6" s="8">
        <f t="shared" si="6"/>
        <v>-0.13320683521372423</v>
      </c>
      <c r="AA6" s="7">
        <f t="shared" si="2"/>
        <v>20890.14</v>
      </c>
      <c r="AB6" s="8">
        <f t="shared" si="3"/>
        <v>-0.13320683521372423</v>
      </c>
      <c r="AD6" t="s">
        <v>30</v>
      </c>
      <c r="AE6" s="7">
        <f>SUMIFS(Data[Revenue],Data[Region],Region,Data[Month],CurMonth,Data[Year],CurYear,Data[Product Name],'Data Prep'!AD6)</f>
        <v>299.7</v>
      </c>
      <c r="AF6" s="7">
        <f>SUMIFS(Data[Revenue],Data[Region],Region,Data[Month],PrevMonth,Data[Year],PMYear,Data[Product Name],'Data Prep'!$AD6)</f>
        <v>129.87</v>
      </c>
      <c r="AG6" s="7">
        <f t="shared" si="7"/>
        <v>169.82999999999998</v>
      </c>
      <c r="AH6">
        <f t="shared" si="8"/>
        <v>12</v>
      </c>
      <c r="AI6">
        <f t="shared" si="9"/>
        <v>23</v>
      </c>
      <c r="AK6">
        <v>4</v>
      </c>
      <c r="AL6" t="str">
        <f t="shared" si="10"/>
        <v>Animal Figures</v>
      </c>
      <c r="AM6" s="7">
        <f t="shared" si="4"/>
        <v>5066.1000000000004</v>
      </c>
      <c r="AN6" s="7">
        <f t="shared" si="4"/>
        <v>1831.5900000000006</v>
      </c>
    </row>
    <row r="7" spans="1:40" x14ac:dyDescent="0.3">
      <c r="A7" s="23" t="s">
        <v>77</v>
      </c>
      <c r="B7" s="23"/>
      <c r="J7">
        <v>5</v>
      </c>
      <c r="K7" t="s">
        <v>92</v>
      </c>
      <c r="L7" s="7">
        <f>SUMIFS(Data[Revenue],Data[Region],Region,Data[Month],$J7,Data[Year],L$2)</f>
        <v>79560.950000000026</v>
      </c>
      <c r="M7" s="7">
        <f>SUMIFS(Data[Revenue],Data[Region],Region,Data[Month],$J7,Data[Year],M$2)</f>
        <v>93467.969999999972</v>
      </c>
      <c r="P7" t="s">
        <v>53</v>
      </c>
      <c r="Q7" s="7">
        <f>SUMIFS(Data[Revenue],Data[Store Name],P7,Data[Month],CurMonth,Data[Year],CurYear)</f>
        <v>21829.790000000008</v>
      </c>
      <c r="R7" s="7">
        <f>SUMIFS(Data[Revenue],Data[Store Name],P7,Data[Month],PrevMonth,Data[Year],PMYear)</f>
        <v>17645.59</v>
      </c>
      <c r="S7" s="8">
        <f t="shared" si="0"/>
        <v>0.23712440332117013</v>
      </c>
      <c r="T7">
        <f t="shared" si="5"/>
        <v>5</v>
      </c>
      <c r="V7">
        <v>5</v>
      </c>
      <c r="W7" t="str">
        <f t="shared" si="6"/>
        <v>Lincoln Park</v>
      </c>
      <c r="X7" t="str">
        <f>VLOOKUP(W7,Data!C:D,2,0)</f>
        <v>Chicago</v>
      </c>
      <c r="Y7" s="7">
        <f t="shared" si="6"/>
        <v>21829.790000000008</v>
      </c>
      <c r="Z7" s="8">
        <f t="shared" si="6"/>
        <v>0.23712440332117013</v>
      </c>
      <c r="AA7" s="7">
        <f t="shared" si="2"/>
        <v>21829.790000000008</v>
      </c>
      <c r="AB7" s="8">
        <f t="shared" si="3"/>
        <v>0.23712440332117013</v>
      </c>
      <c r="AD7" t="s">
        <v>20</v>
      </c>
      <c r="AE7" s="7">
        <f>SUMIFS(Data[Revenue],Data[Region],Region,Data[Month],CurMonth,Data[Year],CurYear,Data[Product Name],'Data Prep'!AD7)</f>
        <v>4272.1500000000005</v>
      </c>
      <c r="AF7" s="7">
        <f>SUMIFS(Data[Revenue],Data[Region],Region,Data[Month],PrevMonth,Data[Year],PMYear,Data[Product Name],'Data Prep'!$AD7)</f>
        <v>6610.59</v>
      </c>
      <c r="AG7" s="7">
        <f t="shared" si="7"/>
        <v>-2338.4399999999996</v>
      </c>
      <c r="AH7">
        <f t="shared" si="8"/>
        <v>33</v>
      </c>
      <c r="AI7">
        <f t="shared" si="9"/>
        <v>2</v>
      </c>
      <c r="AK7">
        <v>5</v>
      </c>
      <c r="AL7" t="str">
        <f t="shared" si="10"/>
        <v>Kids Makeup Kit</v>
      </c>
      <c r="AM7" s="7">
        <f t="shared" si="4"/>
        <v>3098.45</v>
      </c>
      <c r="AN7" s="7">
        <f t="shared" si="4"/>
        <v>1659.17</v>
      </c>
    </row>
    <row r="8" spans="1:40" x14ac:dyDescent="0.3">
      <c r="A8" s="6" t="s">
        <v>78</v>
      </c>
      <c r="B8">
        <f>MAX(Data[Year])</f>
        <v>2021</v>
      </c>
      <c r="J8">
        <v>6</v>
      </c>
      <c r="K8" t="s">
        <v>91</v>
      </c>
      <c r="L8" s="7">
        <f>SUMIFS(Data[Revenue],Data[Region],Region,Data[Month],$J8,Data[Year],L$2)</f>
        <v>85430.399999999965</v>
      </c>
      <c r="M8" s="7">
        <f>SUMIFS(Data[Revenue],Data[Region],Region,Data[Month],$J8,Data[Year],M$2)</f>
        <v>91637.330000000016</v>
      </c>
      <c r="P8" t="s">
        <v>58</v>
      </c>
      <c r="Q8" s="7">
        <f>SUMIFS(Data[Revenue],Data[Store Name],P8,Data[Month],CurMonth,Data[Year],CurYear)</f>
        <v>22152.709999999995</v>
      </c>
      <c r="R8" s="7">
        <f>SUMIFS(Data[Revenue],Data[Store Name],P8,Data[Month],PrevMonth,Data[Year],PMYear)</f>
        <v>19305.510000000002</v>
      </c>
      <c r="S8" s="8">
        <f t="shared" si="0"/>
        <v>0.1474812113225703</v>
      </c>
      <c r="T8">
        <f t="shared" si="5"/>
        <v>6</v>
      </c>
      <c r="V8">
        <v>6</v>
      </c>
      <c r="W8" t="str">
        <f t="shared" si="6"/>
        <v>Fifth Avenue</v>
      </c>
      <c r="X8" t="str">
        <f>VLOOKUP(W8,Data!C:D,2,0)</f>
        <v>New York</v>
      </c>
      <c r="Y8" s="7">
        <f t="shared" si="6"/>
        <v>22152.709999999995</v>
      </c>
      <c r="Z8" s="8">
        <f t="shared" si="6"/>
        <v>0.1474812113225703</v>
      </c>
      <c r="AA8" s="7">
        <f t="shared" si="2"/>
        <v>0</v>
      </c>
      <c r="AB8" s="8">
        <f t="shared" si="3"/>
        <v>0</v>
      </c>
      <c r="AD8" t="s">
        <v>25</v>
      </c>
      <c r="AE8" s="7">
        <f>SUMIFS(Data[Revenue],Data[Region],Region,Data[Month],CurMonth,Data[Year],CurYear,Data[Product Name],'Data Prep'!AD8)</f>
        <v>1375.1399999999999</v>
      </c>
      <c r="AF8" s="7">
        <f>SUMIFS(Data[Revenue],Data[Region],Region,Data[Month],PrevMonth,Data[Year],PMYear,Data[Product Name],'Data Prep'!$AD8)</f>
        <v>2126.67</v>
      </c>
      <c r="AG8" s="7">
        <f t="shared" si="7"/>
        <v>-751.5300000000002</v>
      </c>
      <c r="AH8">
        <f t="shared" si="8"/>
        <v>28</v>
      </c>
      <c r="AI8">
        <f t="shared" si="9"/>
        <v>7</v>
      </c>
      <c r="AK8">
        <v>6</v>
      </c>
      <c r="AL8" t="str">
        <f>INDEX($AD$3:$AG$36,MATCH($AK8,$AH$3:$AH$36,0),MATCH(AL$2,$AD$2:$AG$2,0))</f>
        <v>Splash Balls</v>
      </c>
      <c r="AM8" s="7">
        <f t="shared" si="4"/>
        <v>5061.3700000000008</v>
      </c>
      <c r="AN8" s="7">
        <f>INDEX($AD$3:$AG$36,MATCH($AK8,$AH$3:$AH$36,0),MATCH(AN$2,$AD$2:$AG$2,0))</f>
        <v>1204.6600000000003</v>
      </c>
    </row>
    <row r="9" spans="1:40" x14ac:dyDescent="0.3">
      <c r="A9" s="6" t="s">
        <v>79</v>
      </c>
      <c r="B9">
        <f>_xlfn.MAXIFS(Data[Month],Data[Year],'Data Prep'!B8)</f>
        <v>7</v>
      </c>
      <c r="C9" cm="1">
        <f t="array" ref="C9">MAX(IF(Data[Year]='Data Prep'!B8,Data[Month]))</f>
        <v>7</v>
      </c>
      <c r="J9">
        <v>7</v>
      </c>
      <c r="K9" t="s">
        <v>91</v>
      </c>
      <c r="L9" s="7">
        <f>SUMIFS(Data[Revenue],Data[Region],Region,Data[Month],$J9,Data[Year],L$2)</f>
        <v>70835.710000000006</v>
      </c>
      <c r="M9" s="7">
        <f>SUMIFS(Data[Revenue],Data[Region],Region,Data[Month],$J9,Data[Year],M$2)</f>
        <v>94953.469999999958</v>
      </c>
      <c r="P9" t="s">
        <v>62</v>
      </c>
      <c r="Q9" s="7">
        <f>SUMIFS(Data[Revenue],Data[Store Name],P9,Data[Month],CurMonth,Data[Year],CurYear)</f>
        <v>22817.06</v>
      </c>
      <c r="R9" s="7">
        <f>SUMIFS(Data[Revenue],Data[Store Name],P9,Data[Month],PrevMonth,Data[Year],PMYear)</f>
        <v>20167.499999999996</v>
      </c>
      <c r="S9" s="8">
        <f t="shared" si="0"/>
        <v>0.13137771166480761</v>
      </c>
      <c r="T9">
        <f t="shared" si="5"/>
        <v>7</v>
      </c>
      <c r="V9">
        <v>7</v>
      </c>
      <c r="W9" t="str">
        <f t="shared" si="6"/>
        <v>Times Square</v>
      </c>
      <c r="X9" t="str">
        <f>VLOOKUP(W9,Data!C:D,2,0)</f>
        <v>New York</v>
      </c>
      <c r="Y9" s="7">
        <f t="shared" si="6"/>
        <v>22817.06</v>
      </c>
      <c r="Z9" s="8">
        <f t="shared" si="6"/>
        <v>0.13137771166480761</v>
      </c>
      <c r="AA9" s="7">
        <f t="shared" si="2"/>
        <v>0</v>
      </c>
      <c r="AB9" s="8">
        <f t="shared" si="3"/>
        <v>0</v>
      </c>
      <c r="AD9" t="s">
        <v>8</v>
      </c>
      <c r="AE9" s="7">
        <f>SUMIFS(Data[Revenue],Data[Region],Region,Data[Month],CurMonth,Data[Year],CurYear,Data[Product Name],'Data Prep'!AD9)</f>
        <v>2621.2500000000005</v>
      </c>
      <c r="AF9" s="7">
        <f>SUMIFS(Data[Revenue],Data[Region],Region,Data[Month],PrevMonth,Data[Year],PMYear,Data[Product Name],'Data Prep'!$AD9)</f>
        <v>3292.29</v>
      </c>
      <c r="AG9" s="7">
        <f t="shared" si="7"/>
        <v>-671.03999999999951</v>
      </c>
      <c r="AH9">
        <f t="shared" si="8"/>
        <v>27</v>
      </c>
      <c r="AI9">
        <f t="shared" si="9"/>
        <v>8</v>
      </c>
    </row>
    <row r="10" spans="1:40" x14ac:dyDescent="0.3">
      <c r="A10" s="6" t="s">
        <v>80</v>
      </c>
      <c r="B10">
        <f>B8-1</f>
        <v>2020</v>
      </c>
      <c r="J10">
        <v>8</v>
      </c>
      <c r="K10" t="s">
        <v>93</v>
      </c>
      <c r="L10" s="7">
        <f>SUMIFS(Data[Revenue],Data[Region],Region,Data[Month],$J10,Data[Year],L$2)</f>
        <v>55171.65</v>
      </c>
      <c r="M10" s="10" t="str">
        <f>IF(SUMIFS(Data[Revenue],Data[Region],Region,Data[Month],$J10,Data[Year],M$2)=0,"#N/A",)</f>
        <v>#N/A</v>
      </c>
      <c r="P10" t="s">
        <v>60</v>
      </c>
      <c r="Q10" s="7">
        <f>SUMIFS(Data[Revenue],Data[Store Name],P10,Data[Month],CurMonth,Data[Year],CurYear)</f>
        <v>24068.03</v>
      </c>
      <c r="R10" s="7">
        <f>SUMIFS(Data[Revenue],Data[Store Name],P10,Data[Month],PrevMonth,Data[Year],PMYear)</f>
        <v>22176.43</v>
      </c>
      <c r="S10" s="8">
        <f t="shared" si="0"/>
        <v>8.5297768847375277E-2</v>
      </c>
      <c r="T10">
        <f t="shared" si="5"/>
        <v>8</v>
      </c>
      <c r="V10">
        <v>8</v>
      </c>
      <c r="W10" t="str">
        <f t="shared" si="6"/>
        <v>JFK</v>
      </c>
      <c r="X10" t="str">
        <f>VLOOKUP(W10,Data!C:D,2,0)</f>
        <v>New York</v>
      </c>
      <c r="Y10" s="7">
        <f t="shared" si="6"/>
        <v>24068.03</v>
      </c>
      <c r="Z10" s="8">
        <f t="shared" si="6"/>
        <v>8.5297768847375277E-2</v>
      </c>
      <c r="AA10" s="7">
        <f t="shared" si="2"/>
        <v>0</v>
      </c>
      <c r="AB10" s="8">
        <f t="shared" si="3"/>
        <v>0</v>
      </c>
      <c r="AD10" t="s">
        <v>17</v>
      </c>
      <c r="AE10" s="7">
        <f>SUMIFS(Data[Revenue],Data[Region],Region,Data[Month],CurMonth,Data[Year],CurYear,Data[Product Name],'Data Prep'!AD10)</f>
        <v>4659.76</v>
      </c>
      <c r="AF10" s="7">
        <f>SUMIFS(Data[Revenue],Data[Region],Region,Data[Month],PrevMonth,Data[Year],PMYear,Data[Product Name],'Data Prep'!$AD10)</f>
        <v>4516.8900000000003</v>
      </c>
      <c r="AG10" s="7">
        <f t="shared" si="7"/>
        <v>142.86999999999989</v>
      </c>
      <c r="AH10">
        <f t="shared" si="8"/>
        <v>13</v>
      </c>
      <c r="AI10">
        <f t="shared" si="9"/>
        <v>22</v>
      </c>
    </row>
    <row r="11" spans="1:40" x14ac:dyDescent="0.3">
      <c r="A11" s="6" t="s">
        <v>81</v>
      </c>
      <c r="B11">
        <f>B9-1</f>
        <v>6</v>
      </c>
      <c r="J11">
        <v>9</v>
      </c>
      <c r="K11" t="s">
        <v>94</v>
      </c>
      <c r="L11" s="7">
        <f>SUMIFS(Data[Revenue],Data[Region],Region,Data[Month],$J11,Data[Year],L$2)</f>
        <v>67569.269999999975</v>
      </c>
      <c r="M11" s="10" t="str">
        <f>IF(SUMIFS(Data[Revenue],Data[Region],Region,Data[Month],$J11,Data[Year],M$2)=0,"#N/A",)</f>
        <v>#N/A</v>
      </c>
      <c r="P11" t="s">
        <v>61</v>
      </c>
      <c r="Q11" s="7">
        <f>SUMIFS(Data[Revenue],Data[Store Name],P11,Data[Month],CurMonth,Data[Year],CurYear)</f>
        <v>32052.109999999993</v>
      </c>
      <c r="R11" s="7">
        <f>SUMIFS(Data[Revenue],Data[Store Name],P11,Data[Month],PrevMonth,Data[Year],PMYear)</f>
        <v>25228.359999999997</v>
      </c>
      <c r="S11" s="8">
        <f t="shared" si="0"/>
        <v>0.27047933357538878</v>
      </c>
      <c r="T11">
        <f t="shared" si="5"/>
        <v>9</v>
      </c>
      <c r="V11">
        <v>9</v>
      </c>
      <c r="W11" t="str">
        <f t="shared" si="6"/>
        <v>LAX</v>
      </c>
      <c r="X11" t="str">
        <f>VLOOKUP(W11,Data!C:D,2,0)</f>
        <v>Los Angeles</v>
      </c>
      <c r="Y11" s="7">
        <f t="shared" si="6"/>
        <v>32052.109999999993</v>
      </c>
      <c r="Z11" s="8">
        <f t="shared" si="6"/>
        <v>0.27047933357538878</v>
      </c>
      <c r="AA11" s="7">
        <f t="shared" si="2"/>
        <v>0</v>
      </c>
      <c r="AB11" s="8">
        <f t="shared" si="3"/>
        <v>0</v>
      </c>
      <c r="AD11" t="s">
        <v>28</v>
      </c>
      <c r="AE11" s="7">
        <f>SUMIFS(Data[Revenue],Data[Region],Region,Data[Month],CurMonth,Data[Year],CurYear,Data[Product Name],'Data Prep'!AD11)</f>
        <v>1858.76</v>
      </c>
      <c r="AF11" s="7">
        <f>SUMIFS(Data[Revenue],Data[Region],Region,Data[Month],PrevMonth,Data[Year],PMYear,Data[Product Name],'Data Prep'!$AD11)</f>
        <v>1334.1100000000001</v>
      </c>
      <c r="AG11" s="7">
        <f t="shared" si="7"/>
        <v>524.64999999999986</v>
      </c>
      <c r="AH11">
        <f t="shared" si="8"/>
        <v>9</v>
      </c>
      <c r="AI11">
        <f t="shared" si="9"/>
        <v>26</v>
      </c>
      <c r="AK11" s="22" t="s">
        <v>107</v>
      </c>
      <c r="AL11" s="22"/>
      <c r="AM11" s="22"/>
      <c r="AN11" s="22"/>
    </row>
    <row r="12" spans="1:40" x14ac:dyDescent="0.3">
      <c r="A12" s="6" t="s">
        <v>86</v>
      </c>
      <c r="B12">
        <f>IF(CurMonth=1,PrevYear,CurYear)</f>
        <v>2021</v>
      </c>
      <c r="J12">
        <v>10</v>
      </c>
      <c r="K12" t="s">
        <v>95</v>
      </c>
      <c r="L12" s="7">
        <f>SUMIFS(Data[Revenue],Data[Region],Region,Data[Month],$J12,Data[Year],L$2)</f>
        <v>64882.340000000018</v>
      </c>
      <c r="M12" s="10" t="str">
        <f>IF(SUMIFS(Data[Revenue],Data[Region],Region,Data[Month],$J12,Data[Year],M$2)=0,"#N/A",)</f>
        <v>#N/A</v>
      </c>
      <c r="P12" t="s">
        <v>57</v>
      </c>
      <c r="Q12" s="7">
        <f>SUMIFS(Data[Revenue],Data[Store Name],P12,Data[Month],CurMonth,Data[Year],CurYear)</f>
        <v>36101.759999999995</v>
      </c>
      <c r="R12" s="7">
        <f>SUMIFS(Data[Revenue],Data[Store Name],P12,Data[Month],PrevMonth,Data[Year],PMYear)</f>
        <v>30245.009999999995</v>
      </c>
      <c r="S12" s="8">
        <f t="shared" si="0"/>
        <v>0.19364351342585118</v>
      </c>
      <c r="T12">
        <f t="shared" si="5"/>
        <v>10</v>
      </c>
      <c r="V12">
        <v>10</v>
      </c>
      <c r="W12" t="str">
        <f t="shared" si="6"/>
        <v>O'Hare</v>
      </c>
      <c r="X12" t="str">
        <f>VLOOKUP(W12,Data!C:D,2,0)</f>
        <v>Chicago</v>
      </c>
      <c r="Y12" s="7">
        <f t="shared" si="6"/>
        <v>36101.759999999995</v>
      </c>
      <c r="Z12" s="8">
        <f t="shared" si="6"/>
        <v>0.19364351342585118</v>
      </c>
      <c r="AA12" s="7">
        <f t="shared" si="2"/>
        <v>36101.759999999995</v>
      </c>
      <c r="AB12" s="8">
        <f t="shared" si="3"/>
        <v>0.19364351342585118</v>
      </c>
      <c r="AD12" t="s">
        <v>32</v>
      </c>
      <c r="AE12" s="7">
        <f>SUMIFS(Data[Revenue],Data[Region],Region,Data[Month],CurMonth,Data[Year],CurYear,Data[Product Name],'Data Prep'!AD12)</f>
        <v>1582.56</v>
      </c>
      <c r="AF12" s="7">
        <f>SUMIFS(Data[Revenue],Data[Region],Region,Data[Month],PrevMonth,Data[Year],PMYear,Data[Product Name],'Data Prep'!$AD12)</f>
        <v>1626.5200000000002</v>
      </c>
      <c r="AG12" s="7">
        <f t="shared" si="7"/>
        <v>-43.960000000000264</v>
      </c>
      <c r="AH12">
        <f t="shared" si="8"/>
        <v>17</v>
      </c>
      <c r="AI12">
        <f t="shared" si="9"/>
        <v>18</v>
      </c>
      <c r="AK12" s="9" t="s">
        <v>100</v>
      </c>
      <c r="AL12" s="9" t="s">
        <v>103</v>
      </c>
      <c r="AM12" s="9" t="s">
        <v>46</v>
      </c>
      <c r="AN12" s="9" t="s">
        <v>99</v>
      </c>
    </row>
    <row r="13" spans="1:40" x14ac:dyDescent="0.3">
      <c r="A13" s="6" t="s">
        <v>111</v>
      </c>
      <c r="B13" t="str">
        <f>VLOOKUP(CurMonth,A16:B27,2,0)&amp;" "&amp;CurYear</f>
        <v>July 2021</v>
      </c>
      <c r="J13">
        <v>11</v>
      </c>
      <c r="K13" t="s">
        <v>96</v>
      </c>
      <c r="L13" s="7">
        <f>SUMIFS(Data[Revenue],Data[Region],Region,Data[Month],$J13,Data[Year],L$2)</f>
        <v>73732.52</v>
      </c>
      <c r="M13" s="10" t="str">
        <f>IF(SUMIFS(Data[Revenue],Data[Region],Region,Data[Month],$J13,Data[Year],M$2)=0,"#N/A",)</f>
        <v>#N/A</v>
      </c>
      <c r="AD13" t="s">
        <v>31</v>
      </c>
      <c r="AE13" s="7">
        <f>SUMIFS(Data[Revenue],Data[Region],Region,Data[Month],CurMonth,Data[Year],CurYear,Data[Product Name],'Data Prep'!AD13)</f>
        <v>3098.45</v>
      </c>
      <c r="AF13" s="7">
        <f>SUMIFS(Data[Revenue],Data[Region],Region,Data[Month],PrevMonth,Data[Year],PMYear,Data[Product Name],'Data Prep'!$AD13)</f>
        <v>1439.2799999999997</v>
      </c>
      <c r="AG13" s="7">
        <f t="shared" si="7"/>
        <v>1659.17</v>
      </c>
      <c r="AH13">
        <f t="shared" si="8"/>
        <v>5</v>
      </c>
      <c r="AI13">
        <f t="shared" si="9"/>
        <v>30</v>
      </c>
      <c r="AK13">
        <v>1</v>
      </c>
      <c r="AL13" t="str">
        <f>INDEX($AD$3:$AG$36,MATCH($AK13,$AI$3:$AI$36,0),MATCH(AL$2,$AD$2:$AG$2,0))</f>
        <v>Magic Sand</v>
      </c>
      <c r="AM13" s="7">
        <f t="shared" ref="AM13:AN18" si="11">INDEX($AD$3:$AG$36,MATCH($AK13,$AI$3:$AI$36,0),MATCH(AM$2,$AD$2:$AG$2,0))</f>
        <v>7243.47</v>
      </c>
      <c r="AN13" s="7">
        <f t="shared" si="11"/>
        <v>-3277.95</v>
      </c>
    </row>
    <row r="14" spans="1:40" x14ac:dyDescent="0.3">
      <c r="J14">
        <v>12</v>
      </c>
      <c r="K14" t="s">
        <v>97</v>
      </c>
      <c r="L14" s="7">
        <f>SUMIFS(Data[Revenue],Data[Region],Region,Data[Month],$J14,Data[Year],L$2)</f>
        <v>93356.910000000018</v>
      </c>
      <c r="M14" s="10" t="str">
        <f>IF(SUMIFS(Data[Revenue],Data[Region],Region,Data[Month],$J14,Data[Year],M$2)=0,"#N/A",)</f>
        <v>#N/A</v>
      </c>
      <c r="AD14" t="s">
        <v>15</v>
      </c>
      <c r="AE14" s="7">
        <f>SUMIFS(Data[Revenue],Data[Region],Region,Data[Month],CurMonth,Data[Year],CurYear,Data[Product Name],'Data Prep'!AD14)</f>
        <v>19035.240000000002</v>
      </c>
      <c r="AF14" s="7">
        <f>SUMIFS(Data[Revenue],Data[Region],Region,Data[Month],PrevMonth,Data[Year],PMYear,Data[Product Name],'Data Prep'!$AD14)</f>
        <v>14316.419999999998</v>
      </c>
      <c r="AG14" s="7">
        <f t="shared" si="7"/>
        <v>4718.8200000000033</v>
      </c>
      <c r="AH14">
        <f t="shared" si="8"/>
        <v>1</v>
      </c>
      <c r="AI14">
        <f t="shared" si="9"/>
        <v>34</v>
      </c>
      <c r="AK14">
        <v>2</v>
      </c>
      <c r="AL14" t="str">
        <f t="shared" ref="AL14:AL17" si="12">INDEX($AD$3:$AG$36,MATCH($AK14,$AI$3:$AI$36,0),MATCH(AL$2,$AD$2:$AG$2,0))</f>
        <v>Colorbuds</v>
      </c>
      <c r="AM14" s="7">
        <f t="shared" si="11"/>
        <v>4272.1500000000005</v>
      </c>
      <c r="AN14" s="7">
        <f t="shared" si="11"/>
        <v>-2338.4399999999996</v>
      </c>
    </row>
    <row r="15" spans="1:40" x14ac:dyDescent="0.3">
      <c r="A15" s="17" t="s">
        <v>112</v>
      </c>
      <c r="B15" s="17" t="s">
        <v>49</v>
      </c>
      <c r="AD15" t="s">
        <v>71</v>
      </c>
      <c r="AE15" s="7">
        <f>SUMIFS(Data[Revenue],Data[Region],Region,Data[Month],CurMonth,Data[Year],CurYear,Data[Product Name],'Data Prep'!AD15)</f>
        <v>2507.4900000000002</v>
      </c>
      <c r="AF15" s="7">
        <f>SUMIFS(Data[Revenue],Data[Region],Region,Data[Month],PrevMonth,Data[Year],PMYear,Data[Product Name],'Data Prep'!$AD15)</f>
        <v>3756.2400000000002</v>
      </c>
      <c r="AG15" s="7">
        <f t="shared" si="7"/>
        <v>-1248.75</v>
      </c>
      <c r="AH15">
        <f t="shared" si="8"/>
        <v>30</v>
      </c>
      <c r="AI15">
        <f t="shared" si="9"/>
        <v>5</v>
      </c>
      <c r="AK15">
        <v>3</v>
      </c>
      <c r="AL15" t="str">
        <f t="shared" si="12"/>
        <v>Action Figure</v>
      </c>
      <c r="AM15" s="7">
        <f t="shared" si="11"/>
        <v>3965.52</v>
      </c>
      <c r="AN15" s="7">
        <f t="shared" si="11"/>
        <v>-2334.5399999999995</v>
      </c>
    </row>
    <row r="16" spans="1:40" x14ac:dyDescent="0.3">
      <c r="A16">
        <v>1</v>
      </c>
      <c r="B16" t="s">
        <v>113</v>
      </c>
      <c r="AD16" t="s">
        <v>19</v>
      </c>
      <c r="AE16" s="7">
        <f>SUMIFS(Data[Revenue],Data[Region],Region,Data[Month],CurMonth,Data[Year],CurYear,Data[Product Name],'Data Prep'!AD16)</f>
        <v>0</v>
      </c>
      <c r="AF16" s="7">
        <f>SUMIFS(Data[Revenue],Data[Region],Region,Data[Month],PrevMonth,Data[Year],PMYear,Data[Product Name],'Data Prep'!$AD16)</f>
        <v>159.91999999999999</v>
      </c>
      <c r="AG16" s="7">
        <f t="shared" si="7"/>
        <v>-159.91999999999999</v>
      </c>
      <c r="AH16">
        <f t="shared" si="8"/>
        <v>22</v>
      </c>
      <c r="AI16">
        <f t="shared" si="9"/>
        <v>13</v>
      </c>
      <c r="AK16">
        <v>4</v>
      </c>
      <c r="AL16" t="str">
        <f t="shared" si="12"/>
        <v>Toy Robot</v>
      </c>
      <c r="AM16" s="7">
        <f t="shared" si="11"/>
        <v>1039.5999999999999</v>
      </c>
      <c r="AN16" s="7">
        <f t="shared" si="11"/>
        <v>-1975.2400000000002</v>
      </c>
    </row>
    <row r="17" spans="1:40" x14ac:dyDescent="0.3">
      <c r="A17">
        <v>2</v>
      </c>
      <c r="B17" t="s">
        <v>114</v>
      </c>
      <c r="AD17" t="s">
        <v>27</v>
      </c>
      <c r="AE17" s="7">
        <f>SUMIFS(Data[Revenue],Data[Region],Region,Data[Month],CurMonth,Data[Year],CurYear,Data[Product Name],'Data Prep'!AD17)</f>
        <v>2496.65</v>
      </c>
      <c r="AF17" s="7">
        <f>SUMIFS(Data[Revenue],Data[Region],Region,Data[Month],PrevMonth,Data[Year],PMYear,Data[Product Name],'Data Prep'!$AD17)</f>
        <v>2439.84</v>
      </c>
      <c r="AG17" s="7">
        <f t="shared" si="7"/>
        <v>56.809999999999945</v>
      </c>
      <c r="AH17">
        <f t="shared" si="8"/>
        <v>16</v>
      </c>
      <c r="AI17">
        <f t="shared" si="9"/>
        <v>19</v>
      </c>
      <c r="AK17">
        <v>5</v>
      </c>
      <c r="AL17" t="str">
        <f t="shared" si="12"/>
        <v>Mini Ping Pong</v>
      </c>
      <c r="AM17" s="7">
        <f t="shared" si="11"/>
        <v>2507.4900000000002</v>
      </c>
      <c r="AN17" s="7">
        <f t="shared" si="11"/>
        <v>-1248.75</v>
      </c>
    </row>
    <row r="18" spans="1:40" x14ac:dyDescent="0.3">
      <c r="A18">
        <v>3</v>
      </c>
      <c r="B18" t="s">
        <v>115</v>
      </c>
      <c r="AD18" t="s">
        <v>11</v>
      </c>
      <c r="AE18" s="7">
        <f>SUMIFS(Data[Revenue],Data[Region],Region,Data[Month],CurMonth,Data[Year],CurYear,Data[Product Name],'Data Prep'!AD18)</f>
        <v>538.92000000000007</v>
      </c>
      <c r="AF18" s="7">
        <f>SUMIFS(Data[Revenue],Data[Region],Region,Data[Month],PrevMonth,Data[Year],PMYear,Data[Product Name],'Data Prep'!$AD18)</f>
        <v>479.03999999999996</v>
      </c>
      <c r="AG18" s="7">
        <f t="shared" si="7"/>
        <v>59.880000000000109</v>
      </c>
      <c r="AH18">
        <f t="shared" si="8"/>
        <v>15</v>
      </c>
      <c r="AI18">
        <f t="shared" si="9"/>
        <v>20</v>
      </c>
      <c r="AK18">
        <v>6</v>
      </c>
      <c r="AL18" t="str">
        <f>INDEX($AD$3:$AG$36,MATCH($AK18,$AI$3:$AI$36,0),MATCH(AL$2,$AD$2:$AG$2,0))</f>
        <v>Disk Launcher</v>
      </c>
      <c r="AM18" s="7">
        <f t="shared" si="11"/>
        <v>815.31999999999994</v>
      </c>
      <c r="AN18" s="7">
        <f t="shared" si="11"/>
        <v>-839.30000000000018</v>
      </c>
    </row>
    <row r="19" spans="1:40" x14ac:dyDescent="0.3">
      <c r="A19">
        <v>4</v>
      </c>
      <c r="B19" t="s">
        <v>116</v>
      </c>
      <c r="AD19" t="s">
        <v>26</v>
      </c>
      <c r="AE19" s="7">
        <f>SUMIFS(Data[Revenue],Data[Region],Region,Data[Month],CurMonth,Data[Year],CurYear,Data[Product Name],'Data Prep'!AD19)</f>
        <v>5597.2</v>
      </c>
      <c r="AF19" s="7">
        <f>SUMIFS(Data[Revenue],Data[Region],Region,Data[Month],PrevMonth,Data[Year],PMYear,Data[Product Name],'Data Prep'!$AD19)</f>
        <v>4637.6799999999994</v>
      </c>
      <c r="AG19" s="7">
        <f t="shared" si="7"/>
        <v>959.52000000000044</v>
      </c>
      <c r="AH19">
        <f t="shared" si="8"/>
        <v>8</v>
      </c>
      <c r="AI19">
        <f t="shared" si="9"/>
        <v>27</v>
      </c>
    </row>
    <row r="20" spans="1:40" x14ac:dyDescent="0.3">
      <c r="A20">
        <v>5</v>
      </c>
      <c r="B20" t="s">
        <v>117</v>
      </c>
      <c r="AD20" t="s">
        <v>6</v>
      </c>
      <c r="AE20" s="7">
        <f>SUMIFS(Data[Revenue],Data[Region],Region,Data[Month],CurMonth,Data[Year],CurYear,Data[Product Name],'Data Prep'!AD20)</f>
        <v>5061.3700000000008</v>
      </c>
      <c r="AF20" s="7">
        <f>SUMIFS(Data[Revenue],Data[Region],Region,Data[Month],PrevMonth,Data[Year],PMYear,Data[Product Name],'Data Prep'!$AD20)</f>
        <v>3856.7100000000005</v>
      </c>
      <c r="AG20" s="7">
        <f t="shared" si="7"/>
        <v>1204.6600000000003</v>
      </c>
      <c r="AH20">
        <f t="shared" si="8"/>
        <v>6</v>
      </c>
      <c r="AI20">
        <f t="shared" si="9"/>
        <v>29</v>
      </c>
    </row>
    <row r="21" spans="1:40" x14ac:dyDescent="0.3">
      <c r="A21">
        <v>6</v>
      </c>
      <c r="B21" t="s">
        <v>118</v>
      </c>
      <c r="AD21" t="s">
        <v>16</v>
      </c>
      <c r="AE21" s="7">
        <f>SUMIFS(Data[Revenue],Data[Region],Region,Data[Month],CurMonth,Data[Year],CurYear,Data[Product Name],'Data Prep'!AD21)</f>
        <v>597.54</v>
      </c>
      <c r="AF21" s="7">
        <f>SUMIFS(Data[Revenue],Data[Region],Region,Data[Month],PrevMonth,Data[Year],PMYear,Data[Product Name],'Data Prep'!$AD21)</f>
        <v>220.83</v>
      </c>
      <c r="AG21" s="7">
        <f t="shared" si="7"/>
        <v>376.70999999999992</v>
      </c>
      <c r="AH21">
        <f t="shared" si="8"/>
        <v>10</v>
      </c>
      <c r="AI21">
        <f t="shared" si="9"/>
        <v>25</v>
      </c>
    </row>
    <row r="22" spans="1:40" x14ac:dyDescent="0.3">
      <c r="A22">
        <v>7</v>
      </c>
      <c r="B22" t="s">
        <v>119</v>
      </c>
      <c r="AD22" t="s">
        <v>23</v>
      </c>
      <c r="AE22" s="7">
        <f>SUMIFS(Data[Revenue],Data[Region],Region,Data[Month],CurMonth,Data[Year],CurYear,Data[Product Name],'Data Prep'!AD22)</f>
        <v>1039.5999999999999</v>
      </c>
      <c r="AF22" s="7">
        <f>SUMIFS(Data[Revenue],Data[Region],Region,Data[Month],PrevMonth,Data[Year],PMYear,Data[Product Name],'Data Prep'!$AD22)</f>
        <v>3014.84</v>
      </c>
      <c r="AG22" s="7">
        <f t="shared" si="7"/>
        <v>-1975.2400000000002</v>
      </c>
      <c r="AH22">
        <f t="shared" si="8"/>
        <v>31</v>
      </c>
      <c r="AI22">
        <f t="shared" si="9"/>
        <v>4</v>
      </c>
    </row>
    <row r="23" spans="1:40" x14ac:dyDescent="0.3">
      <c r="A23">
        <v>8</v>
      </c>
      <c r="B23" t="s">
        <v>120</v>
      </c>
      <c r="AD23" t="s">
        <v>10</v>
      </c>
      <c r="AE23" s="7">
        <f>SUMIFS(Data[Revenue],Data[Region],Region,Data[Month],CurMonth,Data[Year],CurYear,Data[Product Name],'Data Prep'!AD23)</f>
        <v>5617.19</v>
      </c>
      <c r="AF23" s="7">
        <f>SUMIFS(Data[Revenue],Data[Region],Region,Data[Month],PrevMonth,Data[Year],PMYear,Data[Product Name],'Data Prep'!$AD23)</f>
        <v>3078.4599999999996</v>
      </c>
      <c r="AG23" s="7">
        <f t="shared" si="7"/>
        <v>2538.73</v>
      </c>
      <c r="AH23">
        <f t="shared" si="8"/>
        <v>3</v>
      </c>
      <c r="AI23">
        <f t="shared" si="9"/>
        <v>32</v>
      </c>
    </row>
    <row r="24" spans="1:40" x14ac:dyDescent="0.3">
      <c r="A24">
        <v>9</v>
      </c>
      <c r="B24" t="s">
        <v>121</v>
      </c>
      <c r="AD24" t="s">
        <v>66</v>
      </c>
      <c r="AE24" s="7">
        <f>SUMIFS(Data[Revenue],Data[Region],Region,Data[Month],CurMonth,Data[Year],CurYear,Data[Product Name],'Data Prep'!AD24)</f>
        <v>274.89</v>
      </c>
      <c r="AF24" s="7">
        <f>SUMIFS(Data[Revenue],Data[Region],Region,Data[Month],PrevMonth,Data[Year],PMYear,Data[Product Name],'Data Prep'!$AD24)</f>
        <v>149.94</v>
      </c>
      <c r="AG24" s="7">
        <f t="shared" si="7"/>
        <v>124.94999999999999</v>
      </c>
      <c r="AH24">
        <f t="shared" si="8"/>
        <v>14</v>
      </c>
      <c r="AI24">
        <f t="shared" si="9"/>
        <v>21</v>
      </c>
    </row>
    <row r="25" spans="1:40" x14ac:dyDescent="0.3">
      <c r="A25">
        <v>10</v>
      </c>
      <c r="B25" t="s">
        <v>122</v>
      </c>
      <c r="AD25" t="s">
        <v>29</v>
      </c>
      <c r="AE25" s="7">
        <f>SUMIFS(Data[Revenue],Data[Region],Region,Data[Month],CurMonth,Data[Year],CurYear,Data[Product Name],'Data Prep'!AD25)</f>
        <v>135.83000000000001</v>
      </c>
      <c r="AF25" s="7">
        <f>SUMIFS(Data[Revenue],Data[Region],Region,Data[Month],PrevMonth,Data[Year],PMYear,Data[Product Name],'Data Prep'!$AD25)</f>
        <v>351.56000000000006</v>
      </c>
      <c r="AG25" s="7">
        <f t="shared" si="7"/>
        <v>-215.73000000000005</v>
      </c>
      <c r="AH25">
        <f t="shared" si="8"/>
        <v>24</v>
      </c>
      <c r="AI25">
        <f t="shared" si="9"/>
        <v>11</v>
      </c>
    </row>
    <row r="26" spans="1:40" x14ac:dyDescent="0.3">
      <c r="A26">
        <v>11</v>
      </c>
      <c r="B26" t="s">
        <v>123</v>
      </c>
      <c r="AD26" t="s">
        <v>34</v>
      </c>
      <c r="AE26" s="7">
        <f>SUMIFS(Data[Revenue],Data[Region],Region,Data[Month],CurMonth,Data[Year],CurYear,Data[Product Name],'Data Prep'!AD26)</f>
        <v>3475.29</v>
      </c>
      <c r="AF26" s="7">
        <f>SUMIFS(Data[Revenue],Data[Region],Region,Data[Month],PrevMonth,Data[Year],PMYear,Data[Product Name],'Data Prep'!$AD26)</f>
        <v>3910.2</v>
      </c>
      <c r="AG26" s="7">
        <f t="shared" si="7"/>
        <v>-434.90999999999985</v>
      </c>
      <c r="AH26">
        <f t="shared" si="8"/>
        <v>25</v>
      </c>
      <c r="AI26">
        <f t="shared" si="9"/>
        <v>10</v>
      </c>
    </row>
    <row r="27" spans="1:40" x14ac:dyDescent="0.3">
      <c r="A27">
        <v>12</v>
      </c>
      <c r="B27" t="s">
        <v>124</v>
      </c>
      <c r="AD27" t="s">
        <v>70</v>
      </c>
      <c r="AE27" s="7">
        <f>SUMIFS(Data[Revenue],Data[Region],Region,Data[Month],CurMonth,Data[Year],CurYear,Data[Product Name],'Data Prep'!AD27)</f>
        <v>1072.21</v>
      </c>
      <c r="AF27" s="7">
        <f>SUMIFS(Data[Revenue],Data[Region],Region,Data[Month],PrevMonth,Data[Year],PMYear,Data[Product Name],'Data Prep'!$AD27)</f>
        <v>730.78</v>
      </c>
      <c r="AG27" s="7">
        <f t="shared" si="7"/>
        <v>341.43000000000006</v>
      </c>
      <c r="AH27">
        <f t="shared" si="8"/>
        <v>11</v>
      </c>
      <c r="AI27">
        <f t="shared" si="9"/>
        <v>24</v>
      </c>
    </row>
    <row r="28" spans="1:40" x14ac:dyDescent="0.3">
      <c r="AD28" t="s">
        <v>67</v>
      </c>
      <c r="AE28" s="7">
        <f>SUMIFS(Data[Revenue],Data[Region],Region,Data[Month],CurMonth,Data[Year],CurYear,Data[Product Name],'Data Prep'!AD28)</f>
        <v>569.62</v>
      </c>
      <c r="AF28" s="7">
        <f>SUMIFS(Data[Revenue],Data[Region],Region,Data[Month],PrevMonth,Data[Year],PMYear,Data[Product Name],'Data Prep'!$AD28)</f>
        <v>689.54000000000008</v>
      </c>
      <c r="AG28" s="7">
        <f t="shared" si="7"/>
        <v>-119.92000000000007</v>
      </c>
      <c r="AH28">
        <f t="shared" si="8"/>
        <v>20</v>
      </c>
      <c r="AI28">
        <f t="shared" si="9"/>
        <v>15</v>
      </c>
    </row>
    <row r="29" spans="1:40" x14ac:dyDescent="0.3">
      <c r="AD29" t="s">
        <v>37</v>
      </c>
      <c r="AE29" s="7">
        <f>SUMIFS(Data[Revenue],Data[Region],Region,Data[Month],CurMonth,Data[Year],CurYear,Data[Product Name],'Data Prep'!AD29)</f>
        <v>399.84</v>
      </c>
      <c r="AF29" s="7">
        <f>SUMIFS(Data[Revenue],Data[Region],Region,Data[Month],PrevMonth,Data[Year],PMYear,Data[Product Name],'Data Prep'!$AD29)</f>
        <v>549.78</v>
      </c>
      <c r="AG29" s="7">
        <f t="shared" si="7"/>
        <v>-149.94</v>
      </c>
      <c r="AH29">
        <f t="shared" si="8"/>
        <v>21</v>
      </c>
      <c r="AI29">
        <f t="shared" si="9"/>
        <v>14</v>
      </c>
    </row>
    <row r="30" spans="1:40" x14ac:dyDescent="0.3">
      <c r="AD30" t="s">
        <v>38</v>
      </c>
      <c r="AE30" s="7">
        <f>SUMIFS(Data[Revenue],Data[Region],Region,Data[Month],CurMonth,Data[Year],CurYear,Data[Product Name],'Data Prep'!AD30)</f>
        <v>619.38</v>
      </c>
      <c r="AF30" s="7">
        <f>SUMIFS(Data[Revenue],Data[Region],Region,Data[Month],PrevMonth,Data[Year],PMYear,Data[Product Name],'Data Prep'!$AD30)</f>
        <v>729.27</v>
      </c>
      <c r="AG30" s="7">
        <f t="shared" si="7"/>
        <v>-109.88999999999999</v>
      </c>
      <c r="AH30">
        <f t="shared" si="8"/>
        <v>19</v>
      </c>
      <c r="AI30">
        <f t="shared" si="9"/>
        <v>16</v>
      </c>
    </row>
    <row r="31" spans="1:40" x14ac:dyDescent="0.3">
      <c r="AD31" t="s">
        <v>39</v>
      </c>
      <c r="AE31" s="7">
        <f>SUMIFS(Data[Revenue],Data[Region],Region,Data[Month],CurMonth,Data[Year],CurYear,Data[Product Name],'Data Prep'!AD31)</f>
        <v>1319.34</v>
      </c>
      <c r="AF31" s="7">
        <f>SUMIFS(Data[Revenue],Data[Region],Region,Data[Month],PrevMonth,Data[Year],PMYear,Data[Product Name],'Data Prep'!$AD31)</f>
        <v>1839.08</v>
      </c>
      <c r="AG31" s="7">
        <f t="shared" si="7"/>
        <v>-519.74</v>
      </c>
      <c r="AH31">
        <f t="shared" si="8"/>
        <v>26</v>
      </c>
      <c r="AI31">
        <f t="shared" si="9"/>
        <v>9</v>
      </c>
    </row>
    <row r="32" spans="1:40" x14ac:dyDescent="0.3">
      <c r="AD32" t="s">
        <v>68</v>
      </c>
      <c r="AE32" s="7">
        <f>SUMIFS(Data[Revenue],Data[Region],Region,Data[Month],CurMonth,Data[Year],CurYear,Data[Product Name],'Data Prep'!AD32)</f>
        <v>2140.9799999999996</v>
      </c>
      <c r="AF32" s="7">
        <f>SUMIFS(Data[Revenue],Data[Region],Region,Data[Month],PrevMonth,Data[Year],PMYear,Data[Product Name],'Data Prep'!$AD32)</f>
        <v>965.54</v>
      </c>
      <c r="AG32" s="7">
        <f t="shared" si="7"/>
        <v>1175.4399999999996</v>
      </c>
      <c r="AH32">
        <f t="shared" si="8"/>
        <v>7</v>
      </c>
      <c r="AI32">
        <f t="shared" si="9"/>
        <v>28</v>
      </c>
    </row>
    <row r="33" spans="30:35" x14ac:dyDescent="0.3">
      <c r="AD33" t="s">
        <v>42</v>
      </c>
      <c r="AE33" s="7">
        <f>SUMIFS(Data[Revenue],Data[Region],Region,Data[Month],CurMonth,Data[Year],CurYear,Data[Product Name],'Data Prep'!AD33)</f>
        <v>7243.47</v>
      </c>
      <c r="AF33" s="7">
        <f>SUMIFS(Data[Revenue],Data[Region],Region,Data[Month],PrevMonth,Data[Year],PMYear,Data[Product Name],'Data Prep'!$AD33)</f>
        <v>10521.42</v>
      </c>
      <c r="AG33" s="7">
        <f t="shared" si="7"/>
        <v>-3277.95</v>
      </c>
      <c r="AH33">
        <f t="shared" si="8"/>
        <v>34</v>
      </c>
      <c r="AI33">
        <f t="shared" si="9"/>
        <v>1</v>
      </c>
    </row>
    <row r="34" spans="30:35" x14ac:dyDescent="0.3">
      <c r="AD34" t="s">
        <v>41</v>
      </c>
      <c r="AE34" s="7">
        <f>SUMIFS(Data[Revenue],Data[Region],Region,Data[Month],CurMonth,Data[Year],CurYear,Data[Product Name],'Data Prep'!AD34)</f>
        <v>1188.81</v>
      </c>
      <c r="AF34" s="7">
        <f>SUMIFS(Data[Revenue],Data[Region],Region,Data[Month],PrevMonth,Data[Year],PMYear,Data[Product Name],'Data Prep'!$AD34)</f>
        <v>1398.6000000000001</v>
      </c>
      <c r="AG34" s="7">
        <f t="shared" si="7"/>
        <v>-209.79000000000019</v>
      </c>
      <c r="AH34">
        <f t="shared" si="8"/>
        <v>23</v>
      </c>
      <c r="AI34">
        <f t="shared" si="9"/>
        <v>12</v>
      </c>
    </row>
    <row r="35" spans="30:35" x14ac:dyDescent="0.3">
      <c r="AD35" t="s">
        <v>43</v>
      </c>
      <c r="AE35" s="7">
        <f>SUMIFS(Data[Revenue],Data[Region],Region,Data[Month],CurMonth,Data[Year],CurYear,Data[Product Name],'Data Prep'!AD35)</f>
        <v>4407.8999999999996</v>
      </c>
      <c r="AF35" s="7">
        <f>SUMIFS(Data[Revenue],Data[Region],Region,Data[Month],PrevMonth,Data[Year],PMYear,Data[Product Name],'Data Prep'!$AD35)</f>
        <v>1511.28</v>
      </c>
      <c r="AG35" s="7">
        <f t="shared" si="7"/>
        <v>2896.62</v>
      </c>
      <c r="AH35">
        <f t="shared" si="8"/>
        <v>2</v>
      </c>
      <c r="AI35">
        <f t="shared" si="9"/>
        <v>33</v>
      </c>
    </row>
    <row r="36" spans="30:35" x14ac:dyDescent="0.3">
      <c r="AD36" t="s">
        <v>69</v>
      </c>
      <c r="AE36" s="7">
        <f>SUMIFS(Data[Revenue],Data[Region],Region,Data[Month],CurMonth,Data[Year],CurYear,Data[Product Name],'Data Prep'!AD36)</f>
        <v>815.31999999999994</v>
      </c>
      <c r="AF36" s="7">
        <f>SUMIFS(Data[Revenue],Data[Region],Region,Data[Month],PrevMonth,Data[Year],PMYear,Data[Product Name],'Data Prep'!$AD36)</f>
        <v>1654.6200000000001</v>
      </c>
      <c r="AG36" s="7">
        <f t="shared" si="7"/>
        <v>-839.30000000000018</v>
      </c>
      <c r="AH36">
        <f t="shared" si="8"/>
        <v>29</v>
      </c>
      <c r="AI36">
        <f t="shared" si="9"/>
        <v>6</v>
      </c>
    </row>
  </sheetData>
  <sortState xmlns:xlrd2="http://schemas.microsoft.com/office/spreadsheetml/2017/richdata2" ref="P3:S12">
    <sortCondition ref="Q3:Q12"/>
  </sortState>
  <mergeCells count="9">
    <mergeCell ref="AD1:AI1"/>
    <mergeCell ref="AK1:AN1"/>
    <mergeCell ref="AK11:AN11"/>
    <mergeCell ref="V1:Z1"/>
    <mergeCell ref="A1:B1"/>
    <mergeCell ref="A7:B7"/>
    <mergeCell ref="D1:E1"/>
    <mergeCell ref="J1:M1"/>
    <mergeCell ref="P1:T1"/>
  </mergeCells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40" workbookViewId="0">
      <selection activeCell="B1" sqref="B1"/>
    </sheetView>
  </sheetViews>
  <sheetFormatPr defaultRowHeight="14.4" x14ac:dyDescent="0.3"/>
  <cols>
    <col min="5" max="5" width="11.6640625" customWidth="1"/>
  </cols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232" workbookViewId="0">
      <selection sqref="A1:J260"/>
    </sheetView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Dashboard</vt:lpstr>
      <vt:lpstr>Data</vt:lpstr>
      <vt:lpstr>Data Prep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URI fe</cp:lastModifiedBy>
  <dcterms:created xsi:type="dcterms:W3CDTF">2021-07-16T18:17:37Z</dcterms:created>
  <dcterms:modified xsi:type="dcterms:W3CDTF">2022-05-31T18:57:24Z</dcterms:modified>
</cp:coreProperties>
</file>