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3" codeName="{CEAC5D1E-EA50-3977-4720-3AE11EBBE5F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ales/Library/Mobile Documents/com~apple~CloudDocs/Documents/Educacion/cursos fing/Fluidodinámica/Practico/Guia 4/"/>
    </mc:Choice>
  </mc:AlternateContent>
  <xr:revisionPtr revIDLastSave="0" documentId="13_ncr:1_{95D7648A-1907-4846-973A-790240C7AE50}" xr6:coauthVersionLast="47" xr6:coauthVersionMax="47" xr10:uidLastSave="{00000000-0000-0000-0000-000000000000}"/>
  <bookViews>
    <workbookView xWindow="0" yWindow="760" windowWidth="30240" windowHeight="18880" activeTab="1" xr2:uid="{5FBF2500-6864-8F47-84B8-4742D25B6330}"/>
  </bookViews>
  <sheets>
    <sheet name="Punto Operación" sheetId="1" r:id="rId1"/>
    <sheet name="semejanza" sheetId="2" r:id="rId2"/>
    <sheet name="viscosidad" sheetId="3" r:id="rId3"/>
    <sheet name="Paralelo" sheetId="4" r:id="rId4"/>
  </sheets>
  <definedNames>
    <definedName name="solver_adj" localSheetId="0" hidden="1">'Punto Operación'!$C$49:$C$50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itr" localSheetId="0" hidden="1">2147483647</definedName>
    <definedName name="solver_lhs1" localSheetId="0" hidden="1">'Punto Operación'!$C$49</definedName>
    <definedName name="solver_lhs2" localSheetId="0" hidden="1">'Punto Operación'!$C$50</definedName>
    <definedName name="solver_lin" localSheetId="0" hidden="1">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2</definedName>
    <definedName name="solver_opt" localSheetId="0" hidden="1">'Punto Operación'!$B$54</definedName>
    <definedName name="solver_pre" localSheetId="0" hidden="1">0.000001</definedName>
    <definedName name="solver_rbv" localSheetId="0" hidden="1">1</definedName>
    <definedName name="solver_rel1" localSheetId="0" hidden="1">3</definedName>
    <definedName name="solver_rel2" localSheetId="0" hidden="1">3</definedName>
    <definedName name="solver_rhs1" localSheetId="0" hidden="1">0</definedName>
    <definedName name="solver_rhs2" localSheetId="0" hidden="1">0</definedName>
    <definedName name="solver_rlx" localSheetId="0" hidden="1">1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4" i="1" l="1"/>
  <c r="S9" i="4"/>
  <c r="S8" i="4"/>
  <c r="S6" i="4"/>
  <c r="S4" i="4"/>
  <c r="C104" i="1"/>
  <c r="C96" i="1"/>
  <c r="C95" i="1"/>
  <c r="C38" i="4"/>
  <c r="J5" i="4"/>
  <c r="J6" i="4"/>
  <c r="J7" i="4"/>
  <c r="J8" i="4"/>
  <c r="J9" i="4"/>
  <c r="J10" i="4"/>
  <c r="J4" i="4"/>
  <c r="C39" i="4"/>
  <c r="C40" i="4"/>
  <c r="C41" i="4"/>
  <c r="C42" i="4"/>
  <c r="C43" i="4"/>
  <c r="C44" i="4"/>
  <c r="C45" i="4"/>
  <c r="F5" i="4"/>
  <c r="F6" i="4"/>
  <c r="F7" i="4"/>
  <c r="F8" i="4"/>
  <c r="F9" i="4"/>
  <c r="F10" i="4"/>
  <c r="F4" i="4"/>
  <c r="C5" i="4"/>
  <c r="C6" i="4"/>
  <c r="C7" i="4"/>
  <c r="C8" i="4"/>
  <c r="C9" i="4"/>
  <c r="C10" i="4"/>
  <c r="C11" i="4"/>
  <c r="C4" i="4"/>
  <c r="C98" i="1"/>
  <c r="C2" i="1"/>
  <c r="C107" i="1"/>
  <c r="S33" i="4"/>
  <c r="S34" i="4"/>
  <c r="S35" i="4"/>
  <c r="S36" i="4"/>
  <c r="S37" i="4"/>
  <c r="S38" i="4"/>
  <c r="S32" i="4"/>
  <c r="S10" i="4"/>
  <c r="S5" i="4"/>
  <c r="S7" i="4"/>
  <c r="P54" i="3"/>
  <c r="P57" i="3"/>
  <c r="P56" i="3"/>
  <c r="P55" i="3"/>
  <c r="O60" i="3"/>
  <c r="O61" i="3"/>
  <c r="O62" i="3"/>
  <c r="O59" i="3"/>
  <c r="O57" i="3"/>
  <c r="O56" i="3"/>
  <c r="O55" i="3"/>
  <c r="O54" i="3"/>
  <c r="N57" i="3"/>
  <c r="N56" i="3"/>
  <c r="N55" i="3"/>
  <c r="N60" i="3" s="1"/>
  <c r="N54" i="3"/>
  <c r="N59" i="3" s="1"/>
  <c r="N61" i="3"/>
  <c r="N62" i="3"/>
  <c r="N47" i="3"/>
  <c r="N48" i="3"/>
  <c r="N46" i="3"/>
  <c r="N45" i="3"/>
  <c r="N44" i="3"/>
  <c r="N43" i="3"/>
  <c r="N41" i="3"/>
  <c r="N40" i="3"/>
  <c r="N37" i="3"/>
  <c r="N30" i="3"/>
  <c r="N29" i="3"/>
  <c r="N28" i="3"/>
  <c r="N13" i="3"/>
  <c r="N14" i="3"/>
  <c r="N15" i="3"/>
  <c r="N16" i="3"/>
  <c r="N17" i="3"/>
  <c r="N18" i="3"/>
  <c r="N19" i="3"/>
  <c r="N12" i="3"/>
  <c r="J8" i="2"/>
  <c r="J9" i="2"/>
  <c r="J10" i="2"/>
  <c r="J11" i="2"/>
  <c r="J12" i="2"/>
  <c r="J13" i="2"/>
  <c r="J14" i="2"/>
  <c r="J15" i="2"/>
  <c r="J16" i="2"/>
  <c r="J17" i="2"/>
  <c r="J7" i="2"/>
  <c r="H8" i="2"/>
  <c r="H9" i="2"/>
  <c r="H10" i="2"/>
  <c r="H11" i="2"/>
  <c r="H12" i="2"/>
  <c r="H13" i="2"/>
  <c r="H14" i="2"/>
  <c r="H15" i="2"/>
  <c r="H16" i="2"/>
  <c r="H17" i="2"/>
  <c r="H7" i="2"/>
  <c r="C17" i="2"/>
  <c r="F17" i="2"/>
  <c r="G17" i="2" s="1"/>
  <c r="C16" i="2"/>
  <c r="F16" i="2"/>
  <c r="G16" i="2" s="1"/>
  <c r="C15" i="2"/>
  <c r="F15" i="2"/>
  <c r="G15" i="2" s="1"/>
  <c r="C14" i="2"/>
  <c r="F14" i="2"/>
  <c r="G14" i="2" s="1"/>
  <c r="C13" i="2"/>
  <c r="F13" i="2"/>
  <c r="G13" i="2" s="1"/>
  <c r="F8" i="2"/>
  <c r="G8" i="2" s="1"/>
  <c r="F9" i="2"/>
  <c r="G9" i="2" s="1"/>
  <c r="F10" i="2"/>
  <c r="G10" i="2" s="1"/>
  <c r="F11" i="2"/>
  <c r="G11" i="2" s="1"/>
  <c r="F12" i="2"/>
  <c r="G12" i="2" s="1"/>
  <c r="F7" i="2"/>
  <c r="G7" i="2" s="1"/>
  <c r="C12" i="2"/>
  <c r="C11" i="2"/>
  <c r="C10" i="2"/>
  <c r="C9" i="2"/>
  <c r="C8" i="2"/>
  <c r="C7" i="2"/>
  <c r="H22" i="1"/>
  <c r="H18" i="1"/>
  <c r="H19" i="1"/>
  <c r="H20" i="1"/>
  <c r="H21" i="1"/>
  <c r="H17" i="1"/>
  <c r="E17" i="1"/>
  <c r="C41" i="1"/>
  <c r="C35" i="1"/>
  <c r="E18" i="1"/>
  <c r="E19" i="1"/>
  <c r="E20" i="1"/>
  <c r="E21" i="1"/>
  <c r="E22" i="1"/>
  <c r="D18" i="1"/>
  <c r="D19" i="1"/>
  <c r="D20" i="1"/>
  <c r="D21" i="1"/>
  <c r="D22" i="1"/>
  <c r="D17" i="1"/>
  <c r="C22" i="1"/>
  <c r="E50" i="1"/>
  <c r="C109" i="1" s="1"/>
  <c r="B52" i="1"/>
  <c r="D104" i="1"/>
  <c r="F104" i="1"/>
  <c r="G104" i="1" l="1"/>
  <c r="H104" i="1" s="1"/>
  <c r="B78" i="1"/>
  <c r="B53" i="1"/>
  <c r="B54" i="1" s="1"/>
  <c r="F37" i="1"/>
  <c r="F38" i="1"/>
  <c r="F39" i="1"/>
  <c r="F40" i="1"/>
  <c r="F41" i="1"/>
  <c r="F42" i="1"/>
  <c r="F43" i="1"/>
  <c r="F44" i="1"/>
  <c r="F45" i="1"/>
  <c r="F36" i="1"/>
  <c r="D35" i="1"/>
  <c r="C36" i="1"/>
  <c r="C37" i="1"/>
  <c r="C38" i="1"/>
  <c r="C39" i="1"/>
  <c r="C40" i="1"/>
  <c r="C42" i="1"/>
  <c r="C43" i="1"/>
  <c r="C44" i="1"/>
  <c r="C45" i="1"/>
  <c r="C18" i="1"/>
  <c r="C19" i="1"/>
  <c r="C20" i="1"/>
  <c r="C21" i="1"/>
  <c r="C17" i="1"/>
  <c r="G44" i="1" l="1"/>
  <c r="G38" i="1"/>
  <c r="H38" i="1" s="1"/>
  <c r="G39" i="1"/>
  <c r="H39" i="1" s="1"/>
  <c r="G37" i="1"/>
  <c r="H37" i="1" s="1"/>
  <c r="G36" i="1"/>
  <c r="H36" i="1" s="1"/>
  <c r="G45" i="1"/>
  <c r="H45" i="1" s="1"/>
  <c r="G43" i="1"/>
  <c r="H43" i="1" s="1"/>
  <c r="G42" i="1"/>
  <c r="H42" i="1" s="1"/>
  <c r="G41" i="1"/>
  <c r="H41" i="1" s="1"/>
  <c r="G40" i="1"/>
  <c r="H40" i="1" s="1"/>
  <c r="H44" i="1"/>
</calcChain>
</file>

<file path=xl/sharedStrings.xml><?xml version="1.0" encoding="utf-8"?>
<sst xmlns="http://schemas.openxmlformats.org/spreadsheetml/2006/main" count="161" uniqueCount="128">
  <si>
    <t>Q m3/seg</t>
  </si>
  <si>
    <t>Re</t>
  </si>
  <si>
    <t>d=</t>
  </si>
  <si>
    <t>m</t>
  </si>
  <si>
    <t>ni=</t>
  </si>
  <si>
    <t>m2/s</t>
  </si>
  <si>
    <t>e/D</t>
  </si>
  <si>
    <t>e=</t>
  </si>
  <si>
    <t>Tizq</t>
  </si>
  <si>
    <t>Tder</t>
  </si>
  <si>
    <t>dif</t>
  </si>
  <si>
    <t>f</t>
  </si>
  <si>
    <t>Punto de Operación</t>
  </si>
  <si>
    <t>m3/seg</t>
  </si>
  <si>
    <t>Factor de fricción. Colebrook</t>
  </si>
  <si>
    <t>Curva fabricante ^2</t>
  </si>
  <si>
    <t>Curva sistema ^2</t>
  </si>
  <si>
    <t>suma</t>
  </si>
  <si>
    <t>Q_op =</t>
  </si>
  <si>
    <t>H_op =</t>
  </si>
  <si>
    <t>Q^2</t>
  </si>
  <si>
    <t>Q^1</t>
  </si>
  <si>
    <t>Q^0</t>
  </si>
  <si>
    <t>Eficiencia</t>
  </si>
  <si>
    <t>NPSH</t>
  </si>
  <si>
    <t>%</t>
  </si>
  <si>
    <t>Z_A =</t>
  </si>
  <si>
    <t>P_A =</t>
  </si>
  <si>
    <t>rho.g =</t>
  </si>
  <si>
    <t>P_vap / (rho.g) =</t>
  </si>
  <si>
    <t>Z_s =</t>
  </si>
  <si>
    <t>D_s =</t>
  </si>
  <si>
    <t>K_s =</t>
  </si>
  <si>
    <t>Pa</t>
  </si>
  <si>
    <t>Pa/m</t>
  </si>
  <si>
    <t xml:space="preserve">NPSH_R = </t>
  </si>
  <si>
    <t xml:space="preserve">NPSH_D = </t>
  </si>
  <si>
    <t>La Bomba NO CAVITA</t>
  </si>
  <si>
    <t>Hbomba (m)</t>
  </si>
  <si>
    <t>Hsistema (m)</t>
  </si>
  <si>
    <t>efic. (%)</t>
  </si>
  <si>
    <t>NPSH_R (m)</t>
  </si>
  <si>
    <t>Q (m3/seg)</t>
  </si>
  <si>
    <t>Q (m3/h)</t>
  </si>
  <si>
    <t>m3/h</t>
  </si>
  <si>
    <t>El punto de operación cumple el servicio</t>
  </si>
  <si>
    <r>
      <t>y = 0,0133x</t>
    </r>
    <r>
      <rPr>
        <vertAlign val="superscript"/>
        <sz val="9"/>
        <color rgb="FF595959"/>
        <rFont val="Times New Roman"/>
        <family val="1"/>
      </rPr>
      <t>3</t>
    </r>
    <r>
      <rPr>
        <sz val="9"/>
        <color rgb="FF595959"/>
        <rFont val="Times New Roman"/>
        <family val="1"/>
      </rPr>
      <t xml:space="preserve"> - 0,76x</t>
    </r>
    <r>
      <rPr>
        <vertAlign val="superscript"/>
        <sz val="9"/>
        <color rgb="FF595959"/>
        <rFont val="Times New Roman"/>
        <family val="1"/>
      </rPr>
      <t>2</t>
    </r>
    <r>
      <rPr>
        <sz val="9"/>
        <color rgb="FF595959"/>
        <rFont val="Times New Roman"/>
        <family val="1"/>
      </rPr>
      <t xml:space="preserve"> + 13,067x - 8</t>
    </r>
  </si>
  <si>
    <r>
      <rPr>
        <sz val="9"/>
        <color theme="1"/>
        <rFont val="Times New Roman"/>
        <family val="1"/>
      </rPr>
      <t>y = 0,0332x</t>
    </r>
    <r>
      <rPr>
        <vertAlign val="superscript"/>
        <sz val="9"/>
        <color theme="1"/>
        <rFont val="Times New Roman"/>
        <family val="1"/>
      </rPr>
      <t>2</t>
    </r>
    <r>
      <rPr>
        <sz val="9"/>
        <color theme="1"/>
        <rFont val="Times New Roman"/>
        <family val="1"/>
      </rPr>
      <t xml:space="preserve"> - 0,5401x + 3,9182</t>
    </r>
  </si>
  <si>
    <t>acero comercial</t>
  </si>
  <si>
    <t>Q_1 (m3/seg)</t>
  </si>
  <si>
    <t>H_1 bomba (m)</t>
  </si>
  <si>
    <t>Q_1  (m3/h)</t>
  </si>
  <si>
    <t>N_1 =</t>
  </si>
  <si>
    <t>N_2 =</t>
  </si>
  <si>
    <t>Q_2  (m3/h)</t>
  </si>
  <si>
    <t>Q_2 (m3/seg)</t>
  </si>
  <si>
    <t>H_2 bomba (m)</t>
  </si>
  <si>
    <t>RPM</t>
  </si>
  <si>
    <t>bomba a N1, datos fabricante</t>
  </si>
  <si>
    <t>bomba a N2, similitud</t>
  </si>
  <si>
    <t>H_sistema (m)</t>
  </si>
  <si>
    <t>eta</t>
  </si>
  <si>
    <t>H (ft)</t>
  </si>
  <si>
    <t>Q (gpm)</t>
  </si>
  <si>
    <t>Q (100 gpm)</t>
  </si>
  <si>
    <t>bep</t>
  </si>
  <si>
    <t>100 gpm</t>
  </si>
  <si>
    <t>eta_w_bep =</t>
  </si>
  <si>
    <t>Q_w_bep =</t>
  </si>
  <si>
    <t>H_w_i</t>
  </si>
  <si>
    <t>eta_w_i</t>
  </si>
  <si>
    <t>rho =</t>
  </si>
  <si>
    <t>g/cm3</t>
  </si>
  <si>
    <t>mu =</t>
  </si>
  <si>
    <t>cP</t>
  </si>
  <si>
    <t>ni =</t>
  </si>
  <si>
    <t>cst</t>
  </si>
  <si>
    <t>centipoise</t>
  </si>
  <si>
    <t>CGS</t>
  </si>
  <si>
    <t>centistokes</t>
  </si>
  <si>
    <t>y =</t>
  </si>
  <si>
    <t>Q* =</t>
  </si>
  <si>
    <t>CQ =</t>
  </si>
  <si>
    <t>H_w_bep =</t>
  </si>
  <si>
    <t>ft</t>
  </si>
  <si>
    <t>CH_o_0,6 =</t>
  </si>
  <si>
    <t>CH_o_0,8 =</t>
  </si>
  <si>
    <t>CH_o_1,0 =</t>
  </si>
  <si>
    <t>CH_o_1,2 =</t>
  </si>
  <si>
    <t>C_eta_o =</t>
  </si>
  <si>
    <t>Q_w_i</t>
  </si>
  <si>
    <t xml:space="preserve">i = 1.2 </t>
  </si>
  <si>
    <t>i = 0,8</t>
  </si>
  <si>
    <t>i = 0,6</t>
  </si>
  <si>
    <t xml:space="preserve">  i = 1.0</t>
  </si>
  <si>
    <t>eta_o_i</t>
  </si>
  <si>
    <t>Q_o_i (100 gpm)</t>
  </si>
  <si>
    <t>Q_o_i (m3/h)</t>
  </si>
  <si>
    <t>H_o_i (ft)</t>
  </si>
  <si>
    <t>H_o_i (m)</t>
  </si>
  <si>
    <t>Bomba 1</t>
  </si>
  <si>
    <t>Q</t>
  </si>
  <si>
    <t>H</t>
  </si>
  <si>
    <t>NPSHr</t>
  </si>
  <si>
    <t>Bomba 2</t>
  </si>
  <si>
    <r>
      <t>H1 = -0,0485Q^</t>
    </r>
    <r>
      <rPr>
        <b/>
        <vertAlign val="superscript"/>
        <sz val="12"/>
        <color rgb="FF595959"/>
        <rFont val="Aptos Narrow (Body)"/>
      </rPr>
      <t>2</t>
    </r>
    <r>
      <rPr>
        <b/>
        <sz val="12"/>
        <color rgb="FF595959"/>
        <rFont val="Aptos Narrow (Body)"/>
      </rPr>
      <t xml:space="preserve"> - 0,1446Q + 21,355</t>
    </r>
  </si>
  <si>
    <r>
      <t>H2 = -0,1577Q^</t>
    </r>
    <r>
      <rPr>
        <b/>
        <vertAlign val="superscript"/>
        <sz val="12"/>
        <color rgb="FF595959"/>
        <rFont val="Aptos Narrow (Body)"/>
      </rPr>
      <t>2</t>
    </r>
    <r>
      <rPr>
        <b/>
        <sz val="12"/>
        <color rgb="FF595959"/>
        <rFont val="Aptos Narrow (Body)"/>
      </rPr>
      <t xml:space="preserve"> + 0,5012Q + 36,9</t>
    </r>
  </si>
  <si>
    <t>Sistema hmin Delta(z max)</t>
  </si>
  <si>
    <t>Dz</t>
  </si>
  <si>
    <t>Dp</t>
  </si>
  <si>
    <t>Rho</t>
  </si>
  <si>
    <t>g</t>
  </si>
  <si>
    <t>Leq</t>
  </si>
  <si>
    <t>Dint</t>
  </si>
  <si>
    <t>Sistema en paralelo</t>
  </si>
  <si>
    <t xml:space="preserve">a= </t>
  </si>
  <si>
    <t>b=</t>
  </si>
  <si>
    <t>c=</t>
  </si>
  <si>
    <t>HB1</t>
  </si>
  <si>
    <t>QB1</t>
  </si>
  <si>
    <t>QB2</t>
  </si>
  <si>
    <t>Qpar</t>
  </si>
  <si>
    <t>Sistema en serie</t>
  </si>
  <si>
    <t>Hb2</t>
  </si>
  <si>
    <t>Hb1</t>
  </si>
  <si>
    <t>H_serie</t>
  </si>
  <si>
    <t>Leq_s =</t>
  </si>
  <si>
    <t>Bomba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</si>
</sst>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0"/>
    <numFmt numFmtId="165" formatCode="0.0000"/>
    <numFmt numFmtId="166" formatCode="0.0"/>
    <numFmt numFmtId="167" formatCode="0.000"/>
    <numFmt numFmtId="168" formatCode="0.0000000000"/>
  </numFmts>
  <fonts count="12" x14ac:knownFonts="1">
    <font>
      <sz val="12"/>
      <color theme="1"/>
      <name val="Aptos Narrow"/>
      <family val="2"/>
      <scheme val="minor"/>
    </font>
    <font>
      <sz val="12"/>
      <color rgb="FF000000"/>
      <name val="Aptos Narrow"/>
      <family val="2"/>
      <scheme val="minor"/>
    </font>
    <font>
      <sz val="9"/>
      <color rgb="FF595959"/>
      <name val="Aptos Narrow"/>
      <scheme val="minor"/>
    </font>
    <font>
      <sz val="12"/>
      <name val="Aptos Narrow"/>
      <family val="2"/>
      <scheme val="minor"/>
    </font>
    <font>
      <sz val="19.2"/>
      <color rgb="FF000000"/>
      <name val="Times New Roman"/>
      <family val="1"/>
    </font>
    <font>
      <sz val="9"/>
      <color rgb="FF595959"/>
      <name val="Times New Roman"/>
      <family val="1"/>
    </font>
    <font>
      <vertAlign val="superscript"/>
      <sz val="9"/>
      <color rgb="FF595959"/>
      <name val="Times New Roman"/>
      <family val="1"/>
    </font>
    <font>
      <sz val="9"/>
      <color theme="1"/>
      <name val="Times New Roman"/>
      <family val="1"/>
    </font>
    <font>
      <vertAlign val="superscript"/>
      <sz val="9"/>
      <color theme="1"/>
      <name val="Times New Roman"/>
      <family val="1"/>
    </font>
    <font>
      <sz val="8"/>
      <name val="Aptos Narrow"/>
      <family val="2"/>
      <scheme val="minor"/>
    </font>
    <font>
      <b/>
      <sz val="12"/>
      <color rgb="FF595959"/>
      <name val="Aptos Narrow (Body)"/>
    </font>
    <font>
      <b/>
      <vertAlign val="superscript"/>
      <sz val="12"/>
      <color rgb="FF595959"/>
      <name val="Aptos Narrow (Body)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44">
    <xf numFmtId="0" fontId="0" fillId="0" borderId="0" xfId="0"/>
    <xf numFmtId="11" fontId="0" fillId="0" borderId="0" xfId="0" applyNumberFormat="1"/>
    <xf numFmtId="0" fontId="0" fillId="2" borderId="1" xfId="0" applyFill="1" applyBorder="1"/>
    <xf numFmtId="0" fontId="0" fillId="0" borderId="1" xfId="0" applyBorder="1"/>
    <xf numFmtId="11" fontId="0" fillId="0" borderId="1" xfId="0" applyNumberFormat="1" applyBorder="1"/>
    <xf numFmtId="0" fontId="1" fillId="0" borderId="1" xfId="0" applyFont="1" applyBorder="1"/>
    <xf numFmtId="0" fontId="0" fillId="3" borderId="1" xfId="0" applyFill="1" applyBorder="1"/>
    <xf numFmtId="0" fontId="0" fillId="3" borderId="1" xfId="0" applyFill="1" applyBorder="1" applyAlignment="1">
      <alignment horizontal="right"/>
    </xf>
    <xf numFmtId="0" fontId="0" fillId="2" borderId="1" xfId="0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1" fillId="4" borderId="1" xfId="0" applyFont="1" applyFill="1" applyBorder="1"/>
    <xf numFmtId="0" fontId="0" fillId="4" borderId="1" xfId="0" applyFill="1" applyBorder="1"/>
    <xf numFmtId="0" fontId="2" fillId="0" borderId="0" xfId="0" applyFont="1" applyAlignment="1">
      <alignment horizontal="center" vertical="center" readingOrder="1"/>
    </xf>
    <xf numFmtId="0" fontId="0" fillId="5" borderId="1" xfId="0" applyFill="1" applyBorder="1"/>
    <xf numFmtId="165" fontId="0" fillId="3" borderId="1" xfId="0" applyNumberFormat="1" applyFill="1" applyBorder="1"/>
    <xf numFmtId="0" fontId="0" fillId="3" borderId="0" xfId="0" applyFill="1"/>
    <xf numFmtId="2" fontId="0" fillId="3" borderId="1" xfId="0" applyNumberFormat="1" applyFill="1" applyBorder="1"/>
    <xf numFmtId="164" fontId="0" fillId="3" borderId="1" xfId="0" applyNumberFormat="1" applyFill="1" applyBorder="1"/>
    <xf numFmtId="166" fontId="0" fillId="3" borderId="1" xfId="0" applyNumberFormat="1" applyFill="1" applyBorder="1"/>
    <xf numFmtId="166" fontId="0" fillId="0" borderId="1" xfId="0" applyNumberFormat="1" applyBorder="1"/>
    <xf numFmtId="2" fontId="0" fillId="0" borderId="0" xfId="0" applyNumberFormat="1"/>
    <xf numFmtId="0" fontId="3" fillId="6" borderId="1" xfId="0" applyFont="1" applyFill="1" applyBorder="1"/>
    <xf numFmtId="165" fontId="3" fillId="6" borderId="1" xfId="0" applyNumberFormat="1" applyFont="1" applyFill="1" applyBorder="1"/>
    <xf numFmtId="2" fontId="0" fillId="0" borderId="1" xfId="0" applyNumberFormat="1" applyBorder="1"/>
    <xf numFmtId="0" fontId="5" fillId="0" borderId="0" xfId="0" applyFont="1" applyAlignment="1">
      <alignment horizontal="left" vertical="center" readingOrder="1"/>
    </xf>
    <xf numFmtId="0" fontId="7" fillId="0" borderId="0" xfId="0" applyFont="1"/>
    <xf numFmtId="0" fontId="0" fillId="0" borderId="0" xfId="0" applyAlignment="1">
      <alignment horizontal="right"/>
    </xf>
    <xf numFmtId="167" fontId="0" fillId="0" borderId="1" xfId="0" applyNumberFormat="1" applyBorder="1"/>
    <xf numFmtId="168" fontId="0" fillId="0" borderId="1" xfId="0" applyNumberFormat="1" applyBorder="1"/>
    <xf numFmtId="168" fontId="0" fillId="0" borderId="0" xfId="0" applyNumberFormat="1"/>
    <xf numFmtId="0" fontId="0" fillId="4" borderId="2" xfId="0" applyFill="1" applyBorder="1"/>
    <xf numFmtId="0" fontId="0" fillId="4" borderId="3" xfId="0" applyFill="1" applyBorder="1" applyAlignment="1">
      <alignment horizontal="center"/>
    </xf>
    <xf numFmtId="0" fontId="0" fillId="4" borderId="4" xfId="0" applyFill="1" applyBorder="1"/>
    <xf numFmtId="0" fontId="0" fillId="4" borderId="5" xfId="0" applyFill="1" applyBorder="1"/>
    <xf numFmtId="0" fontId="0" fillId="8" borderId="1" xfId="0" applyFill="1" applyBorder="1"/>
    <xf numFmtId="0" fontId="0" fillId="4" borderId="1" xfId="0" applyFill="1" applyBorder="1" applyAlignment="1">
      <alignment horizontal="center"/>
    </xf>
    <xf numFmtId="0" fontId="0" fillId="7" borderId="1" xfId="0" applyFill="1" applyBorder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0" fillId="8" borderId="0" xfId="0" applyFill="1"/>
    <xf numFmtId="0" fontId="0" fillId="8" borderId="1" xfId="0" applyFill="1" applyBorder="1" applyAlignment="1">
      <alignment horizontal="center"/>
    </xf>
    <xf numFmtId="166" fontId="0" fillId="0" borderId="0" xfId="0" applyNumberFormat="1"/>
    <xf numFmtId="0" fontId="10" fillId="0" borderId="0" xfId="0" applyFont="1" applyAlignment="1">
      <alignment horizontal="left" vertical="center" readingOrder="1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/>
              <a:t>Punto Operación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Y"/>
        </a:p>
      </c:txPr>
    </c:title>
    <c:autoTitleDeleted val="0"/>
    <c:plotArea>
      <c:layout>
        <c:manualLayout>
          <c:layoutTarget val="inner"/>
          <c:xMode val="edge"/>
          <c:yMode val="edge"/>
          <c:x val="5.6723791878956306E-2"/>
          <c:y val="0.17966017176503379"/>
          <c:w val="0.91133503165045548"/>
          <c:h val="0.77023399937286596"/>
        </c:manualLayout>
      </c:layout>
      <c:scatterChart>
        <c:scatterStyle val="lineMarker"/>
        <c:varyColors val="0"/>
        <c:ser>
          <c:idx val="0"/>
          <c:order val="0"/>
          <c:tx>
            <c:strRef>
              <c:f>'Punto Operación'!$D$16</c:f>
              <c:strCache>
                <c:ptCount val="1"/>
                <c:pt idx="0">
                  <c:v>Hbomba (m)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trendline>
            <c:spPr>
              <a:ln w="9525" cap="rnd">
                <a:solidFill>
                  <a:schemeClr val="accent1"/>
                </a:solidFill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8.7967069046447216E-2"/>
                  <c:y val="-0.1435658112423201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Y"/>
                </a:p>
              </c:txPr>
            </c:trendlineLbl>
          </c:trendline>
          <c:xVal>
            <c:numRef>
              <c:f>'Punto Operación'!$C$17:$C$27</c:f>
              <c:numCache>
                <c:formatCode>General</c:formatCode>
                <c:ptCount val="11"/>
                <c:pt idx="0">
                  <c:v>0</c:v>
                </c:pt>
                <c:pt idx="1">
                  <c:v>1.3888888888888889E-3</c:v>
                </c:pt>
                <c:pt idx="2">
                  <c:v>2.7777777777777779E-3</c:v>
                </c:pt>
                <c:pt idx="3">
                  <c:v>4.1666666666666666E-3</c:v>
                </c:pt>
                <c:pt idx="4">
                  <c:v>5.5555555555555558E-3</c:v>
                </c:pt>
                <c:pt idx="5">
                  <c:v>6.9444444444444441E-3</c:v>
                </c:pt>
              </c:numCache>
            </c:numRef>
          </c:xVal>
          <c:yVal>
            <c:numRef>
              <c:f>'Punto Operación'!$D$17:$D$27</c:f>
              <c:numCache>
                <c:formatCode>0.00</c:formatCode>
                <c:ptCount val="11"/>
                <c:pt idx="0">
                  <c:v>9.6</c:v>
                </c:pt>
                <c:pt idx="1">
                  <c:v>9.7974999999999994</c:v>
                </c:pt>
                <c:pt idx="2">
                  <c:v>9.1</c:v>
                </c:pt>
                <c:pt idx="3">
                  <c:v>7.5075000000000003</c:v>
                </c:pt>
                <c:pt idx="4">
                  <c:v>5.0199999999999996</c:v>
                </c:pt>
                <c:pt idx="5">
                  <c:v>1.6374999999999993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F3-7A49-A085-FCB01FF8B87F}"/>
            </c:ext>
          </c:extLst>
        </c:ser>
        <c:ser>
          <c:idx val="1"/>
          <c:order val="1"/>
          <c:tx>
            <c:strRef>
              <c:f>'Punto Operación'!$E$16</c:f>
              <c:strCache>
                <c:ptCount val="1"/>
                <c:pt idx="0">
                  <c:v>Hsistema (m)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6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trendline>
            <c:spPr>
              <a:ln w="9525" cap="rnd">
                <a:solidFill>
                  <a:schemeClr val="accent2"/>
                </a:solidFill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-0.53199437992563081"/>
                  <c:y val="0.2990897997079567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Y"/>
                </a:p>
              </c:txPr>
            </c:trendlineLbl>
          </c:trendline>
          <c:xVal>
            <c:numRef>
              <c:f>'Punto Operación'!$C$17:$C$27</c:f>
              <c:numCache>
                <c:formatCode>General</c:formatCode>
                <c:ptCount val="11"/>
                <c:pt idx="0">
                  <c:v>0</c:v>
                </c:pt>
                <c:pt idx="1">
                  <c:v>1.3888888888888889E-3</c:v>
                </c:pt>
                <c:pt idx="2">
                  <c:v>2.7777777777777779E-3</c:v>
                </c:pt>
                <c:pt idx="3">
                  <c:v>4.1666666666666666E-3</c:v>
                </c:pt>
                <c:pt idx="4">
                  <c:v>5.5555555555555558E-3</c:v>
                </c:pt>
                <c:pt idx="5">
                  <c:v>6.9444444444444441E-3</c:v>
                </c:pt>
              </c:numCache>
            </c:numRef>
          </c:xVal>
          <c:yVal>
            <c:numRef>
              <c:f>'Punto Operación'!$E$17:$E$27</c:f>
              <c:numCache>
                <c:formatCode>0.00</c:formatCode>
                <c:ptCount val="11"/>
                <c:pt idx="0">
                  <c:v>7</c:v>
                </c:pt>
                <c:pt idx="1">
                  <c:v>7.5490504012345676</c:v>
                </c:pt>
                <c:pt idx="2">
                  <c:v>9.0624293253086421</c:v>
                </c:pt>
                <c:pt idx="3">
                  <c:v>11.450368531944445</c:v>
                </c:pt>
                <c:pt idx="4">
                  <c:v>14.721668829012346</c:v>
                </c:pt>
                <c:pt idx="5">
                  <c:v>18.878090378086419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F3-7A49-A085-FCB01FF8B87F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triangle"/>
            <c:size val="6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trendline>
            <c:spPr>
              <a:ln w="9525" cap="rnd">
                <a:solidFill>
                  <a:schemeClr val="accent3"/>
                </a:solidFill>
              </a:ln>
              <a:effectLst/>
            </c:spPr>
            <c:trendlineType val="poly"/>
            <c:order val="2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Y"/>
                </a:p>
              </c:txPr>
            </c:trendlineLbl>
          </c:trendline>
          <c:xVal>
            <c:numRef>
              <c:f>'Punto Operación'!$C$17:$C$22</c:f>
              <c:numCache>
                <c:formatCode>General</c:formatCode>
                <c:ptCount val="6"/>
                <c:pt idx="0">
                  <c:v>0</c:v>
                </c:pt>
                <c:pt idx="1">
                  <c:v>1.3888888888888889E-3</c:v>
                </c:pt>
                <c:pt idx="2">
                  <c:v>2.7777777777777779E-3</c:v>
                </c:pt>
                <c:pt idx="3">
                  <c:v>4.1666666666666666E-3</c:v>
                </c:pt>
                <c:pt idx="4">
                  <c:v>5.5555555555555558E-3</c:v>
                </c:pt>
                <c:pt idx="5">
                  <c:v>6.9444444444444441E-3</c:v>
                </c:pt>
              </c:numCache>
            </c:numRef>
          </c:xVal>
          <c:yVal>
            <c:numRef>
              <c:f>'Punto Operación'!$H$17:$H$22</c:f>
              <c:numCache>
                <c:formatCode>0.00</c:formatCode>
                <c:ptCount val="6"/>
                <c:pt idx="0">
                  <c:v>3.5</c:v>
                </c:pt>
                <c:pt idx="1">
                  <c:v>4.0490504012345676</c:v>
                </c:pt>
                <c:pt idx="2">
                  <c:v>5.5624293253086421</c:v>
                </c:pt>
                <c:pt idx="3">
                  <c:v>7.950368531944445</c:v>
                </c:pt>
                <c:pt idx="4">
                  <c:v>11.221668829012346</c:v>
                </c:pt>
                <c:pt idx="5">
                  <c:v>15.378090378086418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D8-2448-8F2C-483A1B6A9C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2549408"/>
        <c:axId val="1392998784"/>
      </c:scatterChart>
      <c:valAx>
        <c:axId val="1392549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Y"/>
          </a:p>
        </c:txPr>
        <c:crossAx val="1392998784"/>
        <c:crosses val="autoZero"/>
        <c:crossBetween val="midCat"/>
      </c:valAx>
      <c:valAx>
        <c:axId val="1392998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Y"/>
          </a:p>
        </c:txPr>
        <c:crossAx val="13925494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Y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en-UY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/>
              <a:t>eficiencia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Y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Y"/>
                </a:p>
              </c:txPr>
            </c:trendlineLbl>
          </c:trendline>
          <c:xVal>
            <c:numRef>
              <c:f>'Punto Operación'!$B$18:$B$21</c:f>
              <c:numCache>
                <c:formatCode>General</c:formatCode>
                <c:ptCount val="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</c:numCache>
            </c:numRef>
          </c:xVal>
          <c:yVal>
            <c:numRef>
              <c:f>'Punto Operación'!$F$18:$F$21</c:f>
              <c:numCache>
                <c:formatCode>General</c:formatCode>
                <c:ptCount val="4"/>
                <c:pt idx="0">
                  <c:v>40</c:v>
                </c:pt>
                <c:pt idx="1">
                  <c:v>60</c:v>
                </c:pt>
                <c:pt idx="2">
                  <c:v>62</c:v>
                </c:pt>
                <c:pt idx="3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F4-D648-82C8-1CD08C598D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310543"/>
        <c:axId val="862579167"/>
      </c:scatterChart>
      <c:valAx>
        <c:axId val="862310543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out"/>
        <c:tickLblPos val="nextTo"/>
        <c:spPr>
          <a:solidFill>
            <a:schemeClr val="bg1"/>
          </a:solidFill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Y"/>
          </a:p>
        </c:txPr>
        <c:crossAx val="862579167"/>
        <c:crosses val="autoZero"/>
        <c:crossBetween val="midCat"/>
      </c:valAx>
      <c:valAx>
        <c:axId val="862579167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Y"/>
          </a:p>
        </c:txPr>
        <c:crossAx val="86231054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en-UY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flat" cmpd="dbl" algn="ctr">
              <a:noFill/>
              <a:round/>
            </a:ln>
            <a:effectLst/>
          </c:spPr>
          <c:marker>
            <c:symbol val="x"/>
            <c:size val="6"/>
            <c:spPr>
              <a:noFill/>
              <a:ln w="34925" cap="flat" cmpd="dbl" algn="ctr">
                <a:solidFill>
                  <a:schemeClr val="accent1"/>
                </a:solidFill>
                <a:round/>
              </a:ln>
              <a:effectLst/>
            </c:spPr>
          </c:marker>
          <c:trendline>
            <c:spPr>
              <a:ln w="38100" cap="rnd" cmpd="sng" algn="ctr">
                <a:solidFill>
                  <a:schemeClr val="accent1">
                    <a:lumMod val="75000"/>
                    <a:alpha val="25000"/>
                  </a:schemeClr>
                </a:solidFill>
                <a:round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Y"/>
                </a:p>
              </c:txPr>
            </c:trendlineLbl>
          </c:trendline>
          <c:xVal>
            <c:numRef>
              <c:f>'Punto Operación'!$B$18:$B$21</c:f>
              <c:numCache>
                <c:formatCode>General</c:formatCode>
                <c:ptCount val="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</c:numCache>
            </c:numRef>
          </c:xVal>
          <c:yVal>
            <c:numRef>
              <c:f>'Punto Operación'!$G$18:$G$21</c:f>
              <c:numCache>
                <c:formatCode>0.0</c:formatCode>
                <c:ptCount val="4"/>
                <c:pt idx="0">
                  <c:v>2</c:v>
                </c:pt>
                <c:pt idx="1">
                  <c:v>2</c:v>
                </c:pt>
                <c:pt idx="2">
                  <c:v>3</c:v>
                </c:pt>
                <c:pt idx="3">
                  <c:v>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744-B440-BF8A-39BA1C88B9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371792"/>
        <c:axId val="588638912"/>
      </c:scatterChart>
      <c:valAx>
        <c:axId val="196371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accen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Y"/>
          </a:p>
        </c:txPr>
        <c:crossAx val="588638912"/>
        <c:crosses val="autoZero"/>
        <c:crossBetween val="midCat"/>
      </c:valAx>
      <c:valAx>
        <c:axId val="588638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" sourceLinked="1"/>
        <c:majorTickMark val="out"/>
        <c:minorTickMark val="out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Y"/>
          </a:p>
        </c:txPr>
        <c:crossAx val="1963717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Y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Y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N1</c:v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-0.58888695340482122"/>
                  <c:y val="-0.2760593743349649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Y"/>
                </a:p>
              </c:txPr>
            </c:trendlineLbl>
          </c:trendline>
          <c:xVal>
            <c:numRef>
              <c:f>semejanza!$B$7:$B$14</c:f>
              <c:numCache>
                <c:formatCode>0.00</c:formatCode>
                <c:ptCount val="8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</c:numCache>
            </c:numRef>
          </c:xVal>
          <c:yVal>
            <c:numRef>
              <c:f>semejanza!$D$7:$D$14</c:f>
              <c:numCache>
                <c:formatCode>0.000</c:formatCode>
                <c:ptCount val="8"/>
                <c:pt idx="0">
                  <c:v>120</c:v>
                </c:pt>
                <c:pt idx="1">
                  <c:v>117.4</c:v>
                </c:pt>
                <c:pt idx="2">
                  <c:v>114.3</c:v>
                </c:pt>
                <c:pt idx="3">
                  <c:v>110</c:v>
                </c:pt>
                <c:pt idx="4">
                  <c:v>104</c:v>
                </c:pt>
                <c:pt idx="5">
                  <c:v>95.8</c:v>
                </c:pt>
                <c:pt idx="6">
                  <c:v>84.8</c:v>
                </c:pt>
                <c:pt idx="7">
                  <c:v>70.3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CF-5946-B3FE-E10C0E7AC01F}"/>
            </c:ext>
          </c:extLst>
        </c:ser>
        <c:ser>
          <c:idx val="5"/>
          <c:order val="1"/>
          <c:tx>
            <c:v>N2</c:v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-0.42421642613324118"/>
                  <c:y val="-9.5070014896786556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Y"/>
                </a:p>
              </c:txPr>
            </c:trendlineLbl>
          </c:trendline>
          <c:xVal>
            <c:numRef>
              <c:f>semejanza!$F$7:$F$14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semejanza!$H$7:$H$14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CCF-5946-B3FE-E10C0E7AC01F}"/>
            </c:ext>
          </c:extLst>
        </c:ser>
        <c:ser>
          <c:idx val="1"/>
          <c:order val="2"/>
          <c:tx>
            <c:v>Sistema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Y"/>
                </a:p>
              </c:txPr>
            </c:trendlineLbl>
          </c:trendline>
          <c:xVal>
            <c:numRef>
              <c:f>semejanza!$B$7:$B$14</c:f>
              <c:numCache>
                <c:formatCode>0.00</c:formatCode>
                <c:ptCount val="8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</c:numCache>
            </c:numRef>
          </c:xVal>
          <c:yVal>
            <c:numRef>
              <c:f>semejanza!$J$7:$J$14</c:f>
              <c:numCache>
                <c:formatCode>General</c:formatCode>
                <c:ptCount val="8"/>
                <c:pt idx="0">
                  <c:v>20</c:v>
                </c:pt>
                <c:pt idx="1">
                  <c:v>22.5</c:v>
                </c:pt>
                <c:pt idx="2">
                  <c:v>30</c:v>
                </c:pt>
                <c:pt idx="3">
                  <c:v>42.5</c:v>
                </c:pt>
                <c:pt idx="4">
                  <c:v>60</c:v>
                </c:pt>
                <c:pt idx="5">
                  <c:v>82.5</c:v>
                </c:pt>
                <c:pt idx="6">
                  <c:v>110</c:v>
                </c:pt>
                <c:pt idx="7">
                  <c:v>142.5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CCF-5946-B3FE-E10C0E7AC0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9027967"/>
        <c:axId val="1191424655"/>
      </c:scatterChart>
      <c:valAx>
        <c:axId val="18690279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Y"/>
          </a:p>
        </c:txPr>
        <c:crossAx val="1191424655"/>
        <c:crosses val="autoZero"/>
        <c:crossBetween val="midCat"/>
      </c:valAx>
      <c:valAx>
        <c:axId val="1191424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Y"/>
          </a:p>
        </c:txPr>
        <c:crossAx val="186902796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Y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Y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Bomba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Y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Paralelo!$B$4:$B$11</c:f>
              <c:numCache>
                <c:formatCode>0.0</c:formatCode>
                <c:ptCount val="8"/>
                <c:pt idx="0">
                  <c:v>4</c:v>
                </c:pt>
                <c:pt idx="1">
                  <c:v>6</c:v>
                </c:pt>
                <c:pt idx="2">
                  <c:v>8</c:v>
                </c:pt>
                <c:pt idx="3">
                  <c:v>10</c:v>
                </c:pt>
                <c:pt idx="4">
                  <c:v>12</c:v>
                </c:pt>
                <c:pt idx="5">
                  <c:v>14</c:v>
                </c:pt>
                <c:pt idx="6">
                  <c:v>16</c:v>
                </c:pt>
                <c:pt idx="7">
                  <c:v>18</c:v>
                </c:pt>
              </c:numCache>
            </c:numRef>
          </c:xVal>
          <c:yVal>
            <c:numRef>
              <c:f>Paralelo!$C$4:$C$11</c:f>
              <c:numCache>
                <c:formatCode>0.0</c:formatCode>
                <c:ptCount val="8"/>
                <c:pt idx="0">
                  <c:v>37.051599999999993</c:v>
                </c:pt>
                <c:pt idx="1">
                  <c:v>36.704199999999993</c:v>
                </c:pt>
                <c:pt idx="2">
                  <c:v>36.207999999999998</c:v>
                </c:pt>
                <c:pt idx="3">
                  <c:v>35.562999999999995</c:v>
                </c:pt>
                <c:pt idx="4">
                  <c:v>34.769199999999998</c:v>
                </c:pt>
                <c:pt idx="5">
                  <c:v>33.826599999999992</c:v>
                </c:pt>
                <c:pt idx="6">
                  <c:v>32.735199999999999</c:v>
                </c:pt>
                <c:pt idx="7">
                  <c:v>31.495000000000001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71-CB4C-BB1F-C80BB27BC2A9}"/>
            </c:ext>
          </c:extLst>
        </c:ser>
        <c:ser>
          <c:idx val="1"/>
          <c:order val="1"/>
          <c:tx>
            <c:v>Sistema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Paralelo!$B$4:$B$11</c:f>
              <c:numCache>
                <c:formatCode>0.0</c:formatCode>
                <c:ptCount val="8"/>
                <c:pt idx="0">
                  <c:v>4</c:v>
                </c:pt>
                <c:pt idx="1">
                  <c:v>6</c:v>
                </c:pt>
                <c:pt idx="2">
                  <c:v>8</c:v>
                </c:pt>
                <c:pt idx="3">
                  <c:v>10</c:v>
                </c:pt>
                <c:pt idx="4">
                  <c:v>12</c:v>
                </c:pt>
                <c:pt idx="5">
                  <c:v>14</c:v>
                </c:pt>
                <c:pt idx="6">
                  <c:v>16</c:v>
                </c:pt>
                <c:pt idx="7">
                  <c:v>18</c:v>
                </c:pt>
              </c:numCache>
            </c:numRef>
          </c:xVal>
          <c:yVal>
            <c:numRef>
              <c:f>Paralelo!$C$38:$C$45</c:f>
              <c:numCache>
                <c:formatCode>0.00E+00</c:formatCode>
                <c:ptCount val="8"/>
                <c:pt idx="0">
                  <c:v>26.4</c:v>
                </c:pt>
                <c:pt idx="1">
                  <c:v>26.9</c:v>
                </c:pt>
                <c:pt idx="2">
                  <c:v>27.6</c:v>
                </c:pt>
                <c:pt idx="3">
                  <c:v>28.5</c:v>
                </c:pt>
                <c:pt idx="4">
                  <c:v>29.6</c:v>
                </c:pt>
                <c:pt idx="5">
                  <c:v>30.9</c:v>
                </c:pt>
                <c:pt idx="6">
                  <c:v>32.4</c:v>
                </c:pt>
                <c:pt idx="7">
                  <c:v>34.1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D71-CB4C-BB1F-C80BB27BC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199392"/>
        <c:axId val="1167883295"/>
      </c:scatterChart>
      <c:valAx>
        <c:axId val="295199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Y"/>
          </a:p>
        </c:txPr>
        <c:crossAx val="1167883295"/>
        <c:crosses val="autoZero"/>
        <c:crossBetween val="midCat"/>
      </c:valAx>
      <c:valAx>
        <c:axId val="11678832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Y"/>
          </a:p>
        </c:txPr>
        <c:crossAx val="295199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Y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Bomba 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Y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-3.0141732283464565E-2"/>
                  <c:y val="-5.191783318751831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Y"/>
                </a:p>
              </c:txPr>
            </c:trendlineLbl>
          </c:trendline>
          <c:xVal>
            <c:numRef>
              <c:f>Paralelo!$I$4:$I$10</c:f>
              <c:numCache>
                <c:formatCode>0.0</c:formatCode>
                <c:ptCount val="7"/>
                <c:pt idx="0">
                  <c:v>4</c:v>
                </c:pt>
                <c:pt idx="1">
                  <c:v>6</c:v>
                </c:pt>
                <c:pt idx="2">
                  <c:v>8</c:v>
                </c:pt>
                <c:pt idx="3">
                  <c:v>10</c:v>
                </c:pt>
                <c:pt idx="4">
                  <c:v>12</c:v>
                </c:pt>
                <c:pt idx="5">
                  <c:v>14</c:v>
                </c:pt>
                <c:pt idx="6">
                  <c:v>16</c:v>
                </c:pt>
              </c:numCache>
            </c:numRef>
          </c:xVal>
          <c:yVal>
            <c:numRef>
              <c:f>Paralelo!$J$4:$J$10</c:f>
              <c:numCache>
                <c:formatCode>General</c:formatCode>
                <c:ptCount val="7"/>
                <c:pt idx="0">
                  <c:v>23.939999999999998</c:v>
                </c:pt>
                <c:pt idx="1">
                  <c:v>23.979999999999997</c:v>
                </c:pt>
                <c:pt idx="2">
                  <c:v>23.7</c:v>
                </c:pt>
                <c:pt idx="3">
                  <c:v>23.099999999999998</c:v>
                </c:pt>
                <c:pt idx="4">
                  <c:v>22.18</c:v>
                </c:pt>
                <c:pt idx="5">
                  <c:v>20.939999999999998</c:v>
                </c:pt>
                <c:pt idx="6">
                  <c:v>19.379999999999995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14-3648-82DD-8C386FF6D19F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Paralelo!$B$4:$B$11</c:f>
              <c:numCache>
                <c:formatCode>0.0</c:formatCode>
                <c:ptCount val="8"/>
                <c:pt idx="0">
                  <c:v>4</c:v>
                </c:pt>
                <c:pt idx="1">
                  <c:v>6</c:v>
                </c:pt>
                <c:pt idx="2">
                  <c:v>8</c:v>
                </c:pt>
                <c:pt idx="3">
                  <c:v>10</c:v>
                </c:pt>
                <c:pt idx="4">
                  <c:v>12</c:v>
                </c:pt>
                <c:pt idx="5">
                  <c:v>14</c:v>
                </c:pt>
                <c:pt idx="6">
                  <c:v>16</c:v>
                </c:pt>
                <c:pt idx="7">
                  <c:v>18</c:v>
                </c:pt>
              </c:numCache>
            </c:numRef>
          </c:xVal>
          <c:yVal>
            <c:numRef>
              <c:f>Paralelo!$C$38:$C$45</c:f>
              <c:numCache>
                <c:formatCode>0.00E+00</c:formatCode>
                <c:ptCount val="8"/>
                <c:pt idx="0">
                  <c:v>26.4</c:v>
                </c:pt>
                <c:pt idx="1">
                  <c:v>26.9</c:v>
                </c:pt>
                <c:pt idx="2">
                  <c:v>27.6</c:v>
                </c:pt>
                <c:pt idx="3">
                  <c:v>28.5</c:v>
                </c:pt>
                <c:pt idx="4">
                  <c:v>29.6</c:v>
                </c:pt>
                <c:pt idx="5">
                  <c:v>30.9</c:v>
                </c:pt>
                <c:pt idx="6">
                  <c:v>32.4</c:v>
                </c:pt>
                <c:pt idx="7">
                  <c:v>34.1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F14-3648-82DD-8C386FF6D1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99711"/>
        <c:axId val="1647210047"/>
      </c:scatterChart>
      <c:valAx>
        <c:axId val="1646899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Y"/>
          </a:p>
        </c:txPr>
        <c:crossAx val="1647210047"/>
        <c:crosses val="autoZero"/>
        <c:crossBetween val="midCat"/>
      </c:valAx>
      <c:valAx>
        <c:axId val="16472100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Y"/>
          </a:p>
        </c:txPr>
        <c:crossAx val="16468997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Y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Y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Paralelo!$S$4:$S$10</c:f>
              <c:numCache>
                <c:formatCode>0.0</c:formatCode>
                <c:ptCount val="7"/>
                <c:pt idx="0">
                  <c:v>8</c:v>
                </c:pt>
                <c:pt idx="1">
                  <c:v>12</c:v>
                </c:pt>
                <c:pt idx="2">
                  <c:v>16</c:v>
                </c:pt>
                <c:pt idx="3">
                  <c:v>20</c:v>
                </c:pt>
                <c:pt idx="4">
                  <c:v>24</c:v>
                </c:pt>
                <c:pt idx="5">
                  <c:v>28</c:v>
                </c:pt>
                <c:pt idx="6">
                  <c:v>32</c:v>
                </c:pt>
              </c:numCache>
            </c:numRef>
          </c:xVal>
          <c:yVal>
            <c:numRef>
              <c:f>Paralelo!$P$4:$P$10</c:f>
              <c:numCache>
                <c:formatCode>General</c:formatCode>
                <c:ptCount val="7"/>
                <c:pt idx="0">
                  <c:v>23.939999999999998</c:v>
                </c:pt>
                <c:pt idx="1">
                  <c:v>23.979999999999997</c:v>
                </c:pt>
                <c:pt idx="2">
                  <c:v>23.7</c:v>
                </c:pt>
                <c:pt idx="3">
                  <c:v>23.099999999999998</c:v>
                </c:pt>
                <c:pt idx="4">
                  <c:v>22.18</c:v>
                </c:pt>
                <c:pt idx="5">
                  <c:v>20.939999999999998</c:v>
                </c:pt>
                <c:pt idx="6">
                  <c:v>19.379999999999995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35-C94A-BF76-5C0C375E4242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Paralelo!$Q$4:$Q$10</c:f>
              <c:numCache>
                <c:formatCode>0.0</c:formatCode>
                <c:ptCount val="7"/>
                <c:pt idx="0">
                  <c:v>4</c:v>
                </c:pt>
                <c:pt idx="1">
                  <c:v>6</c:v>
                </c:pt>
                <c:pt idx="2">
                  <c:v>8</c:v>
                </c:pt>
                <c:pt idx="3">
                  <c:v>10</c:v>
                </c:pt>
                <c:pt idx="4">
                  <c:v>12</c:v>
                </c:pt>
                <c:pt idx="5">
                  <c:v>14</c:v>
                </c:pt>
                <c:pt idx="6">
                  <c:v>16</c:v>
                </c:pt>
              </c:numCache>
            </c:numRef>
          </c:xVal>
          <c:yVal>
            <c:numRef>
              <c:f>Paralelo!$C$38:$C$45</c:f>
              <c:numCache>
                <c:formatCode>0.00E+00</c:formatCode>
                <c:ptCount val="8"/>
                <c:pt idx="0">
                  <c:v>26.4</c:v>
                </c:pt>
                <c:pt idx="1">
                  <c:v>26.9</c:v>
                </c:pt>
                <c:pt idx="2">
                  <c:v>27.6</c:v>
                </c:pt>
                <c:pt idx="3">
                  <c:v>28.5</c:v>
                </c:pt>
                <c:pt idx="4">
                  <c:v>29.6</c:v>
                </c:pt>
                <c:pt idx="5">
                  <c:v>30.9</c:v>
                </c:pt>
                <c:pt idx="6">
                  <c:v>32.4</c:v>
                </c:pt>
                <c:pt idx="7">
                  <c:v>34.1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35-C94A-BF76-5C0C375E42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1695727"/>
        <c:axId val="1167818671"/>
      </c:scatterChart>
      <c:valAx>
        <c:axId val="17216957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Y"/>
          </a:p>
        </c:txPr>
        <c:crossAx val="1167818671"/>
        <c:crosses val="autoZero"/>
        <c:crossBetween val="midCat"/>
      </c:valAx>
      <c:valAx>
        <c:axId val="1167818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Y"/>
          </a:p>
        </c:txPr>
        <c:crossAx val="17216957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Y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Paralelo!$S$31</c:f>
              <c:strCache>
                <c:ptCount val="1"/>
                <c:pt idx="0">
                  <c:v>H_serie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Paralelo!$P$32:$P$38</c:f>
              <c:numCache>
                <c:formatCode>0.0</c:formatCode>
                <c:ptCount val="7"/>
                <c:pt idx="0">
                  <c:v>4</c:v>
                </c:pt>
                <c:pt idx="1">
                  <c:v>6</c:v>
                </c:pt>
                <c:pt idx="2">
                  <c:v>8</c:v>
                </c:pt>
                <c:pt idx="3">
                  <c:v>10</c:v>
                </c:pt>
                <c:pt idx="4">
                  <c:v>12</c:v>
                </c:pt>
                <c:pt idx="5">
                  <c:v>14</c:v>
                </c:pt>
                <c:pt idx="6">
                  <c:v>16</c:v>
                </c:pt>
              </c:numCache>
            </c:numRef>
          </c:xVal>
          <c:yVal>
            <c:numRef>
              <c:f>Paralelo!$S$32:$S$38</c:f>
              <c:numCache>
                <c:formatCode>0.0</c:formatCode>
                <c:ptCount val="7"/>
                <c:pt idx="0">
                  <c:v>47.879999999999995</c:v>
                </c:pt>
                <c:pt idx="1">
                  <c:v>47.959999999999994</c:v>
                </c:pt>
                <c:pt idx="2">
                  <c:v>47.4</c:v>
                </c:pt>
                <c:pt idx="3">
                  <c:v>46.199999999999996</c:v>
                </c:pt>
                <c:pt idx="4">
                  <c:v>44.36</c:v>
                </c:pt>
                <c:pt idx="5">
                  <c:v>41.879999999999995</c:v>
                </c:pt>
                <c:pt idx="6">
                  <c:v>38.759999999999991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6F-2C41-ACA8-C264739A490D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Paralelo!$B$38:$B$45</c:f>
              <c:numCache>
                <c:formatCode>General</c:formatCode>
                <c:ptCount val="8"/>
                <c:pt idx="0">
                  <c:v>4</c:v>
                </c:pt>
                <c:pt idx="1">
                  <c:v>6</c:v>
                </c:pt>
                <c:pt idx="2">
                  <c:v>8</c:v>
                </c:pt>
                <c:pt idx="3">
                  <c:v>10</c:v>
                </c:pt>
                <c:pt idx="4">
                  <c:v>12</c:v>
                </c:pt>
                <c:pt idx="5">
                  <c:v>14</c:v>
                </c:pt>
                <c:pt idx="6">
                  <c:v>16</c:v>
                </c:pt>
                <c:pt idx="7">
                  <c:v>18</c:v>
                </c:pt>
              </c:numCache>
            </c:numRef>
          </c:xVal>
          <c:yVal>
            <c:numRef>
              <c:f>Paralelo!$C$38:$C$45</c:f>
              <c:numCache>
                <c:formatCode>0.00E+00</c:formatCode>
                <c:ptCount val="8"/>
                <c:pt idx="0">
                  <c:v>26.4</c:v>
                </c:pt>
                <c:pt idx="1">
                  <c:v>26.9</c:v>
                </c:pt>
                <c:pt idx="2">
                  <c:v>27.6</c:v>
                </c:pt>
                <c:pt idx="3">
                  <c:v>28.5</c:v>
                </c:pt>
                <c:pt idx="4">
                  <c:v>29.6</c:v>
                </c:pt>
                <c:pt idx="5">
                  <c:v>30.9</c:v>
                </c:pt>
                <c:pt idx="6">
                  <c:v>32.4</c:v>
                </c:pt>
                <c:pt idx="7">
                  <c:v>34.1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16F-2C41-ACA8-C264739A49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434832"/>
        <c:axId val="1733189743"/>
      </c:scatterChart>
      <c:valAx>
        <c:axId val="295434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Y"/>
          </a:p>
        </c:txPr>
        <c:crossAx val="1733189743"/>
        <c:crosses val="autoZero"/>
        <c:crossBetween val="midCat"/>
      </c:valAx>
      <c:valAx>
        <c:axId val="1733189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Y"/>
          </a:p>
        </c:txPr>
        <c:crossAx val="295434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Y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bomba</a:t>
            </a:r>
            <a:r>
              <a:rPr lang="en-US" baseline="0"/>
              <a:t>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Y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Paralelo!$E$4:$E$10</c:f>
              <c:numCache>
                <c:formatCode>0.0</c:formatCode>
                <c:ptCount val="7"/>
                <c:pt idx="0">
                  <c:v>4</c:v>
                </c:pt>
                <c:pt idx="1">
                  <c:v>6</c:v>
                </c:pt>
                <c:pt idx="2">
                  <c:v>8</c:v>
                </c:pt>
                <c:pt idx="3">
                  <c:v>10</c:v>
                </c:pt>
                <c:pt idx="4">
                  <c:v>12</c:v>
                </c:pt>
                <c:pt idx="5">
                  <c:v>14</c:v>
                </c:pt>
                <c:pt idx="6">
                  <c:v>16</c:v>
                </c:pt>
              </c:numCache>
            </c:numRef>
          </c:xVal>
          <c:yVal>
            <c:numRef>
              <c:f>Paralelo!$F$4:$F$10</c:f>
              <c:numCache>
                <c:formatCode>General</c:formatCode>
                <c:ptCount val="7"/>
                <c:pt idx="0">
                  <c:v>30.28</c:v>
                </c:pt>
                <c:pt idx="1">
                  <c:v>30.060000000000002</c:v>
                </c:pt>
                <c:pt idx="2">
                  <c:v>29.6</c:v>
                </c:pt>
                <c:pt idx="3">
                  <c:v>28.9</c:v>
                </c:pt>
                <c:pt idx="4">
                  <c:v>27.96</c:v>
                </c:pt>
                <c:pt idx="5">
                  <c:v>26.779999999999998</c:v>
                </c:pt>
                <c:pt idx="6">
                  <c:v>25.36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0E-814B-8150-3FEA49F8D6D4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Paralelo!$B$38:$B$45</c:f>
              <c:numCache>
                <c:formatCode>General</c:formatCode>
                <c:ptCount val="8"/>
                <c:pt idx="0">
                  <c:v>4</c:v>
                </c:pt>
                <c:pt idx="1">
                  <c:v>6</c:v>
                </c:pt>
                <c:pt idx="2">
                  <c:v>8</c:v>
                </c:pt>
                <c:pt idx="3">
                  <c:v>10</c:v>
                </c:pt>
                <c:pt idx="4">
                  <c:v>12</c:v>
                </c:pt>
                <c:pt idx="5">
                  <c:v>14</c:v>
                </c:pt>
                <c:pt idx="6">
                  <c:v>16</c:v>
                </c:pt>
                <c:pt idx="7">
                  <c:v>18</c:v>
                </c:pt>
              </c:numCache>
            </c:numRef>
          </c:xVal>
          <c:yVal>
            <c:numRef>
              <c:f>Paralelo!$C$38:$C$45</c:f>
              <c:numCache>
                <c:formatCode>0.00E+00</c:formatCode>
                <c:ptCount val="8"/>
                <c:pt idx="0">
                  <c:v>26.4</c:v>
                </c:pt>
                <c:pt idx="1">
                  <c:v>26.9</c:v>
                </c:pt>
                <c:pt idx="2">
                  <c:v>27.6</c:v>
                </c:pt>
                <c:pt idx="3">
                  <c:v>28.5</c:v>
                </c:pt>
                <c:pt idx="4">
                  <c:v>29.6</c:v>
                </c:pt>
                <c:pt idx="5">
                  <c:v>30.9</c:v>
                </c:pt>
                <c:pt idx="6">
                  <c:v>32.4</c:v>
                </c:pt>
                <c:pt idx="7">
                  <c:v>34.1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90E-814B-8150-3FEA49F8D6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8381296"/>
        <c:axId val="1424198751"/>
      </c:scatterChart>
      <c:valAx>
        <c:axId val="818381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Y"/>
          </a:p>
        </c:txPr>
        <c:crossAx val="1424198751"/>
        <c:crosses val="autoZero"/>
        <c:crossBetween val="midCat"/>
      </c:valAx>
      <c:valAx>
        <c:axId val="1424198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Y"/>
          </a:p>
        </c:txPr>
        <c:crossAx val="818381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Y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9" Type="http://schemas.openxmlformats.org/officeDocument/2006/relationships/image" Target="../media/image3.png"/><Relationship Id="rId3" Type="http://schemas.openxmlformats.org/officeDocument/2006/relationships/chart" Target="../charts/chart3.xml"/><Relationship Id="rId34" Type="http://schemas.openxmlformats.org/officeDocument/2006/relationships/customXml" Target="../ink/ink2.xml"/><Relationship Id="rId138" Type="http://schemas.openxmlformats.org/officeDocument/2006/relationships/image" Target="../media/image68.png"/><Relationship Id="rId33" Type="http://schemas.openxmlformats.org/officeDocument/2006/relationships/image" Target="../media/image15.png"/><Relationship Id="rId38" Type="http://schemas.openxmlformats.org/officeDocument/2006/relationships/customXml" Target="../ink/ink4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37" Type="http://schemas.openxmlformats.org/officeDocument/2006/relationships/image" Target="../media/image2.png"/><Relationship Id="rId40" Type="http://schemas.openxmlformats.org/officeDocument/2006/relationships/customXml" Target="../ink/ink5.xml"/><Relationship Id="rId36" Type="http://schemas.openxmlformats.org/officeDocument/2006/relationships/image" Target="../media/image1.png"/><Relationship Id="rId4" Type="http://schemas.openxmlformats.org/officeDocument/2006/relationships/customXml" Target="../ink/ink1.xml"/><Relationship Id="rId35" Type="http://schemas.openxmlformats.org/officeDocument/2006/relationships/customXml" Target="../ink/ink3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14128</xdr:colOff>
      <xdr:row>54</xdr:row>
      <xdr:rowOff>115621</xdr:rowOff>
    </xdr:from>
    <xdr:to>
      <xdr:col>7</xdr:col>
      <xdr:colOff>420686</xdr:colOff>
      <xdr:row>71</xdr:row>
      <xdr:rowOff>191822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BB1AEE7-587A-49E2-6493-105568B664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109303</xdr:colOff>
      <xdr:row>76</xdr:row>
      <xdr:rowOff>5205</xdr:rowOff>
    </xdr:from>
    <xdr:to>
      <xdr:col>9</xdr:col>
      <xdr:colOff>436880</xdr:colOff>
      <xdr:row>87</xdr:row>
      <xdr:rowOff>91441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5215FFE-D0A1-D8E7-16F5-780C57AB5D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4</xdr:col>
      <xdr:colOff>185736</xdr:colOff>
      <xdr:row>93</xdr:row>
      <xdr:rowOff>102394</xdr:rowOff>
    </xdr:from>
    <xdr:ext cx="3532890" cy="44909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8183D748-D89E-BF54-4C03-F0795CCA35C5}"/>
                </a:ext>
              </a:extLst>
            </xdr:cNvPr>
            <xdr:cNvSpPr txBox="1"/>
          </xdr:nvSpPr>
          <xdr:spPr>
            <a:xfrm>
              <a:off x="4337049" y="12310269"/>
              <a:ext cx="3532890" cy="44909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𝑁𝑃𝑆𝐻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𝑍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+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sub>
                        </m:sSub>
                      </m:num>
                      <m:den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𝜌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𝑔</m:t>
                        </m:r>
                      </m:den>
                    </m:f>
                    <m:r>
                      <a:rPr lang="en-US" sz="1100" b="0" i="1">
                        <a:latin typeface="Cambria Math" panose="02040503050406030204" pitchFamily="18" charset="0"/>
                      </a:rPr>
                      <m:t>−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𝑉𝐴𝑃</m:t>
                            </m:r>
                          </m:sub>
                        </m:sSub>
                      </m:num>
                      <m:den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𝜌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𝑔</m:t>
                        </m:r>
                      </m:den>
                    </m:f>
                    <m:r>
                      <a:rPr lang="en-US" sz="1100" b="0" i="1">
                        <a:latin typeface="Cambria Math" panose="02040503050406030204" pitchFamily="18" charset="0"/>
                      </a:rPr>
                      <m:t>−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𝑍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𝑆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−</m:t>
                    </m:r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𝑓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𝐿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𝐷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sub>
                            </m:sSub>
                          </m:den>
                        </m:f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+</m:t>
                        </m:r>
                        <m:nary>
                          <m:naryPr>
                            <m:chr m:val="∑"/>
                            <m:subHide m:val="on"/>
                            <m:supHide m:val="on"/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naryPr>
                          <m:sub/>
                          <m:sup/>
                          <m:e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𝐾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sub>
                            </m:sSub>
                          </m:e>
                        </m:nary>
                      </m:e>
                    </m:d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8</m:t>
                        </m:r>
                        <m:sSup>
                          <m:sSup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𝑄</m:t>
                            </m:r>
                          </m:e>
                          <m:sup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num>
                      <m:den>
                        <m:sSup>
                          <m:sSup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𝜋</m:t>
                            </m:r>
                          </m:e>
                          <m:sup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𝑔</m:t>
                        </m:r>
                        <m:sSubSup>
                          <m:sSubSup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𝐷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</m:sub>
                          <m:sup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4</m:t>
                            </m:r>
                          </m:sup>
                        </m:sSubSup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8183D748-D89E-BF54-4C03-F0795CCA35C5}"/>
                </a:ext>
              </a:extLst>
            </xdr:cNvPr>
            <xdr:cNvSpPr txBox="1"/>
          </xdr:nvSpPr>
          <xdr:spPr>
            <a:xfrm>
              <a:off x="4337049" y="12310269"/>
              <a:ext cx="3532890" cy="44909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〖𝑁𝑃𝑆𝐻〗_𝑑=𝑍_𝐴+𝑃_𝐴/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𝜌𝑔</a:t>
              </a:r>
              <a:r>
                <a:rPr lang="en-US" sz="1100" b="0" i="0">
                  <a:latin typeface="Cambria Math" panose="02040503050406030204" pitchFamily="18" charset="0"/>
                </a:rPr>
                <a:t>−𝑃_𝑉𝐴𝑃/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𝜌𝑔</a:t>
              </a:r>
              <a:r>
                <a:rPr lang="en-US" sz="1100" b="0" i="0">
                  <a:latin typeface="Cambria Math" panose="02040503050406030204" pitchFamily="18" charset="0"/>
                </a:rPr>
                <a:t>−𝑍_𝑆−((𝑓_𝑆 𝐿_𝑆)/𝐷_𝑆 +∑▒𝐾_𝑆 )  (8𝑄^2)/(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𝜋^</a:t>
              </a:r>
              <a:r>
                <a:rPr lang="en-US" sz="1100" b="0" i="0">
                  <a:latin typeface="Cambria Math" panose="02040503050406030204" pitchFamily="18" charset="0"/>
                </a:rPr>
                <a:t>2 𝑔𝐷_𝑆^4 )</a:t>
              </a:r>
              <a:endParaRPr lang="en-US" sz="1100"/>
            </a:p>
          </xdr:txBody>
        </xdr:sp>
      </mc:Fallback>
    </mc:AlternateContent>
    <xdr:clientData/>
  </xdr:oneCellAnchor>
  <xdr:twoCellAnchor>
    <xdr:from>
      <xdr:col>4</xdr:col>
      <xdr:colOff>15876</xdr:colOff>
      <xdr:row>105</xdr:row>
      <xdr:rowOff>203993</xdr:rowOff>
    </xdr:from>
    <xdr:to>
      <xdr:col>9</xdr:col>
      <xdr:colOff>349251</xdr:colOff>
      <xdr:row>119</xdr:row>
      <xdr:rowOff>57943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17C700A0-9C85-A887-512B-DCF2FCDDE2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165100</xdr:colOff>
          <xdr:row>32</xdr:row>
          <xdr:rowOff>203200</xdr:rowOff>
        </xdr:from>
        <xdr:to>
          <xdr:col>9</xdr:col>
          <xdr:colOff>76200</xdr:colOff>
          <xdr:row>34</xdr:row>
          <xdr:rowOff>114300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920" b="0" i="0" u="none" strike="noStrike" baseline="0">
                  <a:solidFill>
                    <a:srgbClr val="000000"/>
                  </a:solidFill>
                  <a:latin typeface="Times New Roman" pitchFamily="1" charset="0"/>
                  <a:cs typeface="Times New Roman" pitchFamily="1" charset="0"/>
                </a:rPr>
                <a:t>f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198437</xdr:colOff>
      <xdr:row>35</xdr:row>
      <xdr:rowOff>23813</xdr:rowOff>
    </xdr:from>
    <xdr:to>
      <xdr:col>10</xdr:col>
      <xdr:colOff>23812</xdr:colOff>
      <xdr:row>40</xdr:row>
      <xdr:rowOff>166688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E16C535-7377-A014-038E-233636D8FD58}"/>
            </a:ext>
          </a:extLst>
        </xdr:cNvPr>
        <xdr:cNvSpPr txBox="1"/>
      </xdr:nvSpPr>
      <xdr:spPr>
        <a:xfrm>
          <a:off x="7762875" y="5595938"/>
          <a:ext cx="1476375" cy="1174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Poner 0,1 en todos los f (columna E) salvo el primero que es cero. Luego apretar el botón y se ejecuta en toda la tabla</a:t>
          </a:r>
        </a:p>
      </xdr:txBody>
    </xdr:sp>
    <xdr:clientData/>
  </xdr:twoCellAnchor>
  <xdr:twoCellAnchor editAs="oneCell">
    <xdr:from>
      <xdr:col>2</xdr:col>
      <xdr:colOff>1010450</xdr:colOff>
      <xdr:row>91</xdr:row>
      <xdr:rowOff>137085</xdr:rowOff>
    </xdr:from>
    <xdr:to>
      <xdr:col>2</xdr:col>
      <xdr:colOff>1010810</xdr:colOff>
      <xdr:row>91</xdr:row>
      <xdr:rowOff>137445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1123" name="Ink 1122">
              <a:extLst>
                <a:ext uri="{FF2B5EF4-FFF2-40B4-BE49-F238E27FC236}">
                  <a16:creationId xmlns:a16="http://schemas.microsoft.com/office/drawing/2014/main" id="{B3C596C1-5878-025E-A71D-9209A5944830}"/>
                </a:ext>
              </a:extLst>
            </xdr14:cNvPr>
            <xdr14:cNvContentPartPr/>
          </xdr14:nvContentPartPr>
          <xdr14:nvPr macro=""/>
          <xdr14:xfrm>
            <a:off x="3103920" y="15156720"/>
            <a:ext cx="360" cy="360"/>
          </xdr14:xfrm>
        </xdr:contentPart>
      </mc:Choice>
      <mc:Fallback xmlns="">
        <xdr:pic>
          <xdr:nvPicPr>
            <xdr:cNvPr id="1123" name="Ink 1122">
              <a:extLst>
                <a:ext uri="{FF2B5EF4-FFF2-40B4-BE49-F238E27FC236}">
                  <a16:creationId xmlns:a16="http://schemas.microsoft.com/office/drawing/2014/main" id="{B3C596C1-5878-025E-A71D-9209A5944830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3099600" y="1515240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947090</xdr:colOff>
      <xdr:row>91</xdr:row>
      <xdr:rowOff>133845</xdr:rowOff>
    </xdr:from>
    <xdr:to>
      <xdr:col>2</xdr:col>
      <xdr:colOff>947450</xdr:colOff>
      <xdr:row>91</xdr:row>
      <xdr:rowOff>134205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">
          <xdr14:nvContentPartPr>
            <xdr14:cNvPr id="1124" name="Ink 1123">
              <a:extLst>
                <a:ext uri="{FF2B5EF4-FFF2-40B4-BE49-F238E27FC236}">
                  <a16:creationId xmlns:a16="http://schemas.microsoft.com/office/drawing/2014/main" id="{23CB1A31-26DC-EFFB-CA9F-A387B4ADBE6B}"/>
                </a:ext>
              </a:extLst>
            </xdr14:cNvPr>
            <xdr14:cNvContentPartPr/>
          </xdr14:nvContentPartPr>
          <xdr14:nvPr macro=""/>
          <xdr14:xfrm>
            <a:off x="3040560" y="15153480"/>
            <a:ext cx="360" cy="360"/>
          </xdr14:xfrm>
        </xdr:contentPart>
      </mc:Choice>
      <mc:Fallback xmlns="">
        <xdr:pic>
          <xdr:nvPicPr>
            <xdr:cNvPr id="1124" name="Ink 1123">
              <a:extLst>
                <a:ext uri="{FF2B5EF4-FFF2-40B4-BE49-F238E27FC236}">
                  <a16:creationId xmlns:a16="http://schemas.microsoft.com/office/drawing/2014/main" id="{23CB1A31-26DC-EFFB-CA9F-A387B4ADBE6B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3036240" y="1514916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821450</xdr:colOff>
      <xdr:row>91</xdr:row>
      <xdr:rowOff>124485</xdr:rowOff>
    </xdr:from>
    <xdr:to>
      <xdr:col>2</xdr:col>
      <xdr:colOff>821810</xdr:colOff>
      <xdr:row>91</xdr:row>
      <xdr:rowOff>124845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1125" name="Ink 1124">
              <a:extLst>
                <a:ext uri="{FF2B5EF4-FFF2-40B4-BE49-F238E27FC236}">
                  <a16:creationId xmlns:a16="http://schemas.microsoft.com/office/drawing/2014/main" id="{B80E68EE-FA75-7C1F-D255-3C6759BA1D0F}"/>
                </a:ext>
              </a:extLst>
            </xdr14:cNvPr>
            <xdr14:cNvContentPartPr/>
          </xdr14:nvContentPartPr>
          <xdr14:nvPr macro=""/>
          <xdr14:xfrm>
            <a:off x="2914920" y="15144120"/>
            <a:ext cx="360" cy="360"/>
          </xdr14:xfrm>
        </xdr:contentPart>
      </mc:Choice>
      <mc:Fallback xmlns="">
        <xdr:pic>
          <xdr:nvPicPr>
            <xdr:cNvPr id="1125" name="Ink 1124">
              <a:extLst>
                <a:ext uri="{FF2B5EF4-FFF2-40B4-BE49-F238E27FC236}">
                  <a16:creationId xmlns:a16="http://schemas.microsoft.com/office/drawing/2014/main" id="{B80E68EE-FA75-7C1F-D255-3C6759BA1D0F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2910600" y="1513980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541311</xdr:colOff>
      <xdr:row>27</xdr:row>
      <xdr:rowOff>119714</xdr:rowOff>
    </xdr:from>
    <xdr:to>
      <xdr:col>9</xdr:col>
      <xdr:colOff>339775</xdr:colOff>
      <xdr:row>32</xdr:row>
      <xdr:rowOff>108882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7E9350F9-835A-3AB0-6302-83B5152764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95491" y="3976558"/>
          <a:ext cx="5055432" cy="1004127"/>
        </a:xfrm>
        <a:prstGeom prst="rect">
          <a:avLst/>
        </a:prstGeom>
      </xdr:spPr>
    </xdr:pic>
    <xdr:clientData/>
  </xdr:twoCellAnchor>
  <xdr:twoCellAnchor editAs="oneCell">
    <xdr:from>
      <xdr:col>5</xdr:col>
      <xdr:colOff>243632</xdr:colOff>
      <xdr:row>0</xdr:row>
      <xdr:rowOff>34477</xdr:rowOff>
    </xdr:from>
    <xdr:to>
      <xdr:col>10</xdr:col>
      <xdr:colOff>26108</xdr:colOff>
      <xdr:row>12</xdr:row>
      <xdr:rowOff>105565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532F5CBB-BDFB-49BC-70AA-E84A744609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43952" y="34477"/>
          <a:ext cx="3897276" cy="2509488"/>
        </a:xfrm>
        <a:prstGeom prst="rect">
          <a:avLst/>
        </a:prstGeom>
      </xdr:spPr>
    </xdr:pic>
    <xdr:clientData/>
  </xdr:twoCellAnchor>
  <xdr:twoCellAnchor editAs="oneCell">
    <xdr:from>
      <xdr:col>11</xdr:col>
      <xdr:colOff>819880</xdr:colOff>
      <xdr:row>103</xdr:row>
      <xdr:rowOff>113480</xdr:rowOff>
    </xdr:from>
    <xdr:to>
      <xdr:col>12</xdr:col>
      <xdr:colOff>30467</xdr:colOff>
      <xdr:row>103</xdr:row>
      <xdr:rowOff>190520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1041" name="Ink 1040">
              <a:extLst>
                <a:ext uri="{FF2B5EF4-FFF2-40B4-BE49-F238E27FC236}">
                  <a16:creationId xmlns:a16="http://schemas.microsoft.com/office/drawing/2014/main" id="{CF3CCA7A-9B9F-41C4-3F34-2EFEA115BCF2}"/>
                </a:ext>
              </a:extLst>
            </xdr14:cNvPr>
            <xdr14:cNvContentPartPr/>
          </xdr14:nvContentPartPr>
          <xdr14:nvPr macro=""/>
          <xdr14:xfrm>
            <a:off x="10903680" y="21043080"/>
            <a:ext cx="40320" cy="77040"/>
          </xdr14:xfrm>
        </xdr:contentPart>
      </mc:Choice>
      <mc:Fallback xmlns="">
        <xdr:pic>
          <xdr:nvPicPr>
            <xdr:cNvPr id="1041" name="Ink 1040">
              <a:extLst>
                <a:ext uri="{FF2B5EF4-FFF2-40B4-BE49-F238E27FC236}">
                  <a16:creationId xmlns:a16="http://schemas.microsoft.com/office/drawing/2014/main" id="{CF3CCA7A-9B9F-41C4-3F34-2EFEA115BCF2}"/>
                </a:ext>
              </a:extLst>
            </xdr:cNvPr>
            <xdr:cNvPicPr/>
          </xdr:nvPicPr>
          <xdr:blipFill>
            <a:blip xmlns:r="http://schemas.openxmlformats.org/officeDocument/2006/relationships" r:embed="rId39"/>
            <a:stretch>
              <a:fillRect/>
            </a:stretch>
          </xdr:blipFill>
          <xdr:spPr>
            <a:xfrm>
              <a:off x="10896120" y="21035520"/>
              <a:ext cx="55440" cy="92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41613</xdr:colOff>
      <xdr:row>100</xdr:row>
      <xdr:rowOff>71480</xdr:rowOff>
    </xdr:from>
    <xdr:to>
      <xdr:col>3</xdr:col>
      <xdr:colOff>41973</xdr:colOff>
      <xdr:row>100</xdr:row>
      <xdr:rowOff>71840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1067" name="Ink 1066">
              <a:extLst>
                <a:ext uri="{FF2B5EF4-FFF2-40B4-BE49-F238E27FC236}">
                  <a16:creationId xmlns:a16="http://schemas.microsoft.com/office/drawing/2014/main" id="{AF2CE0DE-68CC-48C1-2FD3-FF857198290E}"/>
                </a:ext>
              </a:extLst>
            </xdr14:cNvPr>
            <xdr14:cNvContentPartPr/>
          </xdr14:nvContentPartPr>
          <xdr14:nvPr macro=""/>
          <xdr14:xfrm>
            <a:off x="3199680" y="20391480"/>
            <a:ext cx="360" cy="360"/>
          </xdr14:xfrm>
        </xdr:contentPart>
      </mc:Choice>
      <mc:Fallback xmlns="">
        <xdr:pic>
          <xdr:nvPicPr>
            <xdr:cNvPr id="1067" name="Ink 1066">
              <a:extLst>
                <a:ext uri="{FF2B5EF4-FFF2-40B4-BE49-F238E27FC236}">
                  <a16:creationId xmlns:a16="http://schemas.microsoft.com/office/drawing/2014/main" id="{AF2CE0DE-68CC-48C1-2FD3-FF857198290E}"/>
                </a:ext>
              </a:extLst>
            </xdr:cNvPr>
            <xdr:cNvPicPr/>
          </xdr:nvPicPr>
          <xdr:blipFill>
            <a:blip xmlns:r="http://schemas.openxmlformats.org/officeDocument/2006/relationships" r:embed="rId138"/>
            <a:stretch>
              <a:fillRect/>
            </a:stretch>
          </xdr:blipFill>
          <xdr:spPr>
            <a:xfrm>
              <a:off x="3195360" y="2038716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42333</xdr:rowOff>
    </xdr:from>
    <xdr:to>
      <xdr:col>10</xdr:col>
      <xdr:colOff>0</xdr:colOff>
      <xdr:row>42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3D5B8C4-55A0-33C0-5D77-F7E5F3F10D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520700</xdr:colOff>
      <xdr:row>0</xdr:row>
      <xdr:rowOff>139700</xdr:rowOff>
    </xdr:from>
    <xdr:to>
      <xdr:col>11</xdr:col>
      <xdr:colOff>112432</xdr:colOff>
      <xdr:row>62</xdr:row>
      <xdr:rowOff>1125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56C084C-5E14-1B4E-7B0E-7A75D61F7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0700" y="139700"/>
          <a:ext cx="8672232" cy="12458700"/>
        </a:xfrm>
        <a:prstGeom prst="rect">
          <a:avLst/>
        </a:prstGeom>
      </xdr:spPr>
    </xdr:pic>
    <xdr:clientData/>
  </xdr:twoCellAnchor>
  <xdr:twoCellAnchor editAs="oneCell">
    <xdr:from>
      <xdr:col>15</xdr:col>
      <xdr:colOff>9338</xdr:colOff>
      <xdr:row>39</xdr:row>
      <xdr:rowOff>18676</xdr:rowOff>
    </xdr:from>
    <xdr:to>
      <xdr:col>20</xdr:col>
      <xdr:colOff>237541</xdr:colOff>
      <xdr:row>49</xdr:row>
      <xdr:rowOff>102719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D9E4D9F-8EFE-AFF9-1DA1-CD1CC5582D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35809" y="8030882"/>
          <a:ext cx="4337027" cy="2138455"/>
        </a:xfrm>
        <a:prstGeom prst="rect">
          <a:avLst/>
        </a:prstGeom>
      </xdr:spPr>
    </xdr:pic>
    <xdr:clientData/>
  </xdr:twoCellAnchor>
  <xdr:twoCellAnchor editAs="oneCell">
    <xdr:from>
      <xdr:col>17</xdr:col>
      <xdr:colOff>18677</xdr:colOff>
      <xdr:row>51</xdr:row>
      <xdr:rowOff>196103</xdr:rowOff>
    </xdr:from>
    <xdr:to>
      <xdr:col>20</xdr:col>
      <xdr:colOff>664883</xdr:colOff>
      <xdr:row>55</xdr:row>
      <xdr:rowOff>161738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618C91E6-71BA-D57E-AB04-1B1BD4DE7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988677" y="10673603"/>
          <a:ext cx="3111500" cy="787400"/>
        </a:xfrm>
        <a:prstGeom prst="rect">
          <a:avLst/>
        </a:prstGeom>
      </xdr:spPr>
    </xdr:pic>
    <xdr:clientData/>
  </xdr:twoCellAnchor>
  <xdr:twoCellAnchor editAs="oneCell">
    <xdr:from>
      <xdr:col>17</xdr:col>
      <xdr:colOff>10763</xdr:colOff>
      <xdr:row>58</xdr:row>
      <xdr:rowOff>21527</xdr:rowOff>
    </xdr:from>
    <xdr:to>
      <xdr:col>22</xdr:col>
      <xdr:colOff>559661</xdr:colOff>
      <xdr:row>75</xdr:row>
      <xdr:rowOff>82885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B85DDC9-BCB3-E173-5123-83FCFC20B2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89746" y="11882035"/>
          <a:ext cx="4692542" cy="353771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806450</xdr:colOff>
      <xdr:row>12</xdr:row>
      <xdr:rowOff>190500</xdr:rowOff>
    </xdr:from>
    <xdr:to>
      <xdr:col>6</xdr:col>
      <xdr:colOff>533400</xdr:colOff>
      <xdr:row>26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866891E-731E-9F1B-B8D3-778DE54D86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12700</xdr:colOff>
      <xdr:row>13</xdr:row>
      <xdr:rowOff>0</xdr:rowOff>
    </xdr:from>
    <xdr:to>
      <xdr:col>13</xdr:col>
      <xdr:colOff>457200</xdr:colOff>
      <xdr:row>26</xdr:row>
      <xdr:rowOff>101600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4DAEBE2-56C8-0423-0A6D-AC782AB9D0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1443</xdr:colOff>
      <xdr:row>13</xdr:row>
      <xdr:rowOff>3030</xdr:rowOff>
    </xdr:from>
    <xdr:to>
      <xdr:col>20</xdr:col>
      <xdr:colOff>460375</xdr:colOff>
      <xdr:row>26</xdr:row>
      <xdr:rowOff>119639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C3FAA6A-E4E6-8817-E0FE-77B27DE6AA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809625</xdr:colOff>
      <xdr:row>39</xdr:row>
      <xdr:rowOff>10247</xdr:rowOff>
    </xdr:from>
    <xdr:to>
      <xdr:col>20</xdr:col>
      <xdr:colOff>445943</xdr:colOff>
      <xdr:row>52</xdr:row>
      <xdr:rowOff>126856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6EC3095-E9D5-C8D3-128F-C8E90C192B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643659</xdr:colOff>
      <xdr:row>0</xdr:row>
      <xdr:rowOff>143741</xdr:rowOff>
    </xdr:from>
    <xdr:to>
      <xdr:col>26</xdr:col>
      <xdr:colOff>279977</xdr:colOff>
      <xdr:row>14</xdr:row>
      <xdr:rowOff>58305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0469CED-AA95-07C8-2415-40B0D6138D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10-08T22:56:55.097"/>
    </inkml:context>
    <inkml:brush xml:id="br0">
      <inkml:brushProperty name="width" value="0.025" units="cm"/>
      <inkml:brushProperty name="height" value="0.025" units="cm"/>
      <inkml:brushProperty name="color" value="#FF40FF"/>
    </inkml:brush>
  </inkml:definitions>
  <inkml:trace contextRef="#ctx0" brushRef="#br0">0 0 24575,'0'0'0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10-08T22:56:59.286"/>
    </inkml:context>
    <inkml:brush xml:id="br0">
      <inkml:brushProperty name="width" value="0.025" units="cm"/>
      <inkml:brushProperty name="height" value="0.025" units="cm"/>
      <inkml:brushProperty name="color" value="#FF40FF"/>
    </inkml:brush>
  </inkml:definitions>
  <inkml:trace contextRef="#ctx0" brushRef="#br0">1 1 24575,'0'0'0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10-08T22:57:14.340"/>
    </inkml:context>
    <inkml:brush xml:id="br0">
      <inkml:brushProperty name="width" value="0.025" units="cm"/>
      <inkml:brushProperty name="height" value="0.025" units="cm"/>
      <inkml:brushProperty name="color" value="#FF40FF"/>
    </inkml:brush>
  </inkml:definitions>
  <inkml:trace contextRef="#ctx0" brushRef="#br0">1 1 24575,'0'0'0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10-15T21:44:04.054"/>
    </inkml:context>
    <inkml:brush xml:id="br0">
      <inkml:brushProperty name="width" value="0.04286" units="cm"/>
      <inkml:brushProperty name="height" value="0.04286" units="cm"/>
      <inkml:brushProperty name="color" value="#FFC114"/>
    </inkml:brush>
  </inkml:definitions>
  <inkml:trace contextRef="#ctx0" brushRef="#br0">582 376 12660,'-10'22'6026,"5"0"-5576,9-10-90,3 1-90,-1-2-90,3 0 0,-1 1-91,2 1 1,-2-1 0,1 0-539,0 1-631,0-1-719,-1 0-7915,0 0 9714,0-1 0,-4-4 0,0-1 0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10-15T21:46:15.908"/>
    </inkml:context>
    <inkml:brush xml:id="br0">
      <inkml:brushProperty name="width" value="0.025" units="cm"/>
      <inkml:brushProperty name="height" value="0.025" units="cm"/>
      <inkml:brushProperty name="color" value="#FFC114"/>
    </inkml:brush>
  </inkml:definitions>
  <inkml:trace contextRef="#ctx0" brushRef="#br0">1 0 24575,'0'0'0</inkml:trace>
</inkml: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E3240-8CB1-B74C-B798-046C7611B743}">
  <sheetPr codeName="Sheet1">
    <pageSetUpPr autoPageBreaks="0"/>
  </sheetPr>
  <dimension ref="B1:L112"/>
  <sheetViews>
    <sheetView showGridLines="0" topLeftCell="A93" zoomScale="150" zoomScaleNormal="192" workbookViewId="0">
      <selection activeCell="B105" sqref="B105"/>
    </sheetView>
  </sheetViews>
  <sheetFormatPr baseColWidth="10" defaultRowHeight="16" x14ac:dyDescent="0.2"/>
  <cols>
    <col min="2" max="2" width="16.6640625" customWidth="1"/>
    <col min="3" max="3" width="13.83203125" customWidth="1"/>
    <col min="4" max="4" width="13.1640625" customWidth="1"/>
    <col min="5" max="5" width="12.33203125" customWidth="1"/>
  </cols>
  <sheetData>
    <row r="1" spans="2:7" x14ac:dyDescent="0.2">
      <c r="B1" s="8" t="s">
        <v>2</v>
      </c>
      <c r="C1" s="3">
        <v>5.2499999999999998E-2</v>
      </c>
      <c r="D1" s="3" t="s">
        <v>3</v>
      </c>
    </row>
    <row r="2" spans="2:7" x14ac:dyDescent="0.2">
      <c r="B2" s="8" t="s">
        <v>4</v>
      </c>
      <c r="C2" s="4">
        <f>0.00036/970</f>
        <v>3.711340206185567E-7</v>
      </c>
      <c r="D2" s="3" t="s">
        <v>5</v>
      </c>
    </row>
    <row r="3" spans="2:7" x14ac:dyDescent="0.2">
      <c r="B3" s="8" t="s">
        <v>7</v>
      </c>
      <c r="C3" s="3">
        <v>4.6E-5</v>
      </c>
      <c r="D3" s="3" t="s">
        <v>3</v>
      </c>
      <c r="E3" t="s">
        <v>48</v>
      </c>
    </row>
    <row r="4" spans="2:7" x14ac:dyDescent="0.2">
      <c r="B4" s="26"/>
    </row>
    <row r="5" spans="2:7" x14ac:dyDescent="0.2">
      <c r="B5" s="26"/>
    </row>
    <row r="6" spans="2:7" x14ac:dyDescent="0.2">
      <c r="B6" s="26"/>
    </row>
    <row r="7" spans="2:7" x14ac:dyDescent="0.2">
      <c r="B7" s="26"/>
    </row>
    <row r="8" spans="2:7" x14ac:dyDescent="0.2">
      <c r="B8" s="26"/>
    </row>
    <row r="9" spans="2:7" x14ac:dyDescent="0.2">
      <c r="B9" s="26"/>
    </row>
    <row r="10" spans="2:7" x14ac:dyDescent="0.2">
      <c r="B10" s="26"/>
    </row>
    <row r="11" spans="2:7" x14ac:dyDescent="0.2">
      <c r="B11" s="26"/>
    </row>
    <row r="16" spans="2:7" x14ac:dyDescent="0.2">
      <c r="B16" s="11" t="s">
        <v>43</v>
      </c>
      <c r="C16" s="11" t="s">
        <v>42</v>
      </c>
      <c r="D16" s="11" t="s">
        <v>38</v>
      </c>
      <c r="E16" s="11" t="s">
        <v>39</v>
      </c>
      <c r="F16" s="11" t="s">
        <v>40</v>
      </c>
      <c r="G16" s="11" t="s">
        <v>41</v>
      </c>
    </row>
    <row r="17" spans="2:8" x14ac:dyDescent="0.2">
      <c r="B17" s="3">
        <v>0</v>
      </c>
      <c r="C17" s="3">
        <f t="shared" ref="C17:C22" si="0">$B17/3600</f>
        <v>0</v>
      </c>
      <c r="D17" s="23">
        <f>-0.0179*B17*B17+0.129*B17+9.6</f>
        <v>9.6</v>
      </c>
      <c r="E17" s="23">
        <f>7 + ((11405847*$E$35)+10887.4)*$C$17*$C$17</f>
        <v>7</v>
      </c>
      <c r="F17" s="3"/>
      <c r="G17" s="19"/>
      <c r="H17" s="23">
        <f>3.5 + ((11405847*E35)+10887.4)*C17*C17</f>
        <v>3.5</v>
      </c>
    </row>
    <row r="18" spans="2:8" x14ac:dyDescent="0.2">
      <c r="B18" s="3">
        <v>5</v>
      </c>
      <c r="C18" s="3">
        <f t="shared" si="0"/>
        <v>1.3888888888888889E-3</v>
      </c>
      <c r="D18" s="23">
        <f>-0.0179*B18*B18+0.129*B18+9.6</f>
        <v>9.7974999999999994</v>
      </c>
      <c r="E18" s="23">
        <f t="shared" ref="E18:E22" si="1">7 + ((11405847*E36)+10887.4)*C18*C18</f>
        <v>7.5490504012345676</v>
      </c>
      <c r="F18" s="3">
        <v>40</v>
      </c>
      <c r="G18" s="19">
        <v>2</v>
      </c>
      <c r="H18" s="23">
        <f t="shared" ref="H18:H22" si="2">3.5 + ((11405847*E36)+10887.4)*C18*C18</f>
        <v>4.0490504012345676</v>
      </c>
    </row>
    <row r="19" spans="2:8" x14ac:dyDescent="0.2">
      <c r="B19" s="3">
        <v>10</v>
      </c>
      <c r="C19" s="3">
        <f t="shared" si="0"/>
        <v>2.7777777777777779E-3</v>
      </c>
      <c r="D19" s="23">
        <f t="shared" ref="D19:D22" si="3">-0.0179*B19*B19+0.129*B19+9.6</f>
        <v>9.1</v>
      </c>
      <c r="E19" s="23">
        <f t="shared" si="1"/>
        <v>9.0624293253086421</v>
      </c>
      <c r="F19" s="3">
        <v>60</v>
      </c>
      <c r="G19" s="19">
        <v>2</v>
      </c>
      <c r="H19" s="23">
        <f t="shared" si="2"/>
        <v>5.5624293253086421</v>
      </c>
    </row>
    <row r="20" spans="2:8" x14ac:dyDescent="0.2">
      <c r="B20" s="3">
        <v>15</v>
      </c>
      <c r="C20" s="3">
        <f t="shared" si="0"/>
        <v>4.1666666666666666E-3</v>
      </c>
      <c r="D20" s="23">
        <f t="shared" si="3"/>
        <v>7.5075000000000003</v>
      </c>
      <c r="E20" s="23">
        <f t="shared" si="1"/>
        <v>11.450368531944445</v>
      </c>
      <c r="F20" s="3">
        <v>62</v>
      </c>
      <c r="G20" s="19">
        <v>3</v>
      </c>
      <c r="H20" s="23">
        <f t="shared" si="2"/>
        <v>7.950368531944445</v>
      </c>
    </row>
    <row r="21" spans="2:8" x14ac:dyDescent="0.2">
      <c r="B21" s="3">
        <v>20</v>
      </c>
      <c r="C21" s="3">
        <f t="shared" si="0"/>
        <v>5.5555555555555558E-3</v>
      </c>
      <c r="D21" s="23">
        <f t="shared" si="3"/>
        <v>5.0199999999999996</v>
      </c>
      <c r="E21" s="23">
        <f t="shared" si="1"/>
        <v>14.721668829012346</v>
      </c>
      <c r="F21" s="3">
        <v>60</v>
      </c>
      <c r="G21" s="19">
        <v>4.5</v>
      </c>
      <c r="H21" s="23">
        <f t="shared" si="2"/>
        <v>11.221668829012346</v>
      </c>
    </row>
    <row r="22" spans="2:8" x14ac:dyDescent="0.2">
      <c r="B22" s="3">
        <v>25</v>
      </c>
      <c r="C22" s="3">
        <f t="shared" si="0"/>
        <v>6.9444444444444441E-3</v>
      </c>
      <c r="D22" s="23">
        <f t="shared" si="3"/>
        <v>1.6374999999999993</v>
      </c>
      <c r="E22" s="23">
        <f t="shared" si="1"/>
        <v>18.878090378086419</v>
      </c>
      <c r="F22" s="3"/>
      <c r="G22" s="19"/>
      <c r="H22" s="23">
        <f t="shared" si="2"/>
        <v>15.378090378086418</v>
      </c>
    </row>
    <row r="23" spans="2:8" x14ac:dyDescent="0.2">
      <c r="B23" s="3"/>
      <c r="C23" s="3"/>
      <c r="D23" s="3"/>
      <c r="E23" s="3"/>
      <c r="F23" s="3"/>
      <c r="G23" s="19"/>
    </row>
    <row r="24" spans="2:8" x14ac:dyDescent="0.2">
      <c r="B24" s="3"/>
      <c r="C24" s="3"/>
      <c r="D24" s="3"/>
      <c r="E24" s="3"/>
      <c r="F24" s="3"/>
      <c r="G24" s="19"/>
    </row>
    <row r="25" spans="2:8" x14ac:dyDescent="0.2">
      <c r="B25" s="3"/>
      <c r="C25" s="3"/>
      <c r="D25" s="3"/>
      <c r="E25" s="3"/>
      <c r="F25" s="3"/>
      <c r="G25" s="19"/>
    </row>
    <row r="26" spans="2:8" x14ac:dyDescent="0.2">
      <c r="B26" s="3"/>
      <c r="C26" s="3"/>
      <c r="D26" s="3"/>
      <c r="E26" s="3"/>
      <c r="F26" s="3"/>
      <c r="G26" s="19"/>
    </row>
    <row r="27" spans="2:8" x14ac:dyDescent="0.2">
      <c r="B27" s="3"/>
      <c r="C27" s="3"/>
      <c r="D27" s="3"/>
      <c r="E27" s="3"/>
      <c r="F27" s="3"/>
      <c r="G27" s="19"/>
    </row>
    <row r="32" spans="2:8" x14ac:dyDescent="0.2">
      <c r="B32" s="2" t="s">
        <v>14</v>
      </c>
      <c r="C32" s="2"/>
    </row>
    <row r="34" spans="2:11" x14ac:dyDescent="0.2">
      <c r="B34" s="10" t="s">
        <v>0</v>
      </c>
      <c r="C34" s="11" t="s">
        <v>1</v>
      </c>
      <c r="D34" s="11" t="s">
        <v>6</v>
      </c>
      <c r="E34" s="21" t="s">
        <v>11</v>
      </c>
      <c r="F34" s="11" t="s">
        <v>8</v>
      </c>
      <c r="G34" s="11" t="s">
        <v>9</v>
      </c>
      <c r="H34" s="11" t="s">
        <v>10</v>
      </c>
    </row>
    <row r="35" spans="2:11" x14ac:dyDescent="0.2">
      <c r="B35" s="5">
        <v>0</v>
      </c>
      <c r="C35" s="4">
        <f>4*B35/(PI()*$C$1*$C$2)</f>
        <v>0</v>
      </c>
      <c r="D35" s="3">
        <f>C3/C1</f>
        <v>8.7619047619047626E-4</v>
      </c>
      <c r="E35" s="21">
        <v>0</v>
      </c>
      <c r="F35" s="3">
        <v>0</v>
      </c>
      <c r="G35" s="3">
        <v>0</v>
      </c>
      <c r="H35" s="4">
        <v>0</v>
      </c>
    </row>
    <row r="36" spans="2:11" x14ac:dyDescent="0.2">
      <c r="B36" s="5">
        <v>1.3888889999999999E-3</v>
      </c>
      <c r="C36" s="4">
        <f t="shared" ref="C36:C45" si="4">4*B36/(PI()*$C$1*$C$2)</f>
        <v>90758.557995039431</v>
      </c>
      <c r="D36" s="3"/>
      <c r="E36" s="22">
        <v>2.4E-2</v>
      </c>
      <c r="F36" s="3">
        <f>1/SQRT(E36)</f>
        <v>6.4549722436790278</v>
      </c>
      <c r="G36" s="3">
        <f>-2*LOG10(($D$35/3.7)+(2.51/(C36*SQRT(E36))))</f>
        <v>6.763222554587955</v>
      </c>
      <c r="H36" s="4">
        <f>F36-G36</f>
        <v>-0.30825031090892718</v>
      </c>
    </row>
    <row r="37" spans="2:11" x14ac:dyDescent="0.2">
      <c r="B37" s="5">
        <v>2.7777779999999998E-3</v>
      </c>
      <c r="C37" s="4">
        <f t="shared" si="4"/>
        <v>181517.11599007886</v>
      </c>
      <c r="D37" s="3"/>
      <c r="E37" s="22">
        <v>2.248E-2</v>
      </c>
      <c r="F37" s="3">
        <f t="shared" ref="F37:F45" si="5">1/SQRT(E37)</f>
        <v>6.6696316064026018</v>
      </c>
      <c r="G37" s="3">
        <f t="shared" ref="G37:G45" si="6">-2*LOG10(($D$35/3.7)+(2.51/(C37*SQRT(E37))))</f>
        <v>6.9655152349688505</v>
      </c>
      <c r="H37" s="4">
        <f t="shared" ref="H37:H45" si="7">F37-G37</f>
        <v>-0.29588362856624872</v>
      </c>
    </row>
    <row r="38" spans="2:11" x14ac:dyDescent="0.2">
      <c r="B38" s="5">
        <v>4.1666669999999998E-3</v>
      </c>
      <c r="C38" s="4">
        <f t="shared" si="4"/>
        <v>272275.67398511828</v>
      </c>
      <c r="D38" s="3"/>
      <c r="E38" s="22">
        <v>2.1520000000000001E-2</v>
      </c>
      <c r="F38" s="3">
        <f t="shared" si="5"/>
        <v>6.8167735393651476</v>
      </c>
      <c r="G38" s="3">
        <f t="shared" si="6"/>
        <v>7.0467733718656298</v>
      </c>
      <c r="H38" s="4">
        <f t="shared" si="7"/>
        <v>-0.22999983250048217</v>
      </c>
      <c r="K38" s="12"/>
    </row>
    <row r="39" spans="2:11" x14ac:dyDescent="0.2">
      <c r="B39" s="5">
        <v>5.5555559999999997E-3</v>
      </c>
      <c r="C39" s="4">
        <f t="shared" si="4"/>
        <v>363034.23198015773</v>
      </c>
      <c r="D39" s="3"/>
      <c r="E39" s="22">
        <v>2.0979999999999999E-2</v>
      </c>
      <c r="F39" s="3">
        <f t="shared" si="5"/>
        <v>6.9039439689227482</v>
      </c>
      <c r="G39" s="3">
        <f t="shared" si="6"/>
        <v>7.0917080030934834</v>
      </c>
      <c r="H39" s="4">
        <f t="shared" si="7"/>
        <v>-0.18776403417073517</v>
      </c>
    </row>
    <row r="40" spans="2:11" x14ac:dyDescent="0.2">
      <c r="B40" s="5">
        <v>6.9444440000000001E-3</v>
      </c>
      <c r="C40" s="4">
        <f t="shared" si="4"/>
        <v>453792.72462904069</v>
      </c>
      <c r="D40" s="3"/>
      <c r="E40" s="22">
        <v>2.0639999999999999E-2</v>
      </c>
      <c r="F40" s="3">
        <f t="shared" si="5"/>
        <v>6.9605755798713069</v>
      </c>
      <c r="G40" s="3">
        <f t="shared" si="6"/>
        <v>7.1203614174785148</v>
      </c>
      <c r="H40" s="4">
        <f t="shared" si="7"/>
        <v>-0.15978583760720788</v>
      </c>
    </row>
    <row r="41" spans="2:11" x14ac:dyDescent="0.2">
      <c r="B41" s="5">
        <v>0.1</v>
      </c>
      <c r="C41" s="4">
        <f t="shared" si="4"/>
        <v>6534615.6528735878</v>
      </c>
      <c r="D41" s="3"/>
      <c r="E41" s="22">
        <v>0.1</v>
      </c>
      <c r="F41" s="3">
        <f t="shared" si="5"/>
        <v>3.1622776601683791</v>
      </c>
      <c r="G41" s="3">
        <f t="shared" si="6"/>
        <v>7.2467625380285714</v>
      </c>
      <c r="H41" s="4">
        <f t="shared" si="7"/>
        <v>-4.0844848778601923</v>
      </c>
    </row>
    <row r="42" spans="2:11" x14ac:dyDescent="0.2">
      <c r="B42" s="5">
        <v>0.1</v>
      </c>
      <c r="C42" s="4">
        <f t="shared" si="4"/>
        <v>6534615.6528735878</v>
      </c>
      <c r="D42" s="3"/>
      <c r="E42" s="22">
        <v>0.1</v>
      </c>
      <c r="F42" s="3">
        <f t="shared" si="5"/>
        <v>3.1622776601683791</v>
      </c>
      <c r="G42" s="3">
        <f t="shared" si="6"/>
        <v>7.2467625380285714</v>
      </c>
      <c r="H42" s="4">
        <f t="shared" si="7"/>
        <v>-4.0844848778601923</v>
      </c>
    </row>
    <row r="43" spans="2:11" x14ac:dyDescent="0.2">
      <c r="B43" s="5">
        <v>0.1</v>
      </c>
      <c r="C43" s="4">
        <f t="shared" si="4"/>
        <v>6534615.6528735878</v>
      </c>
      <c r="D43" s="3"/>
      <c r="E43" s="22">
        <v>0.1</v>
      </c>
      <c r="F43" s="3">
        <f t="shared" si="5"/>
        <v>3.1622776601683791</v>
      </c>
      <c r="G43" s="3">
        <f t="shared" si="6"/>
        <v>7.2467625380285714</v>
      </c>
      <c r="H43" s="4">
        <f t="shared" si="7"/>
        <v>-4.0844848778601923</v>
      </c>
    </row>
    <row r="44" spans="2:11" x14ac:dyDescent="0.2">
      <c r="B44" s="5">
        <v>0.1</v>
      </c>
      <c r="C44" s="4">
        <f t="shared" si="4"/>
        <v>6534615.6528735878</v>
      </c>
      <c r="D44" s="3"/>
      <c r="E44" s="22">
        <v>0.1</v>
      </c>
      <c r="F44" s="3">
        <f t="shared" si="5"/>
        <v>3.1622776601683791</v>
      </c>
      <c r="G44" s="3">
        <f t="shared" si="6"/>
        <v>7.2467625380285714</v>
      </c>
      <c r="H44" s="4">
        <f t="shared" si="7"/>
        <v>-4.0844848778601923</v>
      </c>
    </row>
    <row r="45" spans="2:11" x14ac:dyDescent="0.2">
      <c r="B45" s="5">
        <v>0.1</v>
      </c>
      <c r="C45" s="4">
        <f t="shared" si="4"/>
        <v>6534615.6528735878</v>
      </c>
      <c r="D45" s="3"/>
      <c r="E45" s="22">
        <v>0.1</v>
      </c>
      <c r="F45" s="3">
        <f t="shared" si="5"/>
        <v>3.1622776601683791</v>
      </c>
      <c r="G45" s="3">
        <f t="shared" si="6"/>
        <v>7.2467625380285714</v>
      </c>
      <c r="H45" s="4">
        <f t="shared" si="7"/>
        <v>-4.0844848778601923</v>
      </c>
    </row>
    <row r="48" spans="2:11" x14ac:dyDescent="0.2">
      <c r="B48" s="2" t="s">
        <v>12</v>
      </c>
      <c r="C48" s="3"/>
      <c r="D48" s="3"/>
      <c r="E48" s="3"/>
      <c r="F48" s="3"/>
      <c r="G48" s="3"/>
    </row>
    <row r="49" spans="2:9" x14ac:dyDescent="0.2">
      <c r="B49" s="7" t="s">
        <v>19</v>
      </c>
      <c r="C49" s="18">
        <v>18.872666598392666</v>
      </c>
      <c r="D49" s="6" t="s">
        <v>3</v>
      </c>
      <c r="E49" s="3"/>
      <c r="F49" s="3"/>
      <c r="G49" s="3"/>
    </row>
    <row r="50" spans="2:9" x14ac:dyDescent="0.2">
      <c r="B50" s="7" t="s">
        <v>18</v>
      </c>
      <c r="C50" s="17">
        <v>4.1514571495543341E-3</v>
      </c>
      <c r="D50" s="6" t="s">
        <v>13</v>
      </c>
      <c r="E50" s="18">
        <f>C50*3600</f>
        <v>14.945245738395602</v>
      </c>
      <c r="F50" s="6" t="s">
        <v>44</v>
      </c>
      <c r="G50" s="3"/>
      <c r="I50" t="s">
        <v>45</v>
      </c>
    </row>
    <row r="51" spans="2:9" x14ac:dyDescent="0.2">
      <c r="B51" s="3"/>
      <c r="C51" s="3"/>
      <c r="D51" s="3"/>
      <c r="E51" s="9" t="s">
        <v>20</v>
      </c>
      <c r="F51" s="9" t="s">
        <v>21</v>
      </c>
      <c r="G51" s="9" t="s">
        <v>22</v>
      </c>
    </row>
    <row r="52" spans="2:9" x14ac:dyDescent="0.2">
      <c r="B52" s="3">
        <f>(E52*C50^2 + F52*C50 + G52 - C49)^2</f>
        <v>1.5740698450963397E-7</v>
      </c>
      <c r="C52" s="3" t="s">
        <v>16</v>
      </c>
      <c r="D52" s="3"/>
      <c r="E52" s="3">
        <v>921000</v>
      </c>
      <c r="F52" s="3">
        <v>0</v>
      </c>
      <c r="G52" s="3">
        <v>3</v>
      </c>
    </row>
    <row r="53" spans="2:9" x14ac:dyDescent="0.2">
      <c r="B53" s="3">
        <f>(E53*C50^2  + F53*C50 + G53 -C49)^2</f>
        <v>9.8374912384754646E-7</v>
      </c>
      <c r="C53" s="3" t="s">
        <v>15</v>
      </c>
      <c r="D53" s="3"/>
      <c r="E53" s="3">
        <v>-324818</v>
      </c>
      <c r="F53" s="3">
        <v>-368.12</v>
      </c>
      <c r="G53" s="3">
        <v>26</v>
      </c>
    </row>
    <row r="54" spans="2:9" x14ac:dyDescent="0.2">
      <c r="B54" s="3">
        <f>SUM(B52:B53)</f>
        <v>1.1411561083571805E-6</v>
      </c>
      <c r="C54" s="3" t="s">
        <v>17</v>
      </c>
      <c r="D54" s="3"/>
      <c r="E54" s="3"/>
      <c r="F54" s="3"/>
      <c r="G54" s="3"/>
    </row>
    <row r="77" spans="2:4" x14ac:dyDescent="0.2">
      <c r="B77" s="13" t="s">
        <v>23</v>
      </c>
      <c r="C77" s="3"/>
    </row>
    <row r="78" spans="2:4" x14ac:dyDescent="0.2">
      <c r="B78" s="16">
        <f>0.0133*E50*E50*E50  - 0.76*E50*E50 +  13.067*E50 -8</f>
        <v>61.933380479672351</v>
      </c>
      <c r="C78" s="16" t="s">
        <v>25</v>
      </c>
      <c r="D78" s="1"/>
    </row>
    <row r="79" spans="2:4" x14ac:dyDescent="0.2">
      <c r="B79" s="20"/>
      <c r="C79" s="20"/>
      <c r="D79" s="1"/>
    </row>
    <row r="80" spans="2:4" x14ac:dyDescent="0.2">
      <c r="B80" s="24" t="s">
        <v>46</v>
      </c>
      <c r="C80" s="20"/>
      <c r="D80" s="1"/>
    </row>
    <row r="81" spans="2:12" x14ac:dyDescent="0.2">
      <c r="B81" s="24"/>
      <c r="C81" s="20"/>
      <c r="D81" s="1"/>
    </row>
    <row r="82" spans="2:12" x14ac:dyDescent="0.2">
      <c r="B82" s="24"/>
      <c r="C82" s="20"/>
      <c r="D82" s="1"/>
    </row>
    <row r="83" spans="2:12" x14ac:dyDescent="0.2">
      <c r="B83" s="24"/>
      <c r="C83" s="20"/>
      <c r="D83" s="1"/>
    </row>
    <row r="84" spans="2:12" x14ac:dyDescent="0.2">
      <c r="B84" s="24"/>
      <c r="C84" s="20"/>
      <c r="D84" s="1"/>
    </row>
    <row r="85" spans="2:12" x14ac:dyDescent="0.2">
      <c r="B85" s="24"/>
      <c r="C85" s="20"/>
      <c r="D85" s="1"/>
    </row>
    <row r="86" spans="2:12" x14ac:dyDescent="0.2">
      <c r="B86" s="24"/>
      <c r="C86" s="20"/>
      <c r="D86" s="1"/>
    </row>
    <row r="87" spans="2:12" x14ac:dyDescent="0.2">
      <c r="B87" s="20"/>
      <c r="C87" s="20"/>
      <c r="D87" s="1"/>
    </row>
    <row r="88" spans="2:12" x14ac:dyDescent="0.2">
      <c r="D88" s="1"/>
      <c r="F88" s="1"/>
      <c r="G88" s="1"/>
      <c r="H88" s="1"/>
      <c r="I88" s="1"/>
      <c r="J88" s="1"/>
      <c r="K88" s="1"/>
      <c r="L88" s="1"/>
    </row>
    <row r="89" spans="2:12" x14ac:dyDescent="0.2">
      <c r="D89" s="1"/>
      <c r="F89" s="1"/>
      <c r="G89" s="1"/>
      <c r="H89" s="1"/>
      <c r="I89" s="1"/>
      <c r="J89" s="1"/>
      <c r="K89" s="1"/>
      <c r="L89" s="1"/>
    </row>
    <row r="90" spans="2:12" x14ac:dyDescent="0.2">
      <c r="D90" s="1"/>
      <c r="F90" s="1"/>
      <c r="G90" s="1"/>
      <c r="H90" s="1"/>
      <c r="I90" s="1"/>
      <c r="J90" s="1"/>
      <c r="K90" s="1"/>
      <c r="L90" s="1"/>
    </row>
    <row r="91" spans="2:12" x14ac:dyDescent="0.2">
      <c r="B91" s="13" t="s">
        <v>24</v>
      </c>
      <c r="C91" s="3"/>
      <c r="D91" s="4"/>
      <c r="F91" s="1"/>
      <c r="G91" s="1"/>
      <c r="H91" s="1"/>
      <c r="I91" s="1"/>
      <c r="J91" s="1"/>
      <c r="K91" s="1"/>
      <c r="L91" s="1"/>
    </row>
    <row r="92" spans="2:12" x14ac:dyDescent="0.2">
      <c r="B92" s="3" t="s">
        <v>26</v>
      </c>
      <c r="C92" s="3">
        <v>-6</v>
      </c>
      <c r="D92" s="4" t="s">
        <v>3</v>
      </c>
      <c r="F92" s="1"/>
      <c r="G92" s="1"/>
      <c r="H92" s="1"/>
      <c r="I92" s="1"/>
      <c r="J92" s="1"/>
      <c r="K92" s="1"/>
      <c r="L92" s="1"/>
    </row>
    <row r="93" spans="2:12" x14ac:dyDescent="0.2">
      <c r="B93" s="3" t="s">
        <v>30</v>
      </c>
      <c r="C93" s="3">
        <v>0</v>
      </c>
      <c r="D93" s="4" t="s">
        <v>3</v>
      </c>
      <c r="F93" s="1"/>
      <c r="G93" s="1"/>
      <c r="H93" s="1"/>
      <c r="I93" s="1"/>
      <c r="J93" s="1"/>
      <c r="K93" s="1"/>
      <c r="L93" s="1"/>
    </row>
    <row r="94" spans="2:12" x14ac:dyDescent="0.2">
      <c r="B94" s="3" t="s">
        <v>27</v>
      </c>
      <c r="C94" s="3">
        <v>101000</v>
      </c>
      <c r="D94" s="4" t="s">
        <v>33</v>
      </c>
      <c r="F94" s="1"/>
      <c r="G94" s="1"/>
      <c r="H94" s="1"/>
      <c r="I94" s="1"/>
      <c r="J94" s="1"/>
      <c r="K94" s="1"/>
      <c r="L94" s="1"/>
    </row>
    <row r="95" spans="2:12" x14ac:dyDescent="0.2">
      <c r="B95" s="3" t="s">
        <v>28</v>
      </c>
      <c r="C95" s="3">
        <f>870*9.81</f>
        <v>8534.7000000000007</v>
      </c>
      <c r="D95" s="4" t="s">
        <v>34</v>
      </c>
      <c r="F95" s="1"/>
      <c r="G95" s="1"/>
      <c r="H95" s="1"/>
      <c r="I95" s="1"/>
      <c r="J95" s="1"/>
      <c r="K95" s="1"/>
      <c r="L95" s="1"/>
    </row>
    <row r="96" spans="2:12" x14ac:dyDescent="0.2">
      <c r="B96" s="3" t="s">
        <v>29</v>
      </c>
      <c r="C96" s="3">
        <f>10500/C95</f>
        <v>1.2302717142957573</v>
      </c>
      <c r="D96" s="4" t="s">
        <v>3</v>
      </c>
      <c r="F96" s="1"/>
      <c r="G96" s="1"/>
      <c r="H96" s="1"/>
      <c r="I96" s="1"/>
      <c r="J96" s="1"/>
      <c r="K96" s="1"/>
      <c r="L96" s="1"/>
    </row>
    <row r="97" spans="2:8" x14ac:dyDescent="0.2">
      <c r="B97" s="3" t="s">
        <v>126</v>
      </c>
      <c r="C97" s="3">
        <v>20</v>
      </c>
      <c r="D97" s="4" t="s">
        <v>3</v>
      </c>
    </row>
    <row r="98" spans="2:8" x14ac:dyDescent="0.2">
      <c r="B98" s="3" t="s">
        <v>31</v>
      </c>
      <c r="C98" s="3">
        <f>C1</f>
        <v>5.2499999999999998E-2</v>
      </c>
      <c r="D98" s="4" t="s">
        <v>3</v>
      </c>
    </row>
    <row r="99" spans="2:8" x14ac:dyDescent="0.2">
      <c r="B99" s="3" t="s">
        <v>32</v>
      </c>
      <c r="C99" s="3">
        <v>0</v>
      </c>
      <c r="D99" s="3"/>
    </row>
    <row r="102" spans="2:8" x14ac:dyDescent="0.2">
      <c r="B102" s="10" t="s">
        <v>0</v>
      </c>
      <c r="C102" s="11" t="s">
        <v>1</v>
      </c>
      <c r="D102" s="11" t="s">
        <v>6</v>
      </c>
      <c r="E102" s="6" t="s">
        <v>11</v>
      </c>
      <c r="F102" s="11" t="s">
        <v>8</v>
      </c>
      <c r="G102" s="11" t="s">
        <v>9</v>
      </c>
      <c r="H102" s="11" t="s">
        <v>10</v>
      </c>
    </row>
    <row r="103" spans="2:8" x14ac:dyDescent="0.2">
      <c r="B103" s="5"/>
      <c r="C103" s="4"/>
      <c r="D103" s="3"/>
      <c r="E103" s="3"/>
      <c r="F103" s="3"/>
      <c r="G103" s="3"/>
      <c r="H103" s="4"/>
    </row>
    <row r="104" spans="2:8" x14ac:dyDescent="0.2">
      <c r="B104" s="5">
        <f>18.3/3600</f>
        <v>5.0833333333333338E-3</v>
      </c>
      <c r="C104" s="4">
        <f>4*B104/(PI()*$C$1*$C$2)</f>
        <v>332176.29568774073</v>
      </c>
      <c r="D104" s="3">
        <f>$C$3/C98</f>
        <v>8.7619047619047626E-4</v>
      </c>
      <c r="E104" s="14">
        <v>1.9E-2</v>
      </c>
      <c r="F104" s="3">
        <f>1/SQRT(E104)</f>
        <v>7.2547625011001164</v>
      </c>
      <c r="G104" s="4">
        <f>-2*LOG10(($D$104/3.7)+(2.51/(C104*SQRT(E104))))</f>
        <v>7.0703448965105746</v>
      </c>
      <c r="H104" s="4">
        <f>F104-G104</f>
        <v>0.18441760458954182</v>
      </c>
    </row>
    <row r="107" spans="2:8" x14ac:dyDescent="0.2">
      <c r="B107" s="6" t="s">
        <v>36</v>
      </c>
      <c r="C107" s="6">
        <f>C92+C94/C95-C96-C93-((E104*C97/C98+C99)*(8*B104^2)/(PI()^2*9.81*C98^4))</f>
        <v>2.5695150232827668</v>
      </c>
    </row>
    <row r="109" spans="2:8" x14ac:dyDescent="0.2">
      <c r="B109" s="3" t="s">
        <v>35</v>
      </c>
      <c r="C109" s="3">
        <f>0.0332*E50^2 - 0.5401*E50 + 3.9182</f>
        <v>3.2618370667027947</v>
      </c>
    </row>
    <row r="110" spans="2:8" x14ac:dyDescent="0.2">
      <c r="B110" s="25" t="s">
        <v>47</v>
      </c>
    </row>
    <row r="112" spans="2:8" x14ac:dyDescent="0.2">
      <c r="B112" s="15" t="s">
        <v>37</v>
      </c>
      <c r="C112" s="15"/>
    </row>
  </sheetData>
  <pageMargins left="0.7" right="0.7" top="0.75" bottom="0.75" header="0.3" footer="0.3"/>
  <pageSetup paperSize="9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Goal_Seek_Range">
                <anchor moveWithCells="1" sizeWithCells="1">
                  <from>
                    <xdr:col>8</xdr:col>
                    <xdr:colOff>165100</xdr:colOff>
                    <xdr:row>32</xdr:row>
                    <xdr:rowOff>203200</xdr:rowOff>
                  </from>
                  <to>
                    <xdr:col>9</xdr:col>
                    <xdr:colOff>76200</xdr:colOff>
                    <xdr:row>34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FEBAB-B13F-234D-9D83-50BE1CEB03AA}">
  <sheetPr codeName="Sheet2"/>
  <dimension ref="B1:J17"/>
  <sheetViews>
    <sheetView tabSelected="1" zoomScale="125" workbookViewId="0">
      <selection activeCell="C2" sqref="C2"/>
    </sheetView>
  </sheetViews>
  <sheetFormatPr baseColWidth="10" defaultRowHeight="16" x14ac:dyDescent="0.2"/>
  <cols>
    <col min="3" max="3" width="14.5" customWidth="1"/>
    <col min="4" max="4" width="14.1640625" customWidth="1"/>
    <col min="7" max="7" width="13.6640625" customWidth="1"/>
    <col min="8" max="8" width="14.5" customWidth="1"/>
    <col min="10" max="10" width="14.33203125" customWidth="1"/>
  </cols>
  <sheetData>
    <row r="1" spans="2:10" x14ac:dyDescent="0.2">
      <c r="B1" s="26" t="s">
        <v>52</v>
      </c>
      <c r="C1">
        <v>2900</v>
      </c>
      <c r="D1" t="s">
        <v>57</v>
      </c>
    </row>
    <row r="2" spans="2:10" x14ac:dyDescent="0.2">
      <c r="B2" s="26" t="s">
        <v>53</v>
      </c>
      <c r="D2" t="s">
        <v>57</v>
      </c>
    </row>
    <row r="5" spans="2:10" x14ac:dyDescent="0.2">
      <c r="B5" s="30"/>
      <c r="C5" s="31" t="s">
        <v>58</v>
      </c>
      <c r="D5" s="32"/>
      <c r="F5" s="30"/>
      <c r="G5" s="31" t="s">
        <v>59</v>
      </c>
      <c r="H5" s="32"/>
    </row>
    <row r="6" spans="2:10" x14ac:dyDescent="0.2">
      <c r="B6" s="11" t="s">
        <v>51</v>
      </c>
      <c r="C6" s="11" t="s">
        <v>49</v>
      </c>
      <c r="D6" s="11" t="s">
        <v>50</v>
      </c>
      <c r="F6" s="11" t="s">
        <v>54</v>
      </c>
      <c r="G6" s="11" t="s">
        <v>55</v>
      </c>
      <c r="H6" s="11" t="s">
        <v>56</v>
      </c>
      <c r="J6" s="33" t="s">
        <v>60</v>
      </c>
    </row>
    <row r="7" spans="2:10" x14ac:dyDescent="0.2">
      <c r="B7" s="23">
        <v>0</v>
      </c>
      <c r="C7" s="28">
        <f t="shared" ref="C7:C17" si="0">$B7/3600</f>
        <v>0</v>
      </c>
      <c r="D7" s="27">
        <v>120</v>
      </c>
      <c r="F7" s="20">
        <f>($C$2/$C$1)*B7</f>
        <v>0</v>
      </c>
      <c r="G7" s="29">
        <f>F7/3600</f>
        <v>0</v>
      </c>
      <c r="H7" s="20">
        <f>($C$2/$C$1)*($C$2/$C$1)*D7</f>
        <v>0</v>
      </c>
      <c r="J7">
        <f>20+10*B7^2</f>
        <v>20</v>
      </c>
    </row>
    <row r="8" spans="2:10" x14ac:dyDescent="0.2">
      <c r="B8" s="23">
        <v>0.5</v>
      </c>
      <c r="C8" s="28">
        <f t="shared" si="0"/>
        <v>1.3888888888888889E-4</v>
      </c>
      <c r="D8" s="27">
        <v>117.4</v>
      </c>
      <c r="F8" s="20">
        <f>($C$2/$C$1)*B8</f>
        <v>0</v>
      </c>
      <c r="G8" s="29">
        <f t="shared" ref="G8:G17" si="1">F8/3600</f>
        <v>0</v>
      </c>
      <c r="H8" s="20">
        <f t="shared" ref="H8:H17" si="2">($C$2/$C$1)*($C$2/$C$1)*D8</f>
        <v>0</v>
      </c>
      <c r="J8">
        <f t="shared" ref="J8:J17" si="3">20+10*B8^2</f>
        <v>22.5</v>
      </c>
    </row>
    <row r="9" spans="2:10" x14ac:dyDescent="0.2">
      <c r="B9" s="23">
        <v>1</v>
      </c>
      <c r="C9" s="28">
        <f t="shared" si="0"/>
        <v>2.7777777777777778E-4</v>
      </c>
      <c r="D9" s="27">
        <v>114.3</v>
      </c>
      <c r="F9" s="20">
        <f>($C$2/$C$1)*B9</f>
        <v>0</v>
      </c>
      <c r="G9" s="29">
        <f t="shared" si="1"/>
        <v>0</v>
      </c>
      <c r="H9" s="20">
        <f t="shared" si="2"/>
        <v>0</v>
      </c>
      <c r="J9">
        <f t="shared" si="3"/>
        <v>30</v>
      </c>
    </row>
    <row r="10" spans="2:10" x14ac:dyDescent="0.2">
      <c r="B10" s="23">
        <v>1.5</v>
      </c>
      <c r="C10" s="28">
        <f t="shared" si="0"/>
        <v>4.1666666666666669E-4</v>
      </c>
      <c r="D10" s="27">
        <v>110</v>
      </c>
      <c r="F10" s="20">
        <f>($C$2/$C$1)*B10</f>
        <v>0</v>
      </c>
      <c r="G10" s="29">
        <f t="shared" si="1"/>
        <v>0</v>
      </c>
      <c r="H10" s="20">
        <f t="shared" si="2"/>
        <v>0</v>
      </c>
      <c r="J10">
        <f t="shared" si="3"/>
        <v>42.5</v>
      </c>
    </row>
    <row r="11" spans="2:10" x14ac:dyDescent="0.2">
      <c r="B11" s="23">
        <v>2</v>
      </c>
      <c r="C11" s="28">
        <f t="shared" si="0"/>
        <v>5.5555555555555556E-4</v>
      </c>
      <c r="D11" s="27">
        <v>104</v>
      </c>
      <c r="F11" s="20">
        <f t="shared" ref="F11:F17" si="4">($C$2/$C$1)*B11</f>
        <v>0</v>
      </c>
      <c r="G11" s="29">
        <f t="shared" si="1"/>
        <v>0</v>
      </c>
      <c r="H11" s="20">
        <f t="shared" si="2"/>
        <v>0</v>
      </c>
      <c r="J11">
        <f t="shared" si="3"/>
        <v>60</v>
      </c>
    </row>
    <row r="12" spans="2:10" x14ac:dyDescent="0.2">
      <c r="B12" s="23">
        <v>2.5</v>
      </c>
      <c r="C12" s="28">
        <f t="shared" si="0"/>
        <v>6.9444444444444447E-4</v>
      </c>
      <c r="D12" s="27">
        <v>95.8</v>
      </c>
      <c r="F12" s="20">
        <f t="shared" si="4"/>
        <v>0</v>
      </c>
      <c r="G12" s="29">
        <f t="shared" si="1"/>
        <v>0</v>
      </c>
      <c r="H12" s="20">
        <f t="shared" si="2"/>
        <v>0</v>
      </c>
      <c r="J12">
        <f t="shared" si="3"/>
        <v>82.5</v>
      </c>
    </row>
    <row r="13" spans="2:10" x14ac:dyDescent="0.2">
      <c r="B13" s="23">
        <v>3</v>
      </c>
      <c r="C13" s="28">
        <f t="shared" si="0"/>
        <v>8.3333333333333339E-4</v>
      </c>
      <c r="D13" s="27">
        <v>84.8</v>
      </c>
      <c r="F13" s="20">
        <f t="shared" si="4"/>
        <v>0</v>
      </c>
      <c r="G13" s="29">
        <f t="shared" si="1"/>
        <v>0</v>
      </c>
      <c r="H13" s="20">
        <f t="shared" si="2"/>
        <v>0</v>
      </c>
      <c r="J13">
        <f t="shared" si="3"/>
        <v>110</v>
      </c>
    </row>
    <row r="14" spans="2:10" x14ac:dyDescent="0.2">
      <c r="B14" s="23">
        <v>3.5</v>
      </c>
      <c r="C14" s="28">
        <f t="shared" si="0"/>
        <v>9.7222222222222219E-4</v>
      </c>
      <c r="D14" s="27">
        <v>70.3</v>
      </c>
      <c r="F14" s="20">
        <f t="shared" si="4"/>
        <v>0</v>
      </c>
      <c r="G14" s="29">
        <f t="shared" si="1"/>
        <v>0</v>
      </c>
      <c r="H14" s="20">
        <f t="shared" si="2"/>
        <v>0</v>
      </c>
      <c r="J14">
        <f t="shared" si="3"/>
        <v>142.5</v>
      </c>
    </row>
    <row r="15" spans="2:10" x14ac:dyDescent="0.2">
      <c r="B15" s="23">
        <v>0</v>
      </c>
      <c r="C15" s="28">
        <f t="shared" si="0"/>
        <v>0</v>
      </c>
      <c r="D15" s="27">
        <v>0</v>
      </c>
      <c r="F15" s="20">
        <f t="shared" si="4"/>
        <v>0</v>
      </c>
      <c r="G15" s="29">
        <f t="shared" si="1"/>
        <v>0</v>
      </c>
      <c r="H15" s="20">
        <f t="shared" si="2"/>
        <v>0</v>
      </c>
      <c r="J15">
        <f t="shared" si="3"/>
        <v>20</v>
      </c>
    </row>
    <row r="16" spans="2:10" x14ac:dyDescent="0.2">
      <c r="B16" s="23">
        <v>0</v>
      </c>
      <c r="C16" s="28">
        <f t="shared" si="0"/>
        <v>0</v>
      </c>
      <c r="D16" s="27">
        <v>0</v>
      </c>
      <c r="F16" s="20">
        <f t="shared" si="4"/>
        <v>0</v>
      </c>
      <c r="G16" s="29">
        <f t="shared" si="1"/>
        <v>0</v>
      </c>
      <c r="H16" s="20">
        <f t="shared" si="2"/>
        <v>0</v>
      </c>
      <c r="J16">
        <f t="shared" si="3"/>
        <v>20</v>
      </c>
    </row>
    <row r="17" spans="2:10" x14ac:dyDescent="0.2">
      <c r="B17" s="23">
        <v>0</v>
      </c>
      <c r="C17" s="28">
        <f t="shared" si="0"/>
        <v>0</v>
      </c>
      <c r="D17" s="27">
        <v>0</v>
      </c>
      <c r="F17" s="20">
        <f t="shared" si="4"/>
        <v>0</v>
      </c>
      <c r="G17" s="29">
        <f t="shared" si="1"/>
        <v>0</v>
      </c>
      <c r="H17" s="20">
        <f t="shared" si="2"/>
        <v>0</v>
      </c>
      <c r="J17">
        <f t="shared" si="3"/>
        <v>20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CB784-28D0-4348-A28E-672693B1B730}">
  <dimension ref="M11:Q62"/>
  <sheetViews>
    <sheetView zoomScale="118" workbookViewId="0">
      <selection activeCell="Z67" sqref="Z67"/>
    </sheetView>
  </sheetViews>
  <sheetFormatPr baseColWidth="10" defaultRowHeight="16" x14ac:dyDescent="0.2"/>
  <cols>
    <col min="14" max="14" width="14.6640625" customWidth="1"/>
  </cols>
  <sheetData>
    <row r="11" spans="13:17" x14ac:dyDescent="0.2">
      <c r="M11" s="35" t="s">
        <v>63</v>
      </c>
      <c r="N11" s="35" t="s">
        <v>64</v>
      </c>
      <c r="O11" s="35" t="s">
        <v>62</v>
      </c>
      <c r="P11" s="35" t="s">
        <v>61</v>
      </c>
    </row>
    <row r="12" spans="13:17" x14ac:dyDescent="0.2">
      <c r="M12" s="3">
        <v>70</v>
      </c>
      <c r="N12" s="3">
        <f>M12/100</f>
        <v>0.7</v>
      </c>
      <c r="O12" s="3">
        <v>100</v>
      </c>
      <c r="P12" s="3">
        <v>0.65</v>
      </c>
    </row>
    <row r="13" spans="13:17" x14ac:dyDescent="0.2">
      <c r="M13" s="3">
        <v>90</v>
      </c>
      <c r="N13" s="3">
        <f t="shared" ref="N13:N19" si="0">M13/100</f>
        <v>0.9</v>
      </c>
      <c r="O13" s="3">
        <v>97.5</v>
      </c>
      <c r="P13" s="3">
        <v>0.7</v>
      </c>
    </row>
    <row r="14" spans="13:17" x14ac:dyDescent="0.2">
      <c r="M14" s="3">
        <v>100</v>
      </c>
      <c r="N14" s="3">
        <f t="shared" si="0"/>
        <v>1</v>
      </c>
      <c r="O14" s="3">
        <v>95</v>
      </c>
      <c r="P14" s="3">
        <v>0.72499999999999998</v>
      </c>
    </row>
    <row r="15" spans="13:17" x14ac:dyDescent="0.2">
      <c r="M15" s="3">
        <v>120</v>
      </c>
      <c r="N15" s="3">
        <f t="shared" si="0"/>
        <v>1.2</v>
      </c>
      <c r="O15" s="3">
        <v>90</v>
      </c>
      <c r="P15" s="3">
        <v>0.75</v>
      </c>
    </row>
    <row r="16" spans="13:17" x14ac:dyDescent="0.2">
      <c r="M16" s="36">
        <v>140</v>
      </c>
      <c r="N16" s="36">
        <f t="shared" si="0"/>
        <v>1.4</v>
      </c>
      <c r="O16" s="36">
        <v>82.5</v>
      </c>
      <c r="P16" s="36">
        <v>0.752</v>
      </c>
      <c r="Q16" t="s">
        <v>65</v>
      </c>
    </row>
    <row r="17" spans="13:16" x14ac:dyDescent="0.2">
      <c r="M17" s="3">
        <v>150</v>
      </c>
      <c r="N17" s="3">
        <f t="shared" si="0"/>
        <v>1.5</v>
      </c>
      <c r="O17" s="3">
        <v>75</v>
      </c>
      <c r="P17" s="3">
        <v>0.75</v>
      </c>
    </row>
    <row r="18" spans="13:16" x14ac:dyDescent="0.2">
      <c r="M18" s="3">
        <v>165</v>
      </c>
      <c r="N18" s="3">
        <f t="shared" si="0"/>
        <v>1.65</v>
      </c>
      <c r="O18" s="3">
        <v>67.5</v>
      </c>
      <c r="P18" s="3">
        <v>0.72499999999999998</v>
      </c>
    </row>
    <row r="19" spans="13:16" x14ac:dyDescent="0.2">
      <c r="M19" s="3">
        <v>175</v>
      </c>
      <c r="N19" s="3">
        <f t="shared" si="0"/>
        <v>1.75</v>
      </c>
      <c r="O19" s="3">
        <v>62.5</v>
      </c>
      <c r="P19" s="3">
        <v>0.7</v>
      </c>
    </row>
    <row r="22" spans="13:16" x14ac:dyDescent="0.2">
      <c r="M22" s="37" t="s">
        <v>68</v>
      </c>
      <c r="N22" s="34">
        <v>1.4</v>
      </c>
      <c r="O22" s="34" t="s">
        <v>66</v>
      </c>
    </row>
    <row r="23" spans="13:16" x14ac:dyDescent="0.2">
      <c r="M23" s="37" t="s">
        <v>67</v>
      </c>
      <c r="N23" s="34">
        <v>0.752</v>
      </c>
      <c r="O23" s="34"/>
    </row>
    <row r="24" spans="13:16" x14ac:dyDescent="0.2">
      <c r="M24" s="37" t="s">
        <v>83</v>
      </c>
      <c r="N24" s="34">
        <v>82.5</v>
      </c>
      <c r="O24" s="34" t="s">
        <v>84</v>
      </c>
    </row>
    <row r="25" spans="13:16" x14ac:dyDescent="0.2">
      <c r="M25" s="26"/>
    </row>
    <row r="26" spans="13:16" x14ac:dyDescent="0.2">
      <c r="M26" s="26"/>
    </row>
    <row r="27" spans="13:16" x14ac:dyDescent="0.2">
      <c r="M27" s="38"/>
      <c r="N27" s="35" t="s">
        <v>90</v>
      </c>
      <c r="O27" s="35" t="s">
        <v>69</v>
      </c>
      <c r="P27" s="35" t="s">
        <v>70</v>
      </c>
    </row>
    <row r="28" spans="13:16" x14ac:dyDescent="0.2">
      <c r="M28" s="9" t="s">
        <v>91</v>
      </c>
      <c r="N28" s="3">
        <f>1.2*$N$22</f>
        <v>1.68</v>
      </c>
      <c r="O28" s="3">
        <v>67.5</v>
      </c>
      <c r="P28" s="3">
        <v>0.72499999999999998</v>
      </c>
    </row>
    <row r="29" spans="13:16" x14ac:dyDescent="0.2">
      <c r="M29" s="9" t="s">
        <v>92</v>
      </c>
      <c r="N29" s="3">
        <f>0.8*$N$22</f>
        <v>1.1199999999999999</v>
      </c>
      <c r="O29" s="3">
        <v>92.5</v>
      </c>
      <c r="P29" s="3">
        <v>0.74</v>
      </c>
    </row>
    <row r="30" spans="13:16" x14ac:dyDescent="0.2">
      <c r="M30" s="9" t="s">
        <v>93</v>
      </c>
      <c r="N30" s="3">
        <f>0.6*$N$22</f>
        <v>0.84</v>
      </c>
      <c r="O30" s="3">
        <v>97</v>
      </c>
      <c r="P30" s="3">
        <v>0.64</v>
      </c>
    </row>
    <row r="33" spans="13:16" x14ac:dyDescent="0.2">
      <c r="M33" s="3"/>
      <c r="N33" s="3"/>
      <c r="O33" s="3"/>
      <c r="P33" s="3" t="s">
        <v>78</v>
      </c>
    </row>
    <row r="34" spans="13:16" x14ac:dyDescent="0.2">
      <c r="M34" s="38" t="s">
        <v>71</v>
      </c>
      <c r="N34" s="3">
        <v>0.9</v>
      </c>
      <c r="O34" s="3" t="s">
        <v>72</v>
      </c>
      <c r="P34" s="3"/>
    </row>
    <row r="35" spans="13:16" x14ac:dyDescent="0.2">
      <c r="M35" s="38" t="s">
        <v>73</v>
      </c>
      <c r="N35" s="3">
        <v>200</v>
      </c>
      <c r="O35" s="3" t="s">
        <v>74</v>
      </c>
      <c r="P35" s="3" t="s">
        <v>77</v>
      </c>
    </row>
    <row r="36" spans="13:16" x14ac:dyDescent="0.2">
      <c r="M36" s="3"/>
      <c r="N36" s="3"/>
      <c r="O36" s="3"/>
      <c r="P36" s="3"/>
    </row>
    <row r="37" spans="13:16" x14ac:dyDescent="0.2">
      <c r="M37" s="38" t="s">
        <v>75</v>
      </c>
      <c r="N37" s="19">
        <f>N35/N34</f>
        <v>222.22222222222223</v>
      </c>
      <c r="O37" s="3" t="s">
        <v>76</v>
      </c>
      <c r="P37" s="3" t="s">
        <v>79</v>
      </c>
    </row>
    <row r="40" spans="13:16" x14ac:dyDescent="0.2">
      <c r="M40" s="38" t="s">
        <v>80</v>
      </c>
      <c r="N40" s="3">
        <f>-7.5946 + 6.6504*LN(O16) + 12.8429*LN(N16)</f>
        <v>26.073553057735133</v>
      </c>
    </row>
    <row r="41" spans="13:16" x14ac:dyDescent="0.2">
      <c r="M41" s="38" t="s">
        <v>81</v>
      </c>
      <c r="N41" s="3">
        <f>EXP((39.5276 + (26.5605*LN(N37)) -N40)/51.6565)</f>
        <v>20.882056159232715</v>
      </c>
    </row>
    <row r="42" spans="13:16" x14ac:dyDescent="0.2">
      <c r="M42" s="3"/>
      <c r="N42" s="3"/>
    </row>
    <row r="43" spans="13:16" x14ac:dyDescent="0.2">
      <c r="M43" s="38" t="s">
        <v>82</v>
      </c>
      <c r="N43" s="3">
        <f xml:space="preserve"> 1 - 0.0040327*$N$41 -0.0001724*$N$41*$N$41</f>
        <v>0.84061214167566334</v>
      </c>
    </row>
    <row r="44" spans="13:16" x14ac:dyDescent="0.2">
      <c r="M44" s="38" t="s">
        <v>85</v>
      </c>
      <c r="N44" s="3">
        <f xml:space="preserve"> 1 - 0.00368*$N$41 -0.0000436*$N$41*$N$41</f>
        <v>0.9041418055865551</v>
      </c>
    </row>
    <row r="45" spans="13:16" x14ac:dyDescent="0.2">
      <c r="M45" s="38" t="s">
        <v>86</v>
      </c>
      <c r="N45" s="3">
        <f xml:space="preserve"> 1 - 0.0044723*$N$41 -0.0000418*$N$41*$N$41</f>
        <v>0.88838186097658234</v>
      </c>
    </row>
    <row r="46" spans="13:16" x14ac:dyDescent="0.2">
      <c r="M46" s="38" t="s">
        <v>87</v>
      </c>
      <c r="N46" s="3">
        <f xml:space="preserve"> 1 - 0.00700763*$N$41 -0.0000141*$N$41*$N$41</f>
        <v>0.84751782699780953</v>
      </c>
    </row>
    <row r="47" spans="13:16" x14ac:dyDescent="0.2">
      <c r="M47" s="38" t="s">
        <v>88</v>
      </c>
      <c r="N47" s="3">
        <f xml:space="preserve"> 1 - 0.00901*$N$41 +0.0000131*$N$41*$N$41</f>
        <v>0.81756506353494252</v>
      </c>
    </row>
    <row r="48" spans="13:16" x14ac:dyDescent="0.2">
      <c r="M48" s="38" t="s">
        <v>89</v>
      </c>
      <c r="N48" s="3">
        <f xml:space="preserve"> 1 - 0.033074*$N$41 + 0.00028875*$N$41*$N$41</f>
        <v>0.43525927738957176</v>
      </c>
    </row>
    <row r="53" spans="13:16" x14ac:dyDescent="0.2">
      <c r="M53" s="38"/>
      <c r="N53" s="35" t="s">
        <v>96</v>
      </c>
      <c r="O53" s="35" t="s">
        <v>98</v>
      </c>
      <c r="P53" s="35" t="s">
        <v>95</v>
      </c>
    </row>
    <row r="54" spans="13:16" x14ac:dyDescent="0.2">
      <c r="M54" s="9" t="s">
        <v>91</v>
      </c>
      <c r="N54" s="3">
        <f>N28*N43</f>
        <v>1.4122283980151145</v>
      </c>
      <c r="O54" s="3">
        <f>N47*O28</f>
        <v>55.185641788608621</v>
      </c>
      <c r="P54" s="3">
        <f>N48*P28</f>
        <v>0.3155629761074395</v>
      </c>
    </row>
    <row r="55" spans="13:16" x14ac:dyDescent="0.2">
      <c r="M55" s="9" t="s">
        <v>94</v>
      </c>
      <c r="N55" s="3">
        <f>N22*N43</f>
        <v>1.1768569983459285</v>
      </c>
      <c r="O55" s="3">
        <f>N46*N24</f>
        <v>69.92022072731929</v>
      </c>
      <c r="P55" s="3">
        <f>N23*N48</f>
        <v>0.32731497659695796</v>
      </c>
    </row>
    <row r="56" spans="13:16" x14ac:dyDescent="0.2">
      <c r="M56" s="9" t="s">
        <v>92</v>
      </c>
      <c r="N56" s="3">
        <f>N43*N29</f>
        <v>0.94148559867674286</v>
      </c>
      <c r="O56" s="3">
        <f>N45*O29</f>
        <v>82.175322140333861</v>
      </c>
      <c r="P56" s="3">
        <f>N48*P29</f>
        <v>0.3220918652682831</v>
      </c>
    </row>
    <row r="57" spans="13:16" x14ac:dyDescent="0.2">
      <c r="M57" s="9" t="s">
        <v>93</v>
      </c>
      <c r="N57" s="3">
        <f>N43*N30</f>
        <v>0.70611419900755723</v>
      </c>
      <c r="O57" s="3">
        <f xml:space="preserve"> N44*O30</f>
        <v>87.701755141895845</v>
      </c>
      <c r="P57" s="3">
        <f>N48*P30</f>
        <v>0.27856593752932596</v>
      </c>
    </row>
    <row r="58" spans="13:16" x14ac:dyDescent="0.2">
      <c r="M58" s="39"/>
      <c r="N58" s="40" t="s">
        <v>97</v>
      </c>
      <c r="O58" s="40" t="s">
        <v>99</v>
      </c>
      <c r="P58" s="40" t="s">
        <v>95</v>
      </c>
    </row>
    <row r="59" spans="13:16" x14ac:dyDescent="0.2">
      <c r="M59" s="37" t="s">
        <v>91</v>
      </c>
      <c r="N59" s="34">
        <f>N54*100*0.2271</f>
        <v>32.071706918923248</v>
      </c>
      <c r="O59" s="34">
        <f>+O54*0.3048</f>
        <v>16.820583617167909</v>
      </c>
      <c r="P59" s="34">
        <v>0.3155629761074395</v>
      </c>
    </row>
    <row r="60" spans="13:16" x14ac:dyDescent="0.2">
      <c r="M60" s="37" t="s">
        <v>94</v>
      </c>
      <c r="N60" s="34">
        <f t="shared" ref="N60:N62" si="1">N55*100*0.2271</f>
        <v>26.726422432436035</v>
      </c>
      <c r="O60" s="34">
        <f t="shared" ref="O60:O62" si="2">+O55*0.3048</f>
        <v>21.311683277686921</v>
      </c>
      <c r="P60" s="34">
        <v>0.32731497659695796</v>
      </c>
    </row>
    <row r="61" spans="13:16" x14ac:dyDescent="0.2">
      <c r="M61" s="37" t="s">
        <v>92</v>
      </c>
      <c r="N61" s="34">
        <f t="shared" si="1"/>
        <v>21.381137945948829</v>
      </c>
      <c r="O61" s="34">
        <f t="shared" si="2"/>
        <v>25.047038188373762</v>
      </c>
      <c r="P61" s="34">
        <v>0.3220918652682831</v>
      </c>
    </row>
    <row r="62" spans="13:16" x14ac:dyDescent="0.2">
      <c r="M62" s="37" t="s">
        <v>93</v>
      </c>
      <c r="N62" s="34">
        <f t="shared" si="1"/>
        <v>16.035853459461624</v>
      </c>
      <c r="O62" s="34">
        <f t="shared" si="2"/>
        <v>26.731494967249855</v>
      </c>
      <c r="P62" s="34">
        <v>0.27856593752932596</v>
      </c>
    </row>
  </sheetData>
  <phoneticPr fontId="9" type="noConversion"/>
  <pageMargins left="0.7" right="0.7" top="0.75" bottom="0.75" header="0.3" footer="0.3"/>
  <ignoredErrors>
    <ignoredError sqref="N44:N45" formula="1"/>
  </ignoredErrors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7A85F4-AC26-A14A-8B68-055C4AA59711}">
  <dimension ref="B2:S45"/>
  <sheetViews>
    <sheetView topLeftCell="M36" zoomScale="210" workbookViewId="0">
      <selection activeCell="R32" sqref="R32:R38"/>
    </sheetView>
  </sheetViews>
  <sheetFormatPr baseColWidth="10" defaultRowHeight="16" x14ac:dyDescent="0.2"/>
  <sheetData>
    <row r="2" spans="2:19" x14ac:dyDescent="0.2">
      <c r="B2" t="s">
        <v>100</v>
      </c>
      <c r="E2" t="s">
        <v>104</v>
      </c>
      <c r="I2" t="s">
        <v>127</v>
      </c>
      <c r="P2" t="s">
        <v>114</v>
      </c>
    </row>
    <row r="3" spans="2:19" s="43" customFormat="1" x14ac:dyDescent="0.2">
      <c r="B3" s="43" t="s">
        <v>101</v>
      </c>
      <c r="C3" s="43" t="s">
        <v>102</v>
      </c>
      <c r="D3" s="43" t="s">
        <v>103</v>
      </c>
      <c r="E3" s="43" t="s">
        <v>101</v>
      </c>
      <c r="F3" s="43" t="s">
        <v>102</v>
      </c>
      <c r="G3" s="43" t="s">
        <v>103</v>
      </c>
      <c r="I3" s="43" t="s">
        <v>101</v>
      </c>
      <c r="J3" s="43" t="s">
        <v>102</v>
      </c>
      <c r="K3" s="43" t="s">
        <v>103</v>
      </c>
      <c r="P3" s="43" t="s">
        <v>118</v>
      </c>
      <c r="Q3" s="43" t="s">
        <v>119</v>
      </c>
      <c r="R3" s="43" t="s">
        <v>120</v>
      </c>
      <c r="S3" s="43" t="s">
        <v>121</v>
      </c>
    </row>
    <row r="4" spans="2:19" x14ac:dyDescent="0.2">
      <c r="B4" s="41">
        <v>4</v>
      </c>
      <c r="C4" s="41">
        <f xml:space="preserve"> 37.3 + 0.0123*B4 - 0.0186*B4*B4</f>
        <v>37.051599999999993</v>
      </c>
      <c r="D4">
        <v>1.9</v>
      </c>
      <c r="E4" s="41">
        <v>4</v>
      </c>
      <c r="F4">
        <f xml:space="preserve"> 30 + 0.19*E4 -0.03*E4*E4</f>
        <v>30.28</v>
      </c>
      <c r="G4">
        <v>2</v>
      </c>
      <c r="I4" s="41">
        <v>4</v>
      </c>
      <c r="J4">
        <f xml:space="preserve"> 22.9+0.42*I4-0.04*I4*I4</f>
        <v>23.939999999999998</v>
      </c>
      <c r="K4">
        <v>2</v>
      </c>
      <c r="P4">
        <v>23.939999999999998</v>
      </c>
      <c r="Q4" s="41">
        <v>4</v>
      </c>
      <c r="R4" s="41">
        <v>4</v>
      </c>
      <c r="S4" s="41">
        <f xml:space="preserve"> SUM(Q4:R4)</f>
        <v>8</v>
      </c>
    </row>
    <row r="5" spans="2:19" x14ac:dyDescent="0.2">
      <c r="B5" s="41">
        <v>6</v>
      </c>
      <c r="C5" s="41">
        <f t="shared" ref="C5:C11" si="0" xml:space="preserve"> 37.3 + 0.0123*B5 - 0.0186*B5*B5</f>
        <v>36.704199999999993</v>
      </c>
      <c r="D5">
        <v>2</v>
      </c>
      <c r="E5" s="41">
        <v>6</v>
      </c>
      <c r="F5">
        <f t="shared" ref="F5:F10" si="1" xml:space="preserve"> 30 + 0.19*E5 -0.03*E5*E5</f>
        <v>30.060000000000002</v>
      </c>
      <c r="G5">
        <v>2.2000000000000002</v>
      </c>
      <c r="I5" s="41">
        <v>6</v>
      </c>
      <c r="J5">
        <f t="shared" ref="J5:J10" si="2" xml:space="preserve"> 22.9+0.42*I5-0.04*I5*I5</f>
        <v>23.979999999999997</v>
      </c>
      <c r="K5">
        <v>2.2000000000000002</v>
      </c>
      <c r="P5">
        <v>23.979999999999997</v>
      </c>
      <c r="Q5" s="41">
        <v>6</v>
      </c>
      <c r="R5" s="41">
        <v>6</v>
      </c>
      <c r="S5" s="41">
        <f t="shared" ref="S5:S10" si="3" xml:space="preserve"> SUM(Q5:R5)</f>
        <v>12</v>
      </c>
    </row>
    <row r="6" spans="2:19" x14ac:dyDescent="0.2">
      <c r="B6" s="41">
        <v>8</v>
      </c>
      <c r="C6" s="41">
        <f t="shared" si="0"/>
        <v>36.207999999999998</v>
      </c>
      <c r="D6">
        <v>2</v>
      </c>
      <c r="E6" s="41">
        <v>8</v>
      </c>
      <c r="F6">
        <f t="shared" si="1"/>
        <v>29.6</v>
      </c>
      <c r="G6">
        <v>2.7</v>
      </c>
      <c r="I6" s="41">
        <v>8</v>
      </c>
      <c r="J6">
        <f t="shared" si="2"/>
        <v>23.7</v>
      </c>
      <c r="K6">
        <v>2.7</v>
      </c>
      <c r="P6">
        <v>23.7</v>
      </c>
      <c r="Q6" s="41">
        <v>8</v>
      </c>
      <c r="R6" s="41">
        <v>8</v>
      </c>
      <c r="S6" s="41">
        <f t="shared" si="3"/>
        <v>16</v>
      </c>
    </row>
    <row r="7" spans="2:19" x14ac:dyDescent="0.2">
      <c r="B7" s="41">
        <v>10</v>
      </c>
      <c r="C7" s="41">
        <f t="shared" si="0"/>
        <v>35.562999999999995</v>
      </c>
      <c r="D7">
        <v>2.2999999999999998</v>
      </c>
      <c r="E7" s="41">
        <v>10</v>
      </c>
      <c r="F7">
        <f t="shared" si="1"/>
        <v>28.9</v>
      </c>
      <c r="G7">
        <v>3.5</v>
      </c>
      <c r="I7" s="41">
        <v>10</v>
      </c>
      <c r="J7">
        <f t="shared" si="2"/>
        <v>23.099999999999998</v>
      </c>
      <c r="K7">
        <v>3.5</v>
      </c>
      <c r="P7">
        <v>23.099999999999998</v>
      </c>
      <c r="Q7" s="41">
        <v>10</v>
      </c>
      <c r="R7" s="41">
        <v>10</v>
      </c>
      <c r="S7" s="41">
        <f t="shared" si="3"/>
        <v>20</v>
      </c>
    </row>
    <row r="8" spans="2:19" x14ac:dyDescent="0.2">
      <c r="B8" s="41">
        <v>12</v>
      </c>
      <c r="C8" s="41">
        <f t="shared" si="0"/>
        <v>34.769199999999998</v>
      </c>
      <c r="D8">
        <v>2.7</v>
      </c>
      <c r="E8" s="41">
        <v>12</v>
      </c>
      <c r="F8">
        <f t="shared" si="1"/>
        <v>27.96</v>
      </c>
      <c r="G8">
        <v>4.5</v>
      </c>
      <c r="I8" s="41">
        <v>12</v>
      </c>
      <c r="J8">
        <f t="shared" si="2"/>
        <v>22.18</v>
      </c>
      <c r="K8">
        <v>4.5</v>
      </c>
      <c r="P8">
        <v>22.18</v>
      </c>
      <c r="Q8" s="41">
        <v>12</v>
      </c>
      <c r="R8" s="41">
        <v>12</v>
      </c>
      <c r="S8" s="41">
        <f t="shared" si="3"/>
        <v>24</v>
      </c>
    </row>
    <row r="9" spans="2:19" x14ac:dyDescent="0.2">
      <c r="B9" s="41">
        <v>14</v>
      </c>
      <c r="C9" s="41">
        <f t="shared" si="0"/>
        <v>33.826599999999992</v>
      </c>
      <c r="D9">
        <v>3.1</v>
      </c>
      <c r="E9" s="41">
        <v>14</v>
      </c>
      <c r="F9">
        <f t="shared" si="1"/>
        <v>26.779999999999998</v>
      </c>
      <c r="G9">
        <v>5.6</v>
      </c>
      <c r="I9" s="41">
        <v>14</v>
      </c>
      <c r="J9">
        <f t="shared" si="2"/>
        <v>20.939999999999998</v>
      </c>
      <c r="K9">
        <v>5.6</v>
      </c>
      <c r="P9">
        <v>20.939999999999998</v>
      </c>
      <c r="Q9" s="41">
        <v>14</v>
      </c>
      <c r="R9" s="41">
        <v>14</v>
      </c>
      <c r="S9" s="41">
        <f t="shared" si="3"/>
        <v>28</v>
      </c>
    </row>
    <row r="10" spans="2:19" x14ac:dyDescent="0.2">
      <c r="B10" s="41">
        <v>16</v>
      </c>
      <c r="C10" s="41">
        <f t="shared" si="0"/>
        <v>32.735199999999999</v>
      </c>
      <c r="D10">
        <v>4</v>
      </c>
      <c r="E10" s="41">
        <v>16</v>
      </c>
      <c r="F10">
        <f t="shared" si="1"/>
        <v>25.36</v>
      </c>
      <c r="G10">
        <v>7</v>
      </c>
      <c r="I10" s="41">
        <v>16</v>
      </c>
      <c r="J10">
        <f t="shared" si="2"/>
        <v>19.379999999999995</v>
      </c>
      <c r="K10">
        <v>7</v>
      </c>
      <c r="P10">
        <v>19.379999999999995</v>
      </c>
      <c r="Q10" s="41">
        <v>16</v>
      </c>
      <c r="R10" s="41">
        <v>16</v>
      </c>
      <c r="S10" s="41">
        <f t="shared" si="3"/>
        <v>32</v>
      </c>
    </row>
    <row r="11" spans="2:19" x14ac:dyDescent="0.2">
      <c r="B11" s="41">
        <v>18</v>
      </c>
      <c r="C11" s="41">
        <f t="shared" si="0"/>
        <v>31.495000000000001</v>
      </c>
      <c r="D11">
        <v>5</v>
      </c>
      <c r="I11" s="41"/>
    </row>
    <row r="30" spans="2:19" ht="19" x14ac:dyDescent="0.2">
      <c r="B30" s="42" t="s">
        <v>105</v>
      </c>
      <c r="I30" s="42" t="s">
        <v>106</v>
      </c>
      <c r="L30" s="26" t="s">
        <v>115</v>
      </c>
      <c r="M30">
        <v>-0.15770000000000001</v>
      </c>
      <c r="P30" t="s">
        <v>122</v>
      </c>
    </row>
    <row r="31" spans="2:19" x14ac:dyDescent="0.2">
      <c r="F31" s="1"/>
      <c r="L31" s="26" t="s">
        <v>116</v>
      </c>
      <c r="M31">
        <v>0.50119999999999998</v>
      </c>
      <c r="P31" s="43" t="s">
        <v>101</v>
      </c>
      <c r="Q31" s="43" t="s">
        <v>124</v>
      </c>
      <c r="R31" s="43" t="s">
        <v>123</v>
      </c>
      <c r="S31" s="43" t="s">
        <v>125</v>
      </c>
    </row>
    <row r="32" spans="2:19" x14ac:dyDescent="0.2">
      <c r="L32" s="26" t="s">
        <v>117</v>
      </c>
      <c r="M32">
        <v>36.9</v>
      </c>
      <c r="P32" s="41">
        <v>4</v>
      </c>
      <c r="Q32" s="41">
        <v>23.939999999999998</v>
      </c>
      <c r="R32" s="41">
        <v>23.939999999999998</v>
      </c>
      <c r="S32" s="41">
        <f>SUM(Q32:R32)</f>
        <v>47.879999999999995</v>
      </c>
    </row>
    <row r="33" spans="2:19" x14ac:dyDescent="0.2">
      <c r="P33" s="41">
        <v>6</v>
      </c>
      <c r="Q33" s="41">
        <v>23.979999999999997</v>
      </c>
      <c r="R33" s="41">
        <v>23.979999999999997</v>
      </c>
      <c r="S33" s="41">
        <f t="shared" ref="S33:S38" si="4">SUM(Q33:R33)</f>
        <v>47.959999999999994</v>
      </c>
    </row>
    <row r="34" spans="2:19" x14ac:dyDescent="0.2">
      <c r="P34" s="41">
        <v>8</v>
      </c>
      <c r="Q34" s="41">
        <v>23.7</v>
      </c>
      <c r="R34" s="41">
        <v>23.7</v>
      </c>
      <c r="S34" s="41">
        <f t="shared" si="4"/>
        <v>47.4</v>
      </c>
    </row>
    <row r="35" spans="2:19" x14ac:dyDescent="0.2">
      <c r="B35" t="s">
        <v>107</v>
      </c>
      <c r="E35" t="s">
        <v>108</v>
      </c>
      <c r="F35" t="s">
        <v>109</v>
      </c>
      <c r="G35" t="s">
        <v>110</v>
      </c>
      <c r="H35" t="s">
        <v>111</v>
      </c>
      <c r="I35" t="s">
        <v>11</v>
      </c>
      <c r="J35" t="s">
        <v>112</v>
      </c>
      <c r="K35" t="s">
        <v>113</v>
      </c>
      <c r="P35" s="41">
        <v>10</v>
      </c>
      <c r="Q35" s="41">
        <v>23.099999999999998</v>
      </c>
      <c r="R35" s="41">
        <v>23.099999999999998</v>
      </c>
      <c r="S35" s="41">
        <f t="shared" si="4"/>
        <v>46.199999999999996</v>
      </c>
    </row>
    <row r="36" spans="2:19" x14ac:dyDescent="0.2">
      <c r="E36">
        <v>6</v>
      </c>
      <c r="F36" s="1">
        <v>40000</v>
      </c>
      <c r="G36">
        <v>970</v>
      </c>
      <c r="H36">
        <v>9.81</v>
      </c>
      <c r="I36">
        <v>2.1499999999999998E-2</v>
      </c>
      <c r="J36">
        <v>88.7</v>
      </c>
      <c r="K36">
        <v>4.0899999999999999E-2</v>
      </c>
      <c r="P36" s="41">
        <v>12</v>
      </c>
      <c r="Q36" s="41">
        <v>22.18</v>
      </c>
      <c r="R36" s="41">
        <v>22.18</v>
      </c>
      <c r="S36" s="41">
        <f t="shared" si="4"/>
        <v>44.36</v>
      </c>
    </row>
    <row r="37" spans="2:19" x14ac:dyDescent="0.2">
      <c r="B37" s="43" t="s">
        <v>101</v>
      </c>
      <c r="C37" s="43" t="s">
        <v>102</v>
      </c>
      <c r="P37" s="41">
        <v>14</v>
      </c>
      <c r="Q37" s="41">
        <v>20.939999999999998</v>
      </c>
      <c r="R37" s="41">
        <v>20.939999999999998</v>
      </c>
      <c r="S37" s="41">
        <f t="shared" si="4"/>
        <v>41.879999999999995</v>
      </c>
    </row>
    <row r="38" spans="2:19" x14ac:dyDescent="0.2">
      <c r="B38">
        <v>4</v>
      </c>
      <c r="C38" s="1">
        <f xml:space="preserve"> 0.025*B38*B38+26</f>
        <v>26.4</v>
      </c>
      <c r="P38" s="41">
        <v>16</v>
      </c>
      <c r="Q38" s="41">
        <v>19.379999999999995</v>
      </c>
      <c r="R38" s="41">
        <v>19.379999999999995</v>
      </c>
      <c r="S38" s="41">
        <f t="shared" si="4"/>
        <v>38.759999999999991</v>
      </c>
    </row>
    <row r="39" spans="2:19" x14ac:dyDescent="0.2">
      <c r="B39">
        <v>6</v>
      </c>
      <c r="C39" s="1">
        <f t="shared" ref="C39:C45" si="5" xml:space="preserve"> 0.025*B39*B39+26</f>
        <v>26.9</v>
      </c>
      <c r="F39" s="1"/>
      <c r="P39" s="41"/>
      <c r="Q39" s="41"/>
    </row>
    <row r="40" spans="2:19" x14ac:dyDescent="0.2">
      <c r="B40">
        <v>8</v>
      </c>
      <c r="C40" s="1">
        <f t="shared" si="5"/>
        <v>27.6</v>
      </c>
    </row>
    <row r="41" spans="2:19" x14ac:dyDescent="0.2">
      <c r="B41">
        <v>10</v>
      </c>
      <c r="C41" s="1">
        <f t="shared" si="5"/>
        <v>28.5</v>
      </c>
    </row>
    <row r="42" spans="2:19" x14ac:dyDescent="0.2">
      <c r="B42">
        <v>12</v>
      </c>
      <c r="C42" s="1">
        <f t="shared" si="5"/>
        <v>29.6</v>
      </c>
    </row>
    <row r="43" spans="2:19" x14ac:dyDescent="0.2">
      <c r="B43">
        <v>14</v>
      </c>
      <c r="C43" s="1">
        <f t="shared" si="5"/>
        <v>30.9</v>
      </c>
    </row>
    <row r="44" spans="2:19" x14ac:dyDescent="0.2">
      <c r="B44">
        <v>16</v>
      </c>
      <c r="C44" s="1">
        <f t="shared" si="5"/>
        <v>32.4</v>
      </c>
    </row>
    <row r="45" spans="2:19" x14ac:dyDescent="0.2">
      <c r="B45">
        <v>18</v>
      </c>
      <c r="C45" s="1">
        <f t="shared" si="5"/>
        <v>34.1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Punto Operación</vt:lpstr>
      <vt:lpstr>semejanza</vt:lpstr>
      <vt:lpstr>viscosidad</vt:lpstr>
      <vt:lpstr>Paralelo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Uri Groisman</dc:creator>
  <cp:keywords/>
  <dc:description/>
  <cp:lastModifiedBy>Uri Groisman</cp:lastModifiedBy>
  <dcterms:created xsi:type="dcterms:W3CDTF">2024-07-02T18:44:40Z</dcterms:created>
  <dcterms:modified xsi:type="dcterms:W3CDTF">2024-10-29T23:22:27Z</dcterms:modified>
  <cp:category/>
</cp:coreProperties>
</file>