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rvesh/Downloads/ExcelOutput/"/>
    </mc:Choice>
  </mc:AlternateContent>
  <xr:revisionPtr revIDLastSave="0" documentId="13_ncr:1_{747CB816-F38E-3148-A79D-67F0602E86A6}" xr6:coauthVersionLast="47" xr6:coauthVersionMax="47" xr10:uidLastSave="{00000000-0000-0000-0000-000000000000}"/>
  <bookViews>
    <workbookView xWindow="780" yWindow="1000" windowWidth="27640" windowHeight="16440" xr2:uid="{92F6C40A-6686-4242-8048-2DCE6902B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4" i="1" l="1"/>
  <c r="X54" i="1" s="1"/>
  <c r="V54" i="1"/>
  <c r="R53" i="1"/>
  <c r="S53" i="1" s="1"/>
  <c r="Q53" i="1"/>
  <c r="P53" i="1"/>
  <c r="AA52" i="1"/>
  <c r="AC52" i="1" s="1"/>
  <c r="X52" i="1"/>
  <c r="W52" i="1"/>
  <c r="V52" i="1"/>
  <c r="R52" i="1"/>
  <c r="Q52" i="1"/>
  <c r="P52" i="1"/>
  <c r="AA51" i="1"/>
  <c r="X51" i="1"/>
  <c r="W51" i="1"/>
  <c r="V51" i="1"/>
  <c r="R51" i="1"/>
  <c r="Q51" i="1"/>
  <c r="P51" i="1"/>
  <c r="X50" i="1"/>
  <c r="W50" i="1"/>
  <c r="V50" i="1"/>
  <c r="R50" i="1"/>
  <c r="S50" i="1" s="1"/>
  <c r="Q50" i="1"/>
  <c r="P50" i="1"/>
  <c r="X49" i="1"/>
  <c r="W49" i="1"/>
  <c r="V49" i="1"/>
  <c r="R49" i="1"/>
  <c r="S49" i="1" s="1"/>
  <c r="Q49" i="1"/>
  <c r="P49" i="1"/>
  <c r="X48" i="1"/>
  <c r="W48" i="1"/>
  <c r="V48" i="1"/>
  <c r="R48" i="1"/>
  <c r="S48" i="1" s="1"/>
  <c r="AC53" i="1" s="1"/>
  <c r="Q48" i="1"/>
  <c r="P48" i="1"/>
  <c r="X47" i="1"/>
  <c r="W47" i="1"/>
  <c r="V47" i="1"/>
  <c r="R47" i="1"/>
  <c r="R54" i="1" s="1"/>
  <c r="Q47" i="1"/>
  <c r="Q54" i="1" s="1"/>
  <c r="P47" i="1"/>
  <c r="P54" i="1" s="1"/>
  <c r="W46" i="1"/>
  <c r="X46" i="1" s="1"/>
  <c r="V46" i="1"/>
  <c r="X45" i="1"/>
  <c r="W45" i="1"/>
  <c r="V45" i="1"/>
  <c r="X44" i="1"/>
  <c r="W44" i="1"/>
  <c r="V44" i="1"/>
  <c r="X43" i="1"/>
  <c r="W43" i="1"/>
  <c r="W41" i="1" s="1"/>
  <c r="V43" i="1"/>
  <c r="Q43" i="1"/>
  <c r="R43" i="1" s="1"/>
  <c r="P43" i="1"/>
  <c r="X42" i="1"/>
  <c r="W42" i="1"/>
  <c r="V42" i="1"/>
  <c r="Q42" i="1"/>
  <c r="R42" i="1" s="1"/>
  <c r="P42" i="1"/>
  <c r="AA41" i="1"/>
  <c r="Z41" i="1"/>
  <c r="V41" i="1"/>
  <c r="Q41" i="1"/>
  <c r="P41" i="1"/>
  <c r="AA40" i="1"/>
  <c r="Z40" i="1"/>
  <c r="Q40" i="1"/>
  <c r="R40" i="1" s="1"/>
  <c r="S41" i="1" s="1"/>
  <c r="P40" i="1"/>
  <c r="AA39" i="1"/>
  <c r="Z39" i="1"/>
  <c r="AA38" i="1"/>
  <c r="Z38" i="1"/>
  <c r="AA37" i="1"/>
  <c r="Z37" i="1"/>
  <c r="W37" i="1"/>
  <c r="X37" i="1" s="1"/>
  <c r="V37" i="1"/>
  <c r="AA36" i="1"/>
  <c r="Z36" i="1"/>
  <c r="W36" i="1"/>
  <c r="X36" i="1" s="1"/>
  <c r="V36" i="1"/>
  <c r="AA35" i="1"/>
  <c r="Z35" i="1"/>
  <c r="W35" i="1"/>
  <c r="X35" i="1" s="1"/>
  <c r="V35" i="1"/>
  <c r="Q35" i="1"/>
  <c r="R35" i="1" s="1"/>
  <c r="P35" i="1"/>
  <c r="W34" i="1"/>
  <c r="V34" i="1"/>
  <c r="Q34" i="1"/>
  <c r="P34" i="1"/>
  <c r="W33" i="1"/>
  <c r="X33" i="1" s="1"/>
  <c r="V33" i="1"/>
  <c r="Q33" i="1"/>
  <c r="P33" i="1"/>
  <c r="AA32" i="1"/>
  <c r="Z32" i="1"/>
  <c r="W32" i="1"/>
  <c r="X32" i="1" s="1"/>
  <c r="V32" i="1"/>
  <c r="Q32" i="1"/>
  <c r="R32" i="1" s="1"/>
  <c r="P32" i="1"/>
  <c r="AA31" i="1"/>
  <c r="Z31" i="1"/>
  <c r="W31" i="1"/>
  <c r="X31" i="1" s="1"/>
  <c r="V31" i="1"/>
  <c r="Q31" i="1"/>
  <c r="R31" i="1" s="1"/>
  <c r="S32" i="1" s="1"/>
  <c r="P31" i="1"/>
  <c r="AA30" i="1"/>
  <c r="Z30" i="1"/>
  <c r="W30" i="1"/>
  <c r="X30" i="1" s="1"/>
  <c r="V30" i="1"/>
  <c r="Q30" i="1"/>
  <c r="R30" i="1" s="1"/>
  <c r="P30" i="1"/>
  <c r="AA29" i="1"/>
  <c r="Z29" i="1"/>
  <c r="W29" i="1"/>
  <c r="V29" i="1"/>
  <c r="Q29" i="1"/>
  <c r="R29" i="1" s="1"/>
  <c r="S30" i="1" s="1"/>
  <c r="P29" i="1"/>
  <c r="AA28" i="1"/>
  <c r="Z28" i="1"/>
  <c r="W28" i="1"/>
  <c r="V28" i="1"/>
  <c r="Q28" i="1"/>
  <c r="P28" i="1"/>
  <c r="AA27" i="1"/>
  <c r="Z27" i="1"/>
  <c r="W27" i="1"/>
  <c r="X27" i="1" s="1"/>
  <c r="V27" i="1"/>
  <c r="Q27" i="1"/>
  <c r="P27" i="1"/>
  <c r="AA26" i="1"/>
  <c r="Q39" i="1" s="1"/>
  <c r="R39" i="1" s="1"/>
  <c r="Z26" i="1"/>
  <c r="P39" i="1" s="1"/>
  <c r="W26" i="1"/>
  <c r="X26" i="1" s="1"/>
  <c r="V26" i="1"/>
  <c r="Q26" i="1"/>
  <c r="R26" i="1" s="1"/>
  <c r="P26" i="1"/>
  <c r="W25" i="1"/>
  <c r="V25" i="1"/>
  <c r="Q25" i="1"/>
  <c r="P25" i="1"/>
  <c r="AA24" i="1"/>
  <c r="Z24" i="1"/>
  <c r="W24" i="1"/>
  <c r="V24" i="1"/>
  <c r="Q24" i="1"/>
  <c r="P24" i="1"/>
  <c r="AA23" i="1"/>
  <c r="AA44" i="1" s="1"/>
  <c r="Z23" i="1"/>
  <c r="Z44" i="1" s="1"/>
  <c r="W23" i="1"/>
  <c r="W39" i="1" s="1"/>
  <c r="V23" i="1"/>
  <c r="V39" i="1" s="1"/>
  <c r="Q23" i="1"/>
  <c r="Q44" i="1" s="1"/>
  <c r="P23" i="1"/>
  <c r="AA22" i="1"/>
  <c r="AA43" i="1" s="1"/>
  <c r="Z22" i="1"/>
  <c r="Z43" i="1" s="1"/>
  <c r="N22" i="1"/>
  <c r="M22" i="1"/>
  <c r="AA21" i="1"/>
  <c r="Z21" i="1"/>
  <c r="AA20" i="1"/>
  <c r="Z20" i="1"/>
  <c r="X20" i="1"/>
  <c r="W20" i="1"/>
  <c r="V20" i="1"/>
  <c r="S20" i="1"/>
  <c r="Q20" i="1"/>
  <c r="R20" i="1" s="1"/>
  <c r="P20" i="1"/>
  <c r="AA19" i="1"/>
  <c r="Z19" i="1"/>
  <c r="X19" i="1"/>
  <c r="W19" i="1"/>
  <c r="V19" i="1"/>
  <c r="Q19" i="1"/>
  <c r="P19" i="1"/>
  <c r="S19" i="1" s="1"/>
  <c r="AA18" i="1"/>
  <c r="Q38" i="1" s="1"/>
  <c r="R38" i="1" s="1"/>
  <c r="S39" i="1" s="1"/>
  <c r="Z18" i="1"/>
  <c r="P38" i="1" s="1"/>
  <c r="X18" i="1"/>
  <c r="W18" i="1"/>
  <c r="V18" i="1"/>
  <c r="S18" i="1"/>
  <c r="Q18" i="1"/>
  <c r="R18" i="1" s="1"/>
  <c r="P18" i="1"/>
  <c r="X17" i="1"/>
  <c r="W17" i="1"/>
  <c r="V17" i="1"/>
  <c r="Q17" i="1"/>
  <c r="P17" i="1"/>
  <c r="S17" i="1" s="1"/>
  <c r="X16" i="1"/>
  <c r="W16" i="1"/>
  <c r="V16" i="1"/>
  <c r="S16" i="1"/>
  <c r="Q16" i="1"/>
  <c r="R16" i="1" s="1"/>
  <c r="S8" i="1" s="1"/>
  <c r="P16" i="1"/>
  <c r="AA15" i="1"/>
  <c r="Z15" i="1"/>
  <c r="X15" i="1"/>
  <c r="W15" i="1"/>
  <c r="V15" i="1"/>
  <c r="Q15" i="1"/>
  <c r="P15" i="1"/>
  <c r="S15" i="1" s="1"/>
  <c r="O21" i="1" s="1"/>
  <c r="AA14" i="1"/>
  <c r="Z14" i="1"/>
  <c r="X14" i="1"/>
  <c r="W14" i="1"/>
  <c r="V14" i="1"/>
  <c r="S14" i="1"/>
  <c r="Q14" i="1"/>
  <c r="R14" i="1" s="1"/>
  <c r="U8" i="1" s="1"/>
  <c r="P14" i="1"/>
  <c r="AA13" i="1"/>
  <c r="Z13" i="1"/>
  <c r="X13" i="1"/>
  <c r="W13" i="1"/>
  <c r="V13" i="1"/>
  <c r="Q13" i="1"/>
  <c r="P13" i="1"/>
  <c r="S13" i="1" s="1"/>
  <c r="AA12" i="1"/>
  <c r="Z12" i="1"/>
  <c r="X12" i="1"/>
  <c r="W12" i="1"/>
  <c r="V12" i="1"/>
  <c r="S12" i="1"/>
  <c r="Q12" i="1"/>
  <c r="R12" i="1" s="1"/>
  <c r="P12" i="1"/>
  <c r="AA11" i="1"/>
  <c r="Z11" i="1"/>
  <c r="X11" i="1"/>
  <c r="W11" i="1"/>
  <c r="V11" i="1"/>
  <c r="S11" i="1"/>
  <c r="R11" i="1"/>
  <c r="U6" i="1" s="1"/>
  <c r="AC49" i="1" s="1"/>
  <c r="Q11" i="1"/>
  <c r="P11" i="1"/>
  <c r="AA10" i="1"/>
  <c r="Z10" i="1"/>
  <c r="X10" i="1"/>
  <c r="X21" i="1" s="1"/>
  <c r="W10" i="1"/>
  <c r="W21" i="1" s="1"/>
  <c r="V10" i="1"/>
  <c r="V21" i="1" s="1"/>
  <c r="S10" i="1"/>
  <c r="Q10" i="1"/>
  <c r="R10" i="1" s="1"/>
  <c r="R21" i="1" s="1"/>
  <c r="P10" i="1"/>
  <c r="P21" i="1" s="1"/>
  <c r="AA9" i="1"/>
  <c r="Q37" i="1" s="1"/>
  <c r="R37" i="1" s="1"/>
  <c r="S37" i="1" s="1"/>
  <c r="Z9" i="1"/>
  <c r="P37" i="1" s="1"/>
  <c r="Q8" i="1"/>
  <c r="O8" i="1"/>
  <c r="AC54" i="1" s="1"/>
  <c r="W7" i="1"/>
  <c r="W6" i="1"/>
  <c r="S6" i="1"/>
  <c r="AC48" i="1" s="1"/>
  <c r="R6" i="1"/>
  <c r="R34" i="1" s="1"/>
  <c r="Q6" i="1"/>
  <c r="P6" i="1"/>
  <c r="P8" i="1" s="1"/>
  <c r="O6" i="1"/>
  <c r="AC55" i="1" s="1"/>
  <c r="W5" i="1"/>
  <c r="W4" i="1"/>
  <c r="W8" i="1" s="1"/>
  <c r="Z45" i="1" l="1"/>
  <c r="AC43" i="1" s="1"/>
  <c r="X41" i="1"/>
  <c r="S21" i="1"/>
  <c r="AA45" i="1"/>
  <c r="P44" i="1"/>
  <c r="AC44" i="1"/>
  <c r="S4" i="1"/>
  <c r="R13" i="1"/>
  <c r="Q21" i="1"/>
  <c r="S51" i="1"/>
  <c r="S52" i="1"/>
  <c r="R8" i="1"/>
  <c r="AC47" i="1" s="1"/>
  <c r="X23" i="1"/>
  <c r="X39" i="1" s="1"/>
  <c r="R33" i="1"/>
  <c r="S47" i="1"/>
  <c r="S54" i="1" s="1"/>
  <c r="R15" i="1"/>
  <c r="R17" i="1"/>
  <c r="R19" i="1"/>
  <c r="R23" i="1"/>
  <c r="R24" i="1"/>
  <c r="X24" i="1"/>
  <c r="X25" i="1"/>
  <c r="R27" i="1"/>
  <c r="S28" i="1" s="1"/>
  <c r="R28" i="1"/>
  <c r="X28" i="1"/>
  <c r="X29" i="1"/>
  <c r="X34" i="1"/>
  <c r="R41" i="1"/>
  <c r="R25" i="1"/>
  <c r="S26" i="1" s="1"/>
  <c r="S24" i="1" l="1"/>
  <c r="S44" i="1" s="1"/>
  <c r="R44" i="1"/>
</calcChain>
</file>

<file path=xl/sharedStrings.xml><?xml version="1.0" encoding="utf-8"?>
<sst xmlns="http://schemas.openxmlformats.org/spreadsheetml/2006/main" count="165" uniqueCount="118">
  <si>
    <t>ROUND</t>
  </si>
  <si>
    <t>H</t>
  </si>
  <si>
    <t>SI1</t>
  </si>
  <si>
    <t>VS2</t>
  </si>
  <si>
    <t xml:space="preserve">Table </t>
  </si>
  <si>
    <t>DK</t>
  </si>
  <si>
    <t>Kapan</t>
  </si>
  <si>
    <t>133AS2</t>
  </si>
  <si>
    <t>Price</t>
  </si>
  <si>
    <t>Pcs</t>
  </si>
  <si>
    <t>CUT</t>
  </si>
  <si>
    <t>EX</t>
  </si>
  <si>
    <t>Or.Pcs</t>
  </si>
  <si>
    <t>R.Ct</t>
  </si>
  <si>
    <t>P.Pcs</t>
  </si>
  <si>
    <t>Po.Ct</t>
  </si>
  <si>
    <t>SIUP</t>
  </si>
  <si>
    <t>VS1UP</t>
  </si>
  <si>
    <t>VG</t>
  </si>
  <si>
    <t>GD</t>
  </si>
  <si>
    <t>Size</t>
  </si>
  <si>
    <t>$</t>
  </si>
  <si>
    <t>Part.Ct</t>
  </si>
  <si>
    <t>%</t>
  </si>
  <si>
    <t>SI2DN</t>
  </si>
  <si>
    <t>VS2DN</t>
  </si>
  <si>
    <t>CHOKI</t>
  </si>
  <si>
    <t>Clarity</t>
  </si>
  <si>
    <t>PW</t>
  </si>
  <si>
    <t>-2/Pcs</t>
  </si>
  <si>
    <t>TOTAL</t>
  </si>
  <si>
    <t xml:space="preserve"> 0.040 DOWN</t>
  </si>
  <si>
    <t>IF</t>
  </si>
  <si>
    <t>VVS1</t>
  </si>
  <si>
    <t>EMERALD</t>
  </si>
  <si>
    <t>VVS2</t>
  </si>
  <si>
    <t>EMERALD 4STEP</t>
  </si>
  <si>
    <t>VS1</t>
  </si>
  <si>
    <t>PEAR</t>
  </si>
  <si>
    <t>MARQUISE</t>
  </si>
  <si>
    <t>EMERALD 4 STEP</t>
  </si>
  <si>
    <t>SI2</t>
  </si>
  <si>
    <t>SI3</t>
  </si>
  <si>
    <t>I1</t>
  </si>
  <si>
    <t>0.040 TO 0.080</t>
  </si>
  <si>
    <t>I2</t>
  </si>
  <si>
    <t>I3</t>
  </si>
  <si>
    <t>CENT WIZE</t>
  </si>
  <si>
    <t>D.M WIZE</t>
  </si>
  <si>
    <t>00-0</t>
  </si>
  <si>
    <t>-2</t>
  </si>
  <si>
    <t>0-120</t>
  </si>
  <si>
    <t>+0-2</t>
  </si>
  <si>
    <t>121-130</t>
  </si>
  <si>
    <t>+2-5</t>
  </si>
  <si>
    <t>+2</t>
  </si>
  <si>
    <t>131-160</t>
  </si>
  <si>
    <t>+5-6.5</t>
  </si>
  <si>
    <t>161-173</t>
  </si>
  <si>
    <t>0.081 TO 0.140</t>
  </si>
  <si>
    <t>+6.5-8</t>
  </si>
  <si>
    <t>+6.5</t>
  </si>
  <si>
    <t>174-181</t>
  </si>
  <si>
    <t>+8-11</t>
  </si>
  <si>
    <t>182-209</t>
  </si>
  <si>
    <t>+11-12</t>
  </si>
  <si>
    <t>+11</t>
  </si>
  <si>
    <t>210-220</t>
  </si>
  <si>
    <t>+12-14</t>
  </si>
  <si>
    <t>221-270</t>
  </si>
  <si>
    <t>+14-0.18</t>
  </si>
  <si>
    <t>+14</t>
  </si>
  <si>
    <t>271-280</t>
  </si>
  <si>
    <t>0.18up</t>
  </si>
  <si>
    <t>281-292</t>
  </si>
  <si>
    <t>0.228up</t>
  </si>
  <si>
    <t>293-331</t>
  </si>
  <si>
    <t>0.299up</t>
  </si>
  <si>
    <t>332-360</t>
  </si>
  <si>
    <t>0.449up</t>
  </si>
  <si>
    <t>0.14 UP</t>
  </si>
  <si>
    <t>4.5 dn-fancy</t>
  </si>
  <si>
    <t>4.5-8-fancy</t>
  </si>
  <si>
    <t>4.5up</t>
  </si>
  <si>
    <t>8-14-fancy</t>
  </si>
  <si>
    <t>14-18-fancy</t>
  </si>
  <si>
    <t>14 UP</t>
  </si>
  <si>
    <t>18-23-fancy</t>
  </si>
  <si>
    <t>CLR</t>
  </si>
  <si>
    <t>23-30-fancy</t>
  </si>
  <si>
    <t>DEFG</t>
  </si>
  <si>
    <t>30up-fancy</t>
  </si>
  <si>
    <t>HI</t>
  </si>
  <si>
    <t>JK</t>
  </si>
  <si>
    <t>D</t>
  </si>
  <si>
    <t>SHAPE</t>
  </si>
  <si>
    <t>PART W.</t>
  </si>
  <si>
    <t>E</t>
  </si>
  <si>
    <t>F</t>
  </si>
  <si>
    <t>POLISH %</t>
  </si>
  <si>
    <t>HK.EMERALD</t>
  </si>
  <si>
    <t>G</t>
  </si>
  <si>
    <t xml:space="preserve">OVER ALL SI1 </t>
  </si>
  <si>
    <t>VS1+</t>
  </si>
  <si>
    <t>HK_PEAR</t>
  </si>
  <si>
    <t>I</t>
  </si>
  <si>
    <t>HK_MQ</t>
  </si>
  <si>
    <t>J</t>
  </si>
  <si>
    <t>ALL</t>
  </si>
  <si>
    <t>Over all 11+</t>
  </si>
  <si>
    <t>HK-OVAL</t>
  </si>
  <si>
    <t>K</t>
  </si>
  <si>
    <t>11 + ROUND</t>
  </si>
  <si>
    <t>PRINCESS</t>
  </si>
  <si>
    <t>FANCY %</t>
  </si>
  <si>
    <t>L</t>
  </si>
  <si>
    <t>SIZE</t>
  </si>
  <si>
    <t>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</si>
</sst>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scheme val="minor"/>
    </font>
    <font>
      <u/>
      <sz val="11"/>
      <color rgb="FF0000FF"/>
      <name val="Calibri"/>
      <scheme val="minor"/>
    </font>
    <font>
      <b/>
      <sz val="10"/>
      <name val="Calibri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sz val="11"/>
      <color rgb="FFFF0000"/>
      <name val="Calibri Light"/>
      <scheme val="major"/>
    </font>
    <font>
      <sz val="11"/>
      <name val="Calibri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 Light"/>
      <scheme val="maj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59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auto="1"/>
      </top>
      <bottom/>
      <diagonal/>
    </border>
    <border>
      <left/>
      <right style="medium">
        <color theme="0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0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/>
      <top style="medium">
        <color theme="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hair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auto="1"/>
      </left>
      <right style="medium">
        <color theme="0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2" xfId="3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6" fillId="4" borderId="11" xfId="0" applyNumberFormat="1" applyFont="1" applyFill="1" applyBorder="1" applyAlignment="1">
      <alignment horizontal="center" vertical="center"/>
    </xf>
    <xf numFmtId="1" fontId="6" fillId="4" borderId="1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/>
    </xf>
    <xf numFmtId="1" fontId="6" fillId="4" borderId="13" xfId="0" applyNumberFormat="1" applyFont="1" applyFill="1" applyBorder="1" applyAlignment="1">
      <alignment horizontal="center" vertical="center"/>
    </xf>
    <xf numFmtId="1" fontId="6" fillId="4" borderId="14" xfId="0" applyNumberFormat="1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10" fontId="5" fillId="3" borderId="2" xfId="0" applyNumberFormat="1" applyFont="1" applyFill="1" applyBorder="1" applyAlignment="1">
      <alignment horizontal="center" vertical="center"/>
    </xf>
    <xf numFmtId="3" fontId="6" fillId="4" borderId="16" xfId="0" applyNumberFormat="1" applyFont="1" applyFill="1" applyBorder="1" applyAlignment="1">
      <alignment horizontal="center" vertical="center"/>
    </xf>
    <xf numFmtId="1" fontId="6" fillId="5" borderId="17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2" fontId="6" fillId="4" borderId="21" xfId="0" applyNumberFormat="1" applyFont="1" applyFill="1" applyBorder="1" applyAlignment="1">
      <alignment horizontal="center" vertical="center"/>
    </xf>
    <xf numFmtId="10" fontId="6" fillId="4" borderId="21" xfId="2" applyNumberFormat="1" applyFont="1" applyFill="1" applyBorder="1" applyAlignment="1" applyProtection="1">
      <alignment horizontal="center" vertical="center"/>
    </xf>
    <xf numFmtId="1" fontId="6" fillId="4" borderId="21" xfId="0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7" fillId="0" borderId="23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2" fontId="6" fillId="4" borderId="2" xfId="0" applyNumberFormat="1" applyFont="1" applyFill="1" applyBorder="1" applyAlignment="1">
      <alignment horizontal="center" vertical="center"/>
    </xf>
    <xf numFmtId="10" fontId="6" fillId="4" borderId="2" xfId="2" applyNumberFormat="1" applyFont="1" applyFill="1" applyBorder="1" applyAlignment="1" applyProtection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" fontId="6" fillId="4" borderId="24" xfId="0" applyNumberFormat="1" applyFont="1" applyFill="1" applyBorder="1" applyAlignment="1">
      <alignment horizontal="center" vertical="center"/>
    </xf>
    <xf numFmtId="2" fontId="6" fillId="4" borderId="25" xfId="0" applyNumberFormat="1" applyFont="1" applyFill="1" applyBorder="1" applyAlignment="1">
      <alignment horizontal="center" vertical="center"/>
    </xf>
    <xf numFmtId="10" fontId="6" fillId="4" borderId="25" xfId="2" applyNumberFormat="1" applyFont="1" applyFill="1" applyBorder="1" applyAlignment="1" applyProtection="1">
      <alignment horizontal="center" vertical="center"/>
    </xf>
    <xf numFmtId="1" fontId="6" fillId="4" borderId="26" xfId="0" applyNumberFormat="1" applyFont="1" applyFill="1" applyBorder="1" applyAlignment="1">
      <alignment horizontal="center" vertical="center"/>
    </xf>
    <xf numFmtId="1" fontId="6" fillId="4" borderId="25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2" fontId="6" fillId="5" borderId="31" xfId="0" applyNumberFormat="1" applyFont="1" applyFill="1" applyBorder="1" applyAlignment="1">
      <alignment horizontal="center" vertical="center"/>
    </xf>
    <xf numFmtId="9" fontId="6" fillId="4" borderId="32" xfId="0" applyNumberFormat="1" applyFont="1" applyFill="1" applyBorder="1" applyAlignment="1">
      <alignment horizontal="center" vertical="center"/>
    </xf>
    <xf numFmtId="1" fontId="6" fillId="5" borderId="32" xfId="0" applyNumberFormat="1" applyFont="1" applyFill="1" applyBorder="1" applyAlignment="1">
      <alignment horizontal="center" vertical="center"/>
    </xf>
    <xf numFmtId="1" fontId="6" fillId="5" borderId="33" xfId="0" applyNumberFormat="1" applyFont="1" applyFill="1" applyBorder="1" applyAlignment="1">
      <alignment horizontal="center" vertical="center"/>
    </xf>
    <xf numFmtId="1" fontId="6" fillId="4" borderId="33" xfId="0" applyNumberFormat="1" applyFont="1" applyFill="1" applyBorder="1" applyAlignment="1">
      <alignment horizontal="center" vertical="center"/>
    </xf>
    <xf numFmtId="1" fontId="6" fillId="4" borderId="34" xfId="0" applyNumberFormat="1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10" fontId="6" fillId="4" borderId="11" xfId="2" applyNumberFormat="1" applyFont="1" applyFill="1" applyBorder="1" applyAlignment="1" applyProtection="1">
      <alignment horizontal="center" vertical="center"/>
    </xf>
    <xf numFmtId="1" fontId="6" fillId="5" borderId="2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0" fontId="6" fillId="0" borderId="2" xfId="2" applyNumberFormat="1" applyFont="1" applyFill="1" applyBorder="1" applyAlignment="1" applyProtection="1">
      <alignment horizontal="center" vertical="center"/>
    </xf>
    <xf numFmtId="0" fontId="6" fillId="0" borderId="41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2" fontId="7" fillId="0" borderId="20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2" fontId="7" fillId="0" borderId="25" xfId="0" applyNumberFormat="1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2" fontId="0" fillId="0" borderId="47" xfId="0" applyNumberFormat="1" applyBorder="1" applyAlignment="1">
      <alignment vertical="center"/>
    </xf>
    <xf numFmtId="0" fontId="6" fillId="0" borderId="48" xfId="0" applyFont="1" applyBorder="1" applyAlignment="1">
      <alignment horizontal="center" vertical="center"/>
    </xf>
    <xf numFmtId="1" fontId="6" fillId="4" borderId="49" xfId="0" applyNumberFormat="1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2" fontId="6" fillId="4" borderId="24" xfId="0" applyNumberFormat="1" applyFont="1" applyFill="1" applyBorder="1" applyAlignment="1">
      <alignment horizontal="center" vertical="center"/>
    </xf>
    <xf numFmtId="10" fontId="6" fillId="4" borderId="25" xfId="0" applyNumberFormat="1" applyFont="1" applyFill="1" applyBorder="1" applyAlignment="1">
      <alignment horizontal="center" vertical="center"/>
    </xf>
    <xf numFmtId="2" fontId="6" fillId="4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1" fontId="5" fillId="4" borderId="9" xfId="0" applyNumberFormat="1" applyFont="1" applyFill="1" applyBorder="1" applyAlignment="1">
      <alignment horizontal="center" vertical="center"/>
    </xf>
    <xf numFmtId="10" fontId="6" fillId="4" borderId="21" xfId="0" applyNumberFormat="1" applyFont="1" applyFill="1" applyBorder="1" applyAlignment="1">
      <alignment horizontal="center" vertical="center"/>
    </xf>
    <xf numFmtId="10" fontId="6" fillId="4" borderId="16" xfId="0" applyNumberFormat="1" applyFont="1" applyFill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0" fontId="6" fillId="4" borderId="2" xfId="0" applyNumberFormat="1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2" fontId="2" fillId="5" borderId="36" xfId="0" applyNumberFormat="1" applyFont="1" applyFill="1" applyBorder="1" applyAlignment="1">
      <alignment horizontal="center" vertical="center"/>
    </xf>
    <xf numFmtId="9" fontId="2" fillId="2" borderId="52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9" fontId="6" fillId="4" borderId="8" xfId="0" applyNumberFormat="1" applyFont="1" applyFill="1" applyBorder="1" applyAlignment="1">
      <alignment horizontal="center" vertical="center"/>
    </xf>
    <xf numFmtId="9" fontId="6" fillId="4" borderId="1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" fontId="6" fillId="5" borderId="31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6" borderId="56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0" fontId="10" fillId="0" borderId="2" xfId="2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1" fontId="6" fillId="4" borderId="15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9" fontId="6" fillId="4" borderId="13" xfId="0" applyNumberFormat="1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2" fontId="10" fillId="0" borderId="58" xfId="0" applyNumberFormat="1" applyFont="1" applyBorder="1" applyAlignment="1">
      <alignment horizontal="center" vertical="center"/>
    </xf>
    <xf numFmtId="9" fontId="6" fillId="4" borderId="26" xfId="0" applyNumberFormat="1" applyFont="1" applyFill="1" applyBorder="1" applyAlignment="1">
      <alignment horizontal="center" vertical="center"/>
    </xf>
    <xf numFmtId="43" fontId="10" fillId="0" borderId="2" xfId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10" fillId="0" borderId="0" xfId="2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3" xfId="3" applyFont="1" applyFill="1" applyBorder="1" applyAlignment="1" applyProtection="1">
      <alignment horizontal="center" vertical="center"/>
      <protection locked="0"/>
    </xf>
    <xf numFmtId="0" fontId="4" fillId="0" borderId="4" xfId="3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 cent" xfId="2" builtinId="5"/>
  </cellStyles>
  <dxfs count="58"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none"/>
      </fill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5D74-5752-2B4E-93C9-D350933BC71C}">
  <dimension ref="L1:AE60"/>
  <sheetViews>
    <sheetView tabSelected="1" topLeftCell="H10" workbookViewId="0">
      <selection activeCell="P13" sqref="P13"/>
    </sheetView>
  </sheetViews>
  <sheetFormatPr baseColWidth="10" defaultRowHeight="16" x14ac:dyDescent="0.2"/>
  <sheetData>
    <row r="1" spans="12:31" x14ac:dyDescent="0.2"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1"/>
      <c r="AE1" s="1"/>
    </row>
    <row r="2" spans="12:31" ht="17" thickBot="1" x14ac:dyDescent="0.25">
      <c r="L2" s="1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1"/>
    </row>
    <row r="3" spans="12:31" ht="17" thickBot="1" x14ac:dyDescent="0.25">
      <c r="L3" s="1"/>
      <c r="M3" s="1"/>
      <c r="N3" s="1"/>
      <c r="O3" s="3" t="s">
        <v>4</v>
      </c>
      <c r="P3" s="4" t="s">
        <v>5</v>
      </c>
      <c r="Q3" s="3" t="s">
        <v>6</v>
      </c>
      <c r="R3" s="135" t="s">
        <v>7</v>
      </c>
      <c r="S3" s="136"/>
      <c r="T3" s="2"/>
      <c r="U3" s="2"/>
      <c r="V3" s="5" t="s">
        <v>8</v>
      </c>
      <c r="W3" s="6" t="s">
        <v>9</v>
      </c>
      <c r="X3" s="7" t="s">
        <v>10</v>
      </c>
      <c r="Y3" s="2"/>
      <c r="Z3" s="2"/>
      <c r="AA3" s="2"/>
      <c r="AB3" s="2"/>
      <c r="AC3" s="2"/>
      <c r="AD3" s="1"/>
      <c r="AE3" s="1"/>
    </row>
    <row r="4" spans="12:31" x14ac:dyDescent="0.2">
      <c r="L4" s="1"/>
      <c r="M4" s="1"/>
      <c r="N4" s="1"/>
      <c r="O4" s="137"/>
      <c r="P4" s="137"/>
      <c r="Q4" s="137"/>
      <c r="R4" s="137"/>
      <c r="S4" s="8" t="e">
        <f>S6+S8</f>
        <v>#DIV/0!</v>
      </c>
      <c r="T4" s="2"/>
      <c r="U4" s="2"/>
      <c r="V4" s="9"/>
      <c r="W4" s="10" t="str">
        <f>IF(COUNTIF(I:I,X4)&gt;0,COUNTIF(I:I,X4),"")</f>
        <v/>
      </c>
      <c r="X4" s="7" t="s">
        <v>11</v>
      </c>
      <c r="Y4" s="2"/>
      <c r="Z4" s="2"/>
      <c r="AA4" s="2"/>
      <c r="AB4" s="2"/>
      <c r="AC4" s="2"/>
      <c r="AD4" s="1"/>
      <c r="AE4" s="1"/>
    </row>
    <row r="5" spans="12:31" ht="17" thickBot="1" x14ac:dyDescent="0.25">
      <c r="L5" s="1"/>
      <c r="M5" s="1"/>
      <c r="N5" s="1"/>
      <c r="O5" s="3" t="s">
        <v>12</v>
      </c>
      <c r="P5" s="5" t="s">
        <v>13</v>
      </c>
      <c r="Q5" s="5" t="s">
        <v>14</v>
      </c>
      <c r="R5" s="11" t="s">
        <v>15</v>
      </c>
      <c r="S5" s="12" t="s">
        <v>16</v>
      </c>
      <c r="T5" s="2"/>
      <c r="U5" s="12" t="s">
        <v>17</v>
      </c>
      <c r="V5" s="13"/>
      <c r="W5" s="14" t="str">
        <f>IF(COUNTIF(I:I,X5)&gt;0,COUNTIF(I:I,X5),"")</f>
        <v/>
      </c>
      <c r="X5" s="7" t="s">
        <v>18</v>
      </c>
      <c r="Y5" s="2"/>
      <c r="Z5" s="2"/>
      <c r="AA5" s="2"/>
      <c r="AB5" s="2"/>
      <c r="AC5" s="2"/>
      <c r="AD5" s="1"/>
      <c r="AE5" s="1"/>
    </row>
    <row r="6" spans="12:31" x14ac:dyDescent="0.2">
      <c r="L6" s="1"/>
      <c r="M6" s="1"/>
      <c r="N6" s="1"/>
      <c r="O6" s="15">
        <f>COUNTA(A:A)</f>
        <v>0</v>
      </c>
      <c r="P6" s="16">
        <f>SUM(B:B)</f>
        <v>0</v>
      </c>
      <c r="Q6" s="17">
        <f>COUNTA(D:D)</f>
        <v>0</v>
      </c>
      <c r="R6" s="16">
        <f>SUM(D:D)</f>
        <v>0</v>
      </c>
      <c r="S6" s="8" t="e">
        <f>SUM(R11:R15)</f>
        <v>#DIV/0!</v>
      </c>
      <c r="T6" s="2"/>
      <c r="U6" s="8" t="e">
        <f>SUM(R11:R13)</f>
        <v>#DIV/0!</v>
      </c>
      <c r="V6" s="18"/>
      <c r="W6" s="19" t="str">
        <f>IF(COUNTIF(I:I,X6)&gt;0,COUNTIF(I:I,X6),"")</f>
        <v/>
      </c>
      <c r="X6" s="7" t="s">
        <v>19</v>
      </c>
      <c r="Y6" s="2"/>
      <c r="Z6" s="2"/>
      <c r="AA6" s="2"/>
      <c r="AB6" s="2"/>
      <c r="AC6" s="2"/>
      <c r="AD6" s="1"/>
      <c r="AE6" s="1"/>
    </row>
    <row r="7" spans="12:31" ht="17" thickBot="1" x14ac:dyDescent="0.25">
      <c r="L7" s="1"/>
      <c r="M7" s="1"/>
      <c r="N7" s="1"/>
      <c r="O7" s="3" t="s">
        <v>20</v>
      </c>
      <c r="P7" s="5" t="s">
        <v>21</v>
      </c>
      <c r="Q7" s="5" t="s">
        <v>22</v>
      </c>
      <c r="R7" s="11" t="s">
        <v>23</v>
      </c>
      <c r="S7" s="12" t="s">
        <v>24</v>
      </c>
      <c r="T7" s="2"/>
      <c r="U7" s="12" t="s">
        <v>25</v>
      </c>
      <c r="V7" s="18"/>
      <c r="W7" s="19" t="str">
        <f>IF(COUNTIF(I:I,X7)&gt;0,COUNTIF(I:I,X7),"")</f>
        <v/>
      </c>
      <c r="X7" s="7" t="s">
        <v>26</v>
      </c>
      <c r="Y7" s="2"/>
      <c r="Z7" s="2"/>
      <c r="AA7" s="2"/>
      <c r="AB7" s="2"/>
      <c r="AC7" s="2"/>
      <c r="AD7" s="1"/>
      <c r="AE7" s="1"/>
    </row>
    <row r="8" spans="12:31" ht="17" thickBot="1" x14ac:dyDescent="0.25">
      <c r="L8" s="1"/>
      <c r="M8" s="1"/>
      <c r="N8" s="1"/>
      <c r="O8" s="20" t="e">
        <f>Q6/Q8</f>
        <v>#DIV/0!</v>
      </c>
      <c r="P8" s="16" t="e">
        <f>V8/P6</f>
        <v>#DIV/0!</v>
      </c>
      <c r="Q8" s="16">
        <f>SUM(C:C)</f>
        <v>0</v>
      </c>
      <c r="R8" s="21" t="e">
        <f>AVERAGE(R6/P6)</f>
        <v>#DIV/0!</v>
      </c>
      <c r="S8" s="8" t="e">
        <f>SUM(R16:R20)</f>
        <v>#DIV/0!</v>
      </c>
      <c r="T8" s="2"/>
      <c r="U8" s="8" t="e">
        <f>SUM(R14:R20)</f>
        <v>#DIV/0!</v>
      </c>
      <c r="V8" s="22"/>
      <c r="W8" s="23">
        <f>SUM(W4:W7)</f>
        <v>0</v>
      </c>
      <c r="X8" s="24"/>
      <c r="Y8" s="2"/>
      <c r="Z8" s="2"/>
      <c r="AA8" s="2"/>
      <c r="AB8" s="2"/>
      <c r="AC8" s="2"/>
      <c r="AD8" s="1"/>
      <c r="AE8" s="1"/>
    </row>
    <row r="9" spans="12:31" ht="17" thickBot="1" x14ac:dyDescent="0.25">
      <c r="L9" s="1"/>
      <c r="M9" s="1"/>
      <c r="N9" s="1"/>
      <c r="O9" s="7" t="s">
        <v>27</v>
      </c>
      <c r="P9" s="5" t="s">
        <v>9</v>
      </c>
      <c r="Q9" s="5" t="s">
        <v>28</v>
      </c>
      <c r="R9" s="11" t="s">
        <v>23</v>
      </c>
      <c r="S9" s="25" t="s">
        <v>29</v>
      </c>
      <c r="T9" s="2"/>
      <c r="U9" s="5" t="s">
        <v>8</v>
      </c>
      <c r="V9" s="5" t="s">
        <v>11</v>
      </c>
      <c r="W9" s="6" t="s">
        <v>18</v>
      </c>
      <c r="X9" s="26" t="s">
        <v>19</v>
      </c>
      <c r="Y9" s="2"/>
      <c r="Z9" s="27">
        <f>COUNTIFS(D:D,"&lt;=0.0456",D:D,"&gt;0.010")</f>
        <v>0</v>
      </c>
      <c r="AA9" s="28">
        <f>SUMIFS(D:D,D:D,"&lt;=0.0456",D:D,"&gt;0.0010")</f>
        <v>0</v>
      </c>
      <c r="AB9" s="29" t="s">
        <v>30</v>
      </c>
      <c r="AC9" s="138" t="s">
        <v>31</v>
      </c>
      <c r="AD9" s="1"/>
      <c r="AE9" s="1"/>
    </row>
    <row r="10" spans="12:31" x14ac:dyDescent="0.2">
      <c r="L10" s="1"/>
      <c r="M10" s="1"/>
      <c r="N10" s="1"/>
      <c r="O10" s="7" t="s">
        <v>32</v>
      </c>
      <c r="P10" s="10">
        <f t="shared" ref="P10:P20" si="0">COUNTIF(H:H,O10)</f>
        <v>0</v>
      </c>
      <c r="Q10" s="30">
        <f t="shared" ref="Q10:Q20" si="1">SUMIF(H:H,O10,D:D)</f>
        <v>0</v>
      </c>
      <c r="R10" s="31" t="e">
        <f>Q10/R6</f>
        <v>#DIV/0!</v>
      </c>
      <c r="S10" s="9" t="str">
        <f t="shared" ref="S10:S20" si="2">IF(P10&gt;0,COUNTIFS(H:H,O10,F:F,"&lt;=1.27"),"")</f>
        <v/>
      </c>
      <c r="T10" s="2"/>
      <c r="U10" s="10"/>
      <c r="V10" s="10" t="str">
        <f t="shared" ref="V10:V20" si="3">IF(COUNTIFS(H:H,O10,I:I,"EX")&gt;0,COUNTIFS(H:H,O10,I:I,"EX"),"")</f>
        <v/>
      </c>
      <c r="W10" s="32" t="str">
        <f t="shared" ref="W10:W20" si="4">IF(COUNTIFS(H:H,O10,I:I,"VG")&gt;0,COUNTIFS(H:H,O10,I:I,"VG"),"")</f>
        <v/>
      </c>
      <c r="X10" s="9">
        <f t="shared" ref="X10:X20" si="5">COUNTIFS(H:H,O10,I:I,"GD")</f>
        <v>0</v>
      </c>
      <c r="Y10" s="2"/>
      <c r="Z10" s="33">
        <f>COUNTIFS(E:E,"ROUND",D:D,"&lt;=0.0456",D:D,"&gt;0.010")</f>
        <v>0</v>
      </c>
      <c r="AA10" s="34">
        <f>SUMIFS(D:D,E:E,"=ROUND",D:D,"&lt;=0.0456",D:D,"&gt;0.0010")</f>
        <v>0</v>
      </c>
      <c r="AB10" s="35" t="s">
        <v>0</v>
      </c>
      <c r="AC10" s="139"/>
      <c r="AD10" s="1"/>
      <c r="AE10" s="1"/>
    </row>
    <row r="11" spans="12:31" x14ac:dyDescent="0.2">
      <c r="L11" s="1"/>
      <c r="M11" s="1"/>
      <c r="N11" s="1"/>
      <c r="O11" s="7" t="s">
        <v>33</v>
      </c>
      <c r="P11" s="14">
        <f t="shared" si="0"/>
        <v>0</v>
      </c>
      <c r="Q11" s="36">
        <f t="shared" si="1"/>
        <v>0</v>
      </c>
      <c r="R11" s="37" t="e">
        <f>Q11/R6</f>
        <v>#DIV/0!</v>
      </c>
      <c r="S11" s="13" t="str">
        <f t="shared" si="2"/>
        <v/>
      </c>
      <c r="T11" s="2"/>
      <c r="U11" s="14"/>
      <c r="V11" s="14" t="str">
        <f t="shared" si="3"/>
        <v/>
      </c>
      <c r="W11" s="38" t="str">
        <f t="shared" si="4"/>
        <v/>
      </c>
      <c r="X11" s="13">
        <f t="shared" si="5"/>
        <v>0</v>
      </c>
      <c r="Y11" s="2"/>
      <c r="Z11" s="39">
        <f>COUNTIFS(E:E,"EMERALD",D:D,"&lt;=0.0456",D:D,"&gt;0.010")</f>
        <v>0</v>
      </c>
      <c r="AA11" s="40">
        <f>SUMIFS(D:D,E:E,"=EMERALD",D:D,"&lt;=0.0456",D:D,"&gt;0.010")</f>
        <v>0</v>
      </c>
      <c r="AB11" s="41" t="s">
        <v>34</v>
      </c>
      <c r="AC11" s="139"/>
      <c r="AD11" s="1"/>
      <c r="AE11" s="1"/>
    </row>
    <row r="12" spans="12:31" x14ac:dyDescent="0.2">
      <c r="L12" s="1"/>
      <c r="M12" s="1"/>
      <c r="N12" s="1"/>
      <c r="O12" s="7" t="s">
        <v>35</v>
      </c>
      <c r="P12" s="14">
        <f t="shared" si="0"/>
        <v>0</v>
      </c>
      <c r="Q12" s="36">
        <f t="shared" si="1"/>
        <v>0</v>
      </c>
      <c r="R12" s="37" t="e">
        <f>Q12/R6</f>
        <v>#DIV/0!</v>
      </c>
      <c r="S12" s="13" t="str">
        <f t="shared" si="2"/>
        <v/>
      </c>
      <c r="T12" s="2"/>
      <c r="U12" s="14"/>
      <c r="V12" s="14" t="str">
        <f t="shared" si="3"/>
        <v/>
      </c>
      <c r="W12" s="38" t="str">
        <f t="shared" si="4"/>
        <v/>
      </c>
      <c r="X12" s="13">
        <f t="shared" si="5"/>
        <v>0</v>
      </c>
      <c r="Y12" s="2"/>
      <c r="Z12" s="39">
        <f>COUNTIFS(E:E,"EMERALD 4STEP",D:D,"&lt;=0.0456",D:D,"&gt;0.010")</f>
        <v>0</v>
      </c>
      <c r="AA12" s="40">
        <f>SUMIFS(D:D,E:E,"=EMERALD 4STEP",D:D,"&lt;=0.0456",D:D,"&gt;0.010")</f>
        <v>0</v>
      </c>
      <c r="AB12" s="41" t="s">
        <v>36</v>
      </c>
      <c r="AC12" s="139"/>
      <c r="AD12" s="1"/>
      <c r="AE12" s="1"/>
    </row>
    <row r="13" spans="12:31" x14ac:dyDescent="0.2">
      <c r="L13" s="1"/>
      <c r="M13" s="1"/>
      <c r="N13" s="1"/>
      <c r="O13" s="7" t="s">
        <v>37</v>
      </c>
      <c r="P13" s="14">
        <f t="shared" si="0"/>
        <v>0</v>
      </c>
      <c r="Q13" s="36">
        <f t="shared" si="1"/>
        <v>0</v>
      </c>
      <c r="R13" s="37" t="e">
        <f>Q13/R6</f>
        <v>#DIV/0!</v>
      </c>
      <c r="S13" s="13" t="str">
        <f t="shared" si="2"/>
        <v/>
      </c>
      <c r="T13" s="2"/>
      <c r="U13" s="14"/>
      <c r="V13" s="14" t="str">
        <f t="shared" si="3"/>
        <v/>
      </c>
      <c r="W13" s="38" t="str">
        <f t="shared" si="4"/>
        <v/>
      </c>
      <c r="X13" s="13">
        <f t="shared" si="5"/>
        <v>0</v>
      </c>
      <c r="Y13" s="2"/>
      <c r="Z13" s="39">
        <f>COUNTIFS(E:E,"PEAR",D:D,"&lt;=0.0456",D:D,"&gt;0.010")</f>
        <v>0</v>
      </c>
      <c r="AA13" s="40">
        <f>SUMIFS(D:D,E:E,"=PEAR",D:D,"&lt;=0.0398",D:D,"&gt;0.010")</f>
        <v>0</v>
      </c>
      <c r="AB13" s="41" t="s">
        <v>38</v>
      </c>
      <c r="AC13" s="139"/>
      <c r="AD13" s="1"/>
      <c r="AE13" s="1"/>
    </row>
    <row r="14" spans="12:31" x14ac:dyDescent="0.2">
      <c r="L14" s="1"/>
      <c r="M14" s="1"/>
      <c r="N14" s="1"/>
      <c r="O14" s="7" t="s">
        <v>3</v>
      </c>
      <c r="P14" s="14">
        <f t="shared" si="0"/>
        <v>0</v>
      </c>
      <c r="Q14" s="36">
        <f t="shared" si="1"/>
        <v>0</v>
      </c>
      <c r="R14" s="37" t="e">
        <f>Q14/R6</f>
        <v>#DIV/0!</v>
      </c>
      <c r="S14" s="13" t="str">
        <f t="shared" si="2"/>
        <v/>
      </c>
      <c r="T14" s="2"/>
      <c r="U14" s="14"/>
      <c r="V14" s="14" t="str">
        <f t="shared" si="3"/>
        <v/>
      </c>
      <c r="W14" s="38" t="str">
        <f t="shared" si="4"/>
        <v/>
      </c>
      <c r="X14" s="13">
        <f t="shared" si="5"/>
        <v>0</v>
      </c>
      <c r="Y14" s="2"/>
      <c r="Z14" s="39">
        <f>COUNTIFS(E:E,"MARQUISE",D:D,"&lt;=0.0456",D:D,"&gt;0.010")</f>
        <v>0</v>
      </c>
      <c r="AA14" s="40">
        <f>SUMIFS(D:D,E:E,"=MARQUISE",D:D,"&lt;=0.0398",D:D,"&gt;0.010")</f>
        <v>0</v>
      </c>
      <c r="AB14" s="41" t="s">
        <v>39</v>
      </c>
      <c r="AC14" s="139"/>
      <c r="AD14" s="1"/>
      <c r="AE14" s="1"/>
    </row>
    <row r="15" spans="12:31" ht="17" thickBot="1" x14ac:dyDescent="0.25">
      <c r="L15" s="1"/>
      <c r="M15" s="1"/>
      <c r="N15" s="1"/>
      <c r="O15" s="7" t="s">
        <v>2</v>
      </c>
      <c r="P15" s="14">
        <f t="shared" si="0"/>
        <v>0</v>
      </c>
      <c r="Q15" s="36">
        <f t="shared" si="1"/>
        <v>0</v>
      </c>
      <c r="R15" s="37" t="e">
        <f>Q15/R6</f>
        <v>#DIV/0!</v>
      </c>
      <c r="S15" s="13" t="str">
        <f t="shared" si="2"/>
        <v/>
      </c>
      <c r="T15" s="2"/>
      <c r="U15" s="14"/>
      <c r="V15" s="14" t="str">
        <f t="shared" si="3"/>
        <v/>
      </c>
      <c r="W15" s="38" t="str">
        <f t="shared" si="4"/>
        <v/>
      </c>
      <c r="X15" s="13">
        <f t="shared" si="5"/>
        <v>0</v>
      </c>
      <c r="Y15" s="2"/>
      <c r="Z15" s="42">
        <f>COUNTIFS(E:E,"EMERALD 4 STEP",D:D,"&lt;=0.0456",D:D,"&gt;0.010")</f>
        <v>0</v>
      </c>
      <c r="AA15" s="43">
        <f>SUMIFS(D:D,E:E,"=EMERALD 4 STEP",D:D,"&lt;=0.0456",D:D,"&gt;0.010")</f>
        <v>0</v>
      </c>
      <c r="AB15" s="44" t="s">
        <v>40</v>
      </c>
      <c r="AC15" s="140"/>
      <c r="AD15" s="1"/>
      <c r="AE15" s="1"/>
    </row>
    <row r="16" spans="12:31" x14ac:dyDescent="0.2">
      <c r="L16" s="1"/>
      <c r="M16" s="1"/>
      <c r="N16" s="1"/>
      <c r="O16" s="7" t="s">
        <v>41</v>
      </c>
      <c r="P16" s="14">
        <f t="shared" si="0"/>
        <v>0</v>
      </c>
      <c r="Q16" s="36">
        <f t="shared" si="1"/>
        <v>0</v>
      </c>
      <c r="R16" s="37" t="e">
        <f>Q16/R6</f>
        <v>#DIV/0!</v>
      </c>
      <c r="S16" s="13" t="str">
        <f t="shared" si="2"/>
        <v/>
      </c>
      <c r="T16" s="2"/>
      <c r="U16" s="14"/>
      <c r="V16" s="14" t="str">
        <f t="shared" si="3"/>
        <v/>
      </c>
      <c r="W16" s="38" t="str">
        <f t="shared" si="4"/>
        <v/>
      </c>
      <c r="X16" s="13">
        <f t="shared" si="5"/>
        <v>0</v>
      </c>
      <c r="Y16" s="2"/>
      <c r="Z16" s="45"/>
      <c r="AA16" s="46"/>
      <c r="AB16" s="47"/>
      <c r="AC16" s="2"/>
      <c r="AD16" s="1"/>
      <c r="AE16" s="1"/>
    </row>
    <row r="17" spans="12:31" ht="17" thickBot="1" x14ac:dyDescent="0.25">
      <c r="L17" s="1"/>
      <c r="M17" s="1"/>
      <c r="N17" s="1"/>
      <c r="O17" s="7" t="s">
        <v>42</v>
      </c>
      <c r="P17" s="14">
        <f t="shared" si="0"/>
        <v>0</v>
      </c>
      <c r="Q17" s="36">
        <f t="shared" si="1"/>
        <v>0</v>
      </c>
      <c r="R17" s="37" t="e">
        <f>Q17/R6</f>
        <v>#DIV/0!</v>
      </c>
      <c r="S17" s="13" t="str">
        <f t="shared" si="2"/>
        <v/>
      </c>
      <c r="T17" s="2"/>
      <c r="U17" s="14"/>
      <c r="V17" s="14" t="str">
        <f t="shared" si="3"/>
        <v/>
      </c>
      <c r="W17" s="38" t="str">
        <f t="shared" si="4"/>
        <v/>
      </c>
      <c r="X17" s="13">
        <f t="shared" si="5"/>
        <v>0</v>
      </c>
      <c r="Y17" s="2"/>
      <c r="Z17" s="45"/>
      <c r="AA17" s="46"/>
      <c r="AB17" s="48"/>
      <c r="AC17" s="47"/>
      <c r="AD17" s="1"/>
      <c r="AE17" s="1"/>
    </row>
    <row r="18" spans="12:31" ht="17" thickBot="1" x14ac:dyDescent="0.25">
      <c r="L18" s="1"/>
      <c r="M18" s="1"/>
      <c r="N18" s="1"/>
      <c r="O18" s="7" t="s">
        <v>43</v>
      </c>
      <c r="P18" s="14">
        <f t="shared" si="0"/>
        <v>0</v>
      </c>
      <c r="Q18" s="36">
        <f t="shared" si="1"/>
        <v>0</v>
      </c>
      <c r="R18" s="37" t="e">
        <f>Q18/R6</f>
        <v>#DIV/0!</v>
      </c>
      <c r="S18" s="13" t="str">
        <f t="shared" si="2"/>
        <v/>
      </c>
      <c r="T18" s="2"/>
      <c r="U18" s="14"/>
      <c r="V18" s="14" t="str">
        <f t="shared" si="3"/>
        <v/>
      </c>
      <c r="W18" s="38" t="str">
        <f t="shared" si="4"/>
        <v/>
      </c>
      <c r="X18" s="13">
        <f t="shared" si="5"/>
        <v>0</v>
      </c>
      <c r="Y18" s="2"/>
      <c r="Z18" s="27">
        <f>COUNTIFS(D:D,"&lt;=0.0797",D:D,"&gt;0.0457")</f>
        <v>0</v>
      </c>
      <c r="AA18" s="28">
        <f>SUMIFS(D:D,D:D,"&lt;=0.0797",D:D,"&gt;0.0457")</f>
        <v>0</v>
      </c>
      <c r="AB18" s="49" t="s">
        <v>30</v>
      </c>
      <c r="AC18" s="141" t="s">
        <v>44</v>
      </c>
      <c r="AD18" s="1"/>
      <c r="AE18" s="1"/>
    </row>
    <row r="19" spans="12:31" x14ac:dyDescent="0.2">
      <c r="L19" s="1"/>
      <c r="M19" s="1"/>
      <c r="N19" s="1"/>
      <c r="O19" s="7" t="s">
        <v>45</v>
      </c>
      <c r="P19" s="14">
        <f t="shared" si="0"/>
        <v>0</v>
      </c>
      <c r="Q19" s="36">
        <f t="shared" si="1"/>
        <v>0</v>
      </c>
      <c r="R19" s="37" t="e">
        <f>Q19/R6</f>
        <v>#DIV/0!</v>
      </c>
      <c r="S19" s="13" t="str">
        <f t="shared" si="2"/>
        <v/>
      </c>
      <c r="T19" s="2"/>
      <c r="U19" s="14"/>
      <c r="V19" s="14" t="str">
        <f t="shared" si="3"/>
        <v/>
      </c>
      <c r="W19" s="38" t="str">
        <f t="shared" si="4"/>
        <v/>
      </c>
      <c r="X19" s="13">
        <f t="shared" si="5"/>
        <v>0</v>
      </c>
      <c r="Y19" s="2"/>
      <c r="Z19" s="33">
        <f>COUNTIFS(E:E,"ROUND",D:D,"&lt;=0.0797",D:D,"&gt;0.0457")</f>
        <v>0</v>
      </c>
      <c r="AA19" s="34">
        <f>SUMIFS(D:D,E:E,"=ROUND",D:D,"&lt;=0.0797",D:D,"&gt;0.0399")</f>
        <v>0</v>
      </c>
      <c r="AB19" s="50" t="s">
        <v>0</v>
      </c>
      <c r="AC19" s="142"/>
      <c r="AD19" s="1"/>
      <c r="AE19" s="1"/>
    </row>
    <row r="20" spans="12:31" ht="17" thickBot="1" x14ac:dyDescent="0.25">
      <c r="L20" s="1"/>
      <c r="M20" s="1"/>
      <c r="N20" s="1"/>
      <c r="O20" s="7" t="s">
        <v>46</v>
      </c>
      <c r="P20" s="51">
        <f t="shared" si="0"/>
        <v>0</v>
      </c>
      <c r="Q20" s="52">
        <f t="shared" si="1"/>
        <v>0</v>
      </c>
      <c r="R20" s="53" t="e">
        <f>Q20/R6</f>
        <v>#DIV/0!</v>
      </c>
      <c r="S20" s="54" t="str">
        <f t="shared" si="2"/>
        <v/>
      </c>
      <c r="T20" s="2"/>
      <c r="U20" s="51"/>
      <c r="V20" s="51" t="str">
        <f t="shared" si="3"/>
        <v/>
      </c>
      <c r="W20" s="55" t="str">
        <f t="shared" si="4"/>
        <v/>
      </c>
      <c r="X20" s="54">
        <f t="shared" si="5"/>
        <v>0</v>
      </c>
      <c r="Y20" s="2"/>
      <c r="Z20" s="39">
        <f>COUNTIFS(E:E,"EMERALD",D:D,"&lt;=0.0797",D:D,"&gt;0.0457")</f>
        <v>0</v>
      </c>
      <c r="AA20" s="40">
        <f>SUMIFS(D:D,E:E,"=EMERALD",D:D,"&lt;=0.0797",D:D,"&gt;0.0457")</f>
        <v>0</v>
      </c>
      <c r="AB20" s="56" t="s">
        <v>34</v>
      </c>
      <c r="AC20" s="142"/>
      <c r="AD20" s="1"/>
      <c r="AE20" s="1"/>
    </row>
    <row r="21" spans="12:31" ht="17" thickBot="1" x14ac:dyDescent="0.25">
      <c r="L21" s="1"/>
      <c r="M21" s="1"/>
      <c r="N21" s="1"/>
      <c r="O21" s="57" t="str">
        <f>"SI"&amp;"-"&amp;SUM(S15:S20)</f>
        <v>SI-0</v>
      </c>
      <c r="P21" s="58">
        <f t="shared" ref="P21:S21" si="6">SUM(P10:P20)</f>
        <v>0</v>
      </c>
      <c r="Q21" s="59">
        <f t="shared" si="6"/>
        <v>0</v>
      </c>
      <c r="R21" s="60" t="e">
        <f t="shared" si="6"/>
        <v>#DIV/0!</v>
      </c>
      <c r="S21" s="61">
        <f t="shared" si="6"/>
        <v>0</v>
      </c>
      <c r="T21" s="2"/>
      <c r="U21" s="62"/>
      <c r="V21" s="63">
        <f t="shared" ref="V21:X21" si="7">SUM(V10:V20)</f>
        <v>0</v>
      </c>
      <c r="W21" s="63">
        <f t="shared" si="7"/>
        <v>0</v>
      </c>
      <c r="X21" s="64">
        <f t="shared" si="7"/>
        <v>0</v>
      </c>
      <c r="Y21" s="2"/>
      <c r="Z21" s="39">
        <f>COUNTIFS(E:E,"EMERALD 4STEP",D:D,"&lt;=0.0797",D:D,"&gt;0.0457")</f>
        <v>0</v>
      </c>
      <c r="AA21" s="40">
        <f>SUMIFS(D:D,E:E,"=EMERALD 4STEP",D:D,"&lt;=0.0797",D:D,"&gt;0.0399")</f>
        <v>0</v>
      </c>
      <c r="AB21" s="56" t="s">
        <v>36</v>
      </c>
      <c r="AC21" s="142"/>
      <c r="AD21" s="1"/>
      <c r="AE21" s="1"/>
    </row>
    <row r="22" spans="12:31" ht="17" thickBot="1" x14ac:dyDescent="0.25">
      <c r="L22" s="1"/>
      <c r="M22" s="65">
        <f>SUM(M23:M25)</f>
        <v>0</v>
      </c>
      <c r="N22" s="65">
        <f>SUM(N23:N25)</f>
        <v>0</v>
      </c>
      <c r="O22" s="65" t="s">
        <v>47</v>
      </c>
      <c r="P22" s="66" t="s">
        <v>9</v>
      </c>
      <c r="Q22" s="66" t="s">
        <v>28</v>
      </c>
      <c r="R22" s="67" t="s">
        <v>23</v>
      </c>
      <c r="S22" s="68"/>
      <c r="T22" s="2"/>
      <c r="U22" s="69" t="s">
        <v>48</v>
      </c>
      <c r="V22" s="66" t="s">
        <v>9</v>
      </c>
      <c r="W22" s="66" t="s">
        <v>28</v>
      </c>
      <c r="X22" s="67" t="s">
        <v>23</v>
      </c>
      <c r="Y22" s="2"/>
      <c r="Z22" s="39">
        <f>COUNTIFS(E:E,"PEAR",D:D,"&lt;=0.0797",D:D,"&gt;0.0457")</f>
        <v>0</v>
      </c>
      <c r="AA22" s="40">
        <f>SUMIFS(D:D,E:E,"=PEAR",D:D,"&lt;=0.0797",D:D,"&gt;0.0399")</f>
        <v>0</v>
      </c>
      <c r="AB22" s="56" t="s">
        <v>38</v>
      </c>
      <c r="AC22" s="142"/>
      <c r="AD22" s="1"/>
      <c r="AE22" s="1"/>
    </row>
    <row r="23" spans="12:31" x14ac:dyDescent="0.2">
      <c r="L23" s="77"/>
      <c r="M23" s="1"/>
      <c r="N23" s="1"/>
      <c r="O23" s="70" t="s">
        <v>49</v>
      </c>
      <c r="P23" s="10">
        <f>COUNTIFS(E:E,"=ROUND",F:F,"&lt;=1.12",F:F,"&gt;0")</f>
        <v>0</v>
      </c>
      <c r="Q23" s="30">
        <f>SUMIFS(D:D,E:E,"=ROUND",F:F,"&lt;=1.12",F:F,"&gt;0")</f>
        <v>0</v>
      </c>
      <c r="R23" s="31" t="e">
        <f>Q23/R6</f>
        <v>#DIV/0!</v>
      </c>
      <c r="S23" s="11" t="s">
        <v>50</v>
      </c>
      <c r="T23" s="2"/>
      <c r="U23" s="12" t="s">
        <v>51</v>
      </c>
      <c r="V23" s="38">
        <f>COUNTIFS(F:F,"&lt;=1.2055",F:F,"&gt;0")</f>
        <v>0</v>
      </c>
      <c r="W23" s="36">
        <f>SUMIFS(D:D,F:F,"&lt;=1.2055",F:F,"&gt;0")</f>
        <v>0</v>
      </c>
      <c r="X23" s="37" t="e">
        <f>W23/R6</f>
        <v>#DIV/0!</v>
      </c>
      <c r="Y23" s="2"/>
      <c r="Z23" s="39">
        <f>COUNTIFS(E:E,"MARQUISE",D:D,"&lt;=0.0797",D:D,"&gt;0.0457")</f>
        <v>0</v>
      </c>
      <c r="AA23" s="40">
        <f>SUMIFS(D:D,E:E,"=MARQUISE",D:D,"&lt;=0.0797",D:D,"&gt;0.0399")</f>
        <v>0</v>
      </c>
      <c r="AB23" s="56" t="s">
        <v>39</v>
      </c>
      <c r="AC23" s="142"/>
      <c r="AD23" s="1"/>
      <c r="AE23" s="1"/>
    </row>
    <row r="24" spans="12:31" ht="17" thickBot="1" x14ac:dyDescent="0.25">
      <c r="L24" s="77"/>
      <c r="M24" s="1"/>
      <c r="N24" s="1"/>
      <c r="O24" s="70" t="s">
        <v>52</v>
      </c>
      <c r="P24" s="14">
        <f>COUNTIFS(E:E,"=ROUND",F:F,"&lt;=1.27",F:F,"&gt;1.12")</f>
        <v>0</v>
      </c>
      <c r="Q24" s="36">
        <f>SUMIFS(D:D,E:E,"=ROUND",F:F,"&lt;=1.27",F:F,"&gt;1.12")</f>
        <v>0</v>
      </c>
      <c r="R24" s="37" t="e">
        <f>Q24/R6</f>
        <v>#DIV/0!</v>
      </c>
      <c r="S24" s="71" t="e">
        <f t="shared" ref="S24:S28" si="8">SUM(R23:R24)</f>
        <v>#DIV/0!</v>
      </c>
      <c r="T24" s="2"/>
      <c r="U24" s="12" t="s">
        <v>53</v>
      </c>
      <c r="V24" s="72">
        <f>COUNTIFS(F:F,"&lt;=1.3055",F:F,"&gt;1.2066")</f>
        <v>0</v>
      </c>
      <c r="W24" s="73">
        <f>SUMIFS(D:D,F:F,"&lt;=1.3055",F:F,"&gt;1.2066")</f>
        <v>0</v>
      </c>
      <c r="X24" s="74" t="e">
        <f>W24/R6</f>
        <v>#DIV/0!</v>
      </c>
      <c r="Y24" s="2"/>
      <c r="Z24" s="42">
        <f>COUNTIFS(E:E,"EMERALD 4 STEP",D:D,"&lt;=0.0797",D:D,"&gt;0.0457")</f>
        <v>0</v>
      </c>
      <c r="AA24" s="43">
        <f>SUMIFS(D:D,E:E,"=EMERALD 4 STEP",D:D,"&lt;=0.0797",D:D,"&gt;0.0457")</f>
        <v>0</v>
      </c>
      <c r="AB24" s="75" t="s">
        <v>40</v>
      </c>
      <c r="AC24" s="143"/>
      <c r="AD24" s="1"/>
      <c r="AE24" s="1"/>
    </row>
    <row r="25" spans="12:31" ht="17" thickBot="1" x14ac:dyDescent="0.25">
      <c r="L25" s="77"/>
      <c r="M25" s="76"/>
      <c r="N25" s="77"/>
      <c r="O25" s="70" t="s">
        <v>54</v>
      </c>
      <c r="P25" s="14">
        <f>COUNTIFS(E:E,"=ROUND",F:F,"&lt;=1.57",F:F,"&gt;1.27")</f>
        <v>0</v>
      </c>
      <c r="Q25" s="36">
        <f>SUMIFS(D:D,E:E,"=ROUND",F:F,"&lt;=1.57",F:F,"&gt;1.27")</f>
        <v>0</v>
      </c>
      <c r="R25" s="37" t="e">
        <f>Q25/R6</f>
        <v>#DIV/0!</v>
      </c>
      <c r="S25" s="67" t="s">
        <v>55</v>
      </c>
      <c r="T25" s="2"/>
      <c r="U25" s="12" t="s">
        <v>56</v>
      </c>
      <c r="V25" s="38">
        <f>COUNTIFS(F:F,"&lt;=1.6055",F:F,"&gt;1.3066")</f>
        <v>0</v>
      </c>
      <c r="W25" s="73">
        <f>SUMIFS(D:D,F:F,"&lt;=1.6055",F:F,"&gt;1.3066")</f>
        <v>0</v>
      </c>
      <c r="X25" s="74" t="e">
        <f>W25/R6</f>
        <v>#DIV/0!</v>
      </c>
      <c r="Y25" s="2"/>
      <c r="Z25" s="45"/>
      <c r="AA25" s="45"/>
      <c r="AB25" s="2"/>
      <c r="AC25" s="2"/>
      <c r="AD25" s="1"/>
      <c r="AE25" s="1"/>
    </row>
    <row r="26" spans="12:31" ht="17" thickBot="1" x14ac:dyDescent="0.25">
      <c r="L26" s="77"/>
      <c r="M26" s="1"/>
      <c r="N26" s="1"/>
      <c r="O26" s="70" t="s">
        <v>57</v>
      </c>
      <c r="P26" s="14">
        <f>COUNTIFS(E:E,"=ROUND",F:F,"&lt;=1.82",F:F,"&gt;1.57")</f>
        <v>0</v>
      </c>
      <c r="Q26" s="36">
        <f>SUMIFS(D:D,E:E,"=ROUND",F:F,"&lt;=1.82",F:F,"&gt;1.57")</f>
        <v>0</v>
      </c>
      <c r="R26" s="37" t="e">
        <f>Q26/R6</f>
        <v>#DIV/0!</v>
      </c>
      <c r="S26" s="71" t="e">
        <f t="shared" si="8"/>
        <v>#DIV/0!</v>
      </c>
      <c r="T26" s="2"/>
      <c r="U26" s="12" t="s">
        <v>58</v>
      </c>
      <c r="V26" s="72">
        <f>COUNTIFS(F:F,"&lt;=1.7355",F:F,"&gt;1.6066")</f>
        <v>0</v>
      </c>
      <c r="W26" s="73">
        <f>SUMIFS(D:D,F:F,"&lt;=1.7355",F:F,"&gt;1.6066")</f>
        <v>0</v>
      </c>
      <c r="X26" s="74" t="e">
        <f>W26/R6</f>
        <v>#DIV/0!</v>
      </c>
      <c r="Y26" s="2"/>
      <c r="Z26" s="27">
        <f>COUNTIFS(D:D,"&lt;=0.1378",D:D,"&gt;.0798")</f>
        <v>0</v>
      </c>
      <c r="AA26" s="78">
        <f>SUMIFS(D:D,D:D,"&lt;=0.1378",D:D,"&gt;0.07980")</f>
        <v>0</v>
      </c>
      <c r="AB26" s="79" t="s">
        <v>30</v>
      </c>
      <c r="AC26" s="144" t="s">
        <v>59</v>
      </c>
      <c r="AD26" s="1"/>
      <c r="AE26" s="1"/>
    </row>
    <row r="27" spans="12:31" ht="17" thickBot="1" x14ac:dyDescent="0.25">
      <c r="L27" s="1"/>
      <c r="M27" s="1"/>
      <c r="N27" s="1"/>
      <c r="O27" s="70" t="s">
        <v>60</v>
      </c>
      <c r="P27" s="14">
        <f>COUNTIFS(E:E,"=ROUND",F:F,"&lt;=2.12",F:F,"&gt;1.82")</f>
        <v>0</v>
      </c>
      <c r="Q27" s="36">
        <f>SUMIFS(D:D,E:E,"=ROUND",F:F,"&lt;=2.12",F:F,"&gt;1.82")</f>
        <v>0</v>
      </c>
      <c r="R27" s="37" t="e">
        <f>Q27/R6</f>
        <v>#DIV/0!</v>
      </c>
      <c r="S27" s="67" t="s">
        <v>61</v>
      </c>
      <c r="T27" s="2"/>
      <c r="U27" s="12" t="s">
        <v>62</v>
      </c>
      <c r="V27" s="38">
        <f>COUNTIFS(F:F,"&lt;=1.8155",F:F,"&gt;1.7366")</f>
        <v>0</v>
      </c>
      <c r="W27" s="73">
        <f>SUMIFS(D:D,F:F,"&lt;=1.8155",F:F,"&gt;1.7366")</f>
        <v>0</v>
      </c>
      <c r="X27" s="74" t="e">
        <f>W27/R6</f>
        <v>#DIV/0!</v>
      </c>
      <c r="Y27" s="2"/>
      <c r="Z27" s="42">
        <f>COUNTIFS(E:E,"ROUND",D:D,"&lt;=0.1378",D:D,"&gt;0.0799")</f>
        <v>0</v>
      </c>
      <c r="AA27" s="80">
        <f>SUMIFS(D:D,E:E,"=ROUND",D:D,"&lt;=0.1378",D:D,"&gt;0.0798")</f>
        <v>0</v>
      </c>
      <c r="AB27" s="81" t="s">
        <v>0</v>
      </c>
      <c r="AC27" s="145"/>
      <c r="AD27" s="1"/>
      <c r="AE27" s="1"/>
    </row>
    <row r="28" spans="12:31" ht="17" thickBot="1" x14ac:dyDescent="0.25">
      <c r="L28" s="1"/>
      <c r="M28" s="77"/>
      <c r="N28" s="82"/>
      <c r="O28" s="70" t="s">
        <v>63</v>
      </c>
      <c r="P28" s="14">
        <f>COUNTIFS(E:E,"=ROUND",F:F,"&lt;=2.7",F:F,"&gt;2.12")</f>
        <v>0</v>
      </c>
      <c r="Q28" s="36">
        <f>SUMIFS(D:D,E:E,"=ROUND",F:F,"&lt;=2.7",F:F,"&gt;2.12")</f>
        <v>0</v>
      </c>
      <c r="R28" s="37" t="e">
        <f>Q28/R6</f>
        <v>#DIV/0!</v>
      </c>
      <c r="S28" s="71" t="e">
        <f t="shared" si="8"/>
        <v>#DIV/0!</v>
      </c>
      <c r="T28" s="2"/>
      <c r="U28" s="12" t="s">
        <v>64</v>
      </c>
      <c r="V28" s="38">
        <f>COUNTIFS(F:F,"&lt;=2.0955",F:F,"&gt;1.8166")</f>
        <v>0</v>
      </c>
      <c r="W28" s="73">
        <f>SUMIFS(D:D,F:F,"&lt;=2.0955",F:F,"&gt;1.8166")</f>
        <v>0</v>
      </c>
      <c r="X28" s="74" t="e">
        <f>W28/R6</f>
        <v>#DIV/0!</v>
      </c>
      <c r="Y28" s="2"/>
      <c r="Z28" s="42">
        <f>COUNTIFS(E:E,"EMERALD",D:D,"&lt;=0.1378",D:D,"&gt;0.0799")</f>
        <v>0</v>
      </c>
      <c r="AA28" s="80">
        <f>SUMIFS(D:D,E:E,"=EMERALD",D:D,"&lt;=0.1378",D:D,"&gt;0.0798")</f>
        <v>0</v>
      </c>
      <c r="AB28" s="83" t="s">
        <v>34</v>
      </c>
      <c r="AC28" s="145"/>
      <c r="AD28" s="1"/>
      <c r="AE28" s="1"/>
    </row>
    <row r="29" spans="12:31" ht="17" thickBot="1" x14ac:dyDescent="0.25">
      <c r="L29" s="1"/>
      <c r="M29" s="1"/>
      <c r="N29" s="1"/>
      <c r="O29" s="70" t="s">
        <v>65</v>
      </c>
      <c r="P29" s="14">
        <f>COUNTIFS(E:E,"=ROUND",F:F,"&lt;=2.92",F:F,"&gt;2.7")</f>
        <v>0</v>
      </c>
      <c r="Q29" s="36">
        <f>SUMIFS(D:D,E:E,"=ROUND",F:F,"&lt;=2.92",F:F,"&gt;2.7")</f>
        <v>0</v>
      </c>
      <c r="R29" s="37" t="e">
        <f>Q29/R6</f>
        <v>#DIV/0!</v>
      </c>
      <c r="S29" s="67" t="s">
        <v>66</v>
      </c>
      <c r="T29" s="2"/>
      <c r="U29" s="12" t="s">
        <v>67</v>
      </c>
      <c r="V29" s="72">
        <f>COUNTIFS(F:F,"&lt;=2.2055",F:F,"&gt;2.0966")</f>
        <v>0</v>
      </c>
      <c r="W29" s="73">
        <f>SUMIFS(D:D,F:F,"&lt;=2.2055",F:F,"&gt;2.0966")</f>
        <v>0</v>
      </c>
      <c r="X29" s="74" t="e">
        <f>W29/R6</f>
        <v>#DIV/0!</v>
      </c>
      <c r="Y29" s="2"/>
      <c r="Z29" s="42">
        <f>COUNTIFS(E:E,"EMERALD 4STEP",D:D,"&lt;=0.1378",D:D,"&gt;0.0799")</f>
        <v>0</v>
      </c>
      <c r="AA29" s="80">
        <f>SUMIFS(D:D,E:E,"=EMERALD 4STEP",D:D,"&lt;=0.1378",D:D,"&gt;0.0798")</f>
        <v>0</v>
      </c>
      <c r="AB29" s="83" t="s">
        <v>36</v>
      </c>
      <c r="AC29" s="145"/>
      <c r="AD29" s="1"/>
      <c r="AE29" s="1"/>
    </row>
    <row r="30" spans="12:31" ht="17" thickBot="1" x14ac:dyDescent="0.25">
      <c r="L30" s="1"/>
      <c r="M30" s="1"/>
      <c r="N30" s="1"/>
      <c r="O30" s="70" t="s">
        <v>68</v>
      </c>
      <c r="P30" s="84">
        <f>COUNTIFS(E:E,"=ROUND",F:F,"&lt;=3.29",F:F,"&gt;2.92")</f>
        <v>0</v>
      </c>
      <c r="Q30" s="36">
        <f>SUMIFS(D:D,E:E,"=ROUND",F:F,"&lt;=3.29",F:F,"&gt;2.92")</f>
        <v>0</v>
      </c>
      <c r="R30" s="37" t="e">
        <f>Q30/R6</f>
        <v>#DIV/0!</v>
      </c>
      <c r="S30" s="71" t="e">
        <f>SUM(R29:R30)</f>
        <v>#DIV/0!</v>
      </c>
      <c r="T30" s="2"/>
      <c r="U30" s="12" t="s">
        <v>69</v>
      </c>
      <c r="V30" s="38">
        <f>COUNTIFS(F:F,"&lt;=2.7055",F:F,"&gt;2.2066")</f>
        <v>0</v>
      </c>
      <c r="W30" s="73">
        <f>SUMIFS(D:D,F:F,"&lt;=2.7055",F:F,"&gt;2.2066")</f>
        <v>0</v>
      </c>
      <c r="X30" s="74" t="e">
        <f>W30/R6</f>
        <v>#DIV/0!</v>
      </c>
      <c r="Y30" s="2"/>
      <c r="Z30" s="42">
        <f>COUNTIFS(E:E,"PEAR",D:D,"&lt;=0.1378",D:D,"&gt;0.0799")</f>
        <v>0</v>
      </c>
      <c r="AA30" s="80">
        <f>SUMIFS(D:D,E:E,"=PEAR",D:D,"&lt;=0.1378",D:D,"&gt;0.0798")</f>
        <v>0</v>
      </c>
      <c r="AB30" s="83" t="s">
        <v>38</v>
      </c>
      <c r="AC30" s="145"/>
      <c r="AD30" s="1"/>
      <c r="AE30" s="1"/>
    </row>
    <row r="31" spans="12:31" ht="17" thickBot="1" x14ac:dyDescent="0.25">
      <c r="L31" s="1"/>
      <c r="M31" s="77"/>
      <c r="N31" s="82"/>
      <c r="O31" s="70" t="s">
        <v>70</v>
      </c>
      <c r="P31" s="14">
        <f>COUNTIFS(E:E,"=ROUND",D:D,"&lt;=0.178",F:F,"&gt;3.29")</f>
        <v>0</v>
      </c>
      <c r="Q31" s="36">
        <f>SUMIFS(D:D,E:E,"=ROUND",D:D,"&lt;=0.178",F:F,"&gt;3.29")</f>
        <v>0</v>
      </c>
      <c r="R31" s="37" t="e">
        <f>Q31/R6</f>
        <v>#DIV/0!</v>
      </c>
      <c r="S31" s="67" t="s">
        <v>71</v>
      </c>
      <c r="T31" s="2"/>
      <c r="U31" s="12" t="s">
        <v>72</v>
      </c>
      <c r="V31" s="85">
        <f>COUNTIFS(F:F,"&lt;=2.8055",F:F,"&gt;2.7066")</f>
        <v>0</v>
      </c>
      <c r="W31" s="73">
        <f>SUMIFS(D:D,F:F,"&lt;=2.8055",F:F,"&gt;2.7066")</f>
        <v>0</v>
      </c>
      <c r="X31" s="74" t="e">
        <f>W31/R6</f>
        <v>#DIV/0!</v>
      </c>
      <c r="Y31" s="2"/>
      <c r="Z31" s="42">
        <f>COUNTIFS(E:E,"MARQUISE",D:D,"&lt;=0.1378",D:D,"&gt;0.0799")</f>
        <v>0</v>
      </c>
      <c r="AA31" s="80">
        <f>SUMIFS(D:D,E:E,"=MARQUISE",D:D,"&lt;=0.1378",D:D,"&gt;0.0798")</f>
        <v>0</v>
      </c>
      <c r="AB31" s="83" t="s">
        <v>39</v>
      </c>
      <c r="AC31" s="145"/>
      <c r="AD31" s="1"/>
      <c r="AE31" s="1"/>
    </row>
    <row r="32" spans="12:31" ht="17" thickBot="1" x14ac:dyDescent="0.25">
      <c r="L32" s="1"/>
      <c r="M32" s="1"/>
      <c r="N32" s="1"/>
      <c r="O32" s="70" t="s">
        <v>73</v>
      </c>
      <c r="P32" s="14">
        <f>COUNTIFS(E:E,"=ROUND",D:D,"&lt;=0.227",D:D,"&gt;0.178")</f>
        <v>0</v>
      </c>
      <c r="Q32" s="36">
        <f>SUMIFS(D:D,E:E,"=ROUND",D:D,"&lt;=0.227",D:D,"&gt;0.178")</f>
        <v>0</v>
      </c>
      <c r="R32" s="37" t="e">
        <f>Q32/R6</f>
        <v>#DIV/0!</v>
      </c>
      <c r="S32" s="71" t="e">
        <f>SUM(R31:R35)</f>
        <v>#DIV/0!</v>
      </c>
      <c r="T32" s="2"/>
      <c r="U32" s="12" t="s">
        <v>74</v>
      </c>
      <c r="V32" s="38">
        <f>COUNTIFS(F:F,"&lt;=2.9255",F:F,"&gt;2.8066")</f>
        <v>0</v>
      </c>
      <c r="W32" s="73">
        <f>SUMIFS(D:D,F:F,"&lt;=2.9255",F:F,"&gt;2.8066")</f>
        <v>0</v>
      </c>
      <c r="X32" s="74" t="e">
        <f>W32/R6</f>
        <v>#DIV/0!</v>
      </c>
      <c r="Y32" s="2"/>
      <c r="Z32" s="42">
        <f>COUNTIFS(E:E,"EMERALD 4 STEP",D:D,"&lt;=0.1378",D:D,"&gt;0.0799")</f>
        <v>0</v>
      </c>
      <c r="AA32" s="80">
        <f>SUMIFS(D:D,E:E,"=EMERALD 4  STEP",D:D,"&lt;=0.1378",D:D,"&gt;0.0798")</f>
        <v>0</v>
      </c>
      <c r="AB32" s="86" t="s">
        <v>40</v>
      </c>
      <c r="AC32" s="146"/>
      <c r="AD32" s="1"/>
      <c r="AE32" s="1"/>
    </row>
    <row r="33" spans="12:31" x14ac:dyDescent="0.2">
      <c r="L33" s="1"/>
      <c r="M33" s="1"/>
      <c r="N33" s="1"/>
      <c r="O33" s="70" t="s">
        <v>75</v>
      </c>
      <c r="P33" s="14">
        <f>COUNTIFS(E:E,"=ROUND",D:D,"&lt;=0.298",D:D,"&gt;0.227")</f>
        <v>0</v>
      </c>
      <c r="Q33" s="36">
        <f>SUMIFS(D:D,E:E,"=ROUND",D:D,"&lt;=0.298",D:D,"&gt;0.227")</f>
        <v>0</v>
      </c>
      <c r="R33" s="37" t="e">
        <f>Q33/R6</f>
        <v>#DIV/0!</v>
      </c>
      <c r="S33" s="87"/>
      <c r="T33" s="2"/>
      <c r="U33" s="12" t="s">
        <v>76</v>
      </c>
      <c r="V33" s="38">
        <f>COUNTIFS(F:F,"&lt;=3.3155",F:F,"&gt;2.9266")</f>
        <v>0</v>
      </c>
      <c r="W33" s="36">
        <f>SUMIFS(D:D,F:F,"&lt;=3.3155",F:F,"&gt;2.9266")</f>
        <v>0</v>
      </c>
      <c r="X33" s="37" t="e">
        <f>W33/R6</f>
        <v>#DIV/0!</v>
      </c>
      <c r="Y33" s="2"/>
      <c r="Z33" s="45"/>
      <c r="AA33" s="45"/>
      <c r="AB33" s="2"/>
      <c r="AC33" s="2"/>
      <c r="AD33" s="1"/>
      <c r="AE33" s="1"/>
    </row>
    <row r="34" spans="12:31" ht="17" thickBot="1" x14ac:dyDescent="0.25">
      <c r="L34" s="1"/>
      <c r="M34" s="1"/>
      <c r="N34" s="1"/>
      <c r="O34" s="70" t="s">
        <v>77</v>
      </c>
      <c r="P34" s="14">
        <f>COUNTIFS(E:E,"=ROUND",D:D,"&gt;0.298")</f>
        <v>0</v>
      </c>
      <c r="Q34" s="36">
        <f>SUMIFS(D:D,E:E,"=ROUND",D:D,"&gt;0.298")</f>
        <v>0</v>
      </c>
      <c r="R34" s="37" t="e">
        <f>Q34/R6</f>
        <v>#DIV/0!</v>
      </c>
      <c r="S34" s="87"/>
      <c r="T34" s="2"/>
      <c r="U34" s="12" t="s">
        <v>78</v>
      </c>
      <c r="V34" s="38">
        <f>COUNTIFS(F:F,"&lt;=3.6055",F:F,"&gt;3.3166")</f>
        <v>0</v>
      </c>
      <c r="W34" s="36">
        <f>SUMIFS(D:D,F:F,"&lt;=3.6055",F:F,"&gt;3.3166")</f>
        <v>0</v>
      </c>
      <c r="X34" s="37" t="e">
        <f>W34/R6</f>
        <v>#DIV/0!</v>
      </c>
      <c r="Y34" s="2"/>
      <c r="Z34" s="45"/>
      <c r="AA34" s="45"/>
      <c r="AB34" s="2"/>
      <c r="AC34" s="2"/>
      <c r="AD34" s="1"/>
      <c r="AE34" s="1"/>
    </row>
    <row r="35" spans="12:31" ht="17" thickBot="1" x14ac:dyDescent="0.25">
      <c r="L35" s="1"/>
      <c r="M35" s="1"/>
      <c r="N35" s="1"/>
      <c r="O35" s="88" t="s">
        <v>79</v>
      </c>
      <c r="P35" s="89">
        <f>COUNTIFS(E:E,"=ROUND",D:D,"&gt;0.448")</f>
        <v>0</v>
      </c>
      <c r="Q35" s="52">
        <f>SUMIFS(D:D,E:E,"=ROUND",D:D,"&gt;0.448")</f>
        <v>0</v>
      </c>
      <c r="R35" s="90" t="e">
        <f>Q35/R6</f>
        <v>#DIV/0!</v>
      </c>
      <c r="S35" s="91"/>
      <c r="T35" s="2"/>
      <c r="U35" s="12" t="s">
        <v>73</v>
      </c>
      <c r="V35" s="38">
        <f>COUNTIFS(D:D,"&lt;=0.227",D:D,"&gt;0.178")</f>
        <v>0</v>
      </c>
      <c r="W35" s="36">
        <f>SUMIFS(D:D,D:D,"&lt;=0.227",D:D,"&gt;0.178")</f>
        <v>0</v>
      </c>
      <c r="X35" s="37" t="e">
        <f>W35/R6</f>
        <v>#DIV/0!</v>
      </c>
      <c r="Y35" s="2"/>
      <c r="Z35" s="27">
        <f>COUNTIFS(D:D,"&gt;0.1379")</f>
        <v>0</v>
      </c>
      <c r="AA35" s="78">
        <f>SUMIFS(D:D,D:D,"&gt;0.1379")</f>
        <v>0</v>
      </c>
      <c r="AB35" s="49" t="s">
        <v>30</v>
      </c>
      <c r="AC35" s="144" t="s">
        <v>80</v>
      </c>
      <c r="AD35" s="1"/>
      <c r="AE35" s="1"/>
    </row>
    <row r="36" spans="12:31" ht="17" thickBot="1" x14ac:dyDescent="0.25">
      <c r="L36" s="1"/>
      <c r="M36" s="1"/>
      <c r="N36" s="1"/>
      <c r="O36" s="2"/>
      <c r="P36" s="2"/>
      <c r="Q36" s="2"/>
      <c r="R36" s="2"/>
      <c r="S36" s="2"/>
      <c r="T36" s="2"/>
      <c r="U36" s="12" t="s">
        <v>75</v>
      </c>
      <c r="V36" s="85">
        <f>COUNTIFS(D:D,"&lt;=0.298",D:D,"&gt;0.227")</f>
        <v>0</v>
      </c>
      <c r="W36" s="36">
        <f>SUMIFS(D:D,D:D,"&lt;=0.298",D:D,"&gt;0.227")</f>
        <v>0</v>
      </c>
      <c r="X36" s="37" t="e">
        <f>W36/R6</f>
        <v>#DIV/0!</v>
      </c>
      <c r="Y36" s="2"/>
      <c r="Z36" s="33">
        <f>COUNTIFS(E:E,"ROUND",D:D,"&gt;0.1379")</f>
        <v>0</v>
      </c>
      <c r="AA36" s="92">
        <f>SUMIFS(D:D,E:E,"=ROUND",D:D,"&gt;0.1379")</f>
        <v>0</v>
      </c>
      <c r="AB36" s="50" t="s">
        <v>0</v>
      </c>
      <c r="AC36" s="145"/>
      <c r="AD36" s="1"/>
      <c r="AE36" s="1"/>
    </row>
    <row r="37" spans="12:31" ht="17" thickBot="1" x14ac:dyDescent="0.25">
      <c r="L37" s="1"/>
      <c r="M37" s="1"/>
      <c r="N37" s="1"/>
      <c r="O37" s="65" t="s">
        <v>81</v>
      </c>
      <c r="P37" s="93">
        <f>Z9-Z10</f>
        <v>0</v>
      </c>
      <c r="Q37" s="30">
        <f>AA9-AA10</f>
        <v>0</v>
      </c>
      <c r="R37" s="94" t="e">
        <f>Q37/R6</f>
        <v>#DIV/0!</v>
      </c>
      <c r="S37" s="95" t="e">
        <f>R37</f>
        <v>#DIV/0!</v>
      </c>
      <c r="T37" s="2"/>
      <c r="U37" s="12" t="s">
        <v>77</v>
      </c>
      <c r="V37" s="38">
        <f>COUNTIFS(D:D,"&gt;0.298")</f>
        <v>0</v>
      </c>
      <c r="W37" s="36">
        <f>SUMIFS(D:D,D:D,"&gt;0.298")</f>
        <v>0</v>
      </c>
      <c r="X37" s="37" t="e">
        <f>W37/R6</f>
        <v>#DIV/0!</v>
      </c>
      <c r="Y37" s="2"/>
      <c r="Z37" s="39">
        <f>COUNTIFS(E:E,"EMERALD",D:D,"&gt;0.1379")</f>
        <v>0</v>
      </c>
      <c r="AA37" s="96">
        <f>SUMIFS(D:D,E:E,"=EMERALD",D:D,"&gt;0.1379")</f>
        <v>0</v>
      </c>
      <c r="AB37" s="56" t="s">
        <v>34</v>
      </c>
      <c r="AC37" s="145"/>
      <c r="AD37" s="1"/>
      <c r="AE37" s="1"/>
    </row>
    <row r="38" spans="12:31" x14ac:dyDescent="0.2">
      <c r="L38" s="1"/>
      <c r="M38" s="1"/>
      <c r="N38" s="1"/>
      <c r="O38" s="70" t="s">
        <v>82</v>
      </c>
      <c r="P38" s="14">
        <f>Z18-Z19</f>
        <v>0</v>
      </c>
      <c r="Q38" s="36">
        <f>AA18-AA19</f>
        <v>0</v>
      </c>
      <c r="R38" s="97" t="e">
        <f>Q38/R6</f>
        <v>#DIV/0!</v>
      </c>
      <c r="S38" s="67" t="s">
        <v>83</v>
      </c>
      <c r="T38" s="2"/>
      <c r="U38" s="12"/>
      <c r="V38" s="38"/>
      <c r="W38" s="36"/>
      <c r="X38" s="97"/>
      <c r="Y38" s="2"/>
      <c r="Z38" s="39">
        <f>COUNTIFS(E:E,"EMERALD 4STEP",D:D,"&gt;0.1379")</f>
        <v>0</v>
      </c>
      <c r="AA38" s="96">
        <f>SUMIFS(D:D,E:E,"=EMERALD 4STEP",D:D,"&gt;0.1379")</f>
        <v>0</v>
      </c>
      <c r="AB38" s="56" t="s">
        <v>36</v>
      </c>
      <c r="AC38" s="145"/>
      <c r="AD38" s="1"/>
      <c r="AE38" s="1"/>
    </row>
    <row r="39" spans="12:31" ht="17" thickBot="1" x14ac:dyDescent="0.25">
      <c r="L39" s="1"/>
      <c r="M39" s="1"/>
      <c r="N39" s="1"/>
      <c r="O39" s="70" t="s">
        <v>84</v>
      </c>
      <c r="P39" s="14">
        <f>Z26-Z27</f>
        <v>0</v>
      </c>
      <c r="Q39" s="36">
        <f>AA26-AA27</f>
        <v>0</v>
      </c>
      <c r="R39" s="97" t="e">
        <f>Q39/R6</f>
        <v>#DIV/0!</v>
      </c>
      <c r="S39" s="71" t="e">
        <f>SUM(R38:R39)</f>
        <v>#DIV/0!</v>
      </c>
      <c r="T39" s="2"/>
      <c r="U39" s="98" t="s">
        <v>30</v>
      </c>
      <c r="V39" s="58">
        <f t="shared" ref="V39:X39" si="9">SUM(V23:V38)</f>
        <v>0</v>
      </c>
      <c r="W39" s="59">
        <f t="shared" si="9"/>
        <v>0</v>
      </c>
      <c r="X39" s="60" t="e">
        <f t="shared" si="9"/>
        <v>#DIV/0!</v>
      </c>
      <c r="Y39" s="2"/>
      <c r="Z39" s="39">
        <f>COUNTIFS(E:E,"HK_PEAR",D:D,"&gt;0.1379")</f>
        <v>0</v>
      </c>
      <c r="AA39" s="96">
        <f>SUMIFS(D:D,E:E,"=HK_PEAR",D:D,"&gt;0.1379")</f>
        <v>0</v>
      </c>
      <c r="AB39" s="56" t="s">
        <v>38</v>
      </c>
      <c r="AC39" s="145"/>
      <c r="AD39" s="1"/>
      <c r="AE39" s="1"/>
    </row>
    <row r="40" spans="12:31" ht="17" thickBot="1" x14ac:dyDescent="0.25">
      <c r="L40" s="1"/>
      <c r="M40" s="1"/>
      <c r="N40" s="1"/>
      <c r="O40" s="70" t="s">
        <v>85</v>
      </c>
      <c r="P40" s="14">
        <f>AD56-AD57</f>
        <v>0</v>
      </c>
      <c r="Q40" s="36">
        <f>AE56-AE57</f>
        <v>0</v>
      </c>
      <c r="R40" s="97" t="e">
        <f>Q40/R6</f>
        <v>#DIV/0!</v>
      </c>
      <c r="S40" s="67" t="s">
        <v>86</v>
      </c>
      <c r="T40" s="2"/>
      <c r="U40" s="2"/>
      <c r="V40" s="2"/>
      <c r="W40" s="2"/>
      <c r="X40" s="2"/>
      <c r="Y40" s="2"/>
      <c r="Z40" s="39">
        <f>COUNTIFS(E:E,"MARQUISE",D:D,"&gt;0.1379")</f>
        <v>0</v>
      </c>
      <c r="AA40" s="96">
        <f>SUMIFS(D:D,E:E,"=MARQUISE",D:D,"&gt;0.1379")</f>
        <v>0</v>
      </c>
      <c r="AB40" s="56" t="s">
        <v>39</v>
      </c>
      <c r="AC40" s="145"/>
      <c r="AD40" s="1"/>
      <c r="AE40" s="1"/>
    </row>
    <row r="41" spans="12:31" ht="17" thickBot="1" x14ac:dyDescent="0.25">
      <c r="L41" s="1"/>
      <c r="M41" s="1"/>
      <c r="N41" s="1"/>
      <c r="O41" s="70" t="s">
        <v>87</v>
      </c>
      <c r="P41" s="14">
        <f>AD60-AD61</f>
        <v>0</v>
      </c>
      <c r="Q41" s="36">
        <f>AE60-AE61</f>
        <v>0</v>
      </c>
      <c r="R41" s="97" t="e">
        <f>Q41/R6</f>
        <v>#DIV/0!</v>
      </c>
      <c r="S41" s="71" t="e">
        <f>SUM(R40:R43)</f>
        <v>#DIV/0!</v>
      </c>
      <c r="T41" s="2"/>
      <c r="U41" s="7" t="s">
        <v>88</v>
      </c>
      <c r="V41" s="99">
        <f>SUM(V42:V54)</f>
        <v>0</v>
      </c>
      <c r="W41" s="100">
        <f>SUM(W42:W54)</f>
        <v>0</v>
      </c>
      <c r="X41" s="101">
        <f>SUM(X42:X54)</f>
        <v>0</v>
      </c>
      <c r="Y41" s="2"/>
      <c r="Z41" s="42">
        <f>COUNTIFS(E:E,"EMERALD 4 STEP",D:D,"&gt;0.1379")</f>
        <v>0</v>
      </c>
      <c r="AA41" s="80">
        <f>SUMIFS(D:D,E:E,"=EMERALD 4 STEP",D:D,"&gt;01379")</f>
        <v>0</v>
      </c>
      <c r="AB41" s="75" t="s">
        <v>40</v>
      </c>
      <c r="AC41" s="146"/>
      <c r="AD41" s="1"/>
      <c r="AE41" s="1"/>
    </row>
    <row r="42" spans="12:31" ht="17" thickBot="1" x14ac:dyDescent="0.25">
      <c r="L42" s="1"/>
      <c r="M42" s="1"/>
      <c r="N42" s="1"/>
      <c r="O42" s="70" t="s">
        <v>89</v>
      </c>
      <c r="P42" s="14">
        <f>AD64-AD65</f>
        <v>0</v>
      </c>
      <c r="Q42" s="36">
        <f>AE64-AE65</f>
        <v>0</v>
      </c>
      <c r="R42" s="97" t="e">
        <f>Q42/R6</f>
        <v>#DIV/0!</v>
      </c>
      <c r="S42" s="102"/>
      <c r="T42" s="2"/>
      <c r="U42" s="10" t="s">
        <v>90</v>
      </c>
      <c r="V42" s="32" t="str">
        <f t="shared" ref="V42:V52" si="10">IF(COUNTIF(G:G,U42)&gt;0,COUNTIF(G:G,U42),"")</f>
        <v/>
      </c>
      <c r="W42" s="30">
        <f t="shared" ref="W42:W52" si="11">SUMIFS(D:D,G:G,U42)</f>
        <v>0</v>
      </c>
      <c r="X42" s="103" t="str">
        <f>IF(W42&gt;0,W42/W41,"")</f>
        <v/>
      </c>
      <c r="Y42" s="2"/>
      <c r="Z42" s="2"/>
      <c r="AA42" s="2"/>
      <c r="AB42" s="2"/>
      <c r="AC42" s="2"/>
      <c r="AD42" s="1"/>
      <c r="AE42" s="1"/>
    </row>
    <row r="43" spans="12:31" ht="17" thickBot="1" x14ac:dyDescent="0.25">
      <c r="L43" s="1"/>
      <c r="M43" s="1"/>
      <c r="N43" s="1"/>
      <c r="O43" s="70" t="s">
        <v>91</v>
      </c>
      <c r="P43" s="51">
        <f>AD68-AD69</f>
        <v>0</v>
      </c>
      <c r="Q43" s="52">
        <f>AE68-AE69</f>
        <v>0</v>
      </c>
      <c r="R43" s="90" t="e">
        <f>Q43/R6</f>
        <v>#DIV/0!</v>
      </c>
      <c r="S43" s="91"/>
      <c r="T43" s="2"/>
      <c r="U43" s="14" t="s">
        <v>92</v>
      </c>
      <c r="V43" s="38" t="str">
        <f t="shared" si="10"/>
        <v/>
      </c>
      <c r="W43" s="36">
        <f t="shared" si="11"/>
        <v>0</v>
      </c>
      <c r="X43" s="104" t="str">
        <f>IF(W43&gt;0,W43/W41,"")</f>
        <v/>
      </c>
      <c r="Y43" s="2"/>
      <c r="Z43" s="105">
        <f>Z22+Z30+Z39</f>
        <v>0</v>
      </c>
      <c r="AA43" s="106">
        <f>AA22+AA30+AA39</f>
        <v>0</v>
      </c>
      <c r="AB43" s="107" t="s">
        <v>38</v>
      </c>
      <c r="AC43" s="108" t="e">
        <f>Z43/Z45</f>
        <v>#DIV/0!</v>
      </c>
      <c r="AD43" s="1"/>
      <c r="AE43" s="1"/>
    </row>
    <row r="44" spans="12:31" ht="17" thickBot="1" x14ac:dyDescent="0.25">
      <c r="L44" s="1"/>
      <c r="M44" s="1"/>
      <c r="N44" s="1"/>
      <c r="O44" s="109" t="s">
        <v>30</v>
      </c>
      <c r="P44" s="110">
        <f t="shared" ref="P44:R44" si="12">SUM(P23:P43)</f>
        <v>0</v>
      </c>
      <c r="Q44" s="59">
        <f t="shared" si="12"/>
        <v>0</v>
      </c>
      <c r="R44" s="60" t="e">
        <f t="shared" si="12"/>
        <v>#DIV/0!</v>
      </c>
      <c r="S44" s="60" t="e">
        <f>S32+S30+S28+S26+S24+S37+S39+S41</f>
        <v>#DIV/0!</v>
      </c>
      <c r="T44" s="2"/>
      <c r="U44" s="14" t="s">
        <v>93</v>
      </c>
      <c r="V44" s="38" t="str">
        <f t="shared" si="10"/>
        <v/>
      </c>
      <c r="W44" s="36">
        <f t="shared" si="11"/>
        <v>0</v>
      </c>
      <c r="X44" s="104" t="str">
        <f>IF(W44&gt;0,W44/W41,"")</f>
        <v/>
      </c>
      <c r="Y44" s="2"/>
      <c r="Z44" s="111">
        <f>Z23+Z31+Z40</f>
        <v>0</v>
      </c>
      <c r="AA44" s="112">
        <f>AA23+AA31+AA40</f>
        <v>0</v>
      </c>
      <c r="AB44" s="44" t="s">
        <v>39</v>
      </c>
      <c r="AC44" s="113" t="e">
        <f>Z44/Z45</f>
        <v>#DIV/0!</v>
      </c>
      <c r="AD44" s="1"/>
      <c r="AE44" s="1"/>
    </row>
    <row r="45" spans="12:31" ht="17" thickBot="1" x14ac:dyDescent="0.25">
      <c r="L45" s="1"/>
      <c r="M45" s="1"/>
      <c r="N45" s="1"/>
      <c r="O45" s="2"/>
      <c r="P45" s="2"/>
      <c r="Q45" s="2"/>
      <c r="R45" s="2"/>
      <c r="S45" s="2"/>
      <c r="T45" s="2"/>
      <c r="U45" s="14" t="s">
        <v>94</v>
      </c>
      <c r="V45" s="38" t="str">
        <f t="shared" si="10"/>
        <v/>
      </c>
      <c r="W45" s="36">
        <f t="shared" si="11"/>
        <v>0</v>
      </c>
      <c r="X45" s="104" t="str">
        <f>IF(W45&gt;0,W45/W41,"")</f>
        <v/>
      </c>
      <c r="Y45" s="2"/>
      <c r="Z45" s="114">
        <f>SUM(Z43:Z44)</f>
        <v>0</v>
      </c>
      <c r="AA45" s="115">
        <f>SUM(AA43:AA44)</f>
        <v>0</v>
      </c>
      <c r="AB45" s="116" t="s">
        <v>30</v>
      </c>
      <c r="AC45" s="2"/>
      <c r="AD45" s="1"/>
      <c r="AE45" s="1"/>
    </row>
    <row r="46" spans="12:31" x14ac:dyDescent="0.2">
      <c r="L46" s="1"/>
      <c r="M46" s="1"/>
      <c r="N46" s="1"/>
      <c r="O46" s="117" t="s">
        <v>95</v>
      </c>
      <c r="P46" s="66" t="s">
        <v>9</v>
      </c>
      <c r="Q46" s="118" t="s">
        <v>96</v>
      </c>
      <c r="R46" s="66" t="s">
        <v>28</v>
      </c>
      <c r="S46" s="67" t="s">
        <v>23</v>
      </c>
      <c r="T46" s="2"/>
      <c r="U46" s="14" t="s">
        <v>97</v>
      </c>
      <c r="V46" s="38" t="str">
        <f t="shared" si="10"/>
        <v/>
      </c>
      <c r="W46" s="36">
        <f t="shared" si="11"/>
        <v>0</v>
      </c>
      <c r="X46" s="104" t="str">
        <f>IF(W46&gt;0,W46/W41,"")</f>
        <v/>
      </c>
      <c r="Y46" s="2"/>
      <c r="Z46" s="2"/>
      <c r="AA46" s="2"/>
      <c r="AB46" s="2"/>
      <c r="AC46" s="2"/>
      <c r="AD46" s="1"/>
      <c r="AE46" s="1"/>
    </row>
    <row r="47" spans="12:31" x14ac:dyDescent="0.2">
      <c r="L47" s="1"/>
      <c r="M47" s="1"/>
      <c r="N47" s="1"/>
      <c r="O47" s="119" t="s">
        <v>0</v>
      </c>
      <c r="P47" s="38">
        <f t="shared" ref="P47:P53" si="13">COUNTIF(E:E,O47)</f>
        <v>0</v>
      </c>
      <c r="Q47" s="36">
        <f t="shared" ref="Q47:Q53" si="14">SUMIF(E:E,O47,C:C)</f>
        <v>0</v>
      </c>
      <c r="R47" s="36">
        <f t="shared" ref="R47:R53" si="15">SUMIF(E:E,O47,D:D)</f>
        <v>0</v>
      </c>
      <c r="S47" s="71" t="e">
        <f>R47/R6</f>
        <v>#DIV/0!</v>
      </c>
      <c r="T47" s="2"/>
      <c r="U47" s="14" t="s">
        <v>98</v>
      </c>
      <c r="V47" s="38" t="str">
        <f t="shared" si="10"/>
        <v/>
      </c>
      <c r="W47" s="36">
        <f t="shared" si="11"/>
        <v>0</v>
      </c>
      <c r="X47" s="104" t="str">
        <f>IF(W47&gt;0,W47/W41,"")</f>
        <v/>
      </c>
      <c r="Y47" s="2"/>
      <c r="Z47" s="120"/>
      <c r="AA47" s="120"/>
      <c r="AB47" s="120" t="s">
        <v>99</v>
      </c>
      <c r="AC47" s="121" t="e">
        <f>R8</f>
        <v>#DIV/0!</v>
      </c>
      <c r="AD47" s="1"/>
      <c r="AE47" s="1"/>
    </row>
    <row r="48" spans="12:31" x14ac:dyDescent="0.2">
      <c r="L48" s="1"/>
      <c r="M48" s="1"/>
      <c r="N48" s="1"/>
      <c r="O48" s="119" t="s">
        <v>100</v>
      </c>
      <c r="P48" s="38">
        <f t="shared" si="13"/>
        <v>0</v>
      </c>
      <c r="Q48" s="36">
        <f t="shared" si="14"/>
        <v>0</v>
      </c>
      <c r="R48" s="36">
        <f t="shared" si="15"/>
        <v>0</v>
      </c>
      <c r="S48" s="71" t="e">
        <f>R48/R6</f>
        <v>#DIV/0!</v>
      </c>
      <c r="T48" s="2"/>
      <c r="U48" s="14" t="s">
        <v>101</v>
      </c>
      <c r="V48" s="38" t="str">
        <f t="shared" si="10"/>
        <v/>
      </c>
      <c r="W48" s="36">
        <f t="shared" si="11"/>
        <v>0</v>
      </c>
      <c r="X48" s="104" t="str">
        <f>IF(W48&gt;0,W48/W41,"")</f>
        <v/>
      </c>
      <c r="Y48" s="2"/>
      <c r="Z48" s="120"/>
      <c r="AA48" s="120"/>
      <c r="AB48" s="120" t="s">
        <v>102</v>
      </c>
      <c r="AC48" s="122" t="e">
        <f>S6</f>
        <v>#DIV/0!</v>
      </c>
      <c r="AD48" s="1"/>
      <c r="AE48" s="1"/>
    </row>
    <row r="49" spans="12:31" x14ac:dyDescent="0.2">
      <c r="L49" s="1"/>
      <c r="M49" s="1"/>
      <c r="N49" s="1"/>
      <c r="O49" s="119" t="s">
        <v>36</v>
      </c>
      <c r="P49" s="38">
        <f t="shared" si="13"/>
        <v>0</v>
      </c>
      <c r="Q49" s="36">
        <f t="shared" si="14"/>
        <v>0</v>
      </c>
      <c r="R49" s="36">
        <f t="shared" si="15"/>
        <v>0</v>
      </c>
      <c r="S49" s="71" t="e">
        <f>R49/R6</f>
        <v>#DIV/0!</v>
      </c>
      <c r="T49" s="2"/>
      <c r="U49" s="14" t="s">
        <v>1</v>
      </c>
      <c r="V49" s="38" t="str">
        <f t="shared" si="10"/>
        <v/>
      </c>
      <c r="W49" s="36">
        <f t="shared" si="11"/>
        <v>0</v>
      </c>
      <c r="X49" s="104" t="str">
        <f>IF(W49&gt;0,W49/W41,"")</f>
        <v/>
      </c>
      <c r="Y49" s="2"/>
      <c r="Z49" s="120"/>
      <c r="AA49" s="120"/>
      <c r="AB49" s="120" t="s">
        <v>103</v>
      </c>
      <c r="AC49" s="122" t="e">
        <f>U6</f>
        <v>#DIV/0!</v>
      </c>
      <c r="AD49" s="1"/>
      <c r="AE49" s="1"/>
    </row>
    <row r="50" spans="12:31" x14ac:dyDescent="0.2">
      <c r="L50" s="1"/>
      <c r="M50" s="1"/>
      <c r="N50" s="1"/>
      <c r="O50" s="119" t="s">
        <v>104</v>
      </c>
      <c r="P50" s="38">
        <f t="shared" si="13"/>
        <v>0</v>
      </c>
      <c r="Q50" s="36">
        <f t="shared" si="14"/>
        <v>0</v>
      </c>
      <c r="R50" s="36">
        <f t="shared" si="15"/>
        <v>0</v>
      </c>
      <c r="S50" s="71" t="e">
        <f>R50/R6</f>
        <v>#DIV/0!</v>
      </c>
      <c r="T50" s="2"/>
      <c r="U50" s="14" t="s">
        <v>105</v>
      </c>
      <c r="V50" s="38" t="str">
        <f t="shared" si="10"/>
        <v/>
      </c>
      <c r="W50" s="36">
        <f t="shared" si="11"/>
        <v>0</v>
      </c>
      <c r="X50" s="104" t="str">
        <f>IF(W50&gt;0,W50/W41,"")</f>
        <v/>
      </c>
      <c r="Y50" s="2"/>
      <c r="Z50" s="120"/>
      <c r="AA50" s="120"/>
      <c r="AB50" s="120"/>
      <c r="AC50" s="122"/>
      <c r="AD50" s="1"/>
      <c r="AE50" s="1"/>
    </row>
    <row r="51" spans="12:31" x14ac:dyDescent="0.2">
      <c r="L51" s="1"/>
      <c r="M51" s="1"/>
      <c r="N51" s="1"/>
      <c r="O51" s="119" t="s">
        <v>106</v>
      </c>
      <c r="P51" s="38">
        <f t="shared" si="13"/>
        <v>0</v>
      </c>
      <c r="Q51" s="36">
        <f t="shared" si="14"/>
        <v>0</v>
      </c>
      <c r="R51" s="36">
        <f t="shared" si="15"/>
        <v>0</v>
      </c>
      <c r="S51" s="71" t="e">
        <f>R51/R6</f>
        <v>#DIV/0!</v>
      </c>
      <c r="T51" s="2"/>
      <c r="U51" s="14" t="s">
        <v>107</v>
      </c>
      <c r="V51" s="38" t="str">
        <f t="shared" si="10"/>
        <v/>
      </c>
      <c r="W51" s="36">
        <f t="shared" si="11"/>
        <v>0</v>
      </c>
      <c r="X51" s="104" t="str">
        <f>IF(W51&gt;0,W51/W41,"")</f>
        <v/>
      </c>
      <c r="Y51" s="2"/>
      <c r="Z51" s="120" t="s">
        <v>108</v>
      </c>
      <c r="AA51" s="120">
        <f>SUMIFS(D:D,D:D,"&lt;=0.999",D:D,"&gt;0.0756")</f>
        <v>0</v>
      </c>
      <c r="AB51" s="120" t="s">
        <v>109</v>
      </c>
      <c r="AC51" s="122"/>
      <c r="AD51" s="1"/>
      <c r="AE51" s="1"/>
    </row>
    <row r="52" spans="12:31" x14ac:dyDescent="0.2">
      <c r="L52" s="1"/>
      <c r="M52" s="1"/>
      <c r="N52" s="1"/>
      <c r="O52" s="119" t="s">
        <v>110</v>
      </c>
      <c r="P52" s="38">
        <f t="shared" si="13"/>
        <v>0</v>
      </c>
      <c r="Q52" s="36">
        <f t="shared" si="14"/>
        <v>0</v>
      </c>
      <c r="R52" s="36">
        <f t="shared" si="15"/>
        <v>0</v>
      </c>
      <c r="S52" s="71" t="e">
        <f>R52/R6</f>
        <v>#DIV/0!</v>
      </c>
      <c r="T52" s="2"/>
      <c r="U52" s="14" t="s">
        <v>111</v>
      </c>
      <c r="V52" s="38" t="str">
        <f t="shared" si="10"/>
        <v/>
      </c>
      <c r="W52" s="36">
        <f t="shared" si="11"/>
        <v>0</v>
      </c>
      <c r="X52" s="104" t="str">
        <f>IF(W52&gt;0,W52/W41,"")</f>
        <v/>
      </c>
      <c r="Y52" s="2"/>
      <c r="Z52" s="120"/>
      <c r="AA52" s="123">
        <f>SUMIFS(D:D,E:E,"=ROUND",D:D,"&gt;0.0759")</f>
        <v>0</v>
      </c>
      <c r="AB52" s="120" t="s">
        <v>112</v>
      </c>
      <c r="AC52" s="122" t="e">
        <f>AA52/R47</f>
        <v>#DIV/0!</v>
      </c>
      <c r="AD52" s="1"/>
      <c r="AE52" s="1"/>
    </row>
    <row r="53" spans="12:31" x14ac:dyDescent="0.2">
      <c r="L53" s="1"/>
      <c r="M53" s="1"/>
      <c r="N53" s="1"/>
      <c r="O53" s="124" t="s">
        <v>113</v>
      </c>
      <c r="P53" s="38">
        <f t="shared" si="13"/>
        <v>0</v>
      </c>
      <c r="Q53" s="36">
        <f t="shared" si="14"/>
        <v>0</v>
      </c>
      <c r="R53" s="36">
        <f t="shared" si="15"/>
        <v>0</v>
      </c>
      <c r="S53" s="71" t="e">
        <f>R53/R6</f>
        <v>#DIV/0!</v>
      </c>
      <c r="T53" s="2"/>
      <c r="U53" s="19"/>
      <c r="V53" s="125"/>
      <c r="W53" s="126"/>
      <c r="X53" s="127"/>
      <c r="Y53" s="2"/>
      <c r="Z53" s="120"/>
      <c r="AA53" s="123"/>
      <c r="AB53" s="120" t="s">
        <v>114</v>
      </c>
      <c r="AC53" s="122" t="e">
        <f>SUM(S48:S53)</f>
        <v>#DIV/0!</v>
      </c>
      <c r="AD53" s="1"/>
      <c r="AE53" s="1"/>
    </row>
    <row r="54" spans="12:31" ht="17" thickBot="1" x14ac:dyDescent="0.25">
      <c r="L54" s="1"/>
      <c r="M54" s="1"/>
      <c r="N54" s="1"/>
      <c r="O54" s="128" t="s">
        <v>30</v>
      </c>
      <c r="P54" s="110">
        <f>SUM(P47:P53)</f>
        <v>0</v>
      </c>
      <c r="Q54" s="129">
        <f>SUM(Q47:Q53)</f>
        <v>0</v>
      </c>
      <c r="R54" s="59">
        <f>SUM(R47:R53)</f>
        <v>0</v>
      </c>
      <c r="S54" s="60" t="e">
        <f>SUM(S47:S53)</f>
        <v>#DIV/0!</v>
      </c>
      <c r="T54" s="2"/>
      <c r="U54" s="51" t="s">
        <v>115</v>
      </c>
      <c r="V54" s="55" t="str">
        <f>IF(COUNTIF(G:G,U54)&gt;0,COUNTIF(G:G,U54),"")</f>
        <v/>
      </c>
      <c r="W54" s="52">
        <f>SUMIFS(D:D,G:G,U54)</f>
        <v>0</v>
      </c>
      <c r="X54" s="130" t="str">
        <f>IF(W54&gt;0,W54/W41,"")</f>
        <v/>
      </c>
      <c r="Y54" s="2"/>
      <c r="Z54" s="120"/>
      <c r="AA54" s="120"/>
      <c r="AB54" s="120" t="s">
        <v>116</v>
      </c>
      <c r="AC54" s="131" t="e">
        <f>O8</f>
        <v>#DIV/0!</v>
      </c>
      <c r="AD54" s="1"/>
      <c r="AE54" s="1"/>
    </row>
    <row r="55" spans="12:31" x14ac:dyDescent="0.2">
      <c r="L55" s="1"/>
      <c r="M55" s="1"/>
      <c r="N55" s="1"/>
      <c r="O55" s="2"/>
      <c r="P55" s="2"/>
      <c r="Q55" s="132"/>
      <c r="R55" s="2"/>
      <c r="S55" s="2"/>
      <c r="T55" s="2"/>
      <c r="U55" s="2"/>
      <c r="V55" s="2"/>
      <c r="W55" s="2"/>
      <c r="X55" s="2"/>
      <c r="Y55" s="2"/>
      <c r="Z55" s="120"/>
      <c r="AA55" s="120"/>
      <c r="AB55" s="120" t="s">
        <v>117</v>
      </c>
      <c r="AC55" s="120">
        <f>O6</f>
        <v>0</v>
      </c>
      <c r="AD55" s="1"/>
      <c r="AE55" s="1"/>
    </row>
    <row r="56" spans="12:31" x14ac:dyDescent="0.2">
      <c r="L56" s="1"/>
      <c r="M56" s="1"/>
      <c r="N56" s="1"/>
      <c r="O56" s="2"/>
      <c r="P56" s="2"/>
      <c r="Q56" s="2"/>
      <c r="R56" s="2"/>
      <c r="S56" s="133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1"/>
    </row>
    <row r="57" spans="12:31" x14ac:dyDescent="0.2">
      <c r="L57" s="1"/>
      <c r="M57" s="1"/>
      <c r="N57" s="1"/>
      <c r="O57" s="2"/>
      <c r="P57" s="2"/>
      <c r="Q57" s="2"/>
      <c r="R57" s="134"/>
      <c r="S57" s="133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1"/>
    </row>
    <row r="58" spans="12:31" x14ac:dyDescent="0.2">
      <c r="L58" s="1"/>
      <c r="M58" s="1"/>
      <c r="N58" s="1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1"/>
    </row>
    <row r="59" spans="12:31" x14ac:dyDescent="0.2">
      <c r="L59" s="1"/>
      <c r="M59" s="1"/>
      <c r="N59" s="1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1"/>
    </row>
    <row r="60" spans="12:31" x14ac:dyDescent="0.2">
      <c r="L60" s="1"/>
      <c r="M60" s="1"/>
      <c r="N60" s="1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1"/>
    </row>
  </sheetData>
  <mergeCells count="6">
    <mergeCell ref="AC35:AC41"/>
    <mergeCell ref="R3:S3"/>
    <mergeCell ref="O4:R4"/>
    <mergeCell ref="AC9:AC15"/>
    <mergeCell ref="AC18:AC24"/>
    <mergeCell ref="AC26:AC32"/>
  </mergeCells>
  <conditionalFormatting sqref="U8:V8">
    <cfRule type="cellIs" dxfId="57" priority="58" operator="equal">
      <formula>912971.6</formula>
    </cfRule>
  </conditionalFormatting>
  <conditionalFormatting sqref="Q21 R47 Q23 R54">
    <cfRule type="cellIs" dxfId="56" priority="36" operator="equal">
      <formula>$R$6</formula>
    </cfRule>
  </conditionalFormatting>
  <conditionalFormatting sqref="S21">
    <cfRule type="cellIs" dxfId="55" priority="35" operator="equal">
      <formula>$P$24+$P$23</formula>
    </cfRule>
  </conditionalFormatting>
  <conditionalFormatting sqref="U21">
    <cfRule type="cellIs" dxfId="54" priority="4" operator="equal">
      <formula>$V$8</formula>
    </cfRule>
    <cfRule type="cellIs" dxfId="53" priority="30" operator="equal">
      <formula>$U$7</formula>
    </cfRule>
  </conditionalFormatting>
  <conditionalFormatting sqref="Q24 R55 R48 Q22 Q49">
    <cfRule type="cellIs" dxfId="52" priority="17" operator="equal">
      <formula>$R$7</formula>
    </cfRule>
  </conditionalFormatting>
  <conditionalFormatting sqref="S22">
    <cfRule type="cellIs" dxfId="51" priority="16" operator="equal">
      <formula>$P$25+$P$24</formula>
    </cfRule>
    <cfRule type="cellIs" dxfId="50" priority="57" operator="equal">
      <formula>$P$25+$P$24</formula>
    </cfRule>
  </conditionalFormatting>
  <conditionalFormatting sqref="U22">
    <cfRule type="cellIs" dxfId="49" priority="5" operator="equal">
      <formula>#REF!</formula>
    </cfRule>
    <cfRule type="cellIs" dxfId="48" priority="10" operator="equal">
      <formula>$V$9</formula>
    </cfRule>
    <cfRule type="cellIs" dxfId="47" priority="38" operator="equal">
      <formula>$V$8</formula>
    </cfRule>
    <cfRule type="cellIs" dxfId="46" priority="56" operator="equal">
      <formula>$U$8</formula>
    </cfRule>
  </conditionalFormatting>
  <conditionalFormatting sqref="S23">
    <cfRule type="cellIs" dxfId="45" priority="46" operator="equal">
      <formula>$P$26+$P$25</formula>
    </cfRule>
  </conditionalFormatting>
  <conditionalFormatting sqref="U23">
    <cfRule type="cellIs" dxfId="44" priority="11" operator="equal">
      <formula>#REF!</formula>
    </cfRule>
    <cfRule type="cellIs" dxfId="43" priority="27" operator="equal">
      <formula>$U$9</formula>
    </cfRule>
  </conditionalFormatting>
  <conditionalFormatting sqref="S24">
    <cfRule type="cellIs" dxfId="42" priority="21" operator="equal">
      <formula>$P$27+$P$26</formula>
    </cfRule>
  </conditionalFormatting>
  <conditionalFormatting sqref="V36">
    <cfRule type="cellIs" dxfId="41" priority="1" operator="equal">
      <formula>$P$42</formula>
    </cfRule>
    <cfRule type="cellIs" dxfId="40" priority="2" operator="equal">
      <formula>$P$43</formula>
    </cfRule>
    <cfRule type="cellIs" dxfId="39" priority="3" operator="equal">
      <formula>$P$43</formula>
    </cfRule>
  </conditionalFormatting>
  <conditionalFormatting sqref="V37">
    <cfRule type="cellIs" dxfId="38" priority="8" operator="equal">
      <formula>$P$44</formula>
    </cfRule>
    <cfRule type="cellIs" dxfId="37" priority="9" operator="equal">
      <formula>$P$44</formula>
    </cfRule>
  </conditionalFormatting>
  <conditionalFormatting sqref="V41">
    <cfRule type="cellIs" dxfId="36" priority="39" operator="equal">
      <formula>$P$37</formula>
    </cfRule>
  </conditionalFormatting>
  <conditionalFormatting sqref="V42">
    <cfRule type="cellIs" dxfId="35" priority="12" operator="equal">
      <formula>$P$45</formula>
    </cfRule>
  </conditionalFormatting>
  <conditionalFormatting sqref="Q45 W44:W45 Q33 W39:W40">
    <cfRule type="cellIs" dxfId="34" priority="14" operator="equal">
      <formula>$R$7</formula>
    </cfRule>
    <cfRule type="cellIs" dxfId="33" priority="15" operator="equal">
      <formula>44.01+$R$7</formula>
    </cfRule>
  </conditionalFormatting>
  <conditionalFormatting sqref="R45">
    <cfRule type="cellIs" dxfId="32" priority="32" operator="equal">
      <formula>$O$6</formula>
    </cfRule>
  </conditionalFormatting>
  <conditionalFormatting sqref="V45">
    <cfRule type="cellIs" dxfId="31" priority="6" operator="equal">
      <formula>$P$38</formula>
    </cfRule>
  </conditionalFormatting>
  <conditionalFormatting sqref="V46">
    <cfRule type="cellIs" dxfId="30" priority="19" operator="equal">
      <formula>$P$39</formula>
    </cfRule>
    <cfRule type="cellIs" dxfId="29" priority="26" operator="equal">
      <formula>$P$34</formula>
    </cfRule>
  </conditionalFormatting>
  <conditionalFormatting sqref="W46">
    <cfRule type="cellIs" dxfId="28" priority="20" operator="equal">
      <formula>$Q$24</formula>
    </cfRule>
  </conditionalFormatting>
  <conditionalFormatting sqref="P47">
    <cfRule type="cellIs" dxfId="27" priority="53" operator="equal">
      <formula>$Q$7</formula>
    </cfRule>
  </conditionalFormatting>
  <conditionalFormatting sqref="R47">
    <cfRule type="cellIs" dxfId="26" priority="52" operator="equal">
      <formula>$O$7</formula>
    </cfRule>
  </conditionalFormatting>
  <conditionalFormatting sqref="Q43:Q44 Q37:Q38 W39:W40">
    <cfRule type="cellIs" dxfId="25" priority="33" operator="equal">
      <formula>$R$6</formula>
    </cfRule>
    <cfRule type="cellIs" dxfId="24" priority="34" operator="equal">
      <formula>44.01+$R$6</formula>
    </cfRule>
  </conditionalFormatting>
  <conditionalFormatting sqref="R51:R53">
    <cfRule type="cellIs" dxfId="23" priority="43" operator="equal">
      <formula>$O$6</formula>
    </cfRule>
  </conditionalFormatting>
  <conditionalFormatting sqref="V36:V37">
    <cfRule type="cellIs" dxfId="22" priority="28" operator="equal">
      <formula>$P$43</formula>
    </cfRule>
  </conditionalFormatting>
  <conditionalFormatting sqref="U4:W7 U10:X22 V8:W9 X4:X9 S10:S60 P10:Q60 R10:R55 R57:R60 V23:X37 U38:X55 U37 AB53">
    <cfRule type="cellIs" dxfId="21" priority="51" operator="equal">
      <formula>0</formula>
    </cfRule>
  </conditionalFormatting>
  <conditionalFormatting sqref="V7 W8 P43:P44 P21 V44 P47 P37:P38 P23 P54 V39:V40">
    <cfRule type="cellIs" dxfId="20" priority="37" operator="equal">
      <formula>$Q$6</formula>
    </cfRule>
  </conditionalFormatting>
  <conditionalFormatting sqref="U7 V8:V9">
    <cfRule type="cellIs" dxfId="19" priority="31" operator="equal">
      <formula>912971.6</formula>
    </cfRule>
  </conditionalFormatting>
  <conditionalFormatting sqref="P57 V8 P39 P24 P55 V44:V45 P33 P48:P49 V39:V40 P45 P22">
    <cfRule type="cellIs" dxfId="18" priority="50" operator="equal">
      <formula>$Q$7</formula>
    </cfRule>
  </conditionalFormatting>
  <conditionalFormatting sqref="W8">
    <cfRule type="cellIs" dxfId="17" priority="42" operator="equal">
      <formula>$Q$6</formula>
    </cfRule>
  </conditionalFormatting>
  <conditionalFormatting sqref="W9">
    <cfRule type="cellIs" dxfId="16" priority="18" operator="equal">
      <formula>$Q$7</formula>
    </cfRule>
  </conditionalFormatting>
  <conditionalFormatting sqref="Q57">
    <cfRule type="cellIs" dxfId="15" priority="49" operator="equal">
      <formula>$R$7</formula>
    </cfRule>
  </conditionalFormatting>
  <conditionalFormatting sqref="V45 P34 P23 P50 V40">
    <cfRule type="cellIs" dxfId="14" priority="25" operator="equal">
      <formula>$Q$8</formula>
    </cfRule>
  </conditionalFormatting>
  <conditionalFormatting sqref="Q23 Q50">
    <cfRule type="cellIs" dxfId="13" priority="24" operator="equal">
      <formula>$R$8</formula>
    </cfRule>
  </conditionalFormatting>
  <conditionalFormatting sqref="Q39">
    <cfRule type="cellIs" dxfId="12" priority="47" operator="equal">
      <formula>$R$7</formula>
    </cfRule>
    <cfRule type="cellIs" dxfId="11" priority="48" operator="equal">
      <formula>44.01+$R$7</formula>
    </cfRule>
  </conditionalFormatting>
  <conditionalFormatting sqref="W45 Q34 W40">
    <cfRule type="cellIs" dxfId="10" priority="22" operator="equal">
      <formula>$R$8</formula>
    </cfRule>
    <cfRule type="cellIs" dxfId="9" priority="23" operator="equal">
      <formula>44.01+$R$8</formula>
    </cfRule>
  </conditionalFormatting>
  <conditionalFormatting sqref="W41 W36:W37">
    <cfRule type="cellIs" dxfId="8" priority="29" operator="equal">
      <formula>$Q$21</formula>
    </cfRule>
  </conditionalFormatting>
  <conditionalFormatting sqref="W44">
    <cfRule type="cellIs" dxfId="7" priority="40" operator="equal">
      <formula>$R$6</formula>
    </cfRule>
    <cfRule type="cellIs" dxfId="6" priority="41" operator="equal">
      <formula>44.01+$R$6</formula>
    </cfRule>
  </conditionalFormatting>
  <conditionalFormatting sqref="V37 V41">
    <cfRule type="cellIs" dxfId="5" priority="7" operator="equal">
      <formula>$P$44</formula>
    </cfRule>
  </conditionalFormatting>
  <conditionalFormatting sqref="W42 W37 W45">
    <cfRule type="cellIs" dxfId="4" priority="13" operator="equal">
      <formula>$Q$22</formula>
    </cfRule>
  </conditionalFormatting>
  <conditionalFormatting sqref="V41 V45">
    <cfRule type="cellIs" dxfId="3" priority="55" operator="equal">
      <formula>$P$33</formula>
    </cfRule>
  </conditionalFormatting>
  <conditionalFormatting sqref="W41">
    <cfRule type="cellIs" dxfId="2" priority="54" operator="equal">
      <formula>$Q$22</formula>
    </cfRule>
  </conditionalFormatting>
  <conditionalFormatting sqref="W41 W45:W46">
    <cfRule type="cellIs" dxfId="1" priority="45" operator="equal">
      <formula>$Q$23</formula>
    </cfRule>
  </conditionalFormatting>
  <conditionalFormatting sqref="P51:P52 P45">
    <cfRule type="cellIs" dxfId="0" priority="44" operator="equal">
      <formula>$Q$6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2021-12-24T11:44:17Z</dcterms:created>
  <dcterms:modified xsi:type="dcterms:W3CDTF">2021-12-24T12:09:34Z</dcterms:modified>
</cp:coreProperties>
</file>