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190C7E-F490-4AE7-9929-21F14DA19BB7}" xr6:coauthVersionLast="47" xr6:coauthVersionMax="47" xr10:uidLastSave="{00000000-0000-0000-0000-000000000000}"/>
  <bookViews>
    <workbookView xWindow="-110" yWindow="-110" windowWidth="19420" windowHeight="11020" activeTab="8" xr2:uid="{00000000-000D-0000-FFFF-FFFF00000000}"/>
  </bookViews>
  <sheets>
    <sheet name="Valuation " sheetId="1" r:id="rId1"/>
    <sheet name="Output" sheetId="2" r:id="rId2"/>
    <sheet name="Input" sheetId="3" r:id="rId3"/>
    <sheet name="Ford" sheetId="4" r:id="rId4"/>
    <sheet name="LIauto" sheetId="6" r:id="rId5"/>
    <sheet name="NIO" sheetId="7" r:id="rId6"/>
    <sheet name="GM" sheetId="9" r:id="rId7"/>
    <sheet name="ferrari" sheetId="10" r:id="rId8"/>
    <sheet name="Stellantis" sheetId="11" r:id="rId9"/>
  </sheets>
  <calcPr calcId="191029"/>
</workbook>
</file>

<file path=xl/calcChain.xml><?xml version="1.0" encoding="utf-8"?>
<calcChain xmlns="http://schemas.openxmlformats.org/spreadsheetml/2006/main">
  <c r="I76" i="11" l="1"/>
  <c r="J76" i="11"/>
  <c r="H76" i="11"/>
  <c r="J73" i="11"/>
  <c r="I73" i="11"/>
  <c r="H73" i="11"/>
  <c r="J70" i="11"/>
  <c r="I70" i="11"/>
  <c r="H70" i="11"/>
  <c r="J67" i="11"/>
  <c r="I67" i="11"/>
  <c r="H67" i="11"/>
  <c r="J64" i="11"/>
  <c r="I64" i="11"/>
  <c r="H64" i="11"/>
  <c r="J63" i="11"/>
  <c r="I63" i="11"/>
  <c r="H63" i="11"/>
  <c r="J62" i="11"/>
  <c r="I62" i="11"/>
  <c r="H62" i="11"/>
  <c r="J61" i="11"/>
  <c r="I61" i="11"/>
  <c r="H61" i="11"/>
  <c r="J59" i="11"/>
  <c r="I59" i="11"/>
  <c r="H59" i="11"/>
  <c r="F29" i="11"/>
  <c r="F27" i="11"/>
  <c r="E24" i="11"/>
  <c r="C15" i="11"/>
  <c r="C15" i="10"/>
  <c r="E24" i="6"/>
  <c r="F29" i="6"/>
  <c r="N7" i="1"/>
  <c r="J8" i="1"/>
  <c r="J9" i="1"/>
  <c r="J7" i="1"/>
  <c r="H8" i="1"/>
  <c r="H9" i="1"/>
  <c r="H7" i="1"/>
  <c r="K2" i="1"/>
  <c r="C45" i="1"/>
  <c r="C44" i="1"/>
  <c r="I77" i="7"/>
  <c r="J77" i="7"/>
  <c r="H77" i="7"/>
  <c r="I74" i="7"/>
  <c r="J74" i="7"/>
  <c r="H74" i="7"/>
  <c r="F16" i="2"/>
  <c r="I65" i="6" l="1"/>
  <c r="J65" i="6"/>
  <c r="H65" i="6"/>
  <c r="J59" i="6"/>
  <c r="I59" i="6"/>
  <c r="H59" i="6"/>
  <c r="J61" i="6"/>
  <c r="I61" i="6"/>
  <c r="H61" i="6"/>
  <c r="J63" i="6"/>
  <c r="I63" i="6"/>
  <c r="H63" i="6"/>
  <c r="J67" i="6"/>
  <c r="I67" i="6"/>
  <c r="H67" i="6"/>
  <c r="J72" i="6"/>
  <c r="I73" i="6"/>
  <c r="I72" i="6"/>
  <c r="J73" i="6"/>
  <c r="H73" i="6"/>
  <c r="H72" i="6"/>
  <c r="J74" i="6"/>
  <c r="I74" i="6"/>
  <c r="H74" i="6"/>
  <c r="H77" i="6"/>
  <c r="J76" i="6"/>
  <c r="I76" i="6"/>
  <c r="H76" i="6"/>
  <c r="B41" i="6"/>
  <c r="F31" i="6"/>
  <c r="F19" i="6"/>
  <c r="D17" i="6"/>
  <c r="D16" i="6"/>
  <c r="C16" i="6"/>
  <c r="F9" i="6"/>
  <c r="F8" i="6"/>
  <c r="F6" i="6"/>
  <c r="H72" i="10"/>
  <c r="H74" i="10" s="1"/>
  <c r="H72" i="9"/>
  <c r="H74" i="11"/>
  <c r="F27" i="4"/>
  <c r="H59" i="10"/>
  <c r="J74" i="10"/>
  <c r="I74" i="10"/>
  <c r="J72" i="10"/>
  <c r="I72" i="10"/>
  <c r="K68" i="10"/>
  <c r="J68" i="10"/>
  <c r="I68" i="10"/>
  <c r="H68" i="10"/>
  <c r="J65" i="10"/>
  <c r="I65" i="10"/>
  <c r="H65" i="10"/>
  <c r="K65" i="10" s="1"/>
  <c r="J64" i="10"/>
  <c r="I64" i="10"/>
  <c r="H64" i="10"/>
  <c r="K63" i="10"/>
  <c r="K61" i="10"/>
  <c r="J61" i="10"/>
  <c r="I61" i="10"/>
  <c r="H61" i="10"/>
  <c r="K59" i="10"/>
  <c r="J59" i="10"/>
  <c r="I59" i="10"/>
  <c r="D40" i="10"/>
  <c r="E40" i="10" s="1"/>
  <c r="H40" i="10" s="1"/>
  <c r="F19" i="10"/>
  <c r="C16" i="10"/>
  <c r="F9" i="10"/>
  <c r="F8" i="10"/>
  <c r="F6" i="10"/>
  <c r="K72" i="10" l="1"/>
  <c r="K74" i="10"/>
  <c r="B40" i="11"/>
  <c r="I68" i="11"/>
  <c r="J68" i="11"/>
  <c r="H68" i="11"/>
  <c r="I65" i="11"/>
  <c r="J65" i="11"/>
  <c r="H65" i="11"/>
  <c r="I74" i="11"/>
  <c r="J74" i="11"/>
  <c r="C16" i="11"/>
  <c r="F31" i="11"/>
  <c r="P77" i="11"/>
  <c r="K77" i="11"/>
  <c r="P74" i="11"/>
  <c r="K67" i="11"/>
  <c r="P63" i="11"/>
  <c r="K63" i="11"/>
  <c r="K61" i="11"/>
  <c r="P59" i="11"/>
  <c r="K59" i="11"/>
  <c r="M58" i="11"/>
  <c r="N58" i="11" s="1"/>
  <c r="D40" i="11"/>
  <c r="E40" i="11" s="1"/>
  <c r="F23" i="11"/>
  <c r="F20" i="11"/>
  <c r="F9" i="11"/>
  <c r="F8" i="11"/>
  <c r="F6" i="11"/>
  <c r="A2" i="11"/>
  <c r="P74" i="10"/>
  <c r="P65" i="10"/>
  <c r="P63" i="10"/>
  <c r="P59" i="10"/>
  <c r="F23" i="10"/>
  <c r="F20" i="10"/>
  <c r="A2" i="10"/>
  <c r="H74" i="9"/>
  <c r="I65" i="7"/>
  <c r="J65" i="7"/>
  <c r="H65" i="7"/>
  <c r="H65" i="9"/>
  <c r="H68" i="9"/>
  <c r="F40" i="9"/>
  <c r="G40" i="9" s="1"/>
  <c r="D40" i="9"/>
  <c r="E40" i="9" s="1"/>
  <c r="C16" i="9"/>
  <c r="F9" i="9"/>
  <c r="F8" i="9"/>
  <c r="F6" i="9"/>
  <c r="K72" i="7"/>
  <c r="H77" i="4"/>
  <c r="H68" i="4"/>
  <c r="K67" i="4"/>
  <c r="K63" i="4"/>
  <c r="K61" i="4"/>
  <c r="H74" i="4"/>
  <c r="H65" i="4"/>
  <c r="K65" i="4" s="1"/>
  <c r="D40" i="4"/>
  <c r="E40" i="4" s="1"/>
  <c r="H40" i="4" s="1"/>
  <c r="K65" i="11" l="1"/>
  <c r="P65" i="11"/>
  <c r="F40" i="11"/>
  <c r="G40" i="11" s="1"/>
  <c r="H40" i="11" s="1"/>
  <c r="H45" i="11" s="1"/>
  <c r="C17" i="11" s="1"/>
  <c r="K74" i="11"/>
  <c r="H45" i="10"/>
  <c r="C17" i="10" s="1"/>
  <c r="F17" i="10" s="1"/>
  <c r="H40" i="9"/>
  <c r="C18" i="11" l="1"/>
  <c r="F18" i="11" s="1"/>
  <c r="F17" i="11"/>
  <c r="C18" i="10"/>
  <c r="F18" i="10" s="1"/>
  <c r="F30" i="10" s="1"/>
  <c r="I63" i="7"/>
  <c r="J63" i="7"/>
  <c r="H63" i="7"/>
  <c r="B41" i="7"/>
  <c r="B40" i="7"/>
  <c r="D41" i="7"/>
  <c r="E41" i="7" s="1"/>
  <c r="F41" i="7" s="1"/>
  <c r="E40" i="7"/>
  <c r="H40" i="7" s="1"/>
  <c r="D40" i="7"/>
  <c r="F19" i="7"/>
  <c r="E24" i="7"/>
  <c r="F31" i="7"/>
  <c r="F29" i="7"/>
  <c r="E18" i="7"/>
  <c r="E15" i="7"/>
  <c r="E17" i="7"/>
  <c r="E16" i="7"/>
  <c r="C16" i="7"/>
  <c r="F9" i="7"/>
  <c r="F8" i="7"/>
  <c r="F6" i="7"/>
  <c r="F33" i="11" l="1"/>
  <c r="F30" i="11"/>
  <c r="F32" i="11" s="1"/>
  <c r="F33" i="10"/>
  <c r="F32" i="10"/>
  <c r="G41" i="7"/>
  <c r="H41" i="7" s="1"/>
  <c r="D17" i="4" l="1"/>
  <c r="K67" i="3"/>
  <c r="K60" i="3"/>
  <c r="K61" i="3"/>
  <c r="K59" i="3"/>
  <c r="F33" i="3"/>
  <c r="E24" i="4" l="1"/>
  <c r="D18" i="4"/>
  <c r="D16" i="4"/>
  <c r="C16" i="4"/>
  <c r="D15" i="4"/>
  <c r="F9" i="4"/>
  <c r="F8" i="4"/>
  <c r="F6" i="4"/>
  <c r="C17" i="3"/>
  <c r="F32" i="3" l="1"/>
  <c r="F30" i="3" l="1"/>
  <c r="F23" i="3"/>
  <c r="E24" i="3"/>
  <c r="F18" i="3"/>
  <c r="C18" i="3"/>
  <c r="C16" i="3"/>
  <c r="F9" i="3"/>
  <c r="F8" i="3"/>
  <c r="F6" i="3"/>
  <c r="B9" i="1"/>
  <c r="B8" i="1"/>
  <c r="B7" i="1"/>
  <c r="K27" i="1"/>
  <c r="K26" i="1"/>
  <c r="K25" i="1"/>
  <c r="K18" i="1"/>
  <c r="K17" i="1"/>
  <c r="K16" i="1"/>
  <c r="I52" i="1" l="1"/>
  <c r="H25" i="1" l="1"/>
  <c r="H26" i="1" s="1"/>
  <c r="H27" i="1" s="1"/>
  <c r="I25" i="1"/>
  <c r="I26" i="1" s="1"/>
  <c r="I27" i="1" s="1"/>
  <c r="J25" i="1"/>
  <c r="J26" i="1" s="1"/>
  <c r="J27" i="1" s="1"/>
  <c r="G25" i="1"/>
  <c r="G26" i="1" s="1"/>
  <c r="G27" i="1" s="1"/>
  <c r="H16" i="1"/>
  <c r="H17" i="1" s="1"/>
  <c r="H18" i="1" s="1"/>
  <c r="I16" i="1"/>
  <c r="I17" i="1" s="1"/>
  <c r="I18" i="1" s="1"/>
  <c r="J16" i="1"/>
  <c r="J17" i="1" s="1"/>
  <c r="J18" i="1" s="1"/>
  <c r="G16" i="1"/>
  <c r="G17" i="1" s="1"/>
  <c r="G18" i="1" s="1"/>
  <c r="H2" i="1" a="1"/>
  <c r="H2" i="1" s="1"/>
  <c r="B27" i="1"/>
  <c r="B26" i="1"/>
  <c r="B25" i="1"/>
  <c r="B18" i="1"/>
  <c r="B17" i="1"/>
  <c r="B16" i="1"/>
  <c r="K67" i="9" l="1"/>
  <c r="P63" i="9"/>
  <c r="K61" i="9"/>
  <c r="M58" i="9"/>
  <c r="N58" i="9" s="1"/>
  <c r="F23" i="9"/>
  <c r="F20" i="9"/>
  <c r="A2" i="9"/>
  <c r="K67" i="7"/>
  <c r="K61" i="7"/>
  <c r="P59" i="7"/>
  <c r="K59" i="7"/>
  <c r="M58" i="7"/>
  <c r="N58" i="7" s="1"/>
  <c r="F23" i="7"/>
  <c r="F20" i="7"/>
  <c r="A2" i="7"/>
  <c r="K67" i="6"/>
  <c r="I77" i="6"/>
  <c r="K61" i="6"/>
  <c r="P59" i="6"/>
  <c r="K59" i="6"/>
  <c r="M58" i="6"/>
  <c r="N58" i="6" s="1"/>
  <c r="D41" i="6"/>
  <c r="D40" i="6"/>
  <c r="E40" i="6" s="1"/>
  <c r="F23" i="6"/>
  <c r="F20" i="6"/>
  <c r="D18" i="6"/>
  <c r="A2" i="6"/>
  <c r="P59" i="4"/>
  <c r="K59" i="4"/>
  <c r="G41" i="4"/>
  <c r="F23" i="4"/>
  <c r="A2" i="4"/>
  <c r="A2" i="3"/>
  <c r="F53" i="1"/>
  <c r="G53" i="1" s="1"/>
  <c r="F52" i="1"/>
  <c r="G52" i="1" s="1"/>
  <c r="B14" i="2" a="1"/>
  <c r="B15" i="2" a="1"/>
  <c r="B16" i="2" a="1"/>
  <c r="E41" i="6" l="1"/>
  <c r="F41" i="6" s="1"/>
  <c r="G41" i="6" s="1"/>
  <c r="H41" i="6" s="1"/>
  <c r="B15" i="2"/>
  <c r="B16" i="2"/>
  <c r="B14" i="2"/>
  <c r="P74" i="9"/>
  <c r="K63" i="9"/>
  <c r="H53" i="1"/>
  <c r="F40" i="6"/>
  <c r="G40" i="6" s="1"/>
  <c r="H40" i="6" s="1"/>
  <c r="H45" i="7"/>
  <c r="C17" i="7" s="1"/>
  <c r="P63" i="4"/>
  <c r="P65" i="4"/>
  <c r="H41" i="4"/>
  <c r="H52" i="1"/>
  <c r="J77" i="6"/>
  <c r="E16" i="2" a="1"/>
  <c r="E15" i="2" a="1"/>
  <c r="U14" i="2" a="1"/>
  <c r="H45" i="6" l="1"/>
  <c r="C18" i="7"/>
  <c r="F18" i="7" s="1"/>
  <c r="F30" i="7" s="1"/>
  <c r="F32" i="7" s="1"/>
  <c r="F17" i="7"/>
  <c r="U14" i="2"/>
  <c r="E16" i="2"/>
  <c r="E15" i="2"/>
  <c r="H45" i="9"/>
  <c r="H54" i="1"/>
  <c r="N8" i="1" s="1"/>
  <c r="J52" i="1"/>
  <c r="K77" i="9"/>
  <c r="K74" i="9"/>
  <c r="K74" i="4"/>
  <c r="P74" i="4"/>
  <c r="P77" i="9"/>
  <c r="H45" i="4"/>
  <c r="C17" i="4" s="1"/>
  <c r="K65" i="9"/>
  <c r="P65" i="9"/>
  <c r="P63" i="7"/>
  <c r="K63" i="7"/>
  <c r="P63" i="6"/>
  <c r="K63" i="6"/>
  <c r="E18" i="2" a="1"/>
  <c r="E17" i="2" a="1"/>
  <c r="D15" i="2" a="1"/>
  <c r="D16" i="2" a="1"/>
  <c r="D18" i="2" a="1"/>
  <c r="E14" i="2" a="1"/>
  <c r="U18" i="2" a="1"/>
  <c r="F17" i="2" a="1"/>
  <c r="D17" i="2" a="1"/>
  <c r="C17" i="6" l="1"/>
  <c r="C18" i="6" s="1"/>
  <c r="F18" i="6" s="1"/>
  <c r="C17" i="9"/>
  <c r="F17" i="4"/>
  <c r="C18" i="4"/>
  <c r="F18" i="4" s="1"/>
  <c r="F33" i="7"/>
  <c r="K74" i="7"/>
  <c r="N27" i="1"/>
  <c r="N25" i="1"/>
  <c r="D18" i="2"/>
  <c r="U18" i="2"/>
  <c r="D17" i="2"/>
  <c r="D15" i="2"/>
  <c r="F17" i="2"/>
  <c r="E17" i="2"/>
  <c r="E18" i="2"/>
  <c r="E14" i="2"/>
  <c r="D16" i="2"/>
  <c r="N26" i="1"/>
  <c r="N9" i="1"/>
  <c r="N16" i="1"/>
  <c r="N17" i="1" s="1"/>
  <c r="N18" i="1" s="1"/>
  <c r="P74" i="6"/>
  <c r="K74" i="6"/>
  <c r="P65" i="7"/>
  <c r="K65" i="7"/>
  <c r="K77" i="7"/>
  <c r="P65" i="6"/>
  <c r="K65" i="6"/>
  <c r="P77" i="4"/>
  <c r="K77" i="4"/>
  <c r="F18" i="2" a="1"/>
  <c r="O16" i="2" a="1"/>
  <c r="D14" i="2" a="1"/>
  <c r="J16" i="2" a="1"/>
  <c r="F14" i="2" a="1"/>
  <c r="U15" i="2" a="1"/>
  <c r="J15" i="2" a="1"/>
  <c r="T15" i="2" a="1"/>
  <c r="T16" i="2" a="1"/>
  <c r="U17" i="2" a="1"/>
  <c r="O15" i="2" a="1"/>
  <c r="U16" i="2" a="1"/>
  <c r="F33" i="6" l="1"/>
  <c r="F30" i="6"/>
  <c r="F32" i="6" s="1"/>
  <c r="C18" i="9"/>
  <c r="F18" i="9" s="1"/>
  <c r="F17" i="9"/>
  <c r="F33" i="4"/>
  <c r="F30" i="4"/>
  <c r="F32" i="4" s="1"/>
  <c r="F14" i="2"/>
  <c r="O15" i="2"/>
  <c r="D14" i="2"/>
  <c r="O16" i="2"/>
  <c r="J15" i="2"/>
  <c r="U17" i="2"/>
  <c r="J16" i="2"/>
  <c r="T15" i="2"/>
  <c r="U15" i="2"/>
  <c r="U16" i="2"/>
  <c r="T16" i="2"/>
  <c r="F18" i="2"/>
  <c r="P77" i="6"/>
  <c r="K77" i="6"/>
  <c r="N16" i="2" a="1"/>
  <c r="M17" i="2" a="1"/>
  <c r="S17" i="2" a="1"/>
  <c r="O17" i="2" a="1"/>
  <c r="J18" i="2" a="1"/>
  <c r="R16" i="2" a="1"/>
  <c r="J14" i="2" a="1"/>
  <c r="L16" i="2" a="1"/>
  <c r="Q16" i="2" a="1"/>
  <c r="O18" i="2" a="1"/>
  <c r="T18" i="2" a="1"/>
  <c r="H18" i="2" a="1"/>
  <c r="R17" i="2" a="1"/>
  <c r="Q17" i="2" a="1"/>
  <c r="T14" i="2" a="1"/>
  <c r="M16" i="2" a="1"/>
  <c r="S16" i="2" a="1"/>
  <c r="J17" i="2" a="1"/>
  <c r="O14" i="2" a="1"/>
  <c r="G17" i="2" a="1"/>
  <c r="I16" i="2" a="1"/>
  <c r="Q18" i="2" a="1"/>
  <c r="T17" i="2" a="1"/>
  <c r="H16" i="2" a="1"/>
  <c r="F15" i="2" a="1"/>
  <c r="L17" i="2" a="1"/>
  <c r="N17" i="2" a="1"/>
  <c r="I17" i="2" a="1"/>
  <c r="H17" i="2" a="1"/>
  <c r="G16" i="2" a="1"/>
  <c r="F15" i="2" l="1"/>
  <c r="F33" i="9"/>
  <c r="F30" i="9"/>
  <c r="F32" i="9" s="1"/>
  <c r="T18" i="2"/>
  <c r="R16" i="2"/>
  <c r="I17" i="2"/>
  <c r="J17" i="2"/>
  <c r="Q16" i="2"/>
  <c r="M17" i="2"/>
  <c r="H17" i="2"/>
  <c r="O17" i="2"/>
  <c r="T14" i="2"/>
  <c r="N16" i="2"/>
  <c r="L16" i="2"/>
  <c r="N17" i="2"/>
  <c r="G17" i="2"/>
  <c r="T17" i="2"/>
  <c r="J14" i="2"/>
  <c r="G16" i="2"/>
  <c r="I16" i="2"/>
  <c r="S17" i="2"/>
  <c r="O18" i="2"/>
  <c r="M16" i="2"/>
  <c r="R17" i="2"/>
  <c r="J18" i="2"/>
  <c r="O14" i="2"/>
  <c r="S16" i="2"/>
  <c r="H16" i="2"/>
  <c r="L17" i="2"/>
  <c r="Q17" i="2"/>
  <c r="Q18" i="2"/>
  <c r="H18" i="2"/>
  <c r="R15" i="2" a="1"/>
  <c r="M14" i="2" a="1"/>
  <c r="G18" i="2" a="1"/>
  <c r="S14" i="2" a="1"/>
  <c r="N14" i="2" a="1"/>
  <c r="I18" i="2" a="1"/>
  <c r="I15" i="2" a="1"/>
  <c r="N18" i="2" a="1"/>
  <c r="L14" i="2" a="1"/>
  <c r="Q14" i="2" a="1"/>
  <c r="M18" i="2" a="1"/>
  <c r="R14" i="2" a="1"/>
  <c r="Q15" i="2" a="1"/>
  <c r="S18" i="2" a="1"/>
  <c r="I14" i="2" a="1"/>
  <c r="H14" i="2" a="1"/>
  <c r="N15" i="2" a="1"/>
  <c r="G14" i="2" a="1"/>
  <c r="G15" i="2" a="1"/>
  <c r="H15" i="2" a="1"/>
  <c r="S15" i="2" a="1"/>
  <c r="L15" i="2" a="1"/>
  <c r="R18" i="2" a="1"/>
  <c r="L18" i="2" a="1"/>
  <c r="M15" i="2" a="1"/>
  <c r="S15" i="2" l="1"/>
  <c r="M15" i="2"/>
  <c r="N15" i="2"/>
  <c r="L15" i="2"/>
  <c r="I15" i="2"/>
  <c r="H15" i="2"/>
  <c r="Q15" i="2"/>
  <c r="G15" i="2"/>
  <c r="R15" i="2"/>
  <c r="I14" i="2"/>
  <c r="R18" i="2"/>
  <c r="L18" i="2"/>
  <c r="N14" i="2"/>
  <c r="G14" i="2"/>
  <c r="M14" i="2"/>
  <c r="S14" i="2"/>
  <c r="I18" i="2"/>
  <c r="S18" i="2"/>
  <c r="L14" i="2"/>
  <c r="H14" i="2"/>
  <c r="G18" i="2"/>
  <c r="R14" i="2"/>
  <c r="Q14" i="2"/>
  <c r="M18" i="2"/>
  <c r="N18" i="2"/>
  <c r="O25" i="2"/>
  <c r="O24" i="2"/>
  <c r="O26" i="2"/>
  <c r="O27" i="2"/>
  <c r="J26" i="2"/>
  <c r="J25" i="2"/>
  <c r="J24" i="2"/>
  <c r="J27" i="2"/>
  <c r="T27" i="2"/>
  <c r="T26" i="2"/>
  <c r="T24" i="2"/>
  <c r="T25" i="2"/>
  <c r="M24" i="2" l="1"/>
  <c r="G27" i="2"/>
  <c r="S26" i="2"/>
  <c r="M25" i="2"/>
  <c r="N26" i="2"/>
  <c r="S27" i="2"/>
  <c r="N24" i="2"/>
  <c r="H26" i="2"/>
  <c r="M26" i="2"/>
  <c r="M27" i="2"/>
  <c r="N25" i="2"/>
  <c r="Q27" i="2"/>
  <c r="D35" i="1"/>
  <c r="P35" i="1" s="1"/>
  <c r="C35" i="1"/>
  <c r="O35" i="1" s="1"/>
  <c r="S25" i="2"/>
  <c r="S24" i="2"/>
  <c r="R24" i="2"/>
  <c r="N27" i="2"/>
  <c r="H25" i="2"/>
  <c r="L24" i="2"/>
  <c r="I25" i="2"/>
  <c r="D34" i="1"/>
  <c r="P34" i="1" s="1"/>
  <c r="C34" i="1"/>
  <c r="O34" i="1" s="1"/>
  <c r="Q24" i="2"/>
  <c r="Q26" i="2"/>
  <c r="L27" i="2"/>
  <c r="I27" i="2"/>
  <c r="Q25" i="2"/>
  <c r="L26" i="2"/>
  <c r="I26" i="2"/>
  <c r="L25" i="2"/>
  <c r="H24" i="2"/>
  <c r="G24" i="2"/>
  <c r="G25" i="2"/>
  <c r="G26" i="2"/>
  <c r="R27" i="2"/>
  <c r="R25" i="2"/>
  <c r="H27" i="2"/>
  <c r="I24" i="2"/>
  <c r="R26" i="2"/>
  <c r="D18" i="1" l="1"/>
  <c r="F18" i="1" s="1"/>
  <c r="M18" i="1" s="1"/>
  <c r="P18" i="1" s="1"/>
  <c r="D26" i="1"/>
  <c r="F26" i="1" s="1"/>
  <c r="M26" i="1" s="1"/>
  <c r="P26" i="1" s="1"/>
  <c r="D27" i="1"/>
  <c r="F27" i="1" s="1"/>
  <c r="M27" i="1" s="1"/>
  <c r="P27" i="1" s="1"/>
  <c r="C17" i="1"/>
  <c r="E17" i="1" s="1"/>
  <c r="L17" i="1" s="1"/>
  <c r="O17" i="1" s="1"/>
  <c r="D8" i="1"/>
  <c r="F8" i="1" s="1"/>
  <c r="M8" i="1" s="1"/>
  <c r="P8" i="1" s="1"/>
  <c r="D7" i="1"/>
  <c r="F7" i="1" s="1"/>
  <c r="M7" i="1" s="1"/>
  <c r="P7" i="1" s="1"/>
  <c r="C18" i="1"/>
  <c r="E18" i="1" s="1"/>
  <c r="L18" i="1" s="1"/>
  <c r="O18" i="1" s="1"/>
  <c r="C8" i="1"/>
  <c r="E8" i="1" s="1"/>
  <c r="L8" i="1" s="1"/>
  <c r="O8" i="1" s="1"/>
  <c r="D16" i="1"/>
  <c r="F16" i="1" s="1"/>
  <c r="M16" i="1" s="1"/>
  <c r="P16" i="1" s="1"/>
  <c r="P37" i="1"/>
  <c r="D17" i="1"/>
  <c r="F17" i="1" s="1"/>
  <c r="M17" i="1" s="1"/>
  <c r="P17" i="1" s="1"/>
  <c r="O37" i="1"/>
  <c r="C27" i="1"/>
  <c r="E27" i="1" s="1"/>
  <c r="L27" i="1" s="1"/>
  <c r="O27" i="1" s="1"/>
  <c r="C26" i="1"/>
  <c r="E26" i="1" s="1"/>
  <c r="L26" i="1" s="1"/>
  <c r="O26" i="1" s="1"/>
  <c r="C16" i="1"/>
  <c r="E16" i="1" s="1"/>
  <c r="L16" i="1" s="1"/>
  <c r="O16" i="1" s="1"/>
  <c r="D9" i="1"/>
  <c r="F9" i="1" s="1"/>
  <c r="M9" i="1" s="1"/>
  <c r="P9" i="1" s="1"/>
  <c r="C7" i="1"/>
  <c r="E7" i="1" s="1"/>
  <c r="L7" i="1" s="1"/>
  <c r="O7" i="1" s="1"/>
  <c r="D25" i="1"/>
  <c r="F25" i="1" s="1"/>
  <c r="M25" i="1" s="1"/>
  <c r="P25" i="1" s="1"/>
  <c r="C25" i="1"/>
  <c r="E25" i="1" s="1"/>
  <c r="L25" i="1" s="1"/>
  <c r="O25" i="1" s="1"/>
  <c r="C9" i="1"/>
  <c r="E9" i="1" s="1"/>
  <c r="L9" i="1" s="1"/>
  <c r="O9" i="1" s="1"/>
  <c r="P29" i="1" l="1"/>
  <c r="O20" i="1"/>
  <c r="P11" i="1"/>
  <c r="P20" i="1"/>
  <c r="O29" i="1"/>
  <c r="O11" i="1"/>
  <c r="P59" i="9" l="1"/>
  <c r="K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40" authorId="0" shapeId="0" xr:uid="{063E1EC1-D6A0-4166-B97C-921D5F9081A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RSU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0" authorId="0" shapeId="0" xr:uid="{88E27665-6DF3-4DD1-85A0-3D791EE02C1B}">
      <text>
        <r>
          <rPr>
            <sz val="11"/>
            <color theme="1"/>
            <rFont val="Calibri"/>
            <family val="2"/>
            <scheme val="minor"/>
          </rPr>
          <t>Page 27 10Q June ended 2023
Stock Options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<sst xmlns="http://schemas.openxmlformats.org/spreadsheetml/2006/main" count="744" uniqueCount="180">
  <si>
    <t>Name of Target Company</t>
  </si>
  <si>
    <t>Median</t>
  </si>
  <si>
    <t>25th Percentile</t>
  </si>
  <si>
    <t>Industry Multiple Range</t>
  </si>
  <si>
    <t>Minority Interest</t>
  </si>
  <si>
    <t>Total Debt</t>
  </si>
  <si>
    <t>Debt Equivalent</t>
  </si>
  <si>
    <t>Cash &amp; Cash Eq</t>
  </si>
  <si>
    <t>Investments</t>
  </si>
  <si>
    <t>Diluted Shares O/S</t>
  </si>
  <si>
    <t>75th Percentile</t>
  </si>
  <si>
    <t>Metrics</t>
  </si>
  <si>
    <t>Lower</t>
  </si>
  <si>
    <t>Higher</t>
  </si>
  <si>
    <t>LTM EV/EBITDA</t>
  </si>
  <si>
    <t>FY1 EV/EBITDA</t>
  </si>
  <si>
    <t>FY2 EV/EBITDA</t>
  </si>
  <si>
    <t>LTM EV/EBIT</t>
  </si>
  <si>
    <t>FY1 EV/EBIT</t>
  </si>
  <si>
    <t>FY2 EV/EBIT</t>
  </si>
  <si>
    <t>LTM EV/Sales</t>
  </si>
  <si>
    <t>FY1 EV/Sales</t>
  </si>
  <si>
    <t>FY2 EV/Sales</t>
  </si>
  <si>
    <t>FY1 P/E</t>
  </si>
  <si>
    <t>FY2 P/E</t>
  </si>
  <si>
    <t>Basic Shares o/s</t>
  </si>
  <si>
    <t>Diluted Shares o/s</t>
  </si>
  <si>
    <t>ESoPS/Warrants etc. Treasury Stock Method</t>
  </si>
  <si>
    <t>Exercise</t>
  </si>
  <si>
    <t>Notional</t>
  </si>
  <si>
    <t>Net</t>
  </si>
  <si>
    <t>O/S</t>
  </si>
  <si>
    <t>Price</t>
  </si>
  <si>
    <t>ITM?</t>
  </si>
  <si>
    <t>Shares Issued</t>
  </si>
  <si>
    <t>Cash</t>
  </si>
  <si>
    <t>Buyback</t>
  </si>
  <si>
    <t>Dilution</t>
  </si>
  <si>
    <t>LTM</t>
  </si>
  <si>
    <t>Sales</t>
  </si>
  <si>
    <t>EBITDA</t>
  </si>
  <si>
    <t>EBIT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</si>
  <si>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</si>
  <si>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</si>
  <si>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</si>
  <si>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</si>
  <si>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</si>
  <si>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</si>
  <si>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USD</t>
  </si>
  <si>
    <t>F10</t>
  </si>
  <si>
    <t>F33</t>
  </si>
  <si>
    <t>F18</t>
  </si>
  <si>
    <t>F32</t>
  </si>
  <si>
    <t>K59</t>
  </si>
  <si>
    <t>K65</t>
  </si>
  <si>
    <t>K63</t>
  </si>
  <si>
    <t>K74</t>
  </si>
  <si>
    <t>L59</t>
  </si>
  <si>
    <t>L65</t>
  </si>
  <si>
    <t>L63</t>
  </si>
  <si>
    <t>L74</t>
  </si>
  <si>
    <t>M59</t>
  </si>
  <si>
    <t>M65</t>
  </si>
  <si>
    <t>M63</t>
  </si>
  <si>
    <t>M74</t>
  </si>
  <si>
    <t>P65</t>
  </si>
  <si>
    <t>Reported Currency</t>
  </si>
  <si>
    <t>Exchange Rate</t>
  </si>
  <si>
    <t>LTM Multiples</t>
  </si>
  <si>
    <t>FY1 Multiple</t>
  </si>
  <si>
    <t>FY2 Multiple</t>
  </si>
  <si>
    <t>Peer Group Companies</t>
  </si>
  <si>
    <t>CMP</t>
  </si>
  <si>
    <t>Market Cap</t>
  </si>
  <si>
    <t>EV</t>
  </si>
  <si>
    <t>EV/Sales</t>
  </si>
  <si>
    <t>EV/EBITDA</t>
  </si>
  <si>
    <t>EV/EBIT</t>
  </si>
  <si>
    <t>P/E</t>
  </si>
  <si>
    <t>Growth</t>
  </si>
  <si>
    <t>Mean</t>
  </si>
  <si>
    <t>Company Name</t>
  </si>
  <si>
    <t>Basic Details</t>
  </si>
  <si>
    <t>Analyst Name</t>
  </si>
  <si>
    <t>Updation Date</t>
  </si>
  <si>
    <t>Ticker</t>
  </si>
  <si>
    <t>Latest Annual</t>
  </si>
  <si>
    <t>Latest Quarter</t>
  </si>
  <si>
    <t>Tax Rate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</si>
  <si>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</si>
  <si>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</si>
  <si>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</si>
  <si>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</si>
  <si>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</si>
  <si>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</si>
  <si>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</si>
  <si>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</si>
  <si>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</si>
  <si>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</si>
  <si>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</si>
  <si>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</si>
  <si>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</si>
  <si>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</si>
  <si>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</si>
  <si>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</si>
  <si>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</si>
  <si>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</si>
  <si>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Non Operating Assets</t>
  </si>
  <si>
    <t>Operating EV</t>
  </si>
  <si>
    <t>Weighted Average Share Price of All Classes of Share</t>
  </si>
  <si>
    <t>Calculation of Dilution</t>
  </si>
  <si>
    <t xml:space="preserve">ESoPS/Warrants/RSUs/PSU </t>
  </si>
  <si>
    <t>Units Outstanding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</si>
  <si>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</si>
  <si>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</si>
  <si>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</si>
  <si>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</si>
  <si>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</si>
  <si>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</si>
  <si>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</si>
  <si>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Key Financials</t>
  </si>
  <si>
    <t>Annual</t>
  </si>
  <si>
    <t>Crt. YTD</t>
  </si>
  <si>
    <t>Pr. YTD</t>
  </si>
  <si>
    <t>FY1</t>
  </si>
  <si>
    <t>FY2</t>
  </si>
  <si>
    <t>FY3</t>
  </si>
  <si>
    <t>FY4</t>
  </si>
  <si>
    <t>FY5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</si>
  <si>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</si>
  <si>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</si>
  <si>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</si>
  <si>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</si>
  <si>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</si>
  <si>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</si>
  <si>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</si>
  <si>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</si>
  <si>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</si>
  <si>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</si>
  <si>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</si>
  <si>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</si>
  <si>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</si>
  <si>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</si>
  <si>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</si>
  <si>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</si>
  <si>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Diluted EPS</t>
  </si>
  <si>
    <t xml:space="preserve">Stock options/ESoPS/Warrants/RSUs/PSU </t>
  </si>
  <si>
    <t>Estimates</t>
  </si>
  <si>
    <t>CAGR</t>
  </si>
  <si>
    <t>6M</t>
  </si>
  <si>
    <t>RSU</t>
  </si>
  <si>
    <t>ESoPS</t>
  </si>
  <si>
    <t>operating lease liability</t>
  </si>
  <si>
    <t>EPS</t>
  </si>
  <si>
    <t>Tesla</t>
  </si>
  <si>
    <t>urvashi</t>
  </si>
  <si>
    <t>TSLA</t>
  </si>
  <si>
    <t>NIO</t>
  </si>
  <si>
    <t>GM</t>
  </si>
  <si>
    <t>RACE</t>
  </si>
  <si>
    <t>URVASHI</t>
  </si>
  <si>
    <t>Ford</t>
  </si>
  <si>
    <t>Ferrari</t>
  </si>
  <si>
    <t>scellantis</t>
  </si>
  <si>
    <t>Stellantis</t>
  </si>
  <si>
    <t>ferrari</t>
  </si>
  <si>
    <t>LIauto</t>
  </si>
  <si>
    <t>Automobile/Auto parts</t>
  </si>
  <si>
    <t>F</t>
  </si>
  <si>
    <t>LI</t>
  </si>
  <si>
    <t>STLAM</t>
  </si>
  <si>
    <t>Implied EV-Tesla</t>
  </si>
  <si>
    <t>Implied Equity-Tesla</t>
  </si>
  <si>
    <t>Implied Per Share Value-Tesla</t>
  </si>
  <si>
    <t>Tesla Valuation Range as per Trading Comps</t>
  </si>
  <si>
    <t>Tesla  Valuation Range as per Trading Comps</t>
  </si>
  <si>
    <t>Calculation of Diluted Shares-Tesla</t>
  </si>
  <si>
    <t>Tesla CMP (31 July 2024)</t>
  </si>
  <si>
    <t>EUR</t>
  </si>
  <si>
    <t>TESLA HAS NO STRONG COMPETITORS THAT’S WHY IT'S VALUE IS LESS THAN WHAT IT SHOULD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</si>
</sst>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_);_(* \(#,##0\);_(* &quot;-&quot;??_);_(@_)"/>
    <numFmt numFmtId="165" formatCode="0.0&quot;x&quot;"/>
    <numFmt numFmtId="166" formatCode="0.0"/>
    <numFmt numFmtId="167" formatCode="_ * #,##0.0_ ;_ * \-#,##0.0_ ;_ * &quot;-&quot;??_ ;_ @_ "/>
    <numFmt numFmtId="168" formatCode="_(* #,##0.0_);_(* \(#,##0.0\);_(* &quot;-&quot;??_);_(@_)"/>
    <numFmt numFmtId="169" formatCode="0.0%"/>
    <numFmt numFmtId="170" formatCode="0.000"/>
    <numFmt numFmtId="171" formatCode="_ * #,##0_ ;_ * \-#,##0_ ;_ * &quot;-&quot;??_ ;_ @_ "/>
    <numFmt numFmtId="172" formatCode="dd\ mmm\'yy"/>
    <numFmt numFmtId="173" formatCode="_(* #,##0.00_);_(* \(#,##0.00\);_(* &quot;-&quot;??_);_(@_)"/>
    <numFmt numFmtId="174" formatCode="0.000&quot;x&quot;"/>
  </numFmts>
  <fonts count="2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Gill Sans"/>
    </font>
    <font>
      <sz val="10"/>
      <color theme="0"/>
      <name val="Gill Sans"/>
    </font>
    <font>
      <i/>
      <sz val="10"/>
      <color theme="1"/>
      <name val="Calibri"/>
      <family val="2"/>
    </font>
    <font>
      <b/>
      <sz val="16"/>
      <color theme="1"/>
      <name val="Calibri"/>
      <family val="2"/>
    </font>
    <font>
      <i/>
      <sz val="11"/>
      <color theme="1"/>
      <name val="Calibri"/>
      <family val="2"/>
    </font>
    <font>
      <sz val="18"/>
      <color rgb="FFE7E6E6"/>
      <name val="Gill Sans"/>
    </font>
    <font>
      <sz val="10"/>
      <color rgb="FFE7E6E6"/>
      <name val="Gill Sans"/>
    </font>
    <font>
      <i/>
      <sz val="10"/>
      <color rgb="FF000000"/>
      <name val="Gill Sans"/>
    </font>
    <font>
      <b/>
      <sz val="10"/>
      <color rgb="FF000000"/>
      <name val="Gill Sans"/>
    </font>
    <font>
      <sz val="10"/>
      <color rgb="FF000000"/>
      <name val="Gill Sans"/>
    </font>
    <font>
      <sz val="10"/>
      <color rgb="FFD8D8D8"/>
      <name val="Gill Sans"/>
    </font>
    <font>
      <i/>
      <sz val="10"/>
      <color theme="1"/>
      <name val="Gill Sans"/>
    </font>
    <font>
      <b/>
      <sz val="10"/>
      <color theme="1"/>
      <name val="Gill Sans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 style="medium">
        <color rgb="FF000000"/>
      </right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546A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9" fontId="8" fillId="3" borderId="1" xfId="0" applyNumberFormat="1" applyFont="1" applyFill="1" applyBorder="1"/>
    <xf numFmtId="0" fontId="8" fillId="0" borderId="0" xfId="0" applyFont="1" applyAlignment="1">
      <alignment horizontal="center" wrapText="1"/>
    </xf>
    <xf numFmtId="164" fontId="9" fillId="4" borderId="1" xfId="0" applyNumberFormat="1" applyFont="1" applyFill="1" applyBorder="1"/>
    <xf numFmtId="165" fontId="9" fillId="4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/>
    <xf numFmtId="0" fontId="9" fillId="4" borderId="1" xfId="0" applyFont="1" applyFill="1" applyBorder="1"/>
    <xf numFmtId="164" fontId="8" fillId="0" borderId="0" xfId="0" applyNumberFormat="1" applyFont="1"/>
    <xf numFmtId="166" fontId="8" fillId="5" borderId="1" xfId="0" applyNumberFormat="1" applyFont="1" applyFill="1" applyBorder="1"/>
    <xf numFmtId="167" fontId="8" fillId="0" borderId="0" xfId="0" applyNumberFormat="1" applyFont="1"/>
    <xf numFmtId="167" fontId="8" fillId="6" borderId="6" xfId="0" applyNumberFormat="1" applyFont="1" applyFill="1" applyBorder="1"/>
    <xf numFmtId="0" fontId="8" fillId="4" borderId="1" xfId="0" applyFont="1" applyFill="1" applyBorder="1"/>
    <xf numFmtId="9" fontId="8" fillId="4" borderId="1" xfId="0" applyNumberFormat="1" applyFont="1" applyFill="1" applyBorder="1"/>
    <xf numFmtId="0" fontId="8" fillId="0" borderId="0" xfId="0" applyFont="1" applyAlignment="1">
      <alignment horizontal="center"/>
    </xf>
    <xf numFmtId="43" fontId="9" fillId="4" borderId="1" xfId="0" applyNumberFormat="1" applyFont="1" applyFill="1" applyBorder="1"/>
    <xf numFmtId="0" fontId="9" fillId="0" borderId="0" xfId="0" applyFont="1"/>
    <xf numFmtId="166" fontId="8" fillId="0" borderId="0" xfId="0" applyNumberFormat="1" applyFont="1"/>
    <xf numFmtId="0" fontId="3" fillId="7" borderId="8" xfId="0" applyFont="1" applyFill="1" applyBorder="1"/>
    <xf numFmtId="168" fontId="9" fillId="4" borderId="1" xfId="0" applyNumberFormat="1" applyFont="1" applyFill="1" applyBorder="1"/>
    <xf numFmtId="0" fontId="8" fillId="0" borderId="12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right"/>
    </xf>
    <xf numFmtId="0" fontId="8" fillId="0" borderId="15" xfId="0" applyFont="1" applyBorder="1"/>
    <xf numFmtId="0" fontId="10" fillId="0" borderId="16" xfId="0" applyFont="1" applyBorder="1" applyAlignment="1">
      <alignment horizontal="right"/>
    </xf>
    <xf numFmtId="0" fontId="10" fillId="0" borderId="16" xfId="0" applyFont="1" applyBorder="1"/>
    <xf numFmtId="0" fontId="10" fillId="0" borderId="17" xfId="0" applyFont="1" applyBorder="1" applyAlignment="1">
      <alignment horizontal="right"/>
    </xf>
    <xf numFmtId="168" fontId="10" fillId="8" borderId="19" xfId="0" applyNumberFormat="1" applyFont="1" applyFill="1" applyBorder="1"/>
    <xf numFmtId="168" fontId="10" fillId="8" borderId="1" xfId="0" applyNumberFormat="1" applyFont="1" applyFill="1" applyBorder="1"/>
    <xf numFmtId="168" fontId="10" fillId="9" borderId="1" xfId="0" applyNumberFormat="1" applyFont="1" applyFill="1" applyBorder="1" applyAlignment="1">
      <alignment horizontal="center"/>
    </xf>
    <xf numFmtId="168" fontId="10" fillId="9" borderId="1" xfId="0" applyNumberFormat="1" applyFont="1" applyFill="1" applyBorder="1"/>
    <xf numFmtId="164" fontId="10" fillId="9" borderId="1" xfId="0" applyNumberFormat="1" applyFont="1" applyFill="1" applyBorder="1"/>
    <xf numFmtId="168" fontId="10" fillId="9" borderId="20" xfId="0" applyNumberFormat="1" applyFont="1" applyFill="1" applyBorder="1"/>
    <xf numFmtId="168" fontId="10" fillId="5" borderId="21" xfId="0" applyNumberFormat="1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169" fontId="8" fillId="0" borderId="27" xfId="0" applyNumberFormat="1" applyFont="1" applyBorder="1"/>
    <xf numFmtId="0" fontId="8" fillId="0" borderId="28" xfId="0" applyFont="1" applyBorder="1"/>
    <xf numFmtId="164" fontId="8" fillId="0" borderId="29" xfId="0" applyNumberFormat="1" applyFont="1" applyBorder="1"/>
    <xf numFmtId="0" fontId="8" fillId="0" borderId="29" xfId="0" applyFont="1" applyBorder="1"/>
    <xf numFmtId="0" fontId="8" fillId="0" borderId="30" xfId="0" applyFont="1" applyBorder="1"/>
    <xf numFmtId="0" fontId="12" fillId="0" borderId="26" xfId="0" applyFont="1" applyBorder="1"/>
    <xf numFmtId="0" fontId="13" fillId="0" borderId="0" xfId="0" applyFont="1"/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170" fontId="9" fillId="4" borderId="1" xfId="0" applyNumberFormat="1" applyFont="1" applyFill="1" applyBorder="1"/>
    <xf numFmtId="171" fontId="8" fillId="0" borderId="0" xfId="0" applyNumberFormat="1" applyFont="1"/>
    <xf numFmtId="2" fontId="8" fillId="0" borderId="0" xfId="0" applyNumberFormat="1" applyFont="1"/>
    <xf numFmtId="165" fontId="8" fillId="0" borderId="0" xfId="0" applyNumberFormat="1" applyFont="1"/>
    <xf numFmtId="165" fontId="8" fillId="0" borderId="0" xfId="0" applyNumberFormat="1" applyFont="1" applyAlignment="1">
      <alignment horizontal="center"/>
    </xf>
    <xf numFmtId="165" fontId="8" fillId="0" borderId="32" xfId="0" applyNumberFormat="1" applyFont="1" applyBorder="1" applyAlignment="1">
      <alignment horizontal="center"/>
    </xf>
    <xf numFmtId="165" fontId="8" fillId="4" borderId="33" xfId="0" applyNumberFormat="1" applyFont="1" applyFill="1" applyBorder="1" applyAlignment="1">
      <alignment horizontal="center"/>
    </xf>
    <xf numFmtId="165" fontId="8" fillId="10" borderId="1" xfId="0" applyNumberFormat="1" applyFont="1" applyFill="1" applyBorder="1" applyAlignment="1">
      <alignment horizontal="center"/>
    </xf>
    <xf numFmtId="165" fontId="8" fillId="0" borderId="34" xfId="0" applyNumberFormat="1" applyFont="1" applyBorder="1" applyAlignment="1">
      <alignment horizontal="center"/>
    </xf>
    <xf numFmtId="165" fontId="8" fillId="4" borderId="35" xfId="0" applyNumberFormat="1" applyFont="1" applyFill="1" applyBorder="1" applyAlignment="1">
      <alignment horizontal="center"/>
    </xf>
    <xf numFmtId="165" fontId="8" fillId="4" borderId="36" xfId="0" applyNumberFormat="1" applyFont="1" applyFill="1" applyBorder="1" applyAlignment="1">
      <alignment horizontal="center"/>
    </xf>
    <xf numFmtId="165" fontId="8" fillId="0" borderId="9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  <xf numFmtId="165" fontId="8" fillId="4" borderId="37" xfId="0" applyNumberFormat="1" applyFont="1" applyFill="1" applyBorder="1" applyAlignment="1">
      <alignment horizontal="center"/>
    </xf>
    <xf numFmtId="165" fontId="8" fillId="4" borderId="38" xfId="0" applyNumberFormat="1" applyFont="1" applyFill="1" applyBorder="1" applyAlignment="1">
      <alignment horizontal="center"/>
    </xf>
    <xf numFmtId="1" fontId="8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8" fillId="0" borderId="0" xfId="0" applyNumberFormat="1" applyFont="1" applyAlignment="1">
      <alignment horizontal="center" vertical="center"/>
    </xf>
    <xf numFmtId="0" fontId="15" fillId="2" borderId="1" xfId="0" applyFont="1" applyFill="1" applyBorder="1"/>
    <xf numFmtId="0" fontId="10" fillId="2" borderId="1" xfId="0" applyFont="1" applyFill="1" applyBorder="1"/>
    <xf numFmtId="0" fontId="16" fillId="2" borderId="1" xfId="0" applyFont="1" applyFill="1" applyBorder="1"/>
    <xf numFmtId="0" fontId="11" fillId="2" borderId="39" xfId="0" applyFont="1" applyFill="1" applyBorder="1"/>
    <xf numFmtId="0" fontId="16" fillId="2" borderId="40" xfId="0" applyFont="1" applyFill="1" applyBorder="1"/>
    <xf numFmtId="0" fontId="16" fillId="2" borderId="41" xfId="0" applyFont="1" applyFill="1" applyBorder="1"/>
    <xf numFmtId="0" fontId="10" fillId="0" borderId="18" xfId="0" applyFont="1" applyBorder="1"/>
    <xf numFmtId="0" fontId="10" fillId="11" borderId="20" xfId="0" applyFont="1" applyFill="1" applyBorder="1"/>
    <xf numFmtId="15" fontId="10" fillId="11" borderId="20" xfId="0" applyNumberFormat="1" applyFont="1" applyFill="1" applyBorder="1"/>
    <xf numFmtId="0" fontId="10" fillId="11" borderId="20" xfId="0" applyFont="1" applyFill="1" applyBorder="1" applyAlignment="1">
      <alignment horizontal="right"/>
    </xf>
    <xf numFmtId="172" fontId="10" fillId="11" borderId="20" xfId="0" applyNumberFormat="1" applyFont="1" applyFill="1" applyBorder="1"/>
    <xf numFmtId="0" fontId="10" fillId="0" borderId="15" xfId="0" applyFont="1" applyBorder="1"/>
    <xf numFmtId="9" fontId="10" fillId="11" borderId="42" xfId="0" applyNumberFormat="1" applyFont="1" applyFill="1" applyBorder="1"/>
    <xf numFmtId="0" fontId="10" fillId="0" borderId="0" xfId="0" applyFont="1" applyAlignment="1">
      <alignment horizontal="center"/>
    </xf>
    <xf numFmtId="0" fontId="11" fillId="2" borderId="6" xfId="0" applyFont="1" applyFill="1" applyBorder="1"/>
    <xf numFmtId="0" fontId="11" fillId="2" borderId="43" xfId="0" applyFont="1" applyFill="1" applyBorder="1"/>
    <xf numFmtId="0" fontId="11" fillId="2" borderId="43" xfId="0" applyFont="1" applyFill="1" applyBorder="1" applyAlignment="1">
      <alignment horizontal="right"/>
    </xf>
    <xf numFmtId="0" fontId="11" fillId="2" borderId="7" xfId="0" applyFont="1" applyFill="1" applyBorder="1"/>
    <xf numFmtId="164" fontId="10" fillId="11" borderId="1" xfId="0" applyNumberFormat="1" applyFont="1" applyFill="1" applyBorder="1"/>
    <xf numFmtId="0" fontId="10" fillId="0" borderId="14" xfId="0" applyFont="1" applyBorder="1"/>
    <xf numFmtId="16" fontId="10" fillId="0" borderId="0" xfId="0" applyNumberFormat="1" applyFont="1"/>
    <xf numFmtId="164" fontId="10" fillId="0" borderId="14" xfId="0" applyNumberFormat="1" applyFont="1" applyBorder="1"/>
    <xf numFmtId="164" fontId="10" fillId="12" borderId="1" xfId="0" applyNumberFormat="1" applyFont="1" applyFill="1" applyBorder="1"/>
    <xf numFmtId="164" fontId="10" fillId="0" borderId="0" xfId="0" applyNumberFormat="1" applyFont="1"/>
    <xf numFmtId="164" fontId="10" fillId="12" borderId="20" xfId="0" applyNumberFormat="1" applyFont="1" applyFill="1" applyBorder="1"/>
    <xf numFmtId="164" fontId="10" fillId="11" borderId="20" xfId="0" applyNumberFormat="1" applyFont="1" applyFill="1" applyBorder="1"/>
    <xf numFmtId="0" fontId="10" fillId="0" borderId="18" xfId="0" quotePrefix="1" applyFont="1" applyBorder="1"/>
    <xf numFmtId="164" fontId="17" fillId="11" borderId="1" xfId="0" applyNumberFormat="1" applyFont="1" applyFill="1" applyBorder="1"/>
    <xf numFmtId="0" fontId="17" fillId="0" borderId="0" xfId="0" applyFont="1"/>
    <xf numFmtId="164" fontId="17" fillId="12" borderId="1" xfId="0" applyNumberFormat="1" applyFont="1" applyFill="1" applyBorder="1"/>
    <xf numFmtId="0" fontId="18" fillId="0" borderId="44" xfId="0" applyFont="1" applyBorder="1"/>
    <xf numFmtId="0" fontId="18" fillId="0" borderId="45" xfId="0" applyFont="1" applyBorder="1"/>
    <xf numFmtId="164" fontId="18" fillId="0" borderId="45" xfId="0" applyNumberFormat="1" applyFont="1" applyBorder="1"/>
    <xf numFmtId="164" fontId="18" fillId="12" borderId="21" xfId="0" applyNumberFormat="1" applyFont="1" applyFill="1" applyBorder="1"/>
    <xf numFmtId="0" fontId="19" fillId="0" borderId="18" xfId="0" applyFont="1" applyBorder="1"/>
    <xf numFmtId="0" fontId="18" fillId="0" borderId="0" xfId="0" applyFont="1"/>
    <xf numFmtId="164" fontId="18" fillId="0" borderId="0" xfId="0" applyNumberFormat="1" applyFont="1"/>
    <xf numFmtId="167" fontId="10" fillId="12" borderId="42" xfId="0" applyNumberFormat="1" applyFont="1" applyFill="1" applyBorder="1"/>
    <xf numFmtId="164" fontId="17" fillId="0" borderId="0" xfId="0" applyNumberFormat="1" applyFont="1"/>
    <xf numFmtId="17" fontId="10" fillId="0" borderId="0" xfId="0" applyNumberFormat="1" applyFont="1"/>
    <xf numFmtId="0" fontId="10" fillId="2" borderId="43" xfId="0" applyFont="1" applyFill="1" applyBorder="1"/>
    <xf numFmtId="0" fontId="10" fillId="2" borderId="7" xfId="0" applyFont="1" applyFill="1" applyBorder="1"/>
    <xf numFmtId="0" fontId="20" fillId="0" borderId="0" xfId="0" applyFont="1"/>
    <xf numFmtId="0" fontId="10" fillId="0" borderId="18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10" fillId="0" borderId="0" xfId="0" applyFont="1" applyAlignment="1">
      <alignment horizontal="left"/>
    </xf>
    <xf numFmtId="168" fontId="10" fillId="11" borderId="19" xfId="0" applyNumberFormat="1" applyFont="1" applyFill="1" applyBorder="1"/>
    <xf numFmtId="168" fontId="10" fillId="11" borderId="1" xfId="0" applyNumberFormat="1" applyFont="1" applyFill="1" applyBorder="1"/>
    <xf numFmtId="168" fontId="10" fillId="12" borderId="1" xfId="0" applyNumberFormat="1" applyFont="1" applyFill="1" applyBorder="1" applyAlignment="1">
      <alignment horizontal="center"/>
    </xf>
    <xf numFmtId="168" fontId="10" fillId="12" borderId="1" xfId="0" applyNumberFormat="1" applyFont="1" applyFill="1" applyBorder="1"/>
    <xf numFmtId="168" fontId="10" fillId="12" borderId="20" xfId="0" applyNumberFormat="1" applyFont="1" applyFill="1" applyBorder="1"/>
    <xf numFmtId="168" fontId="10" fillId="0" borderId="0" xfId="0" applyNumberFormat="1" applyFont="1"/>
    <xf numFmtId="168" fontId="10" fillId="12" borderId="21" xfId="0" applyNumberFormat="1" applyFont="1" applyFill="1" applyBorder="1"/>
    <xf numFmtId="0" fontId="17" fillId="0" borderId="12" xfId="0" applyFont="1" applyBorder="1"/>
    <xf numFmtId="0" fontId="17" fillId="0" borderId="46" xfId="0" applyFont="1" applyBorder="1"/>
    <xf numFmtId="0" fontId="10" fillId="0" borderId="46" xfId="0" applyFont="1" applyBorder="1"/>
    <xf numFmtId="0" fontId="17" fillId="0" borderId="18" xfId="0" applyFont="1" applyBorder="1"/>
    <xf numFmtId="0" fontId="17" fillId="0" borderId="0" xfId="0" applyFont="1" applyAlignment="1">
      <alignment horizontal="right"/>
    </xf>
    <xf numFmtId="0" fontId="21" fillId="0" borderId="0" xfId="0" applyFont="1"/>
    <xf numFmtId="43" fontId="10" fillId="11" borderId="1" xfId="0" applyNumberFormat="1" applyFont="1" applyFill="1" applyBorder="1"/>
    <xf numFmtId="43" fontId="10" fillId="12" borderId="1" xfId="0" applyNumberFormat="1" applyFont="1" applyFill="1" applyBorder="1"/>
    <xf numFmtId="43" fontId="10" fillId="12" borderId="20" xfId="0" applyNumberFormat="1" applyFont="1" applyFill="1" applyBorder="1"/>
    <xf numFmtId="43" fontId="10" fillId="0" borderId="0" xfId="0" applyNumberFormat="1" applyFont="1"/>
    <xf numFmtId="43" fontId="10" fillId="12" borderId="8" xfId="0" applyNumberFormat="1" applyFont="1" applyFill="1" applyBorder="1"/>
    <xf numFmtId="164" fontId="10" fillId="0" borderId="16" xfId="0" applyNumberFormat="1" applyFont="1" applyBorder="1"/>
    <xf numFmtId="43" fontId="10" fillId="12" borderId="48" xfId="0" applyNumberFormat="1" applyFont="1" applyFill="1" applyBorder="1"/>
    <xf numFmtId="43" fontId="10" fillId="12" borderId="21" xfId="0" applyNumberFormat="1" applyFont="1" applyFill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164" fontId="10" fillId="11" borderId="1" xfId="0" applyNumberFormat="1" applyFont="1" applyFill="1" applyBorder="1" applyAlignment="1">
      <alignment wrapText="1"/>
    </xf>
    <xf numFmtId="164" fontId="18" fillId="12" borderId="1" xfId="0" applyNumberFormat="1" applyFont="1" applyFill="1" applyBorder="1"/>
    <xf numFmtId="0" fontId="22" fillId="0" borderId="0" xfId="0" applyFont="1"/>
    <xf numFmtId="164" fontId="22" fillId="12" borderId="1" xfId="0" applyNumberFormat="1" applyFont="1" applyFill="1" applyBorder="1"/>
    <xf numFmtId="43" fontId="18" fillId="12" borderId="1" xfId="0" applyNumberFormat="1" applyFont="1" applyFill="1" applyBorder="1"/>
    <xf numFmtId="173" fontId="10" fillId="11" borderId="1" xfId="0" applyNumberFormat="1" applyFont="1" applyFill="1" applyBorder="1"/>
    <xf numFmtId="43" fontId="10" fillId="12" borderId="42" xfId="0" applyNumberFormat="1" applyFont="1" applyFill="1" applyBorder="1"/>
    <xf numFmtId="0" fontId="11" fillId="10" borderId="1" xfId="0" applyFont="1" applyFill="1" applyBorder="1" applyAlignment="1">
      <alignment horizontal="right"/>
    </xf>
    <xf numFmtId="14" fontId="10" fillId="0" borderId="52" xfId="0" applyNumberFormat="1" applyFont="1" applyBorder="1"/>
    <xf numFmtId="0" fontId="10" fillId="10" borderId="1" xfId="0" applyFont="1" applyFill="1" applyBorder="1"/>
    <xf numFmtId="164" fontId="10" fillId="10" borderId="1" xfId="0" applyNumberFormat="1" applyFont="1" applyFill="1" applyBorder="1"/>
    <xf numFmtId="10" fontId="10" fillId="11" borderId="1" xfId="0" applyNumberFormat="1" applyFont="1" applyFill="1" applyBorder="1"/>
    <xf numFmtId="0" fontId="22" fillId="0" borderId="53" xfId="0" applyFont="1" applyBorder="1"/>
    <xf numFmtId="14" fontId="10" fillId="0" borderId="52" xfId="0" applyNumberFormat="1" applyFont="1" applyBorder="1" applyAlignment="1">
      <alignment horizontal="right"/>
    </xf>
    <xf numFmtId="10" fontId="8" fillId="0" borderId="0" xfId="1" applyNumberFormat="1" applyFont="1"/>
    <xf numFmtId="43" fontId="8" fillId="5" borderId="1" xfId="0" applyNumberFormat="1" applyFont="1" applyFill="1" applyBorder="1"/>
    <xf numFmtId="43" fontId="0" fillId="0" borderId="0" xfId="0" applyNumberFormat="1"/>
    <xf numFmtId="174" fontId="8" fillId="4" borderId="35" xfId="0" applyNumberFormat="1" applyFont="1" applyFill="1" applyBorder="1" applyAlignment="1">
      <alignment horizontal="center"/>
    </xf>
    <xf numFmtId="0" fontId="2" fillId="0" borderId="18" xfId="0" applyFont="1" applyBorder="1"/>
    <xf numFmtId="3" fontId="0" fillId="0" borderId="0" xfId="0" applyNumberFormat="1"/>
    <xf numFmtId="3" fontId="5" fillId="0" borderId="0" xfId="0" applyNumberFormat="1" applyFont="1"/>
    <xf numFmtId="3" fontId="10" fillId="0" borderId="0" xfId="0" applyNumberFormat="1" applyFont="1"/>
    <xf numFmtId="168" fontId="10" fillId="12" borderId="51" xfId="0" applyNumberFormat="1" applyFont="1" applyFill="1" applyBorder="1" applyAlignment="1">
      <alignment horizontal="center"/>
    </xf>
    <xf numFmtId="168" fontId="10" fillId="12" borderId="51" xfId="0" applyNumberFormat="1" applyFont="1" applyFill="1" applyBorder="1"/>
    <xf numFmtId="3" fontId="0" fillId="13" borderId="0" xfId="0" applyNumberFormat="1" applyFill="1"/>
    <xf numFmtId="164" fontId="10" fillId="12" borderId="51" xfId="0" applyNumberFormat="1" applyFont="1" applyFill="1" applyBorder="1"/>
    <xf numFmtId="3" fontId="5" fillId="13" borderId="0" xfId="0" applyNumberFormat="1" applyFont="1" applyFill="1"/>
    <xf numFmtId="164" fontId="10" fillId="14" borderId="1" xfId="0" applyNumberFormat="1" applyFont="1" applyFill="1" applyBorder="1"/>
    <xf numFmtId="3" fontId="0" fillId="14" borderId="0" xfId="0" applyNumberFormat="1" applyFill="1"/>
    <xf numFmtId="164" fontId="10" fillId="14" borderId="1" xfId="0" applyNumberFormat="1" applyFont="1" applyFill="1" applyBorder="1" applyAlignment="1">
      <alignment wrapText="1"/>
    </xf>
    <xf numFmtId="0" fontId="0" fillId="0" borderId="54" xfId="0" applyBorder="1" applyAlignment="1">
      <alignment horizontal="center"/>
    </xf>
    <xf numFmtId="0" fontId="0" fillId="0" borderId="54" xfId="0" applyBorder="1" applyAlignment="1">
      <alignment horizontal="left" indent="1"/>
    </xf>
    <xf numFmtId="1" fontId="0" fillId="0" borderId="54" xfId="0" applyNumberFormat="1" applyBorder="1"/>
    <xf numFmtId="3" fontId="0" fillId="0" borderId="54" xfId="0" applyNumberFormat="1" applyBorder="1"/>
    <xf numFmtId="1" fontId="26" fillId="0" borderId="55" xfId="0" applyNumberFormat="1" applyFont="1" applyBorder="1"/>
    <xf numFmtId="1" fontId="0" fillId="13" borderId="54" xfId="0" applyNumberFormat="1" applyFill="1" applyBorder="1"/>
    <xf numFmtId="164" fontId="10" fillId="16" borderId="1" xfId="0" applyNumberFormat="1" applyFont="1" applyFill="1" applyBorder="1"/>
    <xf numFmtId="164" fontId="22" fillId="17" borderId="1" xfId="0" applyNumberFormat="1" applyFont="1" applyFill="1" applyBorder="1"/>
    <xf numFmtId="164" fontId="10" fillId="17" borderId="1" xfId="0" applyNumberFormat="1" applyFont="1" applyFill="1" applyBorder="1"/>
    <xf numFmtId="0" fontId="0" fillId="13" borderId="0" xfId="0" applyFill="1"/>
    <xf numFmtId="164" fontId="10" fillId="15" borderId="1" xfId="0" applyNumberFormat="1" applyFont="1" applyFill="1" applyBorder="1"/>
    <xf numFmtId="164" fontId="10" fillId="18" borderId="14" xfId="0" applyNumberFormat="1" applyFont="1" applyFill="1" applyBorder="1"/>
    <xf numFmtId="3" fontId="5" fillId="18" borderId="0" xfId="0" applyNumberFormat="1" applyFont="1" applyFill="1"/>
    <xf numFmtId="1" fontId="26" fillId="13" borderId="55" xfId="0" applyNumberFormat="1" applyFont="1" applyFill="1" applyBorder="1"/>
    <xf numFmtId="3" fontId="25" fillId="13" borderId="0" xfId="0" applyNumberFormat="1" applyFont="1" applyFill="1" applyAlignment="1">
      <alignment horizontal="left" vertical="center" wrapText="1"/>
    </xf>
    <xf numFmtId="164" fontId="10" fillId="16" borderId="20" xfId="0" applyNumberFormat="1" applyFont="1" applyFill="1" applyBorder="1"/>
    <xf numFmtId="0" fontId="5" fillId="13" borderId="0" xfId="0" applyFont="1" applyFill="1"/>
    <xf numFmtId="1" fontId="5" fillId="13" borderId="0" xfId="0" applyNumberFormat="1" applyFont="1" applyFill="1"/>
    <xf numFmtId="0" fontId="5" fillId="18" borderId="0" xfId="0" applyFont="1" applyFill="1"/>
    <xf numFmtId="1" fontId="0" fillId="0" borderId="0" xfId="0" applyNumberFormat="1"/>
    <xf numFmtId="1" fontId="0" fillId="18" borderId="0" xfId="0" applyNumberFormat="1" applyFill="1"/>
    <xf numFmtId="1" fontId="0" fillId="13" borderId="0" xfId="0" applyNumberFormat="1" applyFill="1"/>
    <xf numFmtId="1" fontId="26" fillId="18" borderId="0" xfId="0" applyNumberFormat="1" applyFont="1" applyFill="1"/>
    <xf numFmtId="1" fontId="26" fillId="0" borderId="0" xfId="0" applyNumberFormat="1" applyFont="1"/>
    <xf numFmtId="1" fontId="26" fillId="13" borderId="0" xfId="0" applyNumberFormat="1" applyFont="1" applyFill="1"/>
    <xf numFmtId="1" fontId="10" fillId="12" borderId="1" xfId="0" applyNumberFormat="1" applyFont="1" applyFill="1" applyBorder="1"/>
    <xf numFmtId="3" fontId="26" fillId="18" borderId="0" xfId="0" applyNumberFormat="1" applyFont="1" applyFill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3" fontId="8" fillId="0" borderId="29" xfId="0" applyNumberFormat="1" applyFont="1" applyBorder="1"/>
    <xf numFmtId="0" fontId="11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0" borderId="3" xfId="0" applyFont="1" applyBorder="1"/>
    <xf numFmtId="0" fontId="6" fillId="2" borderId="4" xfId="0" applyFont="1" applyFill="1" applyBorder="1" applyAlignment="1">
      <alignment horizontal="center" wrapText="1"/>
    </xf>
    <xf numFmtId="0" fontId="7" fillId="0" borderId="5" xfId="0" applyFont="1" applyBorder="1"/>
    <xf numFmtId="0" fontId="8" fillId="4" borderId="4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7" fillId="0" borderId="31" xfId="0" applyFont="1" applyBorder="1"/>
    <xf numFmtId="0" fontId="8" fillId="4" borderId="2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7" fillId="0" borderId="46" xfId="0" applyFont="1" applyBorder="1" applyAlignment="1">
      <alignment horizontal="center" wrapText="1"/>
    </xf>
    <xf numFmtId="0" fontId="17" fillId="0" borderId="47" xfId="0" applyFont="1" applyBorder="1" applyAlignment="1">
      <alignment horizontal="center" wrapText="1"/>
    </xf>
    <xf numFmtId="0" fontId="7" fillId="0" borderId="14" xfId="0" applyFont="1" applyBorder="1"/>
    <xf numFmtId="0" fontId="17" fillId="0" borderId="0" xfId="0" applyFont="1" applyAlignment="1">
      <alignment horizontal="center" wrapText="1"/>
    </xf>
    <xf numFmtId="164" fontId="10" fillId="11" borderId="49" xfId="0" applyNumberFormat="1" applyFont="1" applyFill="1" applyBorder="1" applyAlignment="1">
      <alignment horizontal="center"/>
    </xf>
    <xf numFmtId="0" fontId="7" fillId="0" borderId="50" xfId="0" applyFont="1" applyBorder="1"/>
    <xf numFmtId="0" fontId="7" fillId="0" borderId="51" xfId="0" applyFont="1" applyBorder="1"/>
    <xf numFmtId="0" fontId="18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E7D3EC78-757F-45E4-AD37-480736ED28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24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FEC5244B-CF03-4BD0-A840-FD9220FA34D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324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B622C824-1E3D-42AF-8681-1B0B7976C5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109886F9-448B-44ED-9B1A-A2FB8D5004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" name="image2.png">
          <a:extLst>
            <a:ext uri="{FF2B5EF4-FFF2-40B4-BE49-F238E27FC236}">
              <a16:creationId xmlns:a16="http://schemas.microsoft.com/office/drawing/2014/main" id="{E457EA0B-B0CE-42D7-B184-439BD62DC5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599CE425-FA31-4D94-AD34-F84EA1A693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9A99A7C8-A09B-4425-A71B-6B50557AD6A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C6EA811C-A145-45F4-B24F-50F3009804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" name="image2.png">
          <a:extLst>
            <a:ext uri="{FF2B5EF4-FFF2-40B4-BE49-F238E27FC236}">
              <a16:creationId xmlns:a16="http://schemas.microsoft.com/office/drawing/2014/main" id="{564F4235-4B7B-4806-B879-C25A47EF5C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6D8A0459-014B-4DEF-BCC9-71A35D14F2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" name="image2.png">
          <a:extLst>
            <a:ext uri="{FF2B5EF4-FFF2-40B4-BE49-F238E27FC236}">
              <a16:creationId xmlns:a16="http://schemas.microsoft.com/office/drawing/2014/main" id="{B7B1EBD2-AEAE-4807-86FB-E5AF774D67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" name="image2.png">
          <a:extLst>
            <a:ext uri="{FF2B5EF4-FFF2-40B4-BE49-F238E27FC236}">
              <a16:creationId xmlns:a16="http://schemas.microsoft.com/office/drawing/2014/main" id="{89D0925A-2E7D-4E8E-94E2-E7E7993CF9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10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B790AAB5-2E46-44F9-A18B-69F53CA3BC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D90AEB83-9CDD-41F0-A750-C751631BD31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" name="image2.png">
          <a:extLst>
            <a:ext uri="{FF2B5EF4-FFF2-40B4-BE49-F238E27FC236}">
              <a16:creationId xmlns:a16="http://schemas.microsoft.com/office/drawing/2014/main" id="{244A039F-FD1D-4FB3-9903-3AD2F76EA7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2734526D-5F99-4633-96D6-BD24A0850C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175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1CA4A7F2-F566-411E-9166-1D187DC5FE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53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DB47D634-EF37-4D4A-BF88-F57D180300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18BFB2E4-6FEE-4249-A8BC-1E96A29DE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53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BDFECD18-C5C0-4995-AB74-2B69E2881B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412E51B8-612B-4E14-ABBE-7EAB316F2B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D982CA80-CE46-4782-81EE-BDAB132489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" name="image2.png">
          <a:extLst>
            <a:ext uri="{FF2B5EF4-FFF2-40B4-BE49-F238E27FC236}">
              <a16:creationId xmlns:a16="http://schemas.microsoft.com/office/drawing/2014/main" id="{159CA4DB-E99E-4C01-A33D-F95BA6F05B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B4CA24AE-1F34-4390-AF6A-FBA2E91CFF9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0" name="image2.png">
          <a:extLst>
            <a:ext uri="{FF2B5EF4-FFF2-40B4-BE49-F238E27FC236}">
              <a16:creationId xmlns:a16="http://schemas.microsoft.com/office/drawing/2014/main" id="{9B95AF41-4982-40E4-9AE3-E27AEE7898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1" name="image2.png">
          <a:extLst>
            <a:ext uri="{FF2B5EF4-FFF2-40B4-BE49-F238E27FC236}">
              <a16:creationId xmlns:a16="http://schemas.microsoft.com/office/drawing/2014/main" id="{F74550F9-E488-4049-A244-4D9D9FAEBE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2" name="image2.png">
          <a:extLst>
            <a:ext uri="{FF2B5EF4-FFF2-40B4-BE49-F238E27FC236}">
              <a16:creationId xmlns:a16="http://schemas.microsoft.com/office/drawing/2014/main" id="{F7B0571F-ECF6-474A-96CD-36C6BE43DE1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3" name="image2.png">
          <a:extLst>
            <a:ext uri="{FF2B5EF4-FFF2-40B4-BE49-F238E27FC236}">
              <a16:creationId xmlns:a16="http://schemas.microsoft.com/office/drawing/2014/main" id="{C9D4DAC7-C42C-47C9-92D1-3637BBB907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4" name="image2.png">
          <a:extLst>
            <a:ext uri="{FF2B5EF4-FFF2-40B4-BE49-F238E27FC236}">
              <a16:creationId xmlns:a16="http://schemas.microsoft.com/office/drawing/2014/main" id="{BEE4B9B2-FDE6-43C4-AF99-63095CA362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15" name="image2.png">
          <a:extLst>
            <a:ext uri="{FF2B5EF4-FFF2-40B4-BE49-F238E27FC236}">
              <a16:creationId xmlns:a16="http://schemas.microsoft.com/office/drawing/2014/main" id="{3A4395A6-229E-4E59-9A63-513134BDE2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34F0595B-8325-4E6F-BEA5-28CE5BCCAE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53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7730E6D9-C867-4373-BE7F-9EE1C4288DF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D062C08A-D0B5-41AE-9309-1B8605CF1E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5350" y="5175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EB83BCD4-EB16-4339-8416-90D8AFAAA95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6" name="image2.png">
          <a:extLst>
            <a:ext uri="{FF2B5EF4-FFF2-40B4-BE49-F238E27FC236}">
              <a16:creationId xmlns:a16="http://schemas.microsoft.com/office/drawing/2014/main" id="{397DBA18-4443-4012-B0BB-451ADA3C5F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7" name="image2.png">
          <a:extLst>
            <a:ext uri="{FF2B5EF4-FFF2-40B4-BE49-F238E27FC236}">
              <a16:creationId xmlns:a16="http://schemas.microsoft.com/office/drawing/2014/main" id="{7808FF6E-11C1-4A6A-A029-1B1422CF7D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8" name="image2.png">
          <a:extLst>
            <a:ext uri="{FF2B5EF4-FFF2-40B4-BE49-F238E27FC236}">
              <a16:creationId xmlns:a16="http://schemas.microsoft.com/office/drawing/2014/main" id="{EACC3E1E-3AFF-4246-AA16-FB986443AC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9" name="image2.png">
          <a:extLst>
            <a:ext uri="{FF2B5EF4-FFF2-40B4-BE49-F238E27FC236}">
              <a16:creationId xmlns:a16="http://schemas.microsoft.com/office/drawing/2014/main" id="{39813BA7-6345-423B-AECA-9D05D0735C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1997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showGridLines="0" topLeftCell="A26" workbookViewId="0">
      <selection activeCell="H57" sqref="H57"/>
    </sheetView>
  </sheetViews>
  <sheetFormatPr defaultColWidth="14.453125" defaultRowHeight="15" customHeight="1"/>
  <cols>
    <col min="1" max="1" width="14.54296875" customWidth="1"/>
    <col min="2" max="12" width="12.54296875" customWidth="1"/>
    <col min="13" max="13" width="14.08984375" customWidth="1"/>
    <col min="14" max="14" width="17.90625" customWidth="1"/>
    <col min="15" max="15" width="17.54296875" customWidth="1"/>
    <col min="16" max="16" width="15.54296875" customWidth="1"/>
    <col min="17" max="26" width="8.6328125" customWidth="1"/>
  </cols>
  <sheetData>
    <row r="1" spans="1:24" ht="14.25" customHeight="1"/>
    <row r="2" spans="1:24" ht="14.25" customHeight="1">
      <c r="A2" s="1" t="s">
        <v>0</v>
      </c>
      <c r="C2" s="2" t="s">
        <v>154</v>
      </c>
      <c r="G2" t="s">
        <v>10</v>
      </c>
      <c r="H2" cm="1">
        <f t="array" ref="H2">_xlfn.IFS($G$2=Output!$F$25,1,'Valuation '!$G$2=Output!$F$26,2,'Valuation '!$G$2=Output!$F$27,3)</f>
        <v>3</v>
      </c>
      <c r="K2">
        <f>2.34*1000</f>
        <v>2340</v>
      </c>
      <c r="W2" s="3" t="s">
        <v>1</v>
      </c>
      <c r="X2">
        <v>1</v>
      </c>
    </row>
    <row r="3" spans="1:24" ht="14.25" customHeight="1">
      <c r="I3" s="3" t="s">
        <v>152</v>
      </c>
      <c r="W3" s="3" t="s">
        <v>2</v>
      </c>
      <c r="X3">
        <v>2</v>
      </c>
    </row>
    <row r="4" spans="1:24" ht="14.25" customHeight="1">
      <c r="B4" s="4"/>
      <c r="C4" s="209" t="s">
        <v>3</v>
      </c>
      <c r="D4" s="210"/>
      <c r="E4" s="209" t="s">
        <v>171</v>
      </c>
      <c r="F4" s="210"/>
      <c r="G4" s="211" t="s">
        <v>4</v>
      </c>
      <c r="H4" s="211" t="s">
        <v>5</v>
      </c>
      <c r="I4" s="211" t="s">
        <v>6</v>
      </c>
      <c r="J4" s="211" t="s">
        <v>7</v>
      </c>
      <c r="K4" s="211" t="s">
        <v>8</v>
      </c>
      <c r="L4" s="209" t="s">
        <v>172</v>
      </c>
      <c r="M4" s="210"/>
      <c r="N4" s="211" t="s">
        <v>9</v>
      </c>
      <c r="O4" s="209" t="s">
        <v>173</v>
      </c>
      <c r="P4" s="210"/>
      <c r="W4" s="3" t="s">
        <v>10</v>
      </c>
      <c r="X4">
        <v>3</v>
      </c>
    </row>
    <row r="5" spans="1:24" ht="14.25" customHeight="1">
      <c r="B5" s="4" t="s">
        <v>11</v>
      </c>
      <c r="C5" s="4" t="s">
        <v>12</v>
      </c>
      <c r="D5" s="4" t="s">
        <v>13</v>
      </c>
      <c r="E5" s="4" t="s">
        <v>12</v>
      </c>
      <c r="F5" s="4" t="s">
        <v>13</v>
      </c>
      <c r="G5" s="212"/>
      <c r="H5" s="212"/>
      <c r="I5" s="212"/>
      <c r="J5" s="212"/>
      <c r="K5" s="212"/>
      <c r="L5" s="4" t="s">
        <v>12</v>
      </c>
      <c r="M5" s="4" t="s">
        <v>13</v>
      </c>
      <c r="N5" s="212"/>
      <c r="O5" s="4" t="s">
        <v>12</v>
      </c>
      <c r="P5" s="4" t="s">
        <v>13</v>
      </c>
    </row>
    <row r="6" spans="1:24" ht="14.25" customHeight="1">
      <c r="C6" s="5">
        <v>0.1</v>
      </c>
      <c r="D6" s="5">
        <v>0.1</v>
      </c>
      <c r="G6" s="6"/>
      <c r="H6" s="6"/>
      <c r="I6" s="6"/>
      <c r="J6" s="6"/>
      <c r="K6" s="6"/>
      <c r="N6" s="6"/>
    </row>
    <row r="7" spans="1:24" ht="14.25" customHeight="1">
      <c r="A7" s="3" t="s">
        <v>14</v>
      </c>
      <c r="B7" s="7">
        <f>B62</f>
        <v>16645</v>
      </c>
      <c r="C7" s="8">
        <f ca="1">CHOOSE($H$2,Output!$H$25,Output!$H$26,Output!$H$27)*(1-'Valuation '!$C$6)</f>
        <v>28.481528084721504</v>
      </c>
      <c r="D7" s="8">
        <f ca="1">CHOOSE($H$2,Output!$H$25,Output!$H$26,Output!$H$27)*(1+'Valuation '!$C$6)</f>
        <v>34.810756547992952</v>
      </c>
      <c r="E7" s="9">
        <f ca="1">$B7*$C7</f>
        <v>474075.03497018944</v>
      </c>
      <c r="F7" s="9">
        <f ca="1">$B7*$D7</f>
        <v>579425.04274134268</v>
      </c>
      <c r="G7" s="10">
        <v>767</v>
      </c>
      <c r="H7" s="10">
        <f>2340+5540</f>
        <v>7880</v>
      </c>
      <c r="I7" s="10">
        <v>0</v>
      </c>
      <c r="J7" s="10">
        <f>16.14*1000</f>
        <v>16140</v>
      </c>
      <c r="K7" s="10">
        <v>20420</v>
      </c>
      <c r="L7" s="11">
        <f ca="1">E7+J7+K7-H7-I7-G7</f>
        <v>501988.03497018944</v>
      </c>
      <c r="M7" s="11">
        <f ca="1">F7-H7-G7-I7+J7+K7</f>
        <v>607338.04274134268</v>
      </c>
      <c r="N7" s="12">
        <f>$C$45</f>
        <v>3216.5170370000001</v>
      </c>
      <c r="O7" s="13">
        <f ca="1">L7/N7</f>
        <v>156.06571617552711</v>
      </c>
      <c r="P7" s="13">
        <f ca="1">M7/N7</f>
        <v>188.81853749103666</v>
      </c>
    </row>
    <row r="8" spans="1:24" ht="14.25" customHeight="1">
      <c r="A8" s="3" t="s">
        <v>15</v>
      </c>
      <c r="B8" s="7">
        <f>C62</f>
        <v>18539</v>
      </c>
      <c r="C8" s="8">
        <f ca="1">CHOOSE($H$2,Output!$M$25,Output!$M$26,Output!$M$27)*(1-'Valuation '!$C$6)</f>
        <v>10.207897009657616</v>
      </c>
      <c r="D8" s="8">
        <f ca="1">CHOOSE($H$2,Output!$M$25,Output!$M$26,Output!$M$27)*(1+'Valuation '!$C$6)</f>
        <v>12.476318567359309</v>
      </c>
      <c r="E8" s="9">
        <f t="shared" ref="E8:E9" ca="1" si="0">$B8*$C8</f>
        <v>189244.20266204255</v>
      </c>
      <c r="F8" s="9">
        <f t="shared" ref="F8:F9" ca="1" si="1">$B8*$D8</f>
        <v>231298.46992027422</v>
      </c>
      <c r="G8" s="10">
        <v>767</v>
      </c>
      <c r="H8" s="10">
        <f t="shared" ref="H8:H9" si="2">2340+5540</f>
        <v>7880</v>
      </c>
      <c r="I8" s="10">
        <v>0</v>
      </c>
      <c r="J8" s="10">
        <f t="shared" ref="J8:J9" si="3">16.14*1000</f>
        <v>16140</v>
      </c>
      <c r="K8" s="10">
        <v>20420</v>
      </c>
      <c r="L8" s="11">
        <f t="shared" ref="L8:L9" ca="1" si="4">E8+J8+K8-H8-I8-G8</f>
        <v>217157.20266204255</v>
      </c>
      <c r="M8" s="11">
        <f t="shared" ref="M8:M9" ca="1" si="5">F8-H8-G8-I8+J8+K8</f>
        <v>259211.46992027422</v>
      </c>
      <c r="N8" s="12">
        <f t="shared" ref="N8:N9" si="6">$C$45</f>
        <v>3216.5170370000001</v>
      </c>
      <c r="O8" s="13">
        <f t="shared" ref="O8:O9" ca="1" si="7">L8/N8</f>
        <v>67.51315169920008</v>
      </c>
      <c r="P8" s="13">
        <f t="shared" ref="P8:P9" ca="1" si="8">M8/N8</f>
        <v>80.587625353303608</v>
      </c>
    </row>
    <row r="9" spans="1:24" ht="14.25" customHeight="1">
      <c r="A9" s="3" t="s">
        <v>16</v>
      </c>
      <c r="B9" s="7">
        <f>D62</f>
        <v>23639</v>
      </c>
      <c r="C9" s="8">
        <f ca="1">CHOOSE($H$2,Output!$R$25,Output!$R$26,Output!$R$27)*(1-'Valuation '!$C$6)</f>
        <v>12.309546611503601</v>
      </c>
      <c r="D9" s="8">
        <f ca="1">CHOOSE($H$2,Output!$R$25,Output!$R$26,Output!$R$27)*(1+'Valuation '!$C$6)</f>
        <v>15.045001414059957</v>
      </c>
      <c r="E9" s="9">
        <f t="shared" ca="1" si="0"/>
        <v>290985.3723493336</v>
      </c>
      <c r="F9" s="9">
        <f t="shared" ca="1" si="1"/>
        <v>355648.78842696332</v>
      </c>
      <c r="G9" s="10">
        <v>767</v>
      </c>
      <c r="H9" s="10">
        <f t="shared" si="2"/>
        <v>7880</v>
      </c>
      <c r="I9" s="10">
        <v>0</v>
      </c>
      <c r="J9" s="10">
        <f t="shared" si="3"/>
        <v>16140</v>
      </c>
      <c r="K9" s="10">
        <v>20420</v>
      </c>
      <c r="L9" s="11">
        <f t="shared" ca="1" si="4"/>
        <v>318898.3723493336</v>
      </c>
      <c r="M9" s="11">
        <f t="shared" ca="1" si="5"/>
        <v>383561.78842696332</v>
      </c>
      <c r="N9" s="12">
        <f t="shared" si="6"/>
        <v>3216.5170370000001</v>
      </c>
      <c r="O9" s="13">
        <f t="shared" ca="1" si="7"/>
        <v>99.14400224870738</v>
      </c>
      <c r="P9" s="13">
        <f t="shared" ca="1" si="8"/>
        <v>119.24755380270143</v>
      </c>
    </row>
    <row r="10" spans="1:24" ht="14.25" customHeight="1"/>
    <row r="11" spans="1:24" ht="14.25" customHeight="1">
      <c r="L11" s="3" t="s">
        <v>174</v>
      </c>
      <c r="O11" s="14">
        <f ca="1">MEDIAN(O7:O9)</f>
        <v>99.14400224870738</v>
      </c>
      <c r="P11" s="14">
        <f ca="1">MEDIAN(P7:P9)</f>
        <v>119.24755380270143</v>
      </c>
    </row>
    <row r="12" spans="1:24" ht="14.25" customHeight="1"/>
    <row r="13" spans="1:24" ht="14.25" customHeight="1">
      <c r="B13" s="4"/>
      <c r="C13" s="209" t="s">
        <v>3</v>
      </c>
      <c r="D13" s="210"/>
      <c r="E13" s="209" t="s">
        <v>171</v>
      </c>
      <c r="F13" s="210"/>
      <c r="G13" s="211" t="s">
        <v>4</v>
      </c>
      <c r="H13" s="211" t="s">
        <v>5</v>
      </c>
      <c r="I13" s="211" t="s">
        <v>6</v>
      </c>
      <c r="J13" s="211" t="s">
        <v>7</v>
      </c>
      <c r="K13" s="211" t="s">
        <v>8</v>
      </c>
      <c r="L13" s="209" t="s">
        <v>172</v>
      </c>
      <c r="M13" s="210"/>
      <c r="N13" s="211" t="s">
        <v>9</v>
      </c>
      <c r="O13" s="209" t="s">
        <v>173</v>
      </c>
      <c r="P13" s="210"/>
    </row>
    <row r="14" spans="1:24" ht="14.25" customHeight="1">
      <c r="B14" s="4" t="s">
        <v>11</v>
      </c>
      <c r="C14" s="4" t="s">
        <v>12</v>
      </c>
      <c r="D14" s="4" t="s">
        <v>13</v>
      </c>
      <c r="E14" s="4" t="s">
        <v>12</v>
      </c>
      <c r="F14" s="4" t="s">
        <v>13</v>
      </c>
      <c r="G14" s="212"/>
      <c r="H14" s="212"/>
      <c r="I14" s="212"/>
      <c r="J14" s="212"/>
      <c r="K14" s="212"/>
      <c r="L14" s="4" t="s">
        <v>12</v>
      </c>
      <c r="M14" s="4" t="s">
        <v>13</v>
      </c>
      <c r="N14" s="212"/>
      <c r="O14" s="4" t="s">
        <v>12</v>
      </c>
      <c r="P14" s="4" t="s">
        <v>13</v>
      </c>
    </row>
    <row r="15" spans="1:24" ht="14.25" customHeight="1">
      <c r="C15" s="5">
        <v>0.1</v>
      </c>
      <c r="D15" s="5">
        <v>0.1</v>
      </c>
      <c r="G15" s="6"/>
      <c r="H15" s="6"/>
      <c r="I15" s="6"/>
      <c r="J15" s="6"/>
      <c r="K15" s="6"/>
      <c r="N15" s="6"/>
    </row>
    <row r="16" spans="1:24" ht="14.25" customHeight="1">
      <c r="A16" s="3" t="s">
        <v>17</v>
      </c>
      <c r="B16" s="7">
        <f>B63</f>
        <v>7076</v>
      </c>
      <c r="C16" s="8">
        <f ca="1">CHOOSE($H$2,Output!$I$25,Output!$I$26,Output!$I$27)*(1-'Valuation '!$C$15)</f>
        <v>28.481528084721504</v>
      </c>
      <c r="D16" s="8">
        <f ca="1">CHOOSE($H$2,Output!$I$25,Output!$I$26,Output!$I$27)*(1+'Valuation '!$C$15)</f>
        <v>34.810756547992952</v>
      </c>
      <c r="E16" s="9">
        <f ca="1">B16*C16</f>
        <v>201535.29272748937</v>
      </c>
      <c r="F16" s="9">
        <f ca="1">B16*D16</f>
        <v>246320.91333359812</v>
      </c>
      <c r="G16" s="10">
        <f>G$7</f>
        <v>767</v>
      </c>
      <c r="H16" s="10">
        <f t="shared" ref="H16:J16" si="9">H$7</f>
        <v>7880</v>
      </c>
      <c r="I16" s="10">
        <f t="shared" si="9"/>
        <v>0</v>
      </c>
      <c r="J16" s="10">
        <f t="shared" si="9"/>
        <v>16140</v>
      </c>
      <c r="K16" s="10">
        <f t="shared" ref="K16:K18" si="10">1867+1263+19262+158</f>
        <v>22550</v>
      </c>
      <c r="L16" s="11">
        <f ca="1">E16+J16+K16-H16-I16-G16</f>
        <v>231578.29272748937</v>
      </c>
      <c r="M16" s="11">
        <f ca="1">F16-H16-G16-I16+J16+K16</f>
        <v>276363.91333359812</v>
      </c>
      <c r="N16" s="12">
        <f>$C$45</f>
        <v>3216.5170370000001</v>
      </c>
      <c r="O16" s="13">
        <f ca="1">L16/N16</f>
        <v>71.996600690627517</v>
      </c>
      <c r="P16" s="13">
        <f ca="1">M16/N16</f>
        <v>85.920239238452425</v>
      </c>
    </row>
    <row r="17" spans="1:16" ht="14.25" customHeight="1">
      <c r="A17" s="3" t="s">
        <v>18</v>
      </c>
      <c r="B17" s="7">
        <f>C63</f>
        <v>9715</v>
      </c>
      <c r="C17" s="8">
        <f ca="1">CHOOSE($H$2,Output!$N$25,Output!$N$26,Output!$N$27)*(1-'Valuation '!$C$15)</f>
        <v>15.24584618037226</v>
      </c>
      <c r="D17" s="8">
        <f ca="1">CHOOSE($H$2,Output!$N$25,Output!$N$26,Output!$N$27)*(1+'Valuation '!$C$15)</f>
        <v>18.633811998232762</v>
      </c>
      <c r="E17" s="9">
        <f t="shared" ref="E17:E18" ca="1" si="11">B17*C17</f>
        <v>148113.39564231649</v>
      </c>
      <c r="F17" s="9">
        <f t="shared" ref="F17:F18" ca="1" si="12">B17*D17</f>
        <v>181027.48356283127</v>
      </c>
      <c r="G17" s="10">
        <f>G16</f>
        <v>767</v>
      </c>
      <c r="H17" s="10">
        <f t="shared" ref="H17:J17" si="13">H16</f>
        <v>7880</v>
      </c>
      <c r="I17" s="10">
        <f t="shared" si="13"/>
        <v>0</v>
      </c>
      <c r="J17" s="10">
        <f t="shared" si="13"/>
        <v>16140</v>
      </c>
      <c r="K17" s="10">
        <f t="shared" si="10"/>
        <v>22550</v>
      </c>
      <c r="L17" s="11">
        <f t="shared" ref="L17:L18" ca="1" si="14">E17+J17+K17-H17-I17-G17</f>
        <v>178156.39564231649</v>
      </c>
      <c r="M17" s="11">
        <f t="shared" ref="M17:M18" ca="1" si="15">F17-H17-G17-I17+J17+K17</f>
        <v>211070.48356283127</v>
      </c>
      <c r="N17" s="12">
        <f>N16</f>
        <v>3216.5170370000001</v>
      </c>
      <c r="O17" s="13">
        <f t="shared" ref="O17:O18" ca="1" si="16">L17/N17</f>
        <v>55.387984454290482</v>
      </c>
      <c r="P17" s="13">
        <f t="shared" ref="P17:P18" ca="1" si="17">M17/N17</f>
        <v>65.620819394040495</v>
      </c>
    </row>
    <row r="18" spans="1:16" ht="14.25" customHeight="1">
      <c r="A18" s="3" t="s">
        <v>19</v>
      </c>
      <c r="B18" s="7">
        <f>D63</f>
        <v>13389</v>
      </c>
      <c r="C18" s="8">
        <f ca="1">CHOOSE($H$2,Output!$S$25,Output!$S$26,Output!$S$27)*(1-'Valuation '!$C$15)</f>
        <v>20.423831733496066</v>
      </c>
      <c r="D18" s="8">
        <f ca="1">CHOOSE($H$2,Output!$S$25,Output!$S$26,Output!$S$27)*(1+'Valuation '!$C$15)</f>
        <v>24.962461007606304</v>
      </c>
      <c r="E18" s="9">
        <f t="shared" ca="1" si="11"/>
        <v>273454.6830797788</v>
      </c>
      <c r="F18" s="9">
        <f t="shared" ca="1" si="12"/>
        <v>334222.39043084078</v>
      </c>
      <c r="G18" s="10">
        <f>G17</f>
        <v>767</v>
      </c>
      <c r="H18" s="10">
        <f t="shared" ref="H18" si="18">H17</f>
        <v>7880</v>
      </c>
      <c r="I18" s="10">
        <f t="shared" ref="I18" si="19">I17</f>
        <v>0</v>
      </c>
      <c r="J18" s="10">
        <f t="shared" ref="J18" si="20">J17</f>
        <v>16140</v>
      </c>
      <c r="K18" s="10">
        <f t="shared" si="10"/>
        <v>22550</v>
      </c>
      <c r="L18" s="11">
        <f t="shared" ca="1" si="14"/>
        <v>303497.6830797788</v>
      </c>
      <c r="M18" s="11">
        <f t="shared" ca="1" si="15"/>
        <v>364265.39043084078</v>
      </c>
      <c r="N18" s="12">
        <f>N17</f>
        <v>3216.5170370000001</v>
      </c>
      <c r="O18" s="13">
        <f t="shared" ca="1" si="16"/>
        <v>94.356000477723811</v>
      </c>
      <c r="P18" s="13">
        <f t="shared" ca="1" si="17"/>
        <v>113.24839453379235</v>
      </c>
    </row>
    <row r="19" spans="1:16" ht="14.25" customHeight="1"/>
    <row r="20" spans="1:16" ht="14.25" customHeight="1">
      <c r="L20" s="3" t="s">
        <v>175</v>
      </c>
      <c r="O20" s="14">
        <f ca="1">MEDIAN(O16:O18)</f>
        <v>71.996600690627517</v>
      </c>
      <c r="P20" s="14">
        <f ca="1">MEDIAN(P16:P18)</f>
        <v>85.920239238452425</v>
      </c>
    </row>
    <row r="21" spans="1:16" ht="14.25" customHeight="1"/>
    <row r="22" spans="1:16" ht="14.25" customHeight="1">
      <c r="B22" s="4"/>
      <c r="C22" s="209" t="s">
        <v>3</v>
      </c>
      <c r="D22" s="210"/>
      <c r="E22" s="209" t="s">
        <v>171</v>
      </c>
      <c r="F22" s="210"/>
      <c r="G22" s="211" t="s">
        <v>4</v>
      </c>
      <c r="H22" s="211" t="s">
        <v>5</v>
      </c>
      <c r="I22" s="211" t="s">
        <v>6</v>
      </c>
      <c r="J22" s="211" t="s">
        <v>7</v>
      </c>
      <c r="K22" s="211" t="s">
        <v>8</v>
      </c>
      <c r="L22" s="209" t="s">
        <v>172</v>
      </c>
      <c r="M22" s="210"/>
      <c r="N22" s="211" t="s">
        <v>9</v>
      </c>
      <c r="O22" s="209" t="s">
        <v>173</v>
      </c>
      <c r="P22" s="210"/>
    </row>
    <row r="23" spans="1:16" ht="14.25" customHeight="1">
      <c r="B23" s="4" t="s">
        <v>11</v>
      </c>
      <c r="C23" s="4" t="s">
        <v>12</v>
      </c>
      <c r="D23" s="4" t="s">
        <v>13</v>
      </c>
      <c r="E23" s="4" t="s">
        <v>12</v>
      </c>
      <c r="F23" s="4" t="s">
        <v>13</v>
      </c>
      <c r="G23" s="212"/>
      <c r="H23" s="212"/>
      <c r="I23" s="212"/>
      <c r="J23" s="212"/>
      <c r="K23" s="212"/>
      <c r="L23" s="4" t="s">
        <v>12</v>
      </c>
      <c r="M23" s="4" t="s">
        <v>13</v>
      </c>
      <c r="N23" s="212"/>
      <c r="O23" s="4" t="s">
        <v>12</v>
      </c>
      <c r="P23" s="4" t="s">
        <v>13</v>
      </c>
    </row>
    <row r="24" spans="1:16" ht="14.25" customHeight="1">
      <c r="C24" s="5">
        <v>0.1</v>
      </c>
      <c r="D24" s="5">
        <v>0.1</v>
      </c>
      <c r="G24" s="6"/>
      <c r="H24" s="6"/>
      <c r="I24" s="6"/>
      <c r="J24" s="6"/>
      <c r="K24" s="6"/>
      <c r="N24" s="6"/>
    </row>
    <row r="25" spans="1:16" ht="14.25" customHeight="1">
      <c r="A25" s="3" t="s">
        <v>20</v>
      </c>
      <c r="B25" s="7">
        <f>B61</f>
        <v>97690</v>
      </c>
      <c r="C25" s="8">
        <f ca="1">CHOOSE($H$2,Output!$G$25,Output!$G$26,Output!$G$27)*(1-'Valuation '!$C$24)</f>
        <v>1.940409925521783</v>
      </c>
      <c r="D25" s="8">
        <f ca="1">CHOOSE($H$2,Output!$G$25,Output!$G$26,Output!$G$27)*(1+'Valuation '!$C$24)</f>
        <v>2.3716121311932907</v>
      </c>
      <c r="E25" s="158">
        <f ca="1">B25*C25</f>
        <v>189558.64562422299</v>
      </c>
      <c r="F25" s="158">
        <f ca="1">B25*D25</f>
        <v>231682.78909627258</v>
      </c>
      <c r="G25" s="10">
        <f>G$7</f>
        <v>767</v>
      </c>
      <c r="H25" s="10">
        <f t="shared" ref="H25:J25" si="21">H$7</f>
        <v>7880</v>
      </c>
      <c r="I25" s="10">
        <f t="shared" si="21"/>
        <v>0</v>
      </c>
      <c r="J25" s="10">
        <f t="shared" si="21"/>
        <v>16140</v>
      </c>
      <c r="K25" s="10">
        <f t="shared" ref="K25:K27" si="22">1867+1263+19262+158</f>
        <v>22550</v>
      </c>
      <c r="L25" s="11">
        <f ca="1">E25+J25+K25-H25-I25-G25</f>
        <v>219601.64562422299</v>
      </c>
      <c r="M25" s="11">
        <f ca="1">F25-H25-G25-I25+J25+K25</f>
        <v>261725.78909627258</v>
      </c>
      <c r="N25" s="12">
        <f>$C$45</f>
        <v>3216.5170370000001</v>
      </c>
      <c r="O25" s="13">
        <f ca="1">L25/N25</f>
        <v>68.273117505089402</v>
      </c>
      <c r="P25" s="13">
        <f ca="1">M25/N25</f>
        <v>81.369315345016958</v>
      </c>
    </row>
    <row r="26" spans="1:16" ht="14.25" customHeight="1">
      <c r="A26" s="3" t="s">
        <v>21</v>
      </c>
      <c r="B26" s="7">
        <f>C61</f>
        <v>111850</v>
      </c>
      <c r="C26" s="8">
        <f ca="1">CHOOSE($H$2,Output!$L$25,Output!$L$26,Output!$L$27)*(1-'Valuation '!$C$24)</f>
        <v>0.90167785520996546</v>
      </c>
      <c r="D26" s="8">
        <f ca="1">CHOOSE($H$2,Output!$L$25,Output!$L$26,Output!$L$27)*(1+'Valuation '!$C$24)</f>
        <v>1.1020507119232912</v>
      </c>
      <c r="E26" s="158">
        <f t="shared" ref="E26:E27" ca="1" si="23">B26*C26</f>
        <v>100852.66810523464</v>
      </c>
      <c r="F26" s="158">
        <f t="shared" ref="F26:F27" ca="1" si="24">B26*D26</f>
        <v>123264.37212862012</v>
      </c>
      <c r="G26" s="10">
        <f>G25</f>
        <v>767</v>
      </c>
      <c r="H26" s="10">
        <f t="shared" ref="H26:J27" si="25">H25</f>
        <v>7880</v>
      </c>
      <c r="I26" s="10">
        <f t="shared" si="25"/>
        <v>0</v>
      </c>
      <c r="J26" s="10">
        <f t="shared" si="25"/>
        <v>16140</v>
      </c>
      <c r="K26" s="10">
        <f t="shared" si="22"/>
        <v>22550</v>
      </c>
      <c r="L26" s="11">
        <f t="shared" ref="L26:L27" ca="1" si="26">E26+J26+K26-H26-I26-G26</f>
        <v>130895.66810523462</v>
      </c>
      <c r="M26" s="11">
        <f t="shared" ref="M26:M27" ca="1" si="27">F26-H26-G26-I26+J26+K26</f>
        <v>153307.3721286201</v>
      </c>
      <c r="N26" s="12">
        <f t="shared" ref="N26:N27" si="28">$C$45</f>
        <v>3216.5170370000001</v>
      </c>
      <c r="O26" s="13">
        <f t="shared" ref="O26:O27" ca="1" si="29">L26/N26</f>
        <v>40.694846817077384</v>
      </c>
      <c r="P26" s="13">
        <f t="shared" ref="P26:P27" ca="1" si="30">M26/N26</f>
        <v>47.662540059668927</v>
      </c>
    </row>
    <row r="27" spans="1:16" ht="14.25" customHeight="1">
      <c r="A27" s="3" t="s">
        <v>22</v>
      </c>
      <c r="B27" s="7">
        <f>D61</f>
        <v>133556</v>
      </c>
      <c r="C27" s="8">
        <f ca="1">CHOOSE($H$2,Output!$Q$25,Output!$Q$26,Output!$Q$27)*(1-'Valuation '!$C$24)</f>
        <v>0.89272474665572976</v>
      </c>
      <c r="D27" s="8">
        <f ca="1">CHOOSE($H$2,Output!$Q$25,Output!$Q$26,Output!$Q$27)*(1+'Valuation '!$C$24)</f>
        <v>1.0911080236903363</v>
      </c>
      <c r="E27" s="158">
        <f t="shared" ca="1" si="23"/>
        <v>119228.74626435264</v>
      </c>
      <c r="F27" s="158">
        <f t="shared" ca="1" si="24"/>
        <v>145724.02321198655</v>
      </c>
      <c r="G27" s="10">
        <f>G26</f>
        <v>767</v>
      </c>
      <c r="H27" s="10">
        <f t="shared" si="25"/>
        <v>7880</v>
      </c>
      <c r="I27" s="10">
        <f t="shared" si="25"/>
        <v>0</v>
      </c>
      <c r="J27" s="10">
        <f t="shared" si="25"/>
        <v>16140</v>
      </c>
      <c r="K27" s="10">
        <f t="shared" si="22"/>
        <v>22550</v>
      </c>
      <c r="L27" s="11">
        <f t="shared" ca="1" si="26"/>
        <v>149271.74626435264</v>
      </c>
      <c r="M27" s="11">
        <f t="shared" ca="1" si="27"/>
        <v>175767.02321198655</v>
      </c>
      <c r="N27" s="12">
        <f t="shared" si="28"/>
        <v>3216.5170370000001</v>
      </c>
      <c r="O27" s="13">
        <f t="shared" ca="1" si="29"/>
        <v>46.407882982512128</v>
      </c>
      <c r="P27" s="13">
        <f t="shared" ca="1" si="30"/>
        <v>54.645139817422503</v>
      </c>
    </row>
    <row r="28" spans="1:16" ht="14.25" customHeight="1"/>
    <row r="29" spans="1:16" ht="14.25" customHeight="1">
      <c r="L29" s="3" t="s">
        <v>174</v>
      </c>
      <c r="O29" s="14">
        <f ca="1">MEDIAN(O25:O27)</f>
        <v>46.407882982512128</v>
      </c>
      <c r="P29" s="14">
        <f ca="1">MEDIAN(P25:P27)</f>
        <v>54.645139817422503</v>
      </c>
    </row>
    <row r="30" spans="1:16" ht="14.25" customHeight="1"/>
    <row r="31" spans="1:16" ht="14.25" customHeight="1">
      <c r="B31" s="4"/>
      <c r="C31" s="209" t="s">
        <v>3</v>
      </c>
      <c r="D31" s="210"/>
      <c r="E31" s="206"/>
      <c r="F31" s="207"/>
      <c r="G31" s="208"/>
      <c r="H31" s="208"/>
      <c r="I31" s="208"/>
      <c r="J31" s="208"/>
      <c r="K31" s="208"/>
      <c r="L31" s="206"/>
      <c r="M31" s="207"/>
      <c r="N31" s="208"/>
      <c r="O31" s="209" t="s">
        <v>173</v>
      </c>
      <c r="P31" s="210"/>
    </row>
    <row r="32" spans="1:16" ht="14.25" customHeight="1">
      <c r="B32" s="4" t="s">
        <v>11</v>
      </c>
      <c r="C32" s="4" t="s">
        <v>12</v>
      </c>
      <c r="D32" s="4" t="s">
        <v>13</v>
      </c>
      <c r="G32" s="207"/>
      <c r="H32" s="207"/>
      <c r="I32" s="207"/>
      <c r="J32" s="207"/>
      <c r="K32" s="207"/>
      <c r="N32" s="207"/>
      <c r="O32" s="4" t="s">
        <v>12</v>
      </c>
      <c r="P32" s="4" t="s">
        <v>13</v>
      </c>
    </row>
    <row r="33" spans="1:16" ht="14.25" customHeight="1">
      <c r="B33" s="3" t="s">
        <v>153</v>
      </c>
      <c r="C33" s="5">
        <v>0.1</v>
      </c>
      <c r="D33" s="5">
        <v>0.1</v>
      </c>
      <c r="G33" s="6"/>
      <c r="H33" s="6"/>
      <c r="I33" s="6"/>
      <c r="J33" s="6"/>
      <c r="K33" s="6"/>
      <c r="N33" s="6"/>
    </row>
    <row r="34" spans="1:16" ht="14.25" customHeight="1">
      <c r="A34" s="3" t="s">
        <v>23</v>
      </c>
      <c r="B34" s="18">
        <v>2.88</v>
      </c>
      <c r="C34" s="8">
        <f ca="1">CHOOSE($H$2,Output!$O$25,Output!$O$26,Output!$O$27)*(1-'Valuation '!$C$33)</f>
        <v>6.4879321361250524</v>
      </c>
      <c r="D34" s="8">
        <f ca="1">CHOOSE($H$2,Output!$O$25,Output!$O$26,Output!$O$27)*(1+'Valuation '!$C$33)</f>
        <v>7.9296948330417312</v>
      </c>
      <c r="E34" s="11"/>
      <c r="F34" s="11"/>
      <c r="G34" s="19"/>
      <c r="H34" s="19"/>
      <c r="I34" s="19"/>
      <c r="J34" s="19"/>
      <c r="K34" s="19"/>
      <c r="L34" s="11"/>
      <c r="M34" s="11"/>
      <c r="N34" s="20"/>
      <c r="O34" s="13">
        <f ca="1">$B34*C34</f>
        <v>18.68524455204015</v>
      </c>
      <c r="P34" s="13">
        <f t="shared" ref="P34:P35" ca="1" si="31">$B34*D34</f>
        <v>22.837521119160186</v>
      </c>
    </row>
    <row r="35" spans="1:16" ht="14.25" customHeight="1">
      <c r="A35" s="3" t="s">
        <v>24</v>
      </c>
      <c r="B35" s="18">
        <v>3.1</v>
      </c>
      <c r="C35" s="8">
        <f ca="1">CHOOSE($H$2,Output!$T$25,Output!$T$26,Output!$T$27)*(1-'Valuation '!$C$33)</f>
        <v>6.2829616484120487</v>
      </c>
      <c r="D35" s="8">
        <f ca="1">CHOOSE($H$2,Output!$T$25,Output!$T$26,Output!$T$27)*(1+'Valuation '!$C$33)</f>
        <v>7.6791753480591716</v>
      </c>
      <c r="E35" s="11"/>
      <c r="F35" s="11"/>
      <c r="G35" s="19"/>
      <c r="H35" s="19"/>
      <c r="I35" s="19"/>
      <c r="J35" s="19"/>
      <c r="K35" s="19"/>
      <c r="L35" s="11"/>
      <c r="M35" s="11"/>
      <c r="N35" s="20"/>
      <c r="O35" s="13">
        <f t="shared" ref="O35" ca="1" si="32">$B35*C35</f>
        <v>19.477181110077353</v>
      </c>
      <c r="P35" s="13">
        <f t="shared" ca="1" si="31"/>
        <v>23.805443578983432</v>
      </c>
    </row>
    <row r="36" spans="1:16" ht="14.25" customHeight="1"/>
    <row r="37" spans="1:16" ht="14.25" customHeight="1">
      <c r="L37" s="3" t="s">
        <v>174</v>
      </c>
      <c r="O37" s="14">
        <f ca="1">MEDIAN(O34:O35)</f>
        <v>19.08121283105875</v>
      </c>
      <c r="P37" s="14">
        <f ca="1">MEDIAN(P34:P35)</f>
        <v>23.321482349071808</v>
      </c>
    </row>
    <row r="38" spans="1:16" ht="14.25" customHeight="1">
      <c r="O38" s="13"/>
      <c r="P38" s="13"/>
    </row>
    <row r="39" spans="1:16" ht="14.25" customHeight="1">
      <c r="O39" s="13"/>
      <c r="P39" s="13"/>
    </row>
    <row r="40" spans="1:16" ht="14.25" customHeight="1">
      <c r="N40" s="13"/>
      <c r="O40" s="13"/>
      <c r="P40" s="13"/>
    </row>
    <row r="41" spans="1:16" ht="14.25" customHeight="1"/>
    <row r="42" spans="1:16" ht="14.25" customHeight="1">
      <c r="A42" s="21" t="s">
        <v>176</v>
      </c>
      <c r="B42" s="21"/>
      <c r="C42" s="21"/>
    </row>
    <row r="43" spans="1:16" ht="14.25" customHeight="1"/>
    <row r="44" spans="1:16" ht="14.25" customHeight="1">
      <c r="A44" s="3" t="s">
        <v>25</v>
      </c>
      <c r="C44" s="92">
        <f t="shared" ref="C44" si="33">3216517037/10^6</f>
        <v>3216.5170370000001</v>
      </c>
    </row>
    <row r="45" spans="1:16" ht="14.25" customHeight="1">
      <c r="A45" s="3" t="s">
        <v>26</v>
      </c>
      <c r="C45" s="96">
        <f>C44+H73+G81</f>
        <v>3216.5170370000001</v>
      </c>
    </row>
    <row r="46" spans="1:16" ht="14.25" customHeight="1"/>
    <row r="47" spans="1:16" ht="14.25" customHeight="1"/>
    <row r="48" spans="1:16" ht="14.25" customHeight="1">
      <c r="A48" s="3" t="s">
        <v>177</v>
      </c>
      <c r="C48" s="22">
        <v>370</v>
      </c>
    </row>
    <row r="49" spans="1:10" ht="14.25" customHeight="1">
      <c r="A49" s="203" t="s">
        <v>27</v>
      </c>
      <c r="B49" s="204"/>
      <c r="C49" s="204"/>
      <c r="D49" s="204"/>
      <c r="E49" s="204"/>
      <c r="F49" s="204"/>
      <c r="G49" s="204"/>
      <c r="H49" s="205"/>
    </row>
    <row r="50" spans="1:10" ht="14.25" customHeight="1">
      <c r="A50" s="23"/>
      <c r="B50" s="24"/>
      <c r="C50" s="24" t="s">
        <v>28</v>
      </c>
      <c r="D50" s="25"/>
      <c r="E50" s="26" t="s">
        <v>29</v>
      </c>
      <c r="F50" s="26"/>
      <c r="G50" s="26"/>
      <c r="H50" s="27" t="s">
        <v>30</v>
      </c>
    </row>
    <row r="51" spans="1:10" ht="14.25" customHeight="1">
      <c r="A51" s="28"/>
      <c r="B51" s="29" t="s">
        <v>31</v>
      </c>
      <c r="C51" s="29" t="s">
        <v>32</v>
      </c>
      <c r="D51" s="29" t="s">
        <v>33</v>
      </c>
      <c r="E51" s="29" t="s">
        <v>34</v>
      </c>
      <c r="F51" s="29" t="s">
        <v>35</v>
      </c>
      <c r="G51" s="30" t="s">
        <v>36</v>
      </c>
      <c r="H51" s="31" t="s">
        <v>37</v>
      </c>
    </row>
    <row r="52" spans="1:10" ht="14.25" customHeight="1">
      <c r="A52" s="161" t="s">
        <v>151</v>
      </c>
      <c r="B52" s="32">
        <v>0</v>
      </c>
      <c r="C52" s="33"/>
      <c r="D52" s="34"/>
      <c r="E52" s="35"/>
      <c r="F52" s="36">
        <f t="shared" ref="F52:F53" si="34">E52*C52</f>
        <v>0</v>
      </c>
      <c r="G52" s="35">
        <f t="shared" ref="G52:G53" si="35">F52/$C$48</f>
        <v>0</v>
      </c>
      <c r="H52" s="37">
        <f t="shared" ref="H52:H53" si="36">E52-G52</f>
        <v>0</v>
      </c>
      <c r="I52" s="159">
        <f>B52*(1-C52/C48)</f>
        <v>0</v>
      </c>
      <c r="J52" t="b">
        <f>H52=I52</f>
        <v>1</v>
      </c>
    </row>
    <row r="53" spans="1:10" ht="14.25" customHeight="1">
      <c r="A53" s="161" t="s">
        <v>150</v>
      </c>
      <c r="B53" s="32">
        <v>0</v>
      </c>
      <c r="C53" s="33"/>
      <c r="D53" s="34"/>
      <c r="E53" s="35"/>
      <c r="F53" s="36">
        <f t="shared" si="34"/>
        <v>0</v>
      </c>
      <c r="G53" s="35">
        <f t="shared" si="35"/>
        <v>0</v>
      </c>
      <c r="H53" s="37">
        <f t="shared" si="36"/>
        <v>0</v>
      </c>
    </row>
    <row r="54" spans="1:10" ht="14.25" customHeight="1">
      <c r="A54" s="28"/>
      <c r="B54" s="30"/>
      <c r="C54" s="30"/>
      <c r="D54" s="30"/>
      <c r="E54" s="30"/>
      <c r="F54" s="30"/>
      <c r="G54" s="30"/>
      <c r="H54" s="38">
        <f>SUM(H52:H53)</f>
        <v>0</v>
      </c>
    </row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>
      <c r="A60" s="39" t="s">
        <v>154</v>
      </c>
      <c r="B60" s="40">
        <v>2024</v>
      </c>
      <c r="C60" s="40">
        <v>2025</v>
      </c>
      <c r="D60" s="40">
        <v>2026</v>
      </c>
      <c r="E60" s="40">
        <v>2027</v>
      </c>
      <c r="F60" s="41"/>
      <c r="G60" s="42"/>
    </row>
    <row r="61" spans="1:10" ht="14.25" customHeight="1">
      <c r="A61" s="43" t="s">
        <v>39</v>
      </c>
      <c r="B61" s="162">
        <v>97690</v>
      </c>
      <c r="C61" s="162">
        <v>111850</v>
      </c>
      <c r="D61" s="162">
        <v>133556</v>
      </c>
      <c r="E61" s="162">
        <v>155709</v>
      </c>
      <c r="G61" s="44"/>
    </row>
    <row r="62" spans="1:10" ht="14.25" customHeight="1">
      <c r="A62" s="43" t="s">
        <v>40</v>
      </c>
      <c r="B62" s="162">
        <v>16645</v>
      </c>
      <c r="C62" s="162">
        <v>18539</v>
      </c>
      <c r="D62" s="162">
        <v>23639</v>
      </c>
      <c r="E62" s="162">
        <v>29410</v>
      </c>
      <c r="G62" s="45"/>
    </row>
    <row r="63" spans="1:10" ht="14.25" customHeight="1">
      <c r="A63" s="46" t="s">
        <v>41</v>
      </c>
      <c r="B63" s="47">
        <v>7076</v>
      </c>
      <c r="C63" s="47">
        <v>9715</v>
      </c>
      <c r="D63" s="47">
        <v>13389</v>
      </c>
      <c r="E63" s="202">
        <v>17195</v>
      </c>
      <c r="F63" s="48"/>
      <c r="G63" s="49"/>
    </row>
    <row r="64" spans="1:10" ht="14.25" customHeight="1">
      <c r="A64" s="50"/>
    </row>
    <row r="65" spans="1:7" ht="14.25" customHeight="1"/>
    <row r="66" spans="1:7" ht="14.25" customHeight="1"/>
    <row r="67" spans="1:7" ht="14.25" customHeight="1">
      <c r="A67" s="182" t="s">
        <v>179</v>
      </c>
      <c r="B67" s="182"/>
      <c r="C67" s="182"/>
      <c r="D67" s="182"/>
      <c r="E67" s="182"/>
      <c r="F67" s="182"/>
      <c r="G67" s="182"/>
    </row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.25" customHeight="1"/>
    <row r="77" spans="1:7" ht="14.25" customHeight="1"/>
    <row r="78" spans="1:7" ht="14.25" customHeight="1"/>
    <row r="79" spans="1:7" ht="14.25" customHeight="1"/>
    <row r="80" spans="1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1">
    <mergeCell ref="L4:M4"/>
    <mergeCell ref="N4:N5"/>
    <mergeCell ref="O4:P4"/>
    <mergeCell ref="C4:D4"/>
    <mergeCell ref="E4:F4"/>
    <mergeCell ref="G4:G5"/>
    <mergeCell ref="H4:H5"/>
    <mergeCell ref="I4:I5"/>
    <mergeCell ref="J4:J5"/>
    <mergeCell ref="K4:K5"/>
    <mergeCell ref="L13:M13"/>
    <mergeCell ref="N13:N14"/>
    <mergeCell ref="O13:P13"/>
    <mergeCell ref="C13:D13"/>
    <mergeCell ref="E13:F13"/>
    <mergeCell ref="G13:G14"/>
    <mergeCell ref="H13:H14"/>
    <mergeCell ref="I13:I14"/>
    <mergeCell ref="J13:J14"/>
    <mergeCell ref="K13:K14"/>
    <mergeCell ref="L22:M22"/>
    <mergeCell ref="N22:N23"/>
    <mergeCell ref="O22:P22"/>
    <mergeCell ref="C22:D22"/>
    <mergeCell ref="E22:F22"/>
    <mergeCell ref="G22:G23"/>
    <mergeCell ref="H22:H23"/>
    <mergeCell ref="I22:I23"/>
    <mergeCell ref="J22:J23"/>
    <mergeCell ref="K22:K23"/>
    <mergeCell ref="A49:H49"/>
    <mergeCell ref="L31:M31"/>
    <mergeCell ref="N31:N32"/>
    <mergeCell ref="O31:P31"/>
    <mergeCell ref="C31:D31"/>
    <mergeCell ref="E31:F31"/>
    <mergeCell ref="G31:G32"/>
    <mergeCell ref="H31:H32"/>
    <mergeCell ref="I31:I32"/>
    <mergeCell ref="J31:J32"/>
    <mergeCell ref="K31:K32"/>
  </mergeCells>
  <dataValidations count="1">
    <dataValidation type="list" allowBlank="1" showInputMessage="1" showErrorMessage="1" sqref="G2" xr:uid="{2DCC3829-22AE-4AD1-8CD1-29DAFC4435A7}">
      <formula1>$W$2:$W$4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showGridLines="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N14" sqref="M14:N14"/>
    </sheetView>
  </sheetViews>
  <sheetFormatPr defaultColWidth="14.453125" defaultRowHeight="15" customHeight="1"/>
  <cols>
    <col min="1" max="1" width="26.08984375" customWidth="1"/>
    <col min="2" max="4" width="8.6328125" customWidth="1"/>
    <col min="5" max="5" width="9.90625" customWidth="1"/>
    <col min="6" max="6" width="15" customWidth="1"/>
    <col min="7" max="7" width="8.6328125" customWidth="1"/>
    <col min="8" max="8" width="9.90625" bestFit="1" customWidth="1"/>
    <col min="9" max="10" width="8.6328125" customWidth="1"/>
    <col min="11" max="11" width="1.90625" customWidth="1"/>
    <col min="12" max="12" width="8.6328125" customWidth="1"/>
    <col min="13" max="13" width="10.453125" customWidth="1"/>
    <col min="14" max="15" width="8.6328125" customWidth="1"/>
    <col min="16" max="16" width="1.90625" customWidth="1"/>
    <col min="17" max="17" width="8.6328125" customWidth="1"/>
    <col min="18" max="18" width="10.453125" customWidth="1"/>
    <col min="19" max="26" width="8.6328125" customWidth="1"/>
  </cols>
  <sheetData>
    <row r="1" spans="1:21" ht="14.25" customHeight="1">
      <c r="A1" s="51" t="s">
        <v>42</v>
      </c>
    </row>
    <row r="2" spans="1:21" ht="14.25" customHeight="1">
      <c r="A2" s="3" t="s">
        <v>43</v>
      </c>
    </row>
    <row r="3" spans="1:21" ht="0.75" customHeight="1"/>
    <row r="4" spans="1:21" ht="0.75" customHeight="1"/>
    <row r="5" spans="1:21" ht="14.25" customHeight="1"/>
    <row r="6" spans="1:21" ht="14.25" customHeight="1">
      <c r="A6" s="3" t="s">
        <v>44</v>
      </c>
      <c r="C6" s="200" t="s">
        <v>167</v>
      </c>
    </row>
    <row r="7" spans="1:21" ht="14.25" customHeight="1">
      <c r="A7" s="3" t="s">
        <v>45</v>
      </c>
      <c r="C7" s="15" t="s">
        <v>46</v>
      </c>
    </row>
    <row r="8" spans="1:21" ht="14.25" customHeight="1">
      <c r="A8" s="3" t="s">
        <v>47</v>
      </c>
      <c r="C8" s="15" t="s">
        <v>48</v>
      </c>
    </row>
    <row r="9" spans="1:21" ht="0.75" customHeight="1"/>
    <row r="10" spans="1:21" ht="0.75" customHeight="1"/>
    <row r="11" spans="1:21" ht="14.25" customHeight="1">
      <c r="B11" s="52" t="s">
        <v>49</v>
      </c>
      <c r="C11" s="52"/>
      <c r="D11" s="52" t="s">
        <v>50</v>
      </c>
      <c r="E11" s="52" t="s">
        <v>51</v>
      </c>
      <c r="F11" s="52" t="s">
        <v>52</v>
      </c>
      <c r="G11" s="52" t="s">
        <v>53</v>
      </c>
      <c r="H11" s="52" t="s">
        <v>54</v>
      </c>
      <c r="I11" s="52" t="s">
        <v>55</v>
      </c>
      <c r="J11" s="52" t="s">
        <v>56</v>
      </c>
      <c r="K11" s="52"/>
      <c r="L11" s="52" t="s">
        <v>57</v>
      </c>
      <c r="M11" s="52" t="s">
        <v>58</v>
      </c>
      <c r="N11" s="52" t="s">
        <v>59</v>
      </c>
      <c r="O11" s="52" t="s">
        <v>60</v>
      </c>
      <c r="Q11" s="3" t="s">
        <v>61</v>
      </c>
      <c r="R11" s="52" t="s">
        <v>62</v>
      </c>
      <c r="S11" s="52" t="s">
        <v>63</v>
      </c>
      <c r="T11" s="52" t="s">
        <v>64</v>
      </c>
      <c r="U11" s="52" t="s">
        <v>65</v>
      </c>
    </row>
    <row r="12" spans="1:21" ht="14.25" customHeight="1">
      <c r="A12" s="15"/>
      <c r="B12" s="213" t="s">
        <v>66</v>
      </c>
      <c r="C12" s="213" t="s">
        <v>67</v>
      </c>
      <c r="D12" s="15"/>
      <c r="E12" s="15"/>
      <c r="F12" s="15"/>
      <c r="G12" s="214" t="s">
        <v>68</v>
      </c>
      <c r="H12" s="215"/>
      <c r="I12" s="215"/>
      <c r="J12" s="210"/>
      <c r="L12" s="214" t="s">
        <v>69</v>
      </c>
      <c r="M12" s="215"/>
      <c r="N12" s="215"/>
      <c r="O12" s="210"/>
      <c r="P12" s="17"/>
      <c r="Q12" s="216" t="s">
        <v>70</v>
      </c>
      <c r="R12" s="215"/>
      <c r="S12" s="215"/>
      <c r="T12" s="210"/>
      <c r="U12" s="16"/>
    </row>
    <row r="13" spans="1:21" ht="14.25" customHeight="1">
      <c r="A13" s="53" t="s">
        <v>71</v>
      </c>
      <c r="B13" s="212"/>
      <c r="C13" s="212"/>
      <c r="D13" s="54" t="s">
        <v>72</v>
      </c>
      <c r="E13" s="54" t="s">
        <v>73</v>
      </c>
      <c r="F13" s="54" t="s">
        <v>74</v>
      </c>
      <c r="G13" s="54" t="s">
        <v>75</v>
      </c>
      <c r="H13" s="54" t="s">
        <v>76</v>
      </c>
      <c r="I13" s="54" t="s">
        <v>77</v>
      </c>
      <c r="J13" s="54" t="s">
        <v>78</v>
      </c>
      <c r="K13" s="17"/>
      <c r="L13" s="54" t="s">
        <v>75</v>
      </c>
      <c r="M13" s="54" t="s">
        <v>76</v>
      </c>
      <c r="N13" s="54" t="s">
        <v>77</v>
      </c>
      <c r="O13" s="54" t="s">
        <v>78</v>
      </c>
      <c r="P13" s="17"/>
      <c r="Q13" s="54" t="s">
        <v>75</v>
      </c>
      <c r="R13" s="54" t="s">
        <v>76</v>
      </c>
      <c r="S13" s="54" t="s">
        <v>77</v>
      </c>
      <c r="T13" s="54" t="s">
        <v>78</v>
      </c>
      <c r="U13" s="15" t="s">
        <v>79</v>
      </c>
    </row>
    <row r="14" spans="1:21" ht="14.25" customHeight="1">
      <c r="A14" s="3" t="s">
        <v>161</v>
      </c>
      <c r="B14" t="str" cm="1">
        <f t="array" aca="1" ref="B14" ca="1">INDIRECT($A14&amp;"!"&amp;B$11)</f>
        <v>USD</v>
      </c>
      <c r="C14" s="55">
        <v>1</v>
      </c>
      <c r="D14" s="56" cm="1">
        <f t="array" aca="1" ref="D14" ca="1">INDIRECT($A14&amp;"!"&amp;D$11)</f>
        <v>9.6500000000000021</v>
      </c>
      <c r="E14" s="56" cm="1">
        <f t="array" aca="1" ref="E14" ca="1">INDIRECT($A14&amp;"!"&amp;E$11)*$C14</f>
        <v>39170.775343600006</v>
      </c>
      <c r="F14" s="56" cm="1">
        <f t="array" aca="1" ref="F14" ca="1">INDIRECT($A14&amp;"!"&amp;F$11)*$C14</f>
        <v>172921.77534360002</v>
      </c>
      <c r="G14" s="57" cm="1">
        <f t="array" aca="1" ref="G14" ca="1">$F14/(INDIRECT($A14&amp;"!"&amp;G$11)*$C14)</f>
        <v>0.93475272089387662</v>
      </c>
      <c r="H14" s="57" cm="1">
        <f t="array" aca="1" ref="H14" ca="1">$F14/(INDIRECT($A14&amp;"!"&amp;H$11)*$C14)</f>
        <v>10.757186646569208</v>
      </c>
      <c r="I14" s="57" cm="1">
        <f t="array" aca="1" ref="I14" ca="1">$F14/(INDIRECT($A14&amp;"!"&amp;I$11)*$C14)</f>
        <v>16.93982908930251</v>
      </c>
      <c r="J14" s="57" cm="1">
        <f t="array" aca="1" ref="J14" ca="1">$E14/(INDIRECT($A14&amp;"!"&amp;J$11)*$C14)</f>
        <v>5.2926327987569257</v>
      </c>
      <c r="K14" s="57"/>
      <c r="L14" s="57" cm="1">
        <f t="array" aca="1" ref="L14" ca="1">$F14/(INDIRECT($A14&amp;"!"&amp;L$11)*$C14)</f>
        <v>1.0018642835666283</v>
      </c>
      <c r="M14" s="57" cm="1">
        <f t="array" aca="1" ref="M14" ca="1">$F14/(INDIRECT($A14&amp;"!"&amp;M$11)*$C14)</f>
        <v>11.342107788508462</v>
      </c>
      <c r="N14" s="57" cm="1">
        <f t="array" aca="1" ref="N14" ca="1">$F14/(INDIRECT($A14&amp;"!"&amp;N$11)*$C14)</f>
        <v>16.93982908930251</v>
      </c>
      <c r="O14" s="57" cm="1">
        <f t="array" aca="1" ref="O14" ca="1">$E14/(INDIRECT($A14&amp;"!"&amp;O$11)*$C14)</f>
        <v>6.6628296212961402</v>
      </c>
      <c r="P14" s="57"/>
      <c r="Q14" s="57" cm="1">
        <f t="array" aca="1" ref="Q14" ca="1">$F14/(INDIRECT($A14&amp;"!"&amp;Q$11)*$C14)</f>
        <v>0.99191638517303304</v>
      </c>
      <c r="R14" s="57" cm="1">
        <f t="array" aca="1" ref="R14" ca="1">$F14/(INDIRECT($A14&amp;"!"&amp;R$11)*$C14)</f>
        <v>13.677274012781778</v>
      </c>
      <c r="S14" s="57" cm="1">
        <f t="array" aca="1" ref="S14" ca="1">$F14/(INDIRECT($A14&amp;"!"&amp;S$11)*$C14)</f>
        <v>22.693146370551183</v>
      </c>
      <c r="T14" s="57" cm="1">
        <f t="array" aca="1" ref="T14" ca="1">$E14/(INDIRECT($A14&amp;"!"&amp;T$11)*$C14)</f>
        <v>6.9810684982356097</v>
      </c>
      <c r="U14" s="157" cm="1">
        <f t="array" aca="1" ref="U14" ca="1">INDIRECT($A14&amp;"!"&amp;U$11)</f>
        <v>-5.3998676152397396E-2</v>
      </c>
    </row>
    <row r="15" spans="1:21" ht="14.25" customHeight="1">
      <c r="A15" s="3" t="s">
        <v>166</v>
      </c>
      <c r="B15" t="str" cm="1">
        <f t="array" aca="1" ref="B15" ca="1">INDIRECT($A15&amp;"!"&amp;B$11)</f>
        <v>USD</v>
      </c>
      <c r="C15" s="55">
        <v>1</v>
      </c>
      <c r="D15" s="56" cm="1">
        <f t="array" aca="1" ref="D15" ca="1">INDIRECT($A15&amp;"!"&amp;D$11)</f>
        <v>24</v>
      </c>
      <c r="E15" s="56" cm="1">
        <f t="array" aca="1" ref="E15" ca="1">INDIRECT($A15&amp;"!"&amp;E$11)*$C15</f>
        <v>51743.396207999998</v>
      </c>
      <c r="F15" s="56" cm="1">
        <f t="array" aca="1" ref="F15" ca="1">INDIRECT($A15&amp;"!"&amp;F$11)*$C15</f>
        <v>38488.671207999992</v>
      </c>
      <c r="G15" s="57" cm="1">
        <f t="array" aca="1" ref="G15" ca="1">$F15/(INDIRECT($A15&amp;"!"&amp;G$11)*$C15)</f>
        <v>2.1560110283575367</v>
      </c>
      <c r="H15" s="57" cm="1">
        <f t="array" aca="1" ref="H15" ca="1">$F15/(INDIRECT($A15&amp;"!"&amp;H$11)*$C15)</f>
        <v>31.646142316357224</v>
      </c>
      <c r="I15" s="57" cm="1">
        <f t="array" aca="1" ref="I15" ca="1">$F15/(INDIRECT($A15&amp;"!"&amp;I$11)*$C15)</f>
        <v>31.646142316357224</v>
      </c>
      <c r="J15" s="57" cm="1">
        <f t="array" aca="1" ref="J15" ca="1">$E15/(INDIRECT($A15&amp;"!"&amp;J$11)*$C15)</f>
        <v>33.677240527189298</v>
      </c>
      <c r="K15" s="58"/>
      <c r="L15" s="57" cm="1">
        <f t="array" aca="1" ref="L15" ca="1">$F15/(INDIRECT($A15&amp;"!"&amp;L$11)*$C15)</f>
        <v>0.26364451086740592</v>
      </c>
      <c r="M15" s="57" cm="1">
        <f t="array" aca="1" ref="M15" ca="1">$F15/(INDIRECT($A15&amp;"!"&amp;M$11)*$C15)</f>
        <v>4.3081118432952756</v>
      </c>
      <c r="N15" s="57" cm="1">
        <f t="array" aca="1" ref="N15" ca="1">$F15/(INDIRECT($A15&amp;"!"&amp;N$11)*$C15)</f>
        <v>6.1730025995188438</v>
      </c>
      <c r="O15" s="57" cm="1">
        <f t="array" aca="1" ref="O15" ca="1">$E15/(INDIRECT($A15&amp;"!"&amp;O$11)*$C15)</f>
        <v>6.7709233457210152</v>
      </c>
      <c r="Q15" s="57" cm="1">
        <f t="array" aca="1" ref="Q15" ca="1">$F15/(INDIRECT($A15&amp;"!"&amp;Q$11)*$C15)</f>
        <v>0.20038668420175765</v>
      </c>
      <c r="R15" s="57" cm="1">
        <f t="array" aca="1" ref="R15" ca="1">$F15/(INDIRECT($A15&amp;"!"&amp;R$11)*$C15)</f>
        <v>2.6784043986082109</v>
      </c>
      <c r="S15" s="57" cm="1">
        <f t="array" aca="1" ref="S15" ca="1">$F15/(INDIRECT($A15&amp;"!"&amp;S$11)*$C15)</f>
        <v>3.5184816900996427</v>
      </c>
      <c r="T15" s="57" cm="1">
        <f t="array" aca="1" ref="T15" ca="1">$E15/(INDIRECT($A15&amp;"!"&amp;T$11)*$C15)</f>
        <v>4.4217566405742605</v>
      </c>
      <c r="U15" s="157" cm="1">
        <f t="array" aca="1" ref="U15" ca="1">INDIRECT($A15&amp;"!"&amp;U$11)</f>
        <v>1.4752047554939685</v>
      </c>
    </row>
    <row r="16" spans="1:21" ht="14.25" customHeight="1">
      <c r="A16" s="3" t="s">
        <v>158</v>
      </c>
      <c r="B16" t="str" cm="1">
        <f t="array" aca="1" ref="B16" ca="1">INDIRECT($A16&amp;"!"&amp;B$11)</f>
        <v>USD</v>
      </c>
      <c r="C16" s="55">
        <v>1</v>
      </c>
      <c r="D16" s="56" cm="1">
        <f t="array" aca="1" ref="D16" ca="1">INDIRECT($A16&amp;"!"&amp;D$11)</f>
        <v>51.37</v>
      </c>
      <c r="E16" s="56" cm="1">
        <f t="array" aca="1" ref="E16" ca="1">INDIRECT($A16&amp;"!"&amp;E$11)*$C16</f>
        <v>51824.160140669999</v>
      </c>
      <c r="F16" s="56">
        <f ca="1">INDIRECT($A16&amp;"!"&amp;F$11)*$C16</f>
        <v>156263.16014066999</v>
      </c>
      <c r="G16" s="57" cm="1">
        <f t="array" aca="1" ref="G16" ca="1">$F16/(INDIRECT($A16&amp;"!"&amp;G$11)*$C16)</f>
        <v>0.83366140000997635</v>
      </c>
      <c r="H16" s="57" cm="1">
        <f t="array" aca="1" ref="H16" ca="1">$F16/(INDIRECT($A16&amp;"!"&amp;H$11)*$C16)</f>
        <v>5.7262325530679021</v>
      </c>
      <c r="I16" s="57" cm="1">
        <f t="array" aca="1" ref="I16" ca="1">$F16/(INDIRECT($A16&amp;"!"&amp;I$11)*$C16)</f>
        <v>10.487460412125502</v>
      </c>
      <c r="J16" s="57" cm="1">
        <f t="array" aca="1" ref="J16" ca="1">$E16/(INDIRECT($A16&amp;"!"&amp;J$11)*$C16)</f>
        <v>4.3304443856368131</v>
      </c>
      <c r="K16" s="57"/>
      <c r="L16" s="57" cm="1">
        <f t="array" aca="1" ref="L16" ca="1">$F16/(INDIRECT($A16&amp;"!"&amp;L$11)*$C16)</f>
        <v>0.83366140000997635</v>
      </c>
      <c r="M16" s="57" cm="1">
        <f t="array" aca="1" ref="M16" ca="1">$F16/(INDIRECT($A16&amp;"!"&amp;M$11)*$C16)</f>
        <v>5.921302013666919</v>
      </c>
      <c r="N16" s="57" cm="1">
        <f t="array" aca="1" ref="N16" ca="1">$F16/(INDIRECT($A16&amp;"!"&amp;N$11)*$C16)</f>
        <v>10.463583778001205</v>
      </c>
      <c r="O16" s="57" cm="1">
        <f t="array" aca="1" ref="O16" ca="1">$E16/(INDIRECT($A16&amp;"!"&amp;O$11)*$C16)</f>
        <v>7.2088134845833913</v>
      </c>
      <c r="P16" s="57"/>
      <c r="Q16" s="57" cm="1">
        <f t="array" aca="1" ref="Q16" ca="1">$F16/(INDIRECT($A16&amp;"!"&amp;Q$11)*$C16)</f>
        <v>0.85798066283057606</v>
      </c>
      <c r="R16" s="57" cm="1">
        <f t="array" aca="1" ref="R16" ca="1">$F16/(INDIRECT($A16&amp;"!"&amp;R$11)*$C16)</f>
        <v>6.64695053556808</v>
      </c>
      <c r="S16" s="57" cm="1">
        <f t="array" aca="1" ref="S16" ca="1">$F16/(INDIRECT($A16&amp;"!"&amp;S$11)*$C16)</f>
        <v>11.216132654369078</v>
      </c>
      <c r="T16" s="57" cm="1">
        <f t="array" aca="1" ref="T16" ca="1">$E16/(INDIRECT($A16&amp;"!"&amp;T$11)*$C16)</f>
        <v>4.9234429166511493</v>
      </c>
      <c r="U16" s="157" cm="1">
        <f t="array" aca="1" ref="U16" ca="1">INDIRECT($A16&amp;"!"&amp;U$11)</f>
        <v>-3.6257886778286785E-2</v>
      </c>
    </row>
    <row r="17" spans="1:21" ht="14.25" customHeight="1">
      <c r="A17" s="3" t="s">
        <v>165</v>
      </c>
      <c r="B17" t="s">
        <v>178</v>
      </c>
      <c r="C17" s="55">
        <v>1.04</v>
      </c>
      <c r="D17" s="56" cm="1">
        <f t="array" aca="1" ref="D17" ca="1">INDIRECT($A17&amp;"!"&amp;D$11)</f>
        <v>416.42</v>
      </c>
      <c r="E17" s="56" cm="1">
        <f t="array" aca="1" ref="E17" ca="1">INDIRECT($A17&amp;"!"&amp;E$11)*$C17</f>
        <v>103686.42027931202</v>
      </c>
      <c r="F17" s="56" cm="1">
        <f t="array" aca="1" ref="F17" ca="1">INDIRECT($A17&amp;"!"&amp;F$11)*$C17</f>
        <v>96642.929799312013</v>
      </c>
      <c r="G17" s="57" cm="1">
        <f t="array" aca="1" ref="G17" ca="1">$F17/(INDIRECT($A17&amp;"!"&amp;G$11)*$C17)</f>
        <v>14.374739874672965</v>
      </c>
      <c r="H17" s="57" cm="1">
        <f t="array" aca="1" ref="H17" ca="1">$F17/(INDIRECT($A17&amp;"!"&amp;H$11)*$C17)</f>
        <v>37.614662002695852</v>
      </c>
      <c r="I17" s="57" cm="1">
        <f t="array" aca="1" ref="I17" ca="1">$F17/(INDIRECT($A17&amp;"!"&amp;I$11)*$C17)</f>
        <v>51.855967655022326</v>
      </c>
      <c r="J17" s="57" cm="1">
        <f t="array" aca="1" ref="J17" ca="1">$E17/(INDIRECT($A17&amp;"!"&amp;J$11)*$C17)</f>
        <v>69.481038452660897</v>
      </c>
      <c r="K17" s="58"/>
      <c r="L17" s="57" cm="1">
        <f t="array" aca="1" ref="L17" ca="1">$F17/(INDIRECT($A17&amp;"!"&amp;L$11)*$C17)</f>
        <v>13.917312271648946</v>
      </c>
      <c r="M17" s="57" cm="1">
        <f t="array" aca="1" ref="M17" ca="1">$F17/(INDIRECT($A17&amp;"!"&amp;M$11)*$C17)</f>
        <v>36.370212930645792</v>
      </c>
      <c r="N17" s="57" cm="1">
        <f t="array" aca="1" ref="N17" ca="1">$F17/(INDIRECT($A17&amp;"!"&amp;N$11)*$C17)</f>
        <v>49.219223536970347</v>
      </c>
      <c r="O17" s="57" cm="1">
        <f t="array" aca="1" ref="O17" ca="1">$E17/(INDIRECT($A17&amp;"!"&amp;O$11)*$C17)</f>
        <v>65.333211689252963</v>
      </c>
      <c r="Q17" s="57" cm="1">
        <f t="array" aca="1" ref="Q17" ca="1">$F17/(INDIRECT($A17&amp;"!"&amp;Q$11)*$C17)</f>
        <v>12.971230323534339</v>
      </c>
      <c r="R17" s="57" cm="1">
        <f t="array" aca="1" ref="R17" ca="1">$F17/(INDIRECT($A17&amp;"!"&amp;R$11)*$C17)</f>
        <v>33.559369461105092</v>
      </c>
      <c r="S17" s="57" cm="1">
        <f t="array" aca="1" ref="S17" ca="1">$F17/(INDIRECT($A17&amp;"!"&amp;S$11)*$C17)</f>
        <v>44.313731062374828</v>
      </c>
      <c r="T17" s="57" cm="1">
        <f t="array" aca="1" ref="T17" ca="1">$E17/(INDIRECT($A17&amp;"!"&amp;T$11)*$C17)</f>
        <v>61.504306624182611</v>
      </c>
      <c r="U17" s="157" cm="1">
        <f t="array" aca="1" ref="U17" ca="1">INDIRECT($A17&amp;"!"&amp;U$11)</f>
        <v>0.11127471714508252</v>
      </c>
    </row>
    <row r="18" spans="1:21" ht="14.25" customHeight="1">
      <c r="A18" s="3" t="s">
        <v>164</v>
      </c>
      <c r="B18" t="s">
        <v>178</v>
      </c>
      <c r="C18" s="55">
        <v>1.04</v>
      </c>
      <c r="D18" s="56" cm="1">
        <f t="array" aca="1" ref="D18" ca="1">INDIRECT($A18&amp;"!"&amp;D$11)</f>
        <v>14.05</v>
      </c>
      <c r="E18" s="56" cm="1">
        <f t="array" aca="1" ref="E18" ca="1">INDIRECT($A18&amp;"!"&amp;E$11)*$C18</f>
        <v>45571.725974683999</v>
      </c>
      <c r="F18" s="56" cm="1">
        <f t="array" aca="1" ref="F18" ca="1">INDIRECT($A18&amp;"!"&amp;F$11)*$C18</f>
        <v>140970.92597468401</v>
      </c>
      <c r="G18" s="57" cm="1">
        <f t="array" aca="1" ref="G18" ca="1">$F18/(INDIRECT($A18&amp;"!"&amp;G$11)*$C18)</f>
        <v>0.76932095647017762</v>
      </c>
      <c r="H18" s="57" cm="1">
        <f t="array" aca="1" ref="H18" ca="1">$F18/(INDIRECT($A18&amp;"!"&amp;H$11)*$C18)</f>
        <v>5.196035085803274</v>
      </c>
      <c r="I18" s="57" cm="1">
        <f t="array" aca="1" ref="I18" ca="1">$F18/(INDIRECT($A18&amp;"!"&amp;I$11)*$C18)</f>
        <v>7.2563686982521416</v>
      </c>
      <c r="J18" s="57" cm="1">
        <f t="array" aca="1" ref="J18" ca="1">$E18/(INDIRECT($A18&amp;"!"&amp;J$11)*$C18)</f>
        <v>3215.7895851323033</v>
      </c>
      <c r="K18" s="58"/>
      <c r="L18" s="57" cm="1">
        <f t="array" aca="1" ref="L18" ca="1">$F18/(INDIRECT($A18&amp;"!"&amp;L$11)*$C18)</f>
        <v>0.87025364529173466</v>
      </c>
      <c r="M18" s="57" cm="1">
        <f t="array" aca="1" ref="M18" ca="1">$F18/(INDIRECT($A18&amp;"!"&amp;M$11)*$C18)</f>
        <v>8.3016270996662183</v>
      </c>
      <c r="N18" s="57" cm="1">
        <f t="array" aca="1" ref="N18" ca="1">$F18/(INDIRECT($A18&amp;"!"&amp;N$11)*$C18)</f>
        <v>14.116743103868988</v>
      </c>
      <c r="O18" s="57" cm="1">
        <f t="array" aca="1" ref="O18" ca="1">$E18/(INDIRECT($A18&amp;"!"&amp;O$11)*$C18)</f>
        <v>6.9819896882329511</v>
      </c>
      <c r="Q18" s="57" cm="1">
        <f t="array" aca="1" ref="Q18" ca="1">$F18/(INDIRECT($A18&amp;"!"&amp;Q$11)*$C18)</f>
        <v>0.83408589693899526</v>
      </c>
      <c r="R18" s="57" cm="1">
        <f t="array" aca="1" ref="R18" ca="1">$F18/(INDIRECT($A18&amp;"!"&amp;R$11)*$C18)</f>
        <v>7.3416545135324709</v>
      </c>
      <c r="S18" s="57" cm="1">
        <f t="array" aca="1" ref="S18" ca="1">$F18/(INDIRECT($A18&amp;"!"&amp;S$11)*$C18)</f>
        <v>12.891009727375179</v>
      </c>
      <c r="T18" s="57" cm="1">
        <f t="array" aca="1" ref="T18" ca="1">$E18/(INDIRECT($A18&amp;"!"&amp;T$11)*$C18)</f>
        <v>5.4521546949545856</v>
      </c>
      <c r="U18" s="157" cm="1">
        <f t="array" aca="1" ref="U18" ca="1">INDIRECT($A18&amp;"!"&amp;U$11)</f>
        <v>-0.13581052468504873</v>
      </c>
    </row>
    <row r="19" spans="1:21" ht="14.25" customHeight="1">
      <c r="A19" s="3"/>
      <c r="C19" s="55"/>
      <c r="D19" s="56"/>
      <c r="E19" s="56"/>
      <c r="F19" s="56"/>
      <c r="G19" s="57"/>
      <c r="H19" s="57"/>
      <c r="I19" s="57"/>
      <c r="J19" s="57"/>
      <c r="K19" s="58"/>
      <c r="L19" s="57"/>
      <c r="M19" s="57"/>
      <c r="N19" s="57"/>
      <c r="O19" s="57"/>
      <c r="Q19" s="57"/>
      <c r="R19" s="57"/>
      <c r="S19" s="57"/>
      <c r="T19" s="57"/>
      <c r="U19" s="157"/>
    </row>
    <row r="20" spans="1:21" ht="14.25" customHeight="1">
      <c r="A20" s="3"/>
      <c r="C20" s="55"/>
      <c r="D20" s="56"/>
      <c r="E20" s="56"/>
      <c r="F20" s="56"/>
      <c r="G20" s="57"/>
      <c r="H20" s="57"/>
      <c r="I20" s="57"/>
      <c r="J20" s="57"/>
      <c r="K20" s="58"/>
      <c r="L20" s="57"/>
      <c r="M20" s="57"/>
      <c r="N20" s="57"/>
      <c r="O20" s="57"/>
      <c r="Q20" s="57"/>
      <c r="R20" s="57"/>
      <c r="S20" s="57"/>
      <c r="T20" s="57"/>
      <c r="U20" s="157"/>
    </row>
    <row r="21" spans="1:21" ht="14.25" customHeight="1">
      <c r="A21" s="3"/>
      <c r="C21" s="55"/>
      <c r="D21" s="56"/>
      <c r="E21" s="56"/>
      <c r="F21" s="56"/>
      <c r="G21" s="57"/>
      <c r="H21" s="57"/>
      <c r="I21" s="57"/>
      <c r="J21" s="57"/>
      <c r="K21" s="58"/>
      <c r="L21" s="57"/>
      <c r="M21" s="57"/>
      <c r="N21" s="57"/>
      <c r="O21" s="57"/>
      <c r="Q21" s="57"/>
      <c r="R21" s="57"/>
      <c r="S21" s="57"/>
      <c r="T21" s="57"/>
      <c r="U21" s="157"/>
    </row>
    <row r="22" spans="1:21" ht="14.25" customHeight="1">
      <c r="A22" s="3"/>
      <c r="C22" s="55"/>
      <c r="D22" s="56"/>
      <c r="E22" s="56"/>
      <c r="F22" s="56"/>
      <c r="G22" s="57"/>
      <c r="H22" s="57"/>
      <c r="I22" s="57"/>
      <c r="J22" s="57"/>
      <c r="K22" s="58"/>
      <c r="L22" s="57"/>
      <c r="M22" s="57"/>
      <c r="N22" s="57"/>
      <c r="O22" s="57"/>
      <c r="Q22" s="57"/>
      <c r="R22" s="57"/>
      <c r="S22" s="57"/>
      <c r="T22" s="57"/>
      <c r="U22" s="157"/>
    </row>
    <row r="23" spans="1:21" ht="14.25" customHeight="1">
      <c r="A23" s="3"/>
      <c r="C23" s="55"/>
      <c r="D23" s="56"/>
      <c r="E23" s="56"/>
      <c r="F23" s="56"/>
      <c r="G23" s="57"/>
      <c r="H23" s="57"/>
      <c r="I23" s="57"/>
      <c r="J23" s="57"/>
      <c r="K23" s="58"/>
      <c r="L23" s="57"/>
      <c r="M23" s="57"/>
      <c r="N23" s="57"/>
      <c r="O23" s="57"/>
      <c r="Q23" s="57"/>
      <c r="R23" s="57"/>
      <c r="S23" s="57"/>
      <c r="T23" s="57"/>
      <c r="U23" s="157"/>
    </row>
    <row r="24" spans="1:21" ht="14.25" customHeight="1">
      <c r="B24" s="20"/>
      <c r="C24" s="11"/>
      <c r="D24" s="56"/>
      <c r="E24" s="59"/>
      <c r="F24" s="60" t="s">
        <v>80</v>
      </c>
      <c r="G24" s="61">
        <f ca="1">AVERAGE(G14:G23)</f>
        <v>3.8136971960809065</v>
      </c>
      <c r="H24" s="61">
        <f t="shared" ref="H24:J24" ca="1" si="0">AVERAGE(H14:H23)</f>
        <v>18.188051720898692</v>
      </c>
      <c r="I24" s="61">
        <f t="shared" ca="1" si="0"/>
        <v>23.637153634211941</v>
      </c>
      <c r="J24" s="61">
        <f t="shared" ca="1" si="0"/>
        <v>665.71418825930937</v>
      </c>
      <c r="K24" s="62"/>
      <c r="L24" s="61">
        <f t="shared" ref="L24:O24" ca="1" si="1">AVERAGE(L14:L23)</f>
        <v>3.3773472222769385</v>
      </c>
      <c r="M24" s="61">
        <f ca="1">AVERAGE(M14:M23)</f>
        <v>13.248672335156533</v>
      </c>
      <c r="N24" s="61">
        <f t="shared" ca="1" si="1"/>
        <v>19.382476421532377</v>
      </c>
      <c r="O24" s="61">
        <f t="shared" ca="1" si="1"/>
        <v>18.591553565817293</v>
      </c>
      <c r="P24" s="62"/>
      <c r="Q24" s="61">
        <f t="shared" ref="Q24:T24" ca="1" si="2">AVERAGE(Q14:Q23)</f>
        <v>3.1711199905357406</v>
      </c>
      <c r="R24" s="61">
        <f t="shared" ca="1" si="2"/>
        <v>12.780730584319127</v>
      </c>
      <c r="S24" s="61">
        <f t="shared" ca="1" si="2"/>
        <v>18.926500300953983</v>
      </c>
      <c r="T24" s="61">
        <f t="shared" ca="1" si="2"/>
        <v>16.656545874919644</v>
      </c>
      <c r="U24" s="61"/>
    </row>
    <row r="25" spans="1:21" ht="14.25" customHeight="1">
      <c r="B25" s="20"/>
      <c r="C25" s="11"/>
      <c r="D25" s="56"/>
      <c r="E25" s="59"/>
      <c r="F25" s="63" t="s">
        <v>1</v>
      </c>
      <c r="G25" s="64">
        <f ca="1">MEDIAN(G14:G23)</f>
        <v>0.93475272089387662</v>
      </c>
      <c r="H25" s="64">
        <f t="shared" ref="H25:J25" ca="1" si="3">MEDIAN(H14:H23)</f>
        <v>10.757186646569208</v>
      </c>
      <c r="I25" s="64">
        <f t="shared" ca="1" si="3"/>
        <v>16.93982908930251</v>
      </c>
      <c r="J25" s="64">
        <f t="shared" ca="1" si="3"/>
        <v>33.677240527189298</v>
      </c>
      <c r="K25" s="62"/>
      <c r="L25" s="64">
        <f t="shared" ref="L25:O25" ca="1" si="4">MEDIAN(L14:L23)</f>
        <v>0.87025364529173466</v>
      </c>
      <c r="M25" s="64">
        <f t="shared" ca="1" si="4"/>
        <v>8.3016270996662183</v>
      </c>
      <c r="N25" s="64">
        <f t="shared" ca="1" si="4"/>
        <v>14.116743103868988</v>
      </c>
      <c r="O25" s="64">
        <f t="shared" ca="1" si="4"/>
        <v>6.9819896882329511</v>
      </c>
      <c r="P25" s="62"/>
      <c r="Q25" s="64">
        <f t="shared" ref="Q25:T25" ca="1" si="5">MEDIAN(Q14:Q23)</f>
        <v>0.85798066283057606</v>
      </c>
      <c r="R25" s="160">
        <f t="shared" ca="1" si="5"/>
        <v>7.3416545135324709</v>
      </c>
      <c r="S25" s="64">
        <f t="shared" ca="1" si="5"/>
        <v>12.891009727375179</v>
      </c>
      <c r="T25" s="64">
        <f t="shared" ca="1" si="5"/>
        <v>5.4521546949545856</v>
      </c>
      <c r="U25" s="65"/>
    </row>
    <row r="26" spans="1:21" ht="14.25" customHeight="1">
      <c r="B26" s="20"/>
      <c r="C26" s="11"/>
      <c r="D26" s="56"/>
      <c r="E26" s="59"/>
      <c r="F26" s="66" t="s">
        <v>2</v>
      </c>
      <c r="G26" s="64">
        <f ca="1">QUARTILE(G14:G23,1)</f>
        <v>0.83366140000997635</v>
      </c>
      <c r="H26" s="64">
        <f t="shared" ref="H26:T26" ca="1" si="6">QUARTILE(H14:H23,1)</f>
        <v>5.7262325530679021</v>
      </c>
      <c r="I26" s="64">
        <f t="shared" ca="1" si="6"/>
        <v>10.487460412125502</v>
      </c>
      <c r="J26" s="64">
        <f t="shared" ca="1" si="6"/>
        <v>5.2926327987569257</v>
      </c>
      <c r="K26" s="62"/>
      <c r="L26" s="64">
        <f t="shared" ca="1" si="6"/>
        <v>0.83366140000997635</v>
      </c>
      <c r="M26" s="64">
        <f t="shared" ca="1" si="6"/>
        <v>5.921302013666919</v>
      </c>
      <c r="N26" s="64">
        <f t="shared" ca="1" si="6"/>
        <v>10.463583778001205</v>
      </c>
      <c r="O26" s="64">
        <f t="shared" ca="1" si="6"/>
        <v>6.7709233457210152</v>
      </c>
      <c r="P26" s="62"/>
      <c r="Q26" s="64">
        <f t="shared" ca="1" si="6"/>
        <v>0.83408589693899526</v>
      </c>
      <c r="R26" s="64">
        <f t="shared" ca="1" si="6"/>
        <v>6.64695053556808</v>
      </c>
      <c r="S26" s="64">
        <f t="shared" ca="1" si="6"/>
        <v>11.216132654369078</v>
      </c>
      <c r="T26" s="64">
        <f t="shared" ca="1" si="6"/>
        <v>4.9234429166511493</v>
      </c>
      <c r="U26" s="65"/>
    </row>
    <row r="27" spans="1:21" ht="14.25" customHeight="1">
      <c r="B27" s="20"/>
      <c r="C27" s="11"/>
      <c r="D27" s="56"/>
      <c r="E27" s="59"/>
      <c r="F27" s="67" t="s">
        <v>10</v>
      </c>
      <c r="G27" s="68">
        <f ca="1">QUARTILE(G14:G23,3)</f>
        <v>2.1560110283575367</v>
      </c>
      <c r="H27" s="68">
        <f t="shared" ref="H27:T27" ca="1" si="7">QUARTILE(H14:H23,3)</f>
        <v>31.646142316357224</v>
      </c>
      <c r="I27" s="68">
        <f t="shared" ca="1" si="7"/>
        <v>31.646142316357224</v>
      </c>
      <c r="J27" s="68">
        <f t="shared" ca="1" si="7"/>
        <v>69.481038452660897</v>
      </c>
      <c r="K27" s="62"/>
      <c r="L27" s="68">
        <f t="shared" ca="1" si="7"/>
        <v>1.0018642835666283</v>
      </c>
      <c r="M27" s="68">
        <f t="shared" ca="1" si="7"/>
        <v>11.342107788508462</v>
      </c>
      <c r="N27" s="68">
        <f t="shared" ca="1" si="7"/>
        <v>16.93982908930251</v>
      </c>
      <c r="O27" s="68">
        <f t="shared" ca="1" si="7"/>
        <v>7.2088134845833913</v>
      </c>
      <c r="P27" s="62"/>
      <c r="Q27" s="68">
        <f t="shared" ca="1" si="7"/>
        <v>0.99191638517303304</v>
      </c>
      <c r="R27" s="68">
        <f t="shared" ca="1" si="7"/>
        <v>13.677274012781778</v>
      </c>
      <c r="S27" s="68">
        <f t="shared" ca="1" si="7"/>
        <v>22.693146370551183</v>
      </c>
      <c r="T27" s="68">
        <f t="shared" ca="1" si="7"/>
        <v>6.9810684982356097</v>
      </c>
      <c r="U27" s="69"/>
    </row>
    <row r="28" spans="1:21" ht="14.25" customHeight="1">
      <c r="B28" s="20"/>
      <c r="C28" s="20"/>
      <c r="D28" s="70"/>
      <c r="E28" s="58"/>
      <c r="F28" s="58"/>
      <c r="G28" s="59"/>
      <c r="H28" s="59"/>
      <c r="I28" s="59"/>
      <c r="J28" s="59"/>
      <c r="K28" s="59"/>
    </row>
    <row r="29" spans="1:21" ht="14.25" customHeight="1">
      <c r="A29" s="71"/>
      <c r="J29" s="58"/>
      <c r="K29" s="58"/>
    </row>
    <row r="30" spans="1:21" ht="14.25" customHeight="1">
      <c r="A30" s="3"/>
      <c r="J30" s="58"/>
      <c r="K30" s="58"/>
    </row>
    <row r="31" spans="1:21" ht="14.25" customHeight="1">
      <c r="A31" s="201"/>
      <c r="B31" s="72"/>
      <c r="J31" s="73"/>
      <c r="K31" s="73"/>
    </row>
    <row r="32" spans="1:21" ht="14.25" customHeight="1">
      <c r="A32" s="3"/>
    </row>
    <row r="33" spans="1:1" ht="14.25" customHeight="1">
      <c r="A33" s="3"/>
    </row>
    <row r="34" spans="1:1" ht="14.25" customHeight="1">
      <c r="A34" s="3"/>
    </row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C57" workbookViewId="0">
      <selection activeCell="C64" sqref="C64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4.36328125" bestFit="1" customWidth="1"/>
    <col min="4" max="5" width="10.54296875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9.54296875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81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156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DATE(2024,12,31)</f>
        <v>45657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DATE(2024,10,23)</f>
        <v>45588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92">
        <v>379</v>
      </c>
      <c r="D15" s="92"/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92">
        <f t="shared" ref="C16" si="0">3216517037/10^6</f>
        <v>3216.5170370000001</v>
      </c>
      <c r="D16" s="92"/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96">
        <f>C16+H45+G53</f>
        <v>3216.5170370000001</v>
      </c>
      <c r="D17" s="96"/>
      <c r="E17" s="96"/>
      <c r="F17" s="95"/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C15*C16</f>
        <v>1219059.9570230001</v>
      </c>
      <c r="D18" s="96"/>
      <c r="E18" s="96"/>
      <c r="F18" s="98">
        <f>SUM(C18:E18)</f>
        <v>1219059.9570230001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99">
        <v>704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/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/>
      <c r="F22" s="95"/>
      <c r="G22" s="163"/>
      <c r="H22" s="163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18708</v>
      </c>
      <c r="G23" s="163"/>
      <c r="H23" s="97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f>2456+5757+10495</f>
        <v>18708</v>
      </c>
      <c r="F24" s="9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/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99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/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63">
        <v>16139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07">
        <f>F18+F19+F20+F23+F27+F28-F29</f>
        <v>1222332.9570230001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63">
        <v>20424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1201908.9570230001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>
      <c r="A33" s="85" t="s">
        <v>109</v>
      </c>
      <c r="B33" s="30"/>
      <c r="C33" s="30"/>
      <c r="D33" s="30"/>
      <c r="E33" s="30"/>
      <c r="F33" s="111">
        <f>F18/C17</f>
        <v>379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88" t="s">
        <v>111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20"/>
      <c r="C40" s="121"/>
      <c r="D40" s="122"/>
      <c r="E40" s="123"/>
      <c r="F40" s="96"/>
      <c r="G40" s="123"/>
      <c r="H40" s="124"/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20"/>
      <c r="C41" s="121"/>
      <c r="D41" s="122"/>
      <c r="E41" s="123"/>
      <c r="F41" s="96"/>
      <c r="G41" s="123"/>
      <c r="H41" s="124"/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85"/>
      <c r="C45" s="30"/>
      <c r="D45" s="30"/>
      <c r="E45" s="30"/>
      <c r="F45" s="30"/>
      <c r="G45" s="30"/>
      <c r="H45" s="126"/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1" t="s">
        <v>124</v>
      </c>
      <c r="M57" s="141" t="s">
        <v>125</v>
      </c>
      <c r="N57" s="141" t="s">
        <v>126</v>
      </c>
      <c r="O57" s="141" t="s">
        <v>127</v>
      </c>
      <c r="P57" s="141" t="s">
        <v>128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92">
        <v>97690</v>
      </c>
      <c r="I59" s="92">
        <v>53821</v>
      </c>
      <c r="J59" s="143">
        <v>57879</v>
      </c>
      <c r="K59" s="144">
        <f>H59+I59-J59</f>
        <v>93632</v>
      </c>
      <c r="L59">
        <v>111985</v>
      </c>
      <c r="M59">
        <v>133496</v>
      </c>
      <c r="N59">
        <v>155324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144">
        <f t="shared" ref="K60:K61" si="1">H60+I60-J60</f>
        <v>0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5"/>
      <c r="H61" s="92">
        <v>7076</v>
      </c>
      <c r="I61" s="92">
        <v>7778</v>
      </c>
      <c r="J61" s="92">
        <v>6395</v>
      </c>
      <c r="K61" s="144">
        <f t="shared" si="1"/>
        <v>8459</v>
      </c>
      <c r="L61" s="25">
        <v>9832</v>
      </c>
      <c r="M61">
        <v>13336</v>
      </c>
      <c r="N61">
        <v>17120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92"/>
      <c r="I62" s="92"/>
      <c r="J62" s="92"/>
      <c r="K62" s="110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46"/>
      <c r="I63" s="146"/>
      <c r="J63" s="146"/>
      <c r="K63" s="144"/>
      <c r="L63" s="97"/>
      <c r="P63" s="97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92"/>
      <c r="I64" s="92"/>
      <c r="J64" s="92"/>
      <c r="K64" s="9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46"/>
      <c r="I65" s="146"/>
      <c r="J65" s="146"/>
      <c r="K65" s="144"/>
      <c r="L65" s="97"/>
      <c r="M65" s="97"/>
      <c r="N65" s="97"/>
      <c r="O65" s="97"/>
      <c r="P65" s="97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92">
        <v>7153</v>
      </c>
      <c r="I67" s="92">
        <v>4821</v>
      </c>
      <c r="J67" s="92">
        <v>7031</v>
      </c>
      <c r="K67" s="144">
        <f>H67+I67-J67</f>
        <v>4943</v>
      </c>
      <c r="L67" s="25">
        <v>9175</v>
      </c>
      <c r="M67" s="25">
        <v>11951</v>
      </c>
      <c r="N67" s="25">
        <v>14437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96"/>
      <c r="I68" s="96"/>
      <c r="J68" s="96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/>
      <c r="J69" s="92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96"/>
      <c r="I70" s="96"/>
      <c r="J70" s="96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92"/>
      <c r="I71" s="92"/>
      <c r="J71" s="92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46"/>
      <c r="I72" s="146"/>
      <c r="J72" s="146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92"/>
      <c r="I73" s="92"/>
      <c r="J73" s="92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44"/>
      <c r="I74" s="144"/>
      <c r="J74" s="144"/>
      <c r="K74" s="144"/>
      <c r="L74" s="97"/>
      <c r="M74" s="97"/>
      <c r="N74" s="97"/>
      <c r="O74" s="97"/>
      <c r="P74" s="97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92">
        <v>3498</v>
      </c>
      <c r="I76" s="92">
        <v>3489</v>
      </c>
      <c r="J76" s="92">
        <v>3481</v>
      </c>
      <c r="K76" s="9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47"/>
      <c r="I77" s="147"/>
      <c r="J77" s="147"/>
      <c r="K77" s="147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opLeftCell="D59" workbookViewId="0">
      <selection activeCell="J22" sqref="J22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2.6328125" bestFit="1" customWidth="1"/>
    <col min="4" max="5" width="10.54296875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9.54296875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161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168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DATE(2024,12,31)</f>
        <v>45657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DATE(2024,10,23)</f>
        <v>45588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48">
        <v>9.65</v>
      </c>
      <c r="D15" s="92">
        <f>C15</f>
        <v>9.65</v>
      </c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167">
        <f>3892595628/10^6</f>
        <v>3892.595628</v>
      </c>
      <c r="D16" s="167">
        <f>70852076/10^6</f>
        <v>70.852075999999997</v>
      </c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96">
        <f>C16+H45+G53</f>
        <v>3988.2956279999999</v>
      </c>
      <c r="D17" s="96">
        <f>D16</f>
        <v>70.852075999999997</v>
      </c>
      <c r="E17" s="96"/>
      <c r="F17" s="95">
        <f>SUM(C17:D17)</f>
        <v>4059.147704</v>
      </c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C17*C15</f>
        <v>38487.052810200003</v>
      </c>
      <c r="D18" s="96">
        <f t="shared" ref="D18" si="0">D17*D15</f>
        <v>683.72253339999997</v>
      </c>
      <c r="E18" s="96"/>
      <c r="F18" s="98">
        <f>SUM(C18:D18)</f>
        <v>39170.775343600006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99">
        <v>23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/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162"/>
      <c r="H22" s="162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158522</v>
      </c>
      <c r="G23" s="162"/>
      <c r="H23" s="162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f>18898+1756+84675+53193</f>
        <v>158522</v>
      </c>
      <c r="F24" s="95"/>
      <c r="G24" s="16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>
        <v>0</v>
      </c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178">
        <f>1053+4415-506</f>
        <v>4962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/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99">
        <v>22935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104" t="s">
        <v>106</v>
      </c>
      <c r="B30" s="105"/>
      <c r="C30" s="105"/>
      <c r="D30" s="106"/>
      <c r="E30" s="106"/>
      <c r="F30" s="107">
        <f>F18+F19+F20+F23+F27+F28-F29</f>
        <v>179742.77534360002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99">
        <v>6821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172921.77534360002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>
      <c r="A33" s="85" t="s">
        <v>109</v>
      </c>
      <c r="B33" s="30"/>
      <c r="C33" s="30"/>
      <c r="D33" s="30"/>
      <c r="E33" s="30"/>
      <c r="F33" s="149">
        <f>F18/F17</f>
        <v>9.6500000000000021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20">
        <v>95.7</v>
      </c>
      <c r="C40" s="121">
        <v>0</v>
      </c>
      <c r="D40" s="165" t="str">
        <f>IF(C40&lt;$C$15,"Yes","N0")</f>
        <v>Yes</v>
      </c>
      <c r="E40" s="166">
        <f t="shared" ref="E40" si="1">IF(D40="Yes",B40,0)</f>
        <v>95.7</v>
      </c>
      <c r="F40" s="96"/>
      <c r="G40" s="123"/>
      <c r="H40" s="124">
        <f t="shared" ref="H40" si="2">E40-G40</f>
        <v>95.7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20"/>
      <c r="C41" s="121"/>
      <c r="D41" s="122"/>
      <c r="E41" s="123"/>
      <c r="F41" s="96"/>
      <c r="G41" s="123">
        <f t="shared" ref="G41" si="3">F41/$C$15</f>
        <v>0</v>
      </c>
      <c r="H41" s="124">
        <f t="shared" ref="H41" si="4">E41-G41</f>
        <v>0</v>
      </c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85"/>
      <c r="C45" s="30"/>
      <c r="D45" s="30"/>
      <c r="E45" s="30"/>
      <c r="F45" s="30"/>
      <c r="G45" s="30"/>
      <c r="H45" s="126">
        <f>SUM(H40:H44)</f>
        <v>95.7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 t="s">
        <v>149</v>
      </c>
      <c r="J58" s="25" t="s">
        <v>149</v>
      </c>
      <c r="K58" s="25"/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92">
        <v>184992</v>
      </c>
      <c r="I59" s="92">
        <v>0</v>
      </c>
      <c r="J59" s="143">
        <v>0</v>
      </c>
      <c r="K59" s="144">
        <f>H59+I59-J59</f>
        <v>184992</v>
      </c>
      <c r="L59" s="182">
        <v>172600</v>
      </c>
      <c r="M59" s="182">
        <v>174331</v>
      </c>
      <c r="N59" s="182">
        <v>180104</v>
      </c>
      <c r="O59" s="153"/>
      <c r="P59" s="154">
        <f>(N59/H59)^(1/3)-1</f>
        <v>-8.8863208666182247E-3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97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5"/>
      <c r="H61" s="181">
        <v>5219</v>
      </c>
      <c r="I61" s="181">
        <v>0</v>
      </c>
      <c r="J61" s="181">
        <v>0</v>
      </c>
      <c r="K61" s="144">
        <f>H61+I61-J61</f>
        <v>5219</v>
      </c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92"/>
      <c r="I62" s="92">
        <v>0</v>
      </c>
      <c r="J62" s="92">
        <v>0</v>
      </c>
      <c r="K62" s="110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80">
        <v>10208</v>
      </c>
      <c r="I63" s="170">
        <v>0</v>
      </c>
      <c r="J63" s="170">
        <v>0</v>
      </c>
      <c r="K63" s="144">
        <f>H63+I63-J63</f>
        <v>10208</v>
      </c>
      <c r="L63" s="167">
        <v>10208</v>
      </c>
      <c r="M63" s="167">
        <v>7620</v>
      </c>
      <c r="N63" s="167">
        <v>9842</v>
      </c>
      <c r="O63" s="97"/>
      <c r="P63" s="154">
        <f>(N63/H63)^(1/3)-1</f>
        <v>-1.209716187893084E-2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179">
        <v>5867</v>
      </c>
      <c r="I64" s="92">
        <v>0</v>
      </c>
      <c r="J64" s="92">
        <v>0</v>
      </c>
      <c r="K64" s="97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80">
        <f>H63+H64</f>
        <v>16075</v>
      </c>
      <c r="I65" s="181">
        <v>0</v>
      </c>
      <c r="J65" s="181">
        <v>0</v>
      </c>
      <c r="K65" s="144">
        <f>H65+I65-J65</f>
        <v>16075</v>
      </c>
      <c r="L65" s="167">
        <v>15246</v>
      </c>
      <c r="M65" s="167">
        <v>12643</v>
      </c>
      <c r="N65" s="167">
        <v>13609</v>
      </c>
      <c r="O65" s="97"/>
      <c r="P65" s="154">
        <f>(N65/H65)^(1/3)-1</f>
        <v>-5.3998676152397396E-2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92">
        <v>5879</v>
      </c>
      <c r="I67" s="92">
        <v>0</v>
      </c>
      <c r="J67" s="92">
        <v>0</v>
      </c>
      <c r="K67" s="144">
        <f>H67+I67-J67</f>
        <v>5879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162"/>
      <c r="G68" s="25"/>
      <c r="H68" s="92">
        <f>H62</f>
        <v>0</v>
      </c>
      <c r="I68" s="92">
        <v>0</v>
      </c>
      <c r="J68" s="92">
        <v>0</v>
      </c>
      <c r="K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>
        <v>0</v>
      </c>
      <c r="J69" s="92">
        <v>0</v>
      </c>
      <c r="K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92"/>
      <c r="I70" s="92">
        <v>0</v>
      </c>
      <c r="J70" s="92">
        <v>0</v>
      </c>
      <c r="K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92"/>
      <c r="I71" s="92">
        <v>0</v>
      </c>
      <c r="J71" s="92">
        <v>0</v>
      </c>
      <c r="K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46">
        <v>7416</v>
      </c>
      <c r="I72" s="181">
        <v>0</v>
      </c>
      <c r="J72" s="181">
        <v>0</v>
      </c>
      <c r="K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92">
        <v>15</v>
      </c>
      <c r="I73" s="92">
        <v>0</v>
      </c>
      <c r="J73" s="92">
        <v>0</v>
      </c>
      <c r="K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44">
        <f>H72-H73</f>
        <v>7401</v>
      </c>
      <c r="I74" s="181">
        <v>0</v>
      </c>
      <c r="J74" s="181">
        <v>0</v>
      </c>
      <c r="K74" s="144">
        <f>H74+I74-J74</f>
        <v>7401</v>
      </c>
      <c r="L74" s="167">
        <v>5879</v>
      </c>
      <c r="M74" s="167">
        <v>5611</v>
      </c>
      <c r="N74" s="167">
        <v>7387</v>
      </c>
      <c r="O74" s="97"/>
      <c r="P74" s="154">
        <f>(N74/H74)^(1/3)-1</f>
        <v>-6.309434276747794E-4</v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92">
        <v>4021</v>
      </c>
      <c r="I76" s="92">
        <v>0</v>
      </c>
      <c r="J76" s="92">
        <v>0</v>
      </c>
      <c r="K76" s="97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47">
        <f>H74/H76</f>
        <v>1.8405869186769461</v>
      </c>
      <c r="I77" s="181">
        <v>0</v>
      </c>
      <c r="J77" s="181">
        <v>0</v>
      </c>
      <c r="K77" s="144">
        <f>H77+I77-J77</f>
        <v>1.8405869186769461</v>
      </c>
      <c r="L77" s="182">
        <v>1.46</v>
      </c>
      <c r="M77" s="182">
        <v>1.3360000000000001</v>
      </c>
      <c r="N77" s="182">
        <v>1.857</v>
      </c>
      <c r="O77" s="25"/>
      <c r="P77" s="154">
        <f>(N77/H77)^(1/3)-1</f>
        <v>2.9636442930325302E-3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145"/>
      <c r="C104" s="25"/>
      <c r="D104" s="25"/>
      <c r="E104" s="25"/>
      <c r="F104" s="25"/>
      <c r="G104" s="15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opLeftCell="I62" workbookViewId="0">
      <selection activeCell="L78" sqref="L78:R78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2.6328125" bestFit="1" customWidth="1"/>
    <col min="4" max="4" width="11.1796875" bestFit="1" customWidth="1"/>
    <col min="5" max="5" width="15.36328125" bestFit="1" customWidth="1"/>
    <col min="6" max="6" width="14.36328125" bestFit="1" customWidth="1"/>
    <col min="7" max="7" width="13.453125" customWidth="1"/>
    <col min="8" max="8" width="14" customWidth="1"/>
    <col min="9" max="9" width="13" customWidth="1"/>
    <col min="10" max="10" width="12.6328125" bestFit="1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166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160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169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DATE(2024,12,31)</f>
        <v>45657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DATE(2024,9,30)</f>
        <v>45565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48">
        <v>24</v>
      </c>
      <c r="D15" s="133">
        <v>24</v>
      </c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163">
        <f>1738408250/10^6</f>
        <v>1738.40825</v>
      </c>
      <c r="D16" s="163">
        <f>355812080/10^6</f>
        <v>355.81207999999998</v>
      </c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198">
        <f>C16+H45+G53</f>
        <v>1800.1627619999999</v>
      </c>
      <c r="D17" s="96">
        <f>D16</f>
        <v>355.81207999999998</v>
      </c>
      <c r="E17" s="96"/>
      <c r="F17" s="95"/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 t="shared" ref="C18:D18" si="0">C15*C17</f>
        <v>43203.906287999998</v>
      </c>
      <c r="D18" s="96">
        <f t="shared" si="0"/>
        <v>8539.48992</v>
      </c>
      <c r="E18" s="96"/>
      <c r="F18" s="98">
        <f>SUM(C18:E18)</f>
        <v>51743.396207999998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162">
        <f>60930/1000</f>
        <v>60.93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>
        <f>E21</f>
        <v>0</v>
      </c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162"/>
      <c r="H21" s="162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16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1228.5340000000001</v>
      </c>
      <c r="G23" s="25"/>
      <c r="H23" s="97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f>1228534/1000</f>
        <v>1228.5340000000001</v>
      </c>
      <c r="F24" s="9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/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99">
        <v>0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/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62">
        <f>12863425/1000</f>
        <v>12863.424999999999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07">
        <f>F18+F19+F20+F23+F27+F28-F29</f>
        <v>40169.435207999995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62">
        <f>1680764/1000</f>
        <v>1680.7639999999999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38488.671207999992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>
      <c r="A33" s="85" t="s">
        <v>109</v>
      </c>
      <c r="B33" s="30"/>
      <c r="C33" s="30"/>
      <c r="D33" s="30"/>
      <c r="E33" s="30"/>
      <c r="F33" s="111">
        <f>F18/SUM(C17:E17)</f>
        <v>24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20">
        <v>0</v>
      </c>
      <c r="C40" s="121">
        <v>0</v>
      </c>
      <c r="D40" s="122" t="str">
        <f t="shared" ref="D40:D41" si="1">IF(C40&lt;$C$15,"Yes","N0")</f>
        <v>Yes</v>
      </c>
      <c r="E40" s="123">
        <f t="shared" ref="E40:E41" si="2">IF(D40="Yes",B40,0)</f>
        <v>0</v>
      </c>
      <c r="F40" s="96">
        <f t="shared" ref="F40:F41" si="3">E40*C40</f>
        <v>0</v>
      </c>
      <c r="G40" s="123">
        <f t="shared" ref="G40:G41" si="4">F40/C15</f>
        <v>0</v>
      </c>
      <c r="H40" s="124">
        <f t="shared" ref="H40:H41" si="5">E40-G40</f>
        <v>0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62">
        <f>61754512/10^6</f>
        <v>61.754511999999998</v>
      </c>
      <c r="C41" s="121">
        <v>0</v>
      </c>
      <c r="D41" s="122" t="str">
        <f t="shared" si="1"/>
        <v>Yes</v>
      </c>
      <c r="E41" s="123">
        <f t="shared" si="2"/>
        <v>61.754511999999998</v>
      </c>
      <c r="F41" s="96">
        <f t="shared" si="3"/>
        <v>0</v>
      </c>
      <c r="G41" s="123">
        <f t="shared" si="4"/>
        <v>0</v>
      </c>
      <c r="H41" s="124">
        <f t="shared" si="5"/>
        <v>61.754511999999998</v>
      </c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85"/>
      <c r="C45" s="30"/>
      <c r="D45" s="30"/>
      <c r="E45" s="30"/>
      <c r="F45" s="30"/>
      <c r="G45" s="30"/>
      <c r="H45" s="126">
        <f>SUM(H40:H44)</f>
        <v>61.754511999999998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 t="s">
        <v>149</v>
      </c>
      <c r="J58" s="25" t="s">
        <v>149</v>
      </c>
      <c r="K58" s="25"/>
      <c r="L58" s="151">
        <v>45657</v>
      </c>
      <c r="M58" s="151">
        <f t="shared" ref="M58:N58" si="6">EDATE(L58,12)</f>
        <v>46022</v>
      </c>
      <c r="N58" s="151">
        <f t="shared" si="6"/>
        <v>46387</v>
      </c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169">
        <f>17444096/1000</f>
        <v>17444.096000000001</v>
      </c>
      <c r="I59" s="167">
        <f>4359092/1000</f>
        <v>4359.0919999999996</v>
      </c>
      <c r="J59" s="167">
        <f>3951391/1000</f>
        <v>3951.3910000000001</v>
      </c>
      <c r="K59" s="144">
        <f>H59+I59-J59</f>
        <v>17851.797000000002</v>
      </c>
      <c r="L59" s="92">
        <v>145987</v>
      </c>
      <c r="M59" s="92">
        <v>192072</v>
      </c>
      <c r="N59" s="92">
        <v>237589</v>
      </c>
      <c r="O59" s="153"/>
      <c r="P59" s="154">
        <f>(N59/H59)^(1/3)-1</f>
        <v>1.3881372743357985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97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25"/>
      <c r="H61" s="169">
        <f>1043237/1000</f>
        <v>1043.2370000000001</v>
      </c>
      <c r="I61" s="167">
        <f>64403/1000</f>
        <v>64.403000000000006</v>
      </c>
      <c r="J61" s="167">
        <f>224216/1000</f>
        <v>224.21600000000001</v>
      </c>
      <c r="K61" s="144">
        <f>H61+I61-J61</f>
        <v>883.42400000000009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207"/>
      <c r="H62" s="92"/>
      <c r="I62" s="167"/>
      <c r="J62" s="167"/>
      <c r="K62" s="110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207"/>
      <c r="H63" s="199">
        <f>1378268/1000</f>
        <v>1378.268</v>
      </c>
      <c r="I63" s="199">
        <f>119736/1000</f>
        <v>119.736</v>
      </c>
      <c r="J63" s="199">
        <f>281784/1000</f>
        <v>281.78399999999999</v>
      </c>
      <c r="K63" s="144">
        <f>H63+I63-J63</f>
        <v>1216.2200000000003</v>
      </c>
      <c r="L63" s="92">
        <v>6235</v>
      </c>
      <c r="M63" s="92">
        <v>10939</v>
      </c>
      <c r="N63" s="92">
        <v>16630</v>
      </c>
      <c r="O63" s="97"/>
      <c r="P63" s="154">
        <f>(N63/H63)^(1/3)-1</f>
        <v>1.2936097462927778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92">
        <v>0</v>
      </c>
      <c r="I64" s="92">
        <v>0</v>
      </c>
      <c r="J64" s="92">
        <v>0</v>
      </c>
      <c r="K64" s="9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99">
        <f>H63+H64</f>
        <v>1378.268</v>
      </c>
      <c r="I65" s="199">
        <f t="shared" ref="I65:J65" si="7">I63+I64</f>
        <v>119.736</v>
      </c>
      <c r="J65" s="199">
        <f t="shared" si="7"/>
        <v>281.78399999999999</v>
      </c>
      <c r="K65" s="144">
        <f>H65+I65-J65</f>
        <v>1216.2200000000003</v>
      </c>
      <c r="L65" s="92">
        <v>8934</v>
      </c>
      <c r="M65" s="92">
        <v>14370</v>
      </c>
      <c r="N65" s="92">
        <v>20901</v>
      </c>
      <c r="O65" s="97"/>
      <c r="P65" s="154">
        <f>(N65/H65)^(1/3)-1</f>
        <v>1.4752047554939685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169">
        <f>1663280/1000</f>
        <v>1663.28</v>
      </c>
      <c r="I67" s="167">
        <f>151494/1000</f>
        <v>151.494</v>
      </c>
      <c r="J67" s="167">
        <f>318576/1000</f>
        <v>318.57600000000002</v>
      </c>
      <c r="K67" s="144">
        <f>H67+I67-J67</f>
        <v>1496.1979999999999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96"/>
      <c r="I68" s="123"/>
      <c r="J68" s="13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/>
      <c r="J69" s="92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96"/>
      <c r="I70" s="96"/>
      <c r="J70" s="96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92"/>
      <c r="I71" s="92"/>
      <c r="J71" s="92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99">
        <f>1717991/1000</f>
        <v>1717.991</v>
      </c>
      <c r="I72" s="199">
        <f>206827/1000</f>
        <v>206.827</v>
      </c>
      <c r="J72" s="199">
        <f>376144/1000</f>
        <v>376.14400000000001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167">
        <f>14788/1000</f>
        <v>14.788</v>
      </c>
      <c r="I73" s="182">
        <f>-227/1000</f>
        <v>-0.22700000000000001</v>
      </c>
      <c r="J73" s="167">
        <f>2337/1000</f>
        <v>2.3370000000000002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99">
        <f>1703203/1000</f>
        <v>1703.203</v>
      </c>
      <c r="I74" s="199">
        <f>207054/10^3</f>
        <v>207.054</v>
      </c>
      <c r="J74" s="199">
        <f>373807/1000</f>
        <v>373.80700000000002</v>
      </c>
      <c r="K74" s="144">
        <f>H74+I74-J74</f>
        <v>1536.45</v>
      </c>
      <c r="L74" s="92">
        <v>7642</v>
      </c>
      <c r="M74" s="92">
        <v>11702</v>
      </c>
      <c r="N74" s="92">
        <v>17605</v>
      </c>
      <c r="O74" s="97"/>
      <c r="P74" s="154">
        <f>(N74/H74)^(1/3)-1</f>
        <v>1.1783276561661351</v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169">
        <f>2115376392/10^6</f>
        <v>2115.3763920000001</v>
      </c>
      <c r="I76" s="167">
        <f>2124856370/10^6</f>
        <v>2124.85637</v>
      </c>
      <c r="J76" s="167">
        <f>2107704975/10^6</f>
        <v>2107.7049750000001</v>
      </c>
      <c r="K76" s="9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47">
        <f>H74/H76</f>
        <v>0.80515363905980464</v>
      </c>
      <c r="I77" s="147">
        <f t="shared" ref="I77:J77" si="8">I74/I76</f>
        <v>9.7443762751832488E-2</v>
      </c>
      <c r="J77" s="147">
        <f t="shared" si="8"/>
        <v>0.17735262023566653</v>
      </c>
      <c r="K77" s="144">
        <f>H77+I77-J77</f>
        <v>0.72524478157597061</v>
      </c>
      <c r="L77" s="92">
        <v>11.1</v>
      </c>
      <c r="M77" s="92">
        <v>7.1509999999999998</v>
      </c>
      <c r="N77" s="92">
        <v>10.55</v>
      </c>
      <c r="O77" s="25"/>
      <c r="P77" s="154">
        <f>(N77/H77)^(1/3)-1</f>
        <v>1.3575336473798885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6">
    <mergeCell ref="G61:G63"/>
    <mergeCell ref="G13:I13"/>
    <mergeCell ref="E48:E49"/>
    <mergeCell ref="G48:G49"/>
    <mergeCell ref="M48:M49"/>
    <mergeCell ref="L56:N5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topLeftCell="G70" workbookViewId="0">
      <selection activeCell="I22" sqref="I22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4" width="10.54296875" customWidth="1"/>
    <col min="5" max="5" width="15.36328125" bestFit="1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9.54296875" customWidth="1"/>
    <col min="11" max="11" width="12" customWidth="1"/>
    <col min="12" max="12" width="10.453125" customWidth="1"/>
    <col min="13" max="13" width="16.453125" customWidth="1"/>
    <col min="14" max="26" width="11.453125" customWidth="1"/>
  </cols>
  <sheetData>
    <row r="1" spans="1:26" ht="15.75" customHeight="1">
      <c r="A1" s="74" t="s">
        <v>157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157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DATE(2023,12,31)</f>
        <v>45291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DATE(2024,9,30)</f>
        <v>45565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48">
        <v>4.5</v>
      </c>
      <c r="D15" s="92"/>
      <c r="E15" s="92">
        <f>C15</f>
        <v>4.5</v>
      </c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92">
        <f>1932063749/10^6</f>
        <v>1932.0637489999999</v>
      </c>
      <c r="D16" s="92"/>
      <c r="E16" s="167">
        <f>148500000/10^6</f>
        <v>148.5</v>
      </c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96">
        <f>C16+H45+G53</f>
        <v>1963.3532665455555</v>
      </c>
      <c r="D17" s="96"/>
      <c r="E17" s="96">
        <f>E16</f>
        <v>148.5</v>
      </c>
      <c r="F17" s="95">
        <f>SUM(C17:E17)</f>
        <v>2111.8532665455555</v>
      </c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C15*C17</f>
        <v>8835.0896994550003</v>
      </c>
      <c r="D18" s="96"/>
      <c r="E18" s="96">
        <f>E17*E15</f>
        <v>668.25</v>
      </c>
      <c r="F18" s="98">
        <f>SUM(C18:E18)</f>
        <v>9503.3396994550003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99">
        <f>24338/10^3</f>
        <v>24.338000000000001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>
        <f>E21</f>
        <v>0</v>
      </c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2966.248</v>
      </c>
      <c r="G23" s="162"/>
      <c r="H23" s="162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f>2966248/10^3</f>
        <v>2966.248</v>
      </c>
      <c r="F24" s="95"/>
      <c r="G24" s="162"/>
      <c r="H24" s="16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>
        <v>0</v>
      </c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99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>
        <v>0</v>
      </c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67">
        <f>3390319/10^3</f>
        <v>3390.319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07">
        <f>F18+F19+F20+F23+F27+F28-F29</f>
        <v>9103.6066994550001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67">
        <f>1903570/10^3</f>
        <v>1903.57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7200.0366994550004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>
      <c r="A33" s="85" t="s">
        <v>109</v>
      </c>
      <c r="B33" s="30"/>
      <c r="C33" s="30"/>
      <c r="D33" s="30"/>
      <c r="E33" s="30"/>
      <c r="F33" s="111">
        <f>F18/F17</f>
        <v>4.5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thickBo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62">
        <f>2285082/10^6</f>
        <v>2.2850820000000001</v>
      </c>
      <c r="C40">
        <v>0</v>
      </c>
      <c r="D40" s="165" t="str">
        <f>IF(C40&lt;$C$15,"Yes","N0")</f>
        <v>Yes</v>
      </c>
      <c r="E40" s="166">
        <f t="shared" ref="E40:E41" si="0">IF(D40="Yes",B40,0)</f>
        <v>2.2850820000000001</v>
      </c>
      <c r="F40" s="96"/>
      <c r="G40" s="123"/>
      <c r="H40" s="124">
        <f t="shared" ref="H40:H41" si="1">E40-G40</f>
        <v>2.2850820000000001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62">
        <f>29004500/10^6</f>
        <v>29.0045</v>
      </c>
      <c r="C41">
        <v>1.0000000000000001E-5</v>
      </c>
      <c r="D41" s="165" t="str">
        <f t="shared" ref="D41" si="2">IF(C41&lt;$C$15,"Yes","N0")</f>
        <v>Yes</v>
      </c>
      <c r="E41" s="166">
        <f t="shared" si="0"/>
        <v>29.0045</v>
      </c>
      <c r="F41" s="168">
        <f>E41*C41</f>
        <v>2.9004500000000001E-4</v>
      </c>
      <c r="G41" s="166">
        <f t="shared" ref="G41" si="3">F41/$C$15</f>
        <v>6.445444444444444E-5</v>
      </c>
      <c r="H41" s="124">
        <f t="shared" si="1"/>
        <v>29.004435545555555</v>
      </c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85"/>
      <c r="C45" s="30"/>
      <c r="D45" s="30"/>
      <c r="E45" s="30"/>
      <c r="F45" s="30"/>
      <c r="G45" s="30"/>
      <c r="H45" s="126">
        <f>SUM(H40:H44)</f>
        <v>31.289517545555555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/>
      <c r="J58" s="25"/>
      <c r="K58" s="25"/>
      <c r="L58" s="151">
        <v>45657</v>
      </c>
      <c r="M58" s="151">
        <f t="shared" ref="M58:N58" si="4">EDATE(L58,12)</f>
        <v>46022</v>
      </c>
      <c r="N58" s="151">
        <f t="shared" si="4"/>
        <v>46387</v>
      </c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162"/>
      <c r="G59" s="25"/>
      <c r="H59" s="92">
        <v>7834</v>
      </c>
      <c r="I59" s="92">
        <v>6530</v>
      </c>
      <c r="J59" s="143">
        <v>5140</v>
      </c>
      <c r="K59" s="144">
        <f>H59+I59-J59</f>
        <v>9224</v>
      </c>
      <c r="L59" s="92">
        <v>68409</v>
      </c>
      <c r="M59" s="92">
        <v>97617</v>
      </c>
      <c r="N59" s="92">
        <v>121142</v>
      </c>
      <c r="O59" s="153"/>
      <c r="P59" s="154">
        <f>(N59/H59)^(1/3)-1</f>
        <v>1.4913632700477493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97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162"/>
      <c r="G61" s="25"/>
      <c r="H61" s="92">
        <v>-3191</v>
      </c>
      <c r="I61" s="92">
        <v>-2183</v>
      </c>
      <c r="J61" s="92">
        <v>-1280</v>
      </c>
      <c r="K61" s="144">
        <f>H61+I61-J61</f>
        <v>-4094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92">
        <v>333</v>
      </c>
      <c r="I62" s="92">
        <v>134</v>
      </c>
      <c r="J62" s="92">
        <v>228</v>
      </c>
      <c r="K62" s="110"/>
      <c r="L62" s="92"/>
      <c r="M62" s="92"/>
      <c r="N62" s="92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46">
        <f>H61+H62</f>
        <v>-2858</v>
      </c>
      <c r="I63" s="146">
        <f t="shared" ref="I63" si="5">I61+I62</f>
        <v>-2049</v>
      </c>
      <c r="J63" s="146">
        <f>J61+J62</f>
        <v>-1052</v>
      </c>
      <c r="K63" s="144">
        <f>H63+I63-J63</f>
        <v>-3855</v>
      </c>
      <c r="L63" s="92">
        <v>-20269</v>
      </c>
      <c r="M63" s="92">
        <v>-16258</v>
      </c>
      <c r="N63" s="92">
        <v>-11350</v>
      </c>
      <c r="O63" s="97"/>
      <c r="P63" s="154">
        <f>(N63/H63)^(1/3)-1</f>
        <v>0.58359654547022166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92">
        <v>475</v>
      </c>
      <c r="I64" s="92">
        <v>428</v>
      </c>
      <c r="J64" s="92">
        <v>357</v>
      </c>
      <c r="K64" s="9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46">
        <f>H63+H64</f>
        <v>-2383</v>
      </c>
      <c r="I65" s="146">
        <f t="shared" ref="I65:J65" si="6">I63+I64</f>
        <v>-1621</v>
      </c>
      <c r="J65" s="146">
        <f t="shared" si="6"/>
        <v>-695</v>
      </c>
      <c r="K65" s="144">
        <f>H65+I65-J65</f>
        <v>-3309</v>
      </c>
      <c r="L65" s="92">
        <v>-15750</v>
      </c>
      <c r="M65" s="92">
        <v>-10977</v>
      </c>
      <c r="N65" s="92">
        <v>-5420</v>
      </c>
      <c r="O65" s="97"/>
      <c r="P65" s="154">
        <f>(N65/H65)^(1/3)-1</f>
        <v>0.31509890068101676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92">
        <v>-2918</v>
      </c>
      <c r="I67" s="92">
        <v>-2330</v>
      </c>
      <c r="J67" s="92">
        <v>-1280</v>
      </c>
      <c r="K67" s="144">
        <f>H67+I67-J67</f>
        <v>-3968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96"/>
      <c r="I68" s="96"/>
      <c r="J68" s="96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/>
      <c r="J69" s="92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96"/>
      <c r="I70" s="96"/>
      <c r="J70" s="96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92"/>
      <c r="I71" s="92"/>
      <c r="J71" s="92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46">
        <v>-2584</v>
      </c>
      <c r="I72" s="146">
        <v>-1960</v>
      </c>
      <c r="J72" s="146">
        <v>-2053</v>
      </c>
      <c r="K72" s="144">
        <f>H72+I72-J72</f>
        <v>-2491</v>
      </c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163">
        <v>26676</v>
      </c>
      <c r="I73" s="92">
        <v>24338</v>
      </c>
      <c r="J73" s="92">
        <v>27298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44">
        <f>H72-H73</f>
        <v>-29260</v>
      </c>
      <c r="I74" s="144">
        <f t="shared" ref="I74:J74" si="7">I72-I73</f>
        <v>-26298</v>
      </c>
      <c r="J74" s="144">
        <f t="shared" si="7"/>
        <v>-29351</v>
      </c>
      <c r="K74" s="144">
        <f>H74+I74-J74</f>
        <v>-26207</v>
      </c>
      <c r="L74" s="92">
        <v>-19806</v>
      </c>
      <c r="M74" s="92">
        <v>-15052</v>
      </c>
      <c r="N74" s="92">
        <v>-10159</v>
      </c>
      <c r="O74" s="97"/>
      <c r="P74" s="154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92">
        <v>1701</v>
      </c>
      <c r="I76" s="92">
        <v>1700</v>
      </c>
      <c r="J76" s="92">
        <v>1637</v>
      </c>
      <c r="K76" s="9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47">
        <f>H74/H76</f>
        <v>-17.201646090534979</v>
      </c>
      <c r="I77" s="147">
        <f t="shared" ref="I77:J77" si="8">I74/I76</f>
        <v>-15.469411764705882</v>
      </c>
      <c r="J77" s="147">
        <f t="shared" si="8"/>
        <v>-17.929749541844838</v>
      </c>
      <c r="K77" s="144">
        <f>H77+I77-J77</f>
        <v>-14.741308313396022</v>
      </c>
      <c r="L77" s="148"/>
      <c r="M77" s="148"/>
      <c r="N77" s="148"/>
      <c r="O77" s="25"/>
      <c r="P77" s="154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topLeftCell="E74" workbookViewId="0">
      <selection activeCell="G22" sqref="G22:H24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9.54296875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158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158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DATE(2024,12,31)</f>
        <v>45657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DATE(2024,9,30)</f>
        <v>45565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thickBo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67">
        <v>51.37</v>
      </c>
      <c r="D15" s="92"/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167">
        <f>995001891/10^6</f>
        <v>995.001891</v>
      </c>
      <c r="D16" s="92"/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96">
        <f>C16+H45+G53</f>
        <v>1008.8409604958147</v>
      </c>
      <c r="D17" s="96"/>
      <c r="E17" s="96"/>
      <c r="F17" s="95">
        <f>SUM(C17:E17)</f>
        <v>1008.8409604958147</v>
      </c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C17*C15</f>
        <v>51824.160140669999</v>
      </c>
      <c r="D18" s="96"/>
      <c r="E18" s="96"/>
      <c r="F18" s="98">
        <f>SUM(C18:E18)</f>
        <v>51824.160140669999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99">
        <v>0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>
        <f>E21</f>
        <v>0</v>
      </c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16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129732</v>
      </c>
      <c r="G23" s="25"/>
      <c r="H23" s="162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v>129732</v>
      </c>
      <c r="F24" s="95"/>
      <c r="G24" s="162"/>
      <c r="H24" s="162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>
        <v>0</v>
      </c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99">
        <v>1844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/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67">
        <v>19872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07">
        <f>F18+F19+F20+F23+F27+F28-F29</f>
        <v>163528.16014066999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67">
        <v>7265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156263.16014066999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>
      <c r="A33" s="85" t="s">
        <v>109</v>
      </c>
      <c r="B33" s="30"/>
      <c r="C33" s="30"/>
      <c r="D33" s="30"/>
      <c r="E33" s="30"/>
      <c r="F33" s="111">
        <f>F18/F17</f>
        <v>51.37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20">
        <v>34.9</v>
      </c>
      <c r="C40" s="121">
        <v>31</v>
      </c>
      <c r="D40" s="165" t="str">
        <f>IF(C40&lt;$C$15,"Yes","N0")</f>
        <v>Yes</v>
      </c>
      <c r="E40" s="166">
        <f t="shared" ref="E40" si="0">IF(D40="Yes",B40,0)</f>
        <v>34.9</v>
      </c>
      <c r="F40" s="168">
        <f t="shared" ref="F40" si="1">E40*C40</f>
        <v>1081.8999999999999</v>
      </c>
      <c r="G40" s="166">
        <f t="shared" ref="G40" si="2">F40/C15</f>
        <v>21.060930504185322</v>
      </c>
      <c r="H40" s="124">
        <f t="shared" ref="H40" si="3">E40-G40</f>
        <v>13.839069495814677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20"/>
      <c r="C41" s="121"/>
      <c r="D41" s="122"/>
      <c r="E41" s="123"/>
      <c r="F41" s="96"/>
      <c r="G41" s="123"/>
      <c r="H41" s="124"/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85"/>
      <c r="C45" s="30"/>
      <c r="D45" s="30"/>
      <c r="E45" s="30"/>
      <c r="F45" s="30"/>
      <c r="G45" s="30"/>
      <c r="H45" s="126">
        <f>SUM(H40:H44)</f>
        <v>13.839069495814677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 t="s">
        <v>149</v>
      </c>
      <c r="J58" s="25" t="s">
        <v>149</v>
      </c>
      <c r="K58" s="25"/>
      <c r="L58" s="156">
        <v>45657</v>
      </c>
      <c r="M58" s="156">
        <f t="shared" ref="M58:N58" si="4">EDATE(L58,12)</f>
        <v>46022</v>
      </c>
      <c r="N58" s="156">
        <f t="shared" si="4"/>
        <v>46387</v>
      </c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171">
        <v>187442</v>
      </c>
      <c r="I59" s="170">
        <v>0</v>
      </c>
      <c r="J59" s="172">
        <v>0</v>
      </c>
      <c r="K59" s="144">
        <f>H59+I59-J59</f>
        <v>187442</v>
      </c>
      <c r="L59" s="92">
        <v>187442</v>
      </c>
      <c r="M59" s="92">
        <v>182129</v>
      </c>
      <c r="N59" s="92">
        <v>183154</v>
      </c>
      <c r="O59" s="153"/>
      <c r="P59" s="154">
        <f>(N59/H59)^(1/3)-1</f>
        <v>-7.6843681848036693E-3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97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5"/>
      <c r="H61" s="171">
        <v>12784</v>
      </c>
      <c r="I61" s="170">
        <v>0</v>
      </c>
      <c r="J61" s="170">
        <v>0</v>
      </c>
      <c r="K61" s="144">
        <f>H61+I61-J61</f>
        <v>12784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92"/>
      <c r="I62" s="92">
        <v>0</v>
      </c>
      <c r="J62" s="92">
        <v>0</v>
      </c>
      <c r="K62" s="110"/>
      <c r="L62" s="92"/>
      <c r="M62" s="92"/>
      <c r="N62" s="92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46">
        <v>14900</v>
      </c>
      <c r="I63" s="170">
        <v>0</v>
      </c>
      <c r="J63" s="170">
        <v>0</v>
      </c>
      <c r="K63" s="144">
        <f>H63+I63-J63</f>
        <v>14900</v>
      </c>
      <c r="L63" s="92">
        <v>14934</v>
      </c>
      <c r="M63" s="92">
        <v>13932</v>
      </c>
      <c r="N63" s="92">
        <v>14030</v>
      </c>
      <c r="O63" s="97"/>
      <c r="P63" s="154">
        <f>(N63/H63)^(1/3)-1</f>
        <v>-1.9854686876576433E-2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92">
        <v>12389</v>
      </c>
      <c r="I64" s="92">
        <v>0</v>
      </c>
      <c r="J64" s="92">
        <v>0</v>
      </c>
      <c r="K64" s="9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46">
        <f>H63+H64</f>
        <v>27289</v>
      </c>
      <c r="I65" s="170">
        <v>0</v>
      </c>
      <c r="J65" s="170">
        <v>0</v>
      </c>
      <c r="K65" s="144">
        <f>H65+I65-J65</f>
        <v>27289</v>
      </c>
      <c r="L65" s="92">
        <v>26390</v>
      </c>
      <c r="M65" s="92">
        <v>23509</v>
      </c>
      <c r="N65" s="92">
        <v>24427</v>
      </c>
      <c r="O65" s="97"/>
      <c r="P65" s="154">
        <f>(N65/H65)^(1/3)-1</f>
        <v>-3.6257886778286785E-2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171">
        <v>5963</v>
      </c>
      <c r="I67" s="170">
        <v>0</v>
      </c>
      <c r="J67" s="170">
        <v>0</v>
      </c>
      <c r="K67" s="144">
        <f>H67+I67-J67</f>
        <v>5963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183">
        <f>H62</f>
        <v>0</v>
      </c>
      <c r="I68" s="179">
        <v>0</v>
      </c>
      <c r="J68" s="179">
        <v>0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>
        <v>0</v>
      </c>
      <c r="J69" s="92">
        <v>0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183"/>
      <c r="I70" s="179">
        <v>0</v>
      </c>
      <c r="J70" s="179">
        <v>0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92"/>
      <c r="I71" s="92">
        <v>0</v>
      </c>
      <c r="J71" s="92">
        <v>0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46">
        <f>H74+H73</f>
        <v>12012.4</v>
      </c>
      <c r="I72" s="170">
        <v>0</v>
      </c>
      <c r="J72" s="170">
        <v>0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92">
        <v>45</v>
      </c>
      <c r="I73" s="92">
        <v>0</v>
      </c>
      <c r="J73" s="92">
        <v>0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44">
        <f>H76*H77</f>
        <v>11967.4</v>
      </c>
      <c r="I74" s="170">
        <v>0</v>
      </c>
      <c r="J74" s="170">
        <v>0</v>
      </c>
      <c r="K74" s="144">
        <f>H74+I74-J74</f>
        <v>11967.4</v>
      </c>
      <c r="L74" s="92">
        <v>7189</v>
      </c>
      <c r="M74" s="92">
        <v>10526</v>
      </c>
      <c r="N74" s="92">
        <v>10383</v>
      </c>
      <c r="O74" s="97"/>
      <c r="P74" s="154">
        <f>(N74/H74)^(1/3)-1</f>
        <v>-4.6235802948479066E-2</v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167">
        <v>1129</v>
      </c>
      <c r="I76" s="92">
        <v>0</v>
      </c>
      <c r="J76" s="92">
        <v>0</v>
      </c>
      <c r="K76" s="9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47">
        <v>10.6</v>
      </c>
      <c r="I77" s="170">
        <v>0</v>
      </c>
      <c r="J77" s="170">
        <v>0</v>
      </c>
      <c r="K77" s="144">
        <f>H77+I77-J77</f>
        <v>10.6</v>
      </c>
      <c r="L77" s="148">
        <v>6.37</v>
      </c>
      <c r="M77" s="148">
        <v>10.49</v>
      </c>
      <c r="N77" s="148">
        <v>11.12</v>
      </c>
      <c r="O77" s="25"/>
      <c r="P77" s="154">
        <f>(N77/H77)^(1/3)-1</f>
        <v>1.6091864179252013E-2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1BA9-B055-4431-B4D8-5D6C4E30BC72}">
  <dimension ref="A1:Z1000"/>
  <sheetViews>
    <sheetView topLeftCell="H49" workbookViewId="0">
      <selection activeCell="I10" sqref="I10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9.54296875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162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thickBo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174"/>
      <c r="H5" s="173"/>
      <c r="I5" s="17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159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DATE(2023,12,31)</f>
        <v>45291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DATE(2024,9,30)</f>
        <v>45565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thickBo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thickBo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thickBo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75">
        <f>416.42</f>
        <v>416.42</v>
      </c>
      <c r="D15" s="92"/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176">
        <f>180418090/10^6</f>
        <v>180.41809000000001</v>
      </c>
      <c r="D16" s="92"/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175">
        <f>C16+H45+G53</f>
        <v>239.41809000000001</v>
      </c>
      <c r="D17" s="96"/>
      <c r="E17" s="96"/>
      <c r="F17" s="95">
        <f>SUM(C17:E17)</f>
        <v>239.41809000000001</v>
      </c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C17*C15</f>
        <v>99698.481037800011</v>
      </c>
      <c r="D18" s="96"/>
      <c r="E18" s="96"/>
      <c r="F18" s="98">
        <f>SUM(C18:E18)</f>
        <v>99698.481037800011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175">
        <f>492413/1000</f>
        <v>492.41300000000001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>
        <f>E21</f>
        <v>0</v>
      </c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16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0</v>
      </c>
      <c r="G23" s="25"/>
      <c r="H23" s="162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v>0</v>
      </c>
      <c r="F24" s="95"/>
      <c r="G24" s="162"/>
      <c r="H24" s="162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>
        <v>0</v>
      </c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99">
        <v>0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99"/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86"/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77">
        <f>F18+F19+F20+F23+F26-F29</f>
        <v>100190.89403780001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67">
        <v>7265</v>
      </c>
      <c r="G31" s="25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92925.894037800012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 thickBot="1">
      <c r="A33" s="85" t="s">
        <v>109</v>
      </c>
      <c r="B33" s="30"/>
      <c r="C33" s="30"/>
      <c r="D33" s="30"/>
      <c r="E33" s="30"/>
      <c r="F33" s="111">
        <f>F18/F17</f>
        <v>416.42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thickBo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thickBo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thickBo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thickBo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thickBo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20">
        <v>59</v>
      </c>
      <c r="C40" s="121">
        <v>0</v>
      </c>
      <c r="D40" s="165" t="str">
        <f>IF(C40&lt;$C$15,"Yes","N0")</f>
        <v>Yes</v>
      </c>
      <c r="E40" s="166">
        <f t="shared" ref="E40" si="0">IF(D40="Yes",B40,0)</f>
        <v>59</v>
      </c>
      <c r="F40" s="96"/>
      <c r="G40" s="123"/>
      <c r="H40" s="124">
        <f t="shared" ref="H40" si="1">E40-G40</f>
        <v>59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20"/>
      <c r="C41" s="121"/>
      <c r="D41" s="122"/>
      <c r="E41" s="123"/>
      <c r="F41" s="96"/>
      <c r="G41" s="123"/>
      <c r="H41" s="124"/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thickBot="1">
      <c r="A45" s="25"/>
      <c r="B45" s="85"/>
      <c r="C45" s="30"/>
      <c r="D45" s="30"/>
      <c r="E45" s="30"/>
      <c r="F45" s="30"/>
      <c r="G45" s="30"/>
      <c r="H45" s="126">
        <f>SUM(H40:H44)</f>
        <v>59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thickBo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thickBo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thickBo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t="s">
        <v>129</v>
      </c>
      <c r="I58" s="3" t="s">
        <v>149</v>
      </c>
      <c r="J58" s="3" t="s">
        <v>149</v>
      </c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194">
        <f>5970146/1000</f>
        <v>5970.1459999999997</v>
      </c>
      <c r="I59" s="194">
        <f>4941127/1000</f>
        <v>4941.1270000000004</v>
      </c>
      <c r="J59" s="194">
        <f>4446746/1000</f>
        <v>4446.7460000000001</v>
      </c>
      <c r="K59" s="195">
        <f>H59+I59-J59</f>
        <v>6464.527000000001</v>
      </c>
      <c r="L59" s="189">
        <v>6677</v>
      </c>
      <c r="M59" s="182">
        <v>7164</v>
      </c>
      <c r="N59" s="182">
        <v>7853</v>
      </c>
      <c r="O59" s="153"/>
      <c r="P59" s="154">
        <f>(N59/H59)^(1/3)-1</f>
        <v>9.5679531196055878E-2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192"/>
      <c r="I60" s="192"/>
      <c r="J60" s="192"/>
      <c r="K60" s="196"/>
      <c r="L60" s="3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5"/>
      <c r="H61" s="193">
        <f>1617369/1000</f>
        <v>1617.3689999999999</v>
      </c>
      <c r="I61" s="193">
        <f>1419817/1000</f>
        <v>1419.817</v>
      </c>
      <c r="J61" s="193">
        <f>1245042/1000</f>
        <v>1245.0419999999999</v>
      </c>
      <c r="K61" s="195">
        <f>H61+I61-J61</f>
        <v>1792.1439999999998</v>
      </c>
      <c r="L61" s="3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194"/>
      <c r="I62" s="194"/>
      <c r="J62" s="194"/>
      <c r="K62" s="197"/>
      <c r="L62" s="3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95">
        <v>1617</v>
      </c>
      <c r="I63" s="195">
        <v>1420</v>
      </c>
      <c r="J63" s="195">
        <v>1245</v>
      </c>
      <c r="K63" s="195">
        <f>H63+I63-J63</f>
        <v>1792</v>
      </c>
      <c r="L63" s="189">
        <v>1888</v>
      </c>
      <c r="M63" s="182">
        <v>2097</v>
      </c>
      <c r="N63" s="182">
        <v>2373</v>
      </c>
      <c r="O63" s="97"/>
      <c r="P63" s="154">
        <f>(N63/H63)^(1/3)-1</f>
        <v>0.13639480433992768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194">
        <f>662305/1000</f>
        <v>662.30499999999995</v>
      </c>
      <c r="I64" s="194">
        <f>492413/1000</f>
        <v>492.41300000000001</v>
      </c>
      <c r="J64" s="194">
        <f>476248/1000</f>
        <v>476.24799999999999</v>
      </c>
      <c r="K64" s="197"/>
      <c r="L64" s="3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95">
        <f>H63+H64</f>
        <v>2279.3049999999998</v>
      </c>
      <c r="I65" s="195">
        <f t="shared" ref="I65:J65" si="2">I63+I64</f>
        <v>1912.413</v>
      </c>
      <c r="J65" s="195">
        <f t="shared" si="2"/>
        <v>1721.248</v>
      </c>
      <c r="K65" s="195">
        <f>H65+I65-J65</f>
        <v>2470.4699999999998</v>
      </c>
      <c r="L65" s="189">
        <v>2555</v>
      </c>
      <c r="M65" s="182">
        <v>2769</v>
      </c>
      <c r="N65" s="182">
        <v>3128</v>
      </c>
      <c r="O65" s="97"/>
      <c r="P65" s="154">
        <f>(N65/H65)^(1/3)-1</f>
        <v>0.11127471714508252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192"/>
      <c r="I66" s="192"/>
      <c r="J66" s="192"/>
      <c r="K66" s="196"/>
      <c r="L66" s="3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194"/>
      <c r="I67" s="194"/>
      <c r="J67" s="194"/>
      <c r="K67" s="197"/>
      <c r="L67" s="3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194">
        <f>1257457/1000</f>
        <v>1257.4570000000001</v>
      </c>
      <c r="I68" s="194">
        <f>1140409/1000</f>
        <v>1140.4090000000001</v>
      </c>
      <c r="J68" s="194">
        <f>962964/1000</f>
        <v>962.96400000000006</v>
      </c>
      <c r="K68" s="197">
        <f>H68+I68-J68</f>
        <v>1434.902</v>
      </c>
      <c r="L68" s="3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194"/>
      <c r="I69" s="194"/>
      <c r="J69" s="194"/>
      <c r="K69" s="197"/>
      <c r="L69" s="3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194"/>
      <c r="I70" s="194"/>
      <c r="J70" s="194"/>
      <c r="K70" s="197"/>
      <c r="L70" s="3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194"/>
      <c r="I71" s="194"/>
      <c r="J71" s="194"/>
      <c r="K71" s="197"/>
      <c r="L71" s="3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95">
        <f>SUM(H67:H71)</f>
        <v>1257.4570000000001</v>
      </c>
      <c r="I72" s="195">
        <f t="shared" ref="I72:J72" si="3">SUM(I67:I71)</f>
        <v>1140.4090000000001</v>
      </c>
      <c r="J72" s="195">
        <f t="shared" si="3"/>
        <v>962.96400000000006</v>
      </c>
      <c r="K72" s="195">
        <f>H72+I72-J72</f>
        <v>1434.902</v>
      </c>
      <c r="L72" s="3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192"/>
      <c r="I73" s="192"/>
      <c r="J73" s="192"/>
      <c r="K73" s="196"/>
      <c r="L73" s="3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95">
        <f>H72-H73</f>
        <v>1257.4570000000001</v>
      </c>
      <c r="I74" s="195">
        <f t="shared" ref="I74:J74" si="4">I72-I73</f>
        <v>1140.4090000000001</v>
      </c>
      <c r="J74" s="195">
        <f t="shared" si="4"/>
        <v>962.96400000000006</v>
      </c>
      <c r="K74" s="195">
        <f>H74+I74-J74</f>
        <v>1434.902</v>
      </c>
      <c r="L74" s="189">
        <v>1526</v>
      </c>
      <c r="M74" s="182">
        <v>1621</v>
      </c>
      <c r="N74" s="182">
        <v>1838</v>
      </c>
      <c r="O74" s="97"/>
      <c r="P74" s="154">
        <f>(N74/H74)^(1/3)-1</f>
        <v>0.13488220959175523</v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O77" s="25"/>
      <c r="P77" s="154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.3" footer="0.3"/>
  <ignoredErrors>
    <ignoredError sqref="C18" evalError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F3DA-4B85-40DF-9043-C0B120D77FCA}">
  <dimension ref="A1:Z1000"/>
  <sheetViews>
    <sheetView tabSelected="1" topLeftCell="A16" workbookViewId="0">
      <selection activeCell="I26" sqref="I26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0.54296875" bestFit="1" customWidth="1"/>
    <col min="4" max="4" width="10.54296875" customWidth="1"/>
    <col min="5" max="5" width="15.36328125" bestFit="1" customWidth="1"/>
    <col min="6" max="6" width="11.453125" customWidth="1"/>
    <col min="7" max="7" width="13.453125" customWidth="1"/>
    <col min="8" max="8" width="14" customWidth="1"/>
    <col min="9" max="9" width="13" customWidth="1"/>
    <col min="10" max="10" width="11.7265625" bestFit="1" customWidth="1"/>
    <col min="11" max="11" width="12" customWidth="1"/>
    <col min="12" max="12" width="10.453125" customWidth="1"/>
    <col min="13" max="13" width="11.54296875" customWidth="1"/>
    <col min="14" max="26" width="11.453125" customWidth="1"/>
  </cols>
  <sheetData>
    <row r="1" spans="1:26" ht="15.75" customHeight="1">
      <c r="A1" s="74" t="s">
        <v>163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tr">
        <f>"(In "&amp;F10&amp;" Millions Except Per Share Data)"</f>
        <v>(In USD Millions Except Per Share Data)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thickBo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77" t="s">
        <v>82</v>
      </c>
      <c r="B4" s="78"/>
      <c r="C4" s="78"/>
      <c r="D4" s="78"/>
      <c r="E4" s="78"/>
      <c r="F4" s="7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80" t="s">
        <v>83</v>
      </c>
      <c r="B5" s="25"/>
      <c r="C5" s="25"/>
      <c r="D5" s="25"/>
      <c r="E5" s="25"/>
      <c r="F5" s="81" t="s">
        <v>155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80" t="s">
        <v>84</v>
      </c>
      <c r="B6" s="25"/>
      <c r="C6" s="25"/>
      <c r="D6" s="25"/>
      <c r="E6" s="25"/>
      <c r="F6" s="82">
        <f>DATE(2025,1,2)</f>
        <v>45659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80" t="s">
        <v>85</v>
      </c>
      <c r="B7" s="25"/>
      <c r="C7" s="25"/>
      <c r="D7" s="25"/>
      <c r="E7" s="25"/>
      <c r="F7" s="83" t="s">
        <v>170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>
      <c r="A8" s="80" t="s">
        <v>86</v>
      </c>
      <c r="B8" s="25"/>
      <c r="C8" s="25"/>
      <c r="D8" s="25"/>
      <c r="E8" s="25"/>
      <c r="F8" s="84">
        <f>DATE(2024,12,31)</f>
        <v>45657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80" t="s">
        <v>87</v>
      </c>
      <c r="B9" s="25"/>
      <c r="C9" s="25"/>
      <c r="D9" s="25"/>
      <c r="E9" s="25"/>
      <c r="F9" s="84">
        <f>DATE(2024,9,30)</f>
        <v>45565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80" t="s">
        <v>66</v>
      </c>
      <c r="B10" s="25"/>
      <c r="C10" s="25"/>
      <c r="D10" s="25"/>
      <c r="E10" s="25"/>
      <c r="F10" s="81" t="s">
        <v>48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thickBot="1">
      <c r="A11" s="85" t="s">
        <v>88</v>
      </c>
      <c r="B11" s="30"/>
      <c r="C11" s="30"/>
      <c r="D11" s="30"/>
      <c r="E11" s="30"/>
      <c r="F11" s="86">
        <v>0.27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thickBot="1">
      <c r="A13" s="25"/>
      <c r="B13" s="25"/>
      <c r="C13" s="25"/>
      <c r="D13" s="25"/>
      <c r="E13" s="25"/>
      <c r="F13" s="25"/>
      <c r="G13" s="217"/>
      <c r="H13" s="207"/>
      <c r="I13" s="20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thickBot="1">
      <c r="A14" s="88" t="s">
        <v>89</v>
      </c>
      <c r="B14" s="89"/>
      <c r="C14" s="90" t="s">
        <v>90</v>
      </c>
      <c r="D14" s="90" t="s">
        <v>91</v>
      </c>
      <c r="E14" s="90" t="s">
        <v>92</v>
      </c>
      <c r="F14" s="91"/>
      <c r="G14" s="25"/>
      <c r="H14" s="87"/>
      <c r="I14" s="8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>
      <c r="A15" s="80" t="s">
        <v>93</v>
      </c>
      <c r="B15" s="25"/>
      <c r="C15" s="167">
        <f>14.05</f>
        <v>14.05</v>
      </c>
      <c r="D15" s="92"/>
      <c r="E15" s="92"/>
      <c r="F15" s="93"/>
      <c r="G15" s="9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>
      <c r="A16" s="80" t="s">
        <v>94</v>
      </c>
      <c r="B16" s="25"/>
      <c r="C16" s="187">
        <f>3107725000/10^6</f>
        <v>3107.7249999999999</v>
      </c>
      <c r="D16" s="92"/>
      <c r="E16" s="92"/>
      <c r="F16" s="9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80" t="s">
        <v>95</v>
      </c>
      <c r="B17" s="25"/>
      <c r="C17" s="96">
        <f>C16+H45+G53</f>
        <v>3118.787707</v>
      </c>
      <c r="D17" s="96"/>
      <c r="E17" s="96"/>
      <c r="F17" s="184">
        <f>SUM(C17:E17)</f>
        <v>3118.787707</v>
      </c>
      <c r="G17" s="25"/>
      <c r="H17" s="9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>
      <c r="A18" s="80" t="s">
        <v>73</v>
      </c>
      <c r="B18" s="25"/>
      <c r="C18" s="96">
        <f>C17*C15</f>
        <v>43818.967283350001</v>
      </c>
      <c r="D18" s="96"/>
      <c r="E18" s="96"/>
      <c r="F18" s="98">
        <f>SUM(C18:E18)</f>
        <v>43818.967283350001</v>
      </c>
      <c r="G18" s="25"/>
      <c r="H18" s="25"/>
      <c r="I18" s="9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80" t="s">
        <v>4</v>
      </c>
      <c r="B19" s="25"/>
      <c r="C19" s="25"/>
      <c r="D19" s="97"/>
      <c r="E19" s="97"/>
      <c r="F19" s="191">
        <v>427</v>
      </c>
      <c r="G19" s="25"/>
      <c r="H19" s="97"/>
      <c r="I19" s="9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100" t="s">
        <v>96</v>
      </c>
      <c r="B20" s="25"/>
      <c r="C20" s="25"/>
      <c r="D20" s="97"/>
      <c r="E20" s="97"/>
      <c r="F20" s="98">
        <f>E21</f>
        <v>0</v>
      </c>
      <c r="G20" s="25"/>
      <c r="H20" s="97"/>
      <c r="I20" s="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80"/>
      <c r="B21" s="25" t="s">
        <v>97</v>
      </c>
      <c r="C21" s="25"/>
      <c r="D21" s="25"/>
      <c r="E21" s="101">
        <v>0</v>
      </c>
      <c r="F21" s="9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80"/>
      <c r="B22" s="102" t="s">
        <v>98</v>
      </c>
      <c r="C22" s="25"/>
      <c r="D22" s="25"/>
      <c r="E22" s="103">
        <v>0</v>
      </c>
      <c r="F22" s="95"/>
      <c r="G22" s="16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100" t="s">
        <v>99</v>
      </c>
      <c r="B23" s="25"/>
      <c r="C23" s="25"/>
      <c r="D23" s="25"/>
      <c r="E23" s="97"/>
      <c r="F23" s="98">
        <f>SUM(E24:E25)</f>
        <v>129732</v>
      </c>
      <c r="G23" s="163"/>
      <c r="H23" s="163"/>
      <c r="I23" s="9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>
      <c r="A24" s="80"/>
      <c r="B24" s="102" t="s">
        <v>100</v>
      </c>
      <c r="C24" s="102"/>
      <c r="D24" s="25"/>
      <c r="E24" s="101">
        <f>129732</f>
        <v>129732</v>
      </c>
      <c r="F24" s="95"/>
      <c r="G24" s="162"/>
      <c r="H24" s="162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>
      <c r="A25" s="80"/>
      <c r="B25" s="102" t="s">
        <v>101</v>
      </c>
      <c r="C25" s="102"/>
      <c r="D25" s="25"/>
      <c r="E25" s="103">
        <v>0</v>
      </c>
      <c r="F25" s="9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100" t="s">
        <v>102</v>
      </c>
      <c r="B26" s="25"/>
      <c r="C26" s="25"/>
      <c r="D26" s="25"/>
      <c r="E26" s="97"/>
      <c r="F26" s="9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>
      <c r="A27" s="80"/>
      <c r="B27" s="25" t="s">
        <v>103</v>
      </c>
      <c r="C27" s="25"/>
      <c r="D27" s="25"/>
      <c r="E27" s="97"/>
      <c r="F27" s="169">
        <f>(5473+862)</f>
        <v>6335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80"/>
      <c r="B28" s="25" t="s">
        <v>104</v>
      </c>
      <c r="C28" s="25"/>
      <c r="D28" s="25"/>
      <c r="E28" s="25"/>
      <c r="F28" s="188">
        <v>0</v>
      </c>
      <c r="G28" s="25"/>
      <c r="H28" s="97"/>
      <c r="I28" s="9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00" t="s">
        <v>105</v>
      </c>
      <c r="B29" s="25"/>
      <c r="C29" s="25"/>
      <c r="D29" s="25"/>
      <c r="E29" s="97"/>
      <c r="F29" s="169">
        <f>43669</f>
        <v>43669</v>
      </c>
      <c r="G29" s="25"/>
      <c r="H29" s="97"/>
      <c r="I29" s="9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thickBot="1">
      <c r="A30" s="104" t="s">
        <v>106</v>
      </c>
      <c r="B30" s="105"/>
      <c r="C30" s="105"/>
      <c r="D30" s="106"/>
      <c r="E30" s="106"/>
      <c r="F30" s="107">
        <f>F18+F19+F20+F23+F27+F28-F29</f>
        <v>136643.96728335001</v>
      </c>
      <c r="G30" s="25"/>
      <c r="H30" s="25"/>
      <c r="I30" s="9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08" t="s">
        <v>107</v>
      </c>
      <c r="B31" s="109"/>
      <c r="C31" s="109"/>
      <c r="D31" s="110"/>
      <c r="E31" s="110"/>
      <c r="F31" s="189">
        <f>332+763</f>
        <v>1095</v>
      </c>
      <c r="G31" s="3"/>
      <c r="H31" s="97"/>
      <c r="I31" s="9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108" t="s">
        <v>108</v>
      </c>
      <c r="B32" s="109"/>
      <c r="C32" s="109"/>
      <c r="D32" s="110"/>
      <c r="E32" s="110"/>
      <c r="F32" s="98">
        <f>F30-F31</f>
        <v>135548.96728335001</v>
      </c>
      <c r="G32" s="25"/>
      <c r="H32" s="25"/>
      <c r="I32" s="9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 thickBot="1">
      <c r="A33" s="85" t="s">
        <v>109</v>
      </c>
      <c r="B33" s="30"/>
      <c r="C33" s="30"/>
      <c r="D33" s="30"/>
      <c r="E33" s="30"/>
      <c r="F33" s="111">
        <f>F18/F17</f>
        <v>14.05</v>
      </c>
      <c r="G33" s="25"/>
      <c r="H33" s="25"/>
      <c r="I33" s="25"/>
      <c r="J33" s="112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thickBot="1">
      <c r="A34" s="25"/>
      <c r="B34" s="25"/>
      <c r="C34" s="25"/>
      <c r="D34" s="25"/>
      <c r="E34" s="25"/>
      <c r="F34" s="25"/>
      <c r="G34" s="25"/>
      <c r="H34" s="113"/>
      <c r="I34" s="113"/>
      <c r="J34" s="113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thickBot="1">
      <c r="A35" s="88" t="s">
        <v>110</v>
      </c>
      <c r="B35" s="89"/>
      <c r="C35" s="114"/>
      <c r="D35" s="114"/>
      <c r="E35" s="114"/>
      <c r="F35" s="114"/>
      <c r="G35" s="114"/>
      <c r="H35" s="11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thickBot="1">
      <c r="A36" s="25"/>
      <c r="B36" s="25"/>
      <c r="C36" s="25"/>
      <c r="D36" s="25"/>
      <c r="E36" s="25"/>
      <c r="F36" s="25"/>
      <c r="G36" s="25"/>
      <c r="H36" s="113"/>
      <c r="I36" s="113"/>
      <c r="J36" s="113"/>
      <c r="K36" s="113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thickBot="1">
      <c r="A37" s="25"/>
      <c r="B37" s="88" t="s">
        <v>146</v>
      </c>
      <c r="C37" s="114"/>
      <c r="D37" s="114"/>
      <c r="E37" s="114"/>
      <c r="F37" s="114"/>
      <c r="G37" s="114"/>
      <c r="H37" s="115"/>
      <c r="I37" s="113"/>
      <c r="J37" s="116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117"/>
      <c r="C38" s="24" t="s">
        <v>28</v>
      </c>
      <c r="D38" s="25"/>
      <c r="E38" s="26" t="s">
        <v>29</v>
      </c>
      <c r="F38" s="26"/>
      <c r="G38" s="26"/>
      <c r="H38" s="27" t="s">
        <v>30</v>
      </c>
      <c r="I38" s="113"/>
      <c r="J38" s="24"/>
      <c r="K38" s="24"/>
      <c r="L38" s="87"/>
      <c r="M38" s="87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thickBot="1">
      <c r="A39" s="25"/>
      <c r="B39" s="118" t="s">
        <v>112</v>
      </c>
      <c r="C39" s="29" t="s">
        <v>32</v>
      </c>
      <c r="D39" s="29" t="s">
        <v>33</v>
      </c>
      <c r="E39" s="29" t="s">
        <v>34</v>
      </c>
      <c r="F39" s="29" t="s">
        <v>35</v>
      </c>
      <c r="G39" s="30" t="s">
        <v>36</v>
      </c>
      <c r="H39" s="31" t="s">
        <v>37</v>
      </c>
      <c r="I39" s="113"/>
      <c r="J39" s="119"/>
      <c r="K39" s="24"/>
      <c r="L39" s="24"/>
      <c r="M39" s="25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169">
        <f>11062707/10^6</f>
        <v>11.062707</v>
      </c>
      <c r="C40" s="121"/>
      <c r="D40" s="165" t="str">
        <f>IF(C40&lt;$C$15,"Yes","N0")</f>
        <v>Yes</v>
      </c>
      <c r="E40" s="166">
        <f t="shared" ref="E40" si="0">IF(D40="Yes",B40,0)</f>
        <v>11.062707</v>
      </c>
      <c r="F40" s="168">
        <f t="shared" ref="F40" si="1">E40*C40</f>
        <v>0</v>
      </c>
      <c r="G40" s="166">
        <f t="shared" ref="G40" si="2">F40/C15</f>
        <v>0</v>
      </c>
      <c r="H40" s="124">
        <f t="shared" ref="H40" si="3">E40-G40</f>
        <v>11.062707</v>
      </c>
      <c r="I40" s="113"/>
      <c r="J40" s="125"/>
      <c r="K40" s="125"/>
      <c r="L40" s="97"/>
      <c r="M40" s="125"/>
      <c r="N40" s="1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169"/>
      <c r="C41" s="121"/>
      <c r="D41" s="122"/>
      <c r="E41" s="123"/>
      <c r="F41" s="96"/>
      <c r="G41" s="123"/>
      <c r="H41" s="124"/>
      <c r="I41" s="113"/>
      <c r="J41" s="125"/>
      <c r="K41" s="125"/>
      <c r="L41" s="97"/>
      <c r="M41" s="125"/>
      <c r="N41" s="1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120"/>
      <c r="C42" s="121"/>
      <c r="D42" s="122"/>
      <c r="E42" s="123"/>
      <c r="F42" s="96"/>
      <c r="G42" s="123"/>
      <c r="H42" s="124"/>
      <c r="I42" s="113"/>
      <c r="J42" s="125"/>
      <c r="K42" s="125"/>
      <c r="L42" s="97"/>
      <c r="M42" s="125"/>
      <c r="N42" s="1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120"/>
      <c r="C43" s="121"/>
      <c r="D43" s="122"/>
      <c r="E43" s="123"/>
      <c r="F43" s="96"/>
      <c r="G43" s="123"/>
      <c r="H43" s="124"/>
      <c r="I43" s="113"/>
      <c r="J43" s="125"/>
      <c r="K43" s="125"/>
      <c r="L43" s="97"/>
      <c r="M43" s="125"/>
      <c r="N43" s="1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120"/>
      <c r="C44" s="121"/>
      <c r="D44" s="122"/>
      <c r="E44" s="123"/>
      <c r="F44" s="96"/>
      <c r="G44" s="123"/>
      <c r="H44" s="124"/>
      <c r="I44" s="113"/>
      <c r="J44" s="125"/>
      <c r="K44" s="125"/>
      <c r="L44" s="97"/>
      <c r="M44" s="125"/>
      <c r="N44" s="1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thickBot="1">
      <c r="A45" s="25"/>
      <c r="B45" s="85"/>
      <c r="C45" s="30"/>
      <c r="D45" s="30"/>
      <c r="E45" s="30"/>
      <c r="F45" s="30"/>
      <c r="G45" s="30"/>
      <c r="H45" s="126">
        <f>SUM(H40:H44)</f>
        <v>11.062707</v>
      </c>
      <c r="I45" s="113"/>
      <c r="J45" s="25"/>
      <c r="K45" s="25"/>
      <c r="L45" s="25"/>
      <c r="M45" s="25"/>
      <c r="N45" s="1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thickBot="1">
      <c r="A46" s="25"/>
      <c r="B46" s="25"/>
      <c r="C46" s="25"/>
      <c r="D46" s="25"/>
      <c r="E46" s="25"/>
      <c r="F46" s="25"/>
      <c r="G46" s="25"/>
      <c r="H46" s="113"/>
      <c r="I46" s="113"/>
      <c r="J46" s="113"/>
      <c r="K46" s="11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thickBot="1">
      <c r="A47" s="25"/>
      <c r="B47" s="88" t="s">
        <v>113</v>
      </c>
      <c r="C47" s="114"/>
      <c r="D47" s="114"/>
      <c r="E47" s="114"/>
      <c r="F47" s="114"/>
      <c r="G47" s="115"/>
      <c r="H47" s="113"/>
      <c r="I47" s="113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127"/>
      <c r="C48" s="128"/>
      <c r="D48" s="128"/>
      <c r="E48" s="218" t="s">
        <v>114</v>
      </c>
      <c r="F48" s="129"/>
      <c r="G48" s="219" t="s">
        <v>115</v>
      </c>
      <c r="H48" s="113"/>
      <c r="I48" s="113"/>
      <c r="J48" s="102"/>
      <c r="K48" s="102"/>
      <c r="L48" s="25"/>
      <c r="M48" s="221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130" t="s">
        <v>116</v>
      </c>
      <c r="C49" s="131" t="s">
        <v>117</v>
      </c>
      <c r="D49" s="131" t="s">
        <v>118</v>
      </c>
      <c r="E49" s="207"/>
      <c r="F49" s="132" t="s">
        <v>119</v>
      </c>
      <c r="G49" s="220"/>
      <c r="H49" s="113"/>
      <c r="I49" s="113"/>
      <c r="J49" s="102"/>
      <c r="K49" s="131"/>
      <c r="L49" s="132"/>
      <c r="M49" s="20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80"/>
      <c r="C50" s="92"/>
      <c r="D50" s="92"/>
      <c r="E50" s="133"/>
      <c r="F50" s="134"/>
      <c r="G50" s="135"/>
      <c r="H50" s="113"/>
      <c r="I50" s="113"/>
      <c r="J50" s="25"/>
      <c r="K50" s="97"/>
      <c r="L50" s="136"/>
      <c r="M50" s="13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80"/>
      <c r="C51" s="92"/>
      <c r="D51" s="92"/>
      <c r="E51" s="133"/>
      <c r="F51" s="134"/>
      <c r="G51" s="135"/>
      <c r="H51" s="113"/>
      <c r="I51" s="113"/>
      <c r="J51" s="25"/>
      <c r="K51" s="97"/>
      <c r="L51" s="136"/>
      <c r="M51" s="13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80"/>
      <c r="C52" s="92"/>
      <c r="D52" s="92"/>
      <c r="E52" s="133"/>
      <c r="F52" s="137"/>
      <c r="G52" s="135"/>
      <c r="H52" s="113"/>
      <c r="I52" s="113"/>
      <c r="J52" s="25"/>
      <c r="K52" s="97"/>
      <c r="L52" s="136"/>
      <c r="M52" s="13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thickBot="1">
      <c r="A53" s="25"/>
      <c r="B53" s="85"/>
      <c r="C53" s="138"/>
      <c r="D53" s="138"/>
      <c r="E53" s="138"/>
      <c r="F53" s="139"/>
      <c r="G53" s="140"/>
      <c r="H53" s="113"/>
      <c r="I53" s="113"/>
      <c r="J53" s="25"/>
      <c r="K53" s="97"/>
      <c r="L53" s="136"/>
      <c r="M53" s="13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113"/>
      <c r="I54" s="11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113"/>
      <c r="I55" s="113"/>
      <c r="J55" s="113"/>
      <c r="K55" s="11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113"/>
      <c r="I56" s="113"/>
      <c r="J56" s="113"/>
      <c r="K56" s="113"/>
      <c r="L56" s="222" t="s">
        <v>147</v>
      </c>
      <c r="M56" s="223"/>
      <c r="N56" s="2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41" t="s">
        <v>120</v>
      </c>
      <c r="B57" s="141"/>
      <c r="C57" s="141"/>
      <c r="D57" s="141"/>
      <c r="E57" s="141"/>
      <c r="F57" s="141"/>
      <c r="G57" s="141"/>
      <c r="H57" s="142" t="s">
        <v>121</v>
      </c>
      <c r="I57" s="142" t="s">
        <v>122</v>
      </c>
      <c r="J57" s="142" t="s">
        <v>123</v>
      </c>
      <c r="K57" s="142" t="s">
        <v>38</v>
      </c>
      <c r="L57" s="142" t="s">
        <v>124</v>
      </c>
      <c r="M57" s="142" t="s">
        <v>125</v>
      </c>
      <c r="N57" s="142" t="s">
        <v>126</v>
      </c>
      <c r="O57" s="150"/>
      <c r="P57" s="142" t="s">
        <v>148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 t="s">
        <v>129</v>
      </c>
      <c r="I58" s="25" t="s">
        <v>149</v>
      </c>
      <c r="J58" s="25" t="s">
        <v>149</v>
      </c>
      <c r="K58" s="25"/>
      <c r="L58" s="156">
        <v>45657</v>
      </c>
      <c r="M58" s="156">
        <f t="shared" ref="M58:N58" si="4">EDATE(L58,12)</f>
        <v>46022</v>
      </c>
      <c r="N58" s="156">
        <f t="shared" si="4"/>
        <v>46387</v>
      </c>
      <c r="O58" s="15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 t="s">
        <v>130</v>
      </c>
      <c r="B59" s="25"/>
      <c r="C59" s="25"/>
      <c r="D59" s="25"/>
      <c r="E59" s="25"/>
      <c r="F59" s="25"/>
      <c r="G59" s="25"/>
      <c r="H59" s="169">
        <f>189544</f>
        <v>189544</v>
      </c>
      <c r="I59" s="169">
        <f>85017</f>
        <v>85017</v>
      </c>
      <c r="J59" s="169">
        <f>98368</f>
        <v>98368</v>
      </c>
      <c r="K59" s="144">
        <f>H59+I59-J59</f>
        <v>176193</v>
      </c>
      <c r="L59" s="92">
        <v>155758</v>
      </c>
      <c r="M59" s="92">
        <v>162512</v>
      </c>
      <c r="N59" s="92">
        <v>170138</v>
      </c>
      <c r="O59" s="153"/>
      <c r="P59" s="154">
        <f>(N59/H59)^(1/3)-1</f>
        <v>-3.5363344840852906E-2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5.25" customHeight="1">
      <c r="A60" s="25"/>
      <c r="B60" s="25"/>
      <c r="C60" s="25"/>
      <c r="D60" s="25"/>
      <c r="E60" s="25"/>
      <c r="F60" s="25"/>
      <c r="G60" s="25"/>
      <c r="H60" s="97"/>
      <c r="I60" s="97"/>
      <c r="J60" s="97"/>
      <c r="K60" s="97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 t="s">
        <v>131</v>
      </c>
      <c r="B61" s="25"/>
      <c r="C61" s="25"/>
      <c r="D61" s="25"/>
      <c r="E61" s="25"/>
      <c r="F61" s="25"/>
      <c r="G61" s="25"/>
      <c r="H61" s="185">
        <f>22376</f>
        <v>22376</v>
      </c>
      <c r="I61" s="185">
        <f>6639</f>
        <v>6639</v>
      </c>
      <c r="J61" s="185">
        <f>13541</f>
        <v>13541</v>
      </c>
      <c r="K61" s="144">
        <f>H61+I61-J61</f>
        <v>15474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 t="s">
        <v>132</v>
      </c>
      <c r="B62" s="109"/>
      <c r="C62" s="109"/>
      <c r="D62" s="109"/>
      <c r="E62" s="109"/>
      <c r="F62" s="109"/>
      <c r="G62" s="109"/>
      <c r="H62" s="169">
        <f>1967</f>
        <v>1967</v>
      </c>
      <c r="I62" s="92">
        <f>1824</f>
        <v>1824</v>
      </c>
      <c r="J62" s="92">
        <f>585</f>
        <v>585</v>
      </c>
      <c r="K62" s="110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.75" customHeight="1">
      <c r="A63" s="145" t="s">
        <v>133</v>
      </c>
      <c r="B63" s="109"/>
      <c r="C63" s="109"/>
      <c r="D63" s="109"/>
      <c r="E63" s="109"/>
      <c r="F63" s="109"/>
      <c r="G63" s="109"/>
      <c r="H63" s="146">
        <f>24343</f>
        <v>24343</v>
      </c>
      <c r="I63" s="185">
        <f>8463</f>
        <v>8463</v>
      </c>
      <c r="J63" s="185">
        <f>14126</f>
        <v>14126</v>
      </c>
      <c r="K63" s="144">
        <f>H63+I63-J63</f>
        <v>18680</v>
      </c>
      <c r="L63" s="92">
        <v>9602</v>
      </c>
      <c r="M63" s="92">
        <v>10515</v>
      </c>
      <c r="N63" s="92">
        <v>12601</v>
      </c>
      <c r="O63" s="97"/>
      <c r="P63" s="154">
        <f>(N63/H63)^(1/3)-1</f>
        <v>-0.1970713200617622</v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.75" customHeight="1">
      <c r="A64" s="25" t="s">
        <v>134</v>
      </c>
      <c r="B64" s="25"/>
      <c r="C64" s="25"/>
      <c r="D64" s="25"/>
      <c r="E64" s="25"/>
      <c r="F64" s="25"/>
      <c r="G64" s="25"/>
      <c r="H64" s="169">
        <f>7549</f>
        <v>7549</v>
      </c>
      <c r="I64" s="169">
        <f>3598</f>
        <v>3598</v>
      </c>
      <c r="J64" s="169">
        <f>3740</f>
        <v>3740</v>
      </c>
      <c r="K64" s="9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09" t="s">
        <v>135</v>
      </c>
      <c r="B65" s="109"/>
      <c r="C65" s="109"/>
      <c r="D65" s="109"/>
      <c r="E65" s="109"/>
      <c r="F65" s="109"/>
      <c r="G65" s="109"/>
      <c r="H65" s="146">
        <f>H63+H64</f>
        <v>31892</v>
      </c>
      <c r="I65" s="146">
        <f t="shared" ref="I65:J65" si="5">I63+I64</f>
        <v>12061</v>
      </c>
      <c r="J65" s="146">
        <f t="shared" si="5"/>
        <v>17866</v>
      </c>
      <c r="K65" s="144">
        <f>H65+I65-J65</f>
        <v>26087</v>
      </c>
      <c r="L65" s="92">
        <v>16328</v>
      </c>
      <c r="M65" s="92">
        <v>18463</v>
      </c>
      <c r="N65" s="92">
        <v>20583</v>
      </c>
      <c r="O65" s="97"/>
      <c r="P65" s="154">
        <f>(N65/H65)^(1/3)-1</f>
        <v>-0.13581052468504873</v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6" customHeight="1">
      <c r="A66" s="25"/>
      <c r="B66" s="25"/>
      <c r="C66" s="25"/>
      <c r="D66" s="25"/>
      <c r="E66" s="25"/>
      <c r="F66" s="25"/>
      <c r="G66" s="25"/>
      <c r="H66" s="97"/>
      <c r="I66" s="97"/>
      <c r="J66" s="97"/>
      <c r="K66" s="97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 t="s">
        <v>136</v>
      </c>
      <c r="B67" s="25"/>
      <c r="C67" s="25"/>
      <c r="D67" s="25"/>
      <c r="E67" s="25"/>
      <c r="F67" s="25"/>
      <c r="G67" s="25"/>
      <c r="H67" s="169">
        <f>18625</f>
        <v>18625</v>
      </c>
      <c r="I67" s="169">
        <f>5647</f>
        <v>5647</v>
      </c>
      <c r="J67" s="169">
        <f>10918</f>
        <v>10918</v>
      </c>
      <c r="K67" s="144">
        <f>H67+I67-J67</f>
        <v>13354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 t="s">
        <v>137</v>
      </c>
      <c r="B68" s="25"/>
      <c r="C68" s="25"/>
      <c r="D68" s="25"/>
      <c r="E68" s="25"/>
      <c r="F68" s="25"/>
      <c r="G68" s="25"/>
      <c r="H68" s="96">
        <f>H62</f>
        <v>1967</v>
      </c>
      <c r="I68" s="96">
        <f t="shared" ref="I68:J68" si="6">I62</f>
        <v>1824</v>
      </c>
      <c r="J68" s="96">
        <f t="shared" si="6"/>
        <v>585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 t="s">
        <v>138</v>
      </c>
      <c r="B69" s="25"/>
      <c r="C69" s="25"/>
      <c r="D69" s="25"/>
      <c r="E69" s="25"/>
      <c r="F69" s="25"/>
      <c r="G69" s="25"/>
      <c r="H69" s="92"/>
      <c r="I69" s="92"/>
      <c r="J69" s="92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 t="s">
        <v>139</v>
      </c>
      <c r="B70" s="25"/>
      <c r="C70" s="25"/>
      <c r="D70" s="25"/>
      <c r="E70" s="25"/>
      <c r="F70" s="25"/>
      <c r="G70" s="25"/>
      <c r="H70" s="190">
        <f>-452</f>
        <v>-452</v>
      </c>
      <c r="I70" s="190">
        <f>-316</f>
        <v>-316</v>
      </c>
      <c r="J70" s="190">
        <f>-66</f>
        <v>-66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 t="s">
        <v>140</v>
      </c>
      <c r="B71" s="25"/>
      <c r="C71" s="25"/>
      <c r="D71" s="25"/>
      <c r="E71" s="25"/>
      <c r="F71" s="25"/>
      <c r="G71" s="25"/>
      <c r="H71" s="179"/>
      <c r="I71" s="179"/>
      <c r="J71" s="179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09" t="s">
        <v>141</v>
      </c>
      <c r="B72" s="25"/>
      <c r="C72" s="25"/>
      <c r="D72" s="25"/>
      <c r="E72" s="25"/>
      <c r="F72" s="25"/>
      <c r="G72" s="25"/>
      <c r="H72" s="146"/>
      <c r="I72" s="146"/>
      <c r="J72" s="146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 t="s">
        <v>142</v>
      </c>
      <c r="B73" s="25"/>
      <c r="C73" s="25"/>
      <c r="D73" s="25"/>
      <c r="E73" s="25"/>
      <c r="F73" s="25"/>
      <c r="G73" s="25"/>
      <c r="H73" s="92">
        <f>427</f>
        <v>427</v>
      </c>
      <c r="I73" s="190">
        <f>23</f>
        <v>23</v>
      </c>
      <c r="J73" s="190">
        <f>-5</f>
        <v>-5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09" t="s">
        <v>143</v>
      </c>
      <c r="B74" s="109"/>
      <c r="C74" s="109"/>
      <c r="D74" s="109"/>
      <c r="E74" s="109"/>
      <c r="F74" s="109"/>
      <c r="G74" s="109"/>
      <c r="H74" s="144">
        <f>(H76*H77)</f>
        <v>18.606800520000004</v>
      </c>
      <c r="I74" s="144">
        <f>I76*I77</f>
        <v>5.8263718800000008</v>
      </c>
      <c r="J74" s="144">
        <f>J76*J77</f>
        <v>10.806980100000001</v>
      </c>
      <c r="K74" s="144">
        <f>H74+I74-J74</f>
        <v>13.626192300000003</v>
      </c>
      <c r="L74" s="92">
        <v>6276</v>
      </c>
      <c r="M74" s="92">
        <v>8037</v>
      </c>
      <c r="N74" s="92">
        <v>9542</v>
      </c>
      <c r="O74" s="97"/>
      <c r="P74" s="154">
        <f>(N74/H74)^(1/3)-1</f>
        <v>7.0042854881883567</v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.75" customHeight="1">
      <c r="A75" s="25"/>
      <c r="B75" s="25"/>
      <c r="C75" s="25"/>
      <c r="D75" s="25"/>
      <c r="E75" s="25"/>
      <c r="F75" s="25"/>
      <c r="G75" s="25"/>
      <c r="H75" s="97"/>
      <c r="I75" s="97"/>
      <c r="J75" s="97"/>
      <c r="K75" s="97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 t="s">
        <v>144</v>
      </c>
      <c r="B76" s="25"/>
      <c r="C76" s="25"/>
      <c r="D76" s="25"/>
      <c r="E76" s="25"/>
      <c r="F76" s="25"/>
      <c r="G76" s="25"/>
      <c r="H76" s="169">
        <f>3132458/10^6</f>
        <v>3.1324580000000002</v>
      </c>
      <c r="I76" s="169">
        <f t="shared" ref="I76:J76" si="7">3132458/10^6</f>
        <v>3.1324580000000002</v>
      </c>
      <c r="J76" s="169">
        <f t="shared" si="7"/>
        <v>3.1324580000000002</v>
      </c>
      <c r="K76" s="97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 t="s">
        <v>145</v>
      </c>
      <c r="B77" s="25"/>
      <c r="C77" s="25"/>
      <c r="D77" s="25"/>
      <c r="E77" s="25"/>
      <c r="F77" s="25"/>
      <c r="G77" s="25"/>
      <c r="H77" s="191">
        <v>5.94</v>
      </c>
      <c r="I77" s="191">
        <v>1.86</v>
      </c>
      <c r="J77" s="191">
        <v>3.45</v>
      </c>
      <c r="K77" s="144">
        <f>H77+I77-J77</f>
        <v>4.3500000000000005</v>
      </c>
      <c r="L77" s="148">
        <v>2.0459999999999998</v>
      </c>
      <c r="M77" s="148">
        <v>2.6339999999999999</v>
      </c>
      <c r="N77" s="148">
        <v>3.1589999999999998</v>
      </c>
      <c r="O77" s="25"/>
      <c r="P77" s="154">
        <f>(N77/H77)^(1/3)-1</f>
        <v>-0.18980841710084217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97"/>
      <c r="I78" s="97"/>
      <c r="J78" s="97"/>
      <c r="K78" s="97"/>
      <c r="L78" s="13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 </vt:lpstr>
      <vt:lpstr>Output</vt:lpstr>
      <vt:lpstr>Input</vt:lpstr>
      <vt:lpstr>Ford</vt:lpstr>
      <vt:lpstr>LIauto</vt:lpstr>
      <vt:lpstr>NIO</vt:lpstr>
      <vt:lpstr>GM</vt:lpstr>
      <vt:lpstr>ferrari</vt:lpstr>
      <vt:lpstr>Stellantis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urvashi bhati</cp:lastModifiedBy>
  <dcterms:created xsi:type="dcterms:W3CDTF">2023-09-18T16:13:25Z</dcterms:created>
  <dcterms:modified xsi:type="dcterms:W3CDTF">2025-03-01T15:28:25Z</dcterms:modified>
</cp:coreProperties>
</file>