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AB8E29-BDA0-44E8-865F-7C0D0D61CF85}" xr6:coauthVersionLast="47" xr6:coauthVersionMax="47" xr10:uidLastSave="{00000000-0000-0000-0000-000000000000}"/>
  <bookViews>
    <workbookView xWindow="-110" yWindow="-110" windowWidth="19420" windowHeight="11020" firstSheet="3" activeTab="4" xr2:uid="{0B292E0A-B3AB-42D2-866C-7360E1855D47}"/>
  </bookViews>
  <sheets>
    <sheet name="Revenue" sheetId="1" r:id="rId1"/>
    <sheet name="IS" sheetId="2" r:id="rId2"/>
    <sheet name="Debt" sheetId="4" r:id="rId3"/>
    <sheet name="FA" sheetId="7" r:id="rId4"/>
    <sheet name="BS" sheetId="3" r:id="rId5"/>
    <sheet name="CF" sheetId="5" r:id="rId6"/>
    <sheet name="DCF" sheetId="8" r:id="rId7"/>
    <sheet name="DUPONT" sheetId="19" r:id="rId8"/>
    <sheet name="football analysis" sheetId="22" r:id="rId9"/>
    <sheet name="BETA" sheetId="11" r:id="rId10"/>
    <sheet name="WACC" sheetId="9" r:id="rId11"/>
    <sheet name="BETA 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2" l="1"/>
  <c r="E11" i="22"/>
  <c r="C11" i="22"/>
  <c r="D9" i="22"/>
  <c r="D8" i="22"/>
  <c r="D7" i="22"/>
  <c r="D6" i="22"/>
  <c r="D5" i="22"/>
  <c r="D4" i="22"/>
  <c r="N34" i="8"/>
  <c r="O34" i="8" s="1"/>
  <c r="P34" i="8" s="1"/>
  <c r="M34" i="8"/>
  <c r="K37" i="8"/>
  <c r="K38" i="8" s="1"/>
  <c r="K39" i="8" s="1"/>
  <c r="K40" i="8" s="1"/>
  <c r="K41" i="8" s="1"/>
  <c r="K36" i="8"/>
  <c r="K35" i="8"/>
  <c r="J23" i="1" l="1"/>
  <c r="J20" i="1"/>
  <c r="J22" i="1"/>
  <c r="J21" i="1"/>
  <c r="E20" i="1"/>
  <c r="D39" i="19" l="1"/>
  <c r="D40" i="19"/>
  <c r="D33" i="19"/>
  <c r="D32" i="19"/>
  <c r="D47" i="19" s="1"/>
  <c r="K30" i="8"/>
  <c r="K31" i="8"/>
  <c r="K27" i="8"/>
  <c r="K28" i="8"/>
  <c r="K29" i="8"/>
  <c r="K26" i="8"/>
  <c r="N24" i="8"/>
  <c r="O24" i="8" s="1"/>
  <c r="P24" i="8" s="1"/>
  <c r="M24" i="8"/>
  <c r="L24" i="8"/>
  <c r="J6" i="1"/>
  <c r="I21" i="1"/>
  <c r="I20" i="1"/>
  <c r="J10" i="1"/>
  <c r="G9" i="8"/>
  <c r="D9" i="8"/>
  <c r="B47" i="19"/>
  <c r="B46" i="19"/>
  <c r="E43" i="19"/>
  <c r="E46" i="19" s="1"/>
  <c r="E56" i="19" s="1"/>
  <c r="D43" i="19"/>
  <c r="E39" i="19"/>
  <c r="E42" i="19" s="1"/>
  <c r="D42" i="19"/>
  <c r="B38" i="19"/>
  <c r="E32" i="19"/>
  <c r="E47" i="19" s="1"/>
  <c r="E31" i="19"/>
  <c r="E38" i="19" s="1"/>
  <c r="D31" i="19"/>
  <c r="H30" i="19"/>
  <c r="H54" i="19" s="1"/>
  <c r="G30" i="19"/>
  <c r="G54" i="19" s="1"/>
  <c r="F30" i="19"/>
  <c r="F54" i="19" s="1"/>
  <c r="E30" i="19"/>
  <c r="E54" i="19" s="1"/>
  <c r="D30" i="19"/>
  <c r="D54" i="19" s="1"/>
  <c r="I30" i="19"/>
  <c r="I37" i="19" s="1"/>
  <c r="E37" i="19" l="1"/>
  <c r="H37" i="19"/>
  <c r="G37" i="19"/>
  <c r="D37" i="19"/>
  <c r="E40" i="19"/>
  <c r="E55" i="19"/>
  <c r="E57" i="19" s="1"/>
  <c r="D44" i="19"/>
  <c r="E44" i="19"/>
  <c r="D38" i="19"/>
  <c r="I54" i="19"/>
  <c r="F37" i="19"/>
  <c r="E33" i="19"/>
  <c r="D46" i="19"/>
  <c r="E48" i="19"/>
  <c r="D55" i="19" l="1"/>
  <c r="E50" i="19"/>
  <c r="D48" i="19"/>
  <c r="D56" i="19"/>
  <c r="J4" i="9"/>
  <c r="D3" i="8"/>
  <c r="E9" i="8"/>
  <c r="F9" i="8"/>
  <c r="D36" i="5"/>
  <c r="F12" i="4"/>
  <c r="G12" i="4"/>
  <c r="H12" i="4"/>
  <c r="E12" i="4"/>
  <c r="E11" i="4"/>
  <c r="E10" i="4"/>
  <c r="E9" i="4"/>
  <c r="E4" i="4"/>
  <c r="C7" i="4"/>
  <c r="S19" i="3"/>
  <c r="T19" i="3"/>
  <c r="U19" i="3"/>
  <c r="R19" i="3"/>
  <c r="R16" i="3"/>
  <c r="S10" i="3"/>
  <c r="T10" i="3"/>
  <c r="U10" i="3"/>
  <c r="R10" i="3"/>
  <c r="S5" i="3"/>
  <c r="T5" i="3"/>
  <c r="U5" i="3"/>
  <c r="R5" i="3"/>
  <c r="J48" i="2"/>
  <c r="K26" i="2"/>
  <c r="L26" i="2"/>
  <c r="M26" i="2" s="1"/>
  <c r="J26" i="2"/>
  <c r="I47" i="2"/>
  <c r="D50" i="19" l="1"/>
  <c r="D57" i="19"/>
  <c r="K18" i="2"/>
  <c r="L18" i="2"/>
  <c r="M18" i="2"/>
  <c r="K17" i="2"/>
  <c r="L17" i="2"/>
  <c r="M17" i="2"/>
  <c r="K20" i="2"/>
  <c r="L20" i="2"/>
  <c r="M20" i="2"/>
  <c r="J20" i="2"/>
  <c r="J18" i="2"/>
  <c r="J17" i="2"/>
  <c r="J45" i="2"/>
  <c r="I45" i="2"/>
  <c r="K35" i="7"/>
  <c r="K34" i="7"/>
  <c r="J35" i="7"/>
  <c r="J34" i="7"/>
  <c r="J30" i="7"/>
  <c r="F32" i="7"/>
  <c r="G32" i="7"/>
  <c r="H32" i="7"/>
  <c r="I32" i="7"/>
  <c r="J32" i="7"/>
  <c r="I16" i="3"/>
  <c r="I33" i="2"/>
  <c r="I27" i="2"/>
  <c r="I22" i="2"/>
  <c r="E16" i="2"/>
  <c r="F16" i="2"/>
  <c r="G16" i="2"/>
  <c r="H16" i="2"/>
  <c r="I16" i="2"/>
  <c r="D16" i="2"/>
  <c r="J38" i="2"/>
  <c r="J39" i="2"/>
  <c r="J40" i="2"/>
  <c r="J41" i="2"/>
  <c r="J42" i="2"/>
  <c r="J37" i="2"/>
  <c r="I42" i="2"/>
  <c r="I41" i="2"/>
  <c r="I40" i="2"/>
  <c r="I39" i="2"/>
  <c r="I38" i="2"/>
  <c r="I37" i="2"/>
  <c r="I25" i="2"/>
  <c r="K6" i="1"/>
  <c r="L6" i="1" s="1"/>
  <c r="M6" i="1" s="1"/>
  <c r="J16" i="1"/>
  <c r="K16" i="1" s="1"/>
  <c r="L16" i="1" s="1"/>
  <c r="M16" i="1" s="1"/>
  <c r="K14" i="1"/>
  <c r="L14" i="1"/>
  <c r="M14" i="1"/>
  <c r="J12" i="1"/>
  <c r="K12" i="1" s="1"/>
  <c r="L12" i="1" s="1"/>
  <c r="M12" i="1" s="1"/>
  <c r="K10" i="1"/>
  <c r="L10" i="1" s="1"/>
  <c r="M10" i="1" s="1"/>
  <c r="I23" i="1"/>
  <c r="I22" i="1"/>
  <c r="I6" i="1"/>
  <c r="E3" i="8" l="1"/>
  <c r="F3" i="8" s="1"/>
  <c r="G3" i="8" s="1"/>
  <c r="C2" i="8"/>
  <c r="C1" i="8"/>
  <c r="D9" i="9"/>
  <c r="J8" i="12" l="1"/>
  <c r="C30" i="8" l="1"/>
  <c r="D223" i="11"/>
  <c r="H223" i="11"/>
  <c r="M14" i="8"/>
  <c r="M12" i="8"/>
  <c r="M13" i="8"/>
  <c r="C31" i="8" l="1"/>
  <c r="J28" i="7"/>
  <c r="E23" i="7"/>
  <c r="G30" i="7"/>
  <c r="G34" i="7" s="1"/>
  <c r="H30" i="7"/>
  <c r="I30" i="7"/>
  <c r="I29" i="7" s="1"/>
  <c r="I35" i="7" s="1"/>
  <c r="G28" i="7"/>
  <c r="H28" i="7"/>
  <c r="I28" i="7"/>
  <c r="F28" i="7"/>
  <c r="E32" i="7"/>
  <c r="E26" i="7"/>
  <c r="F26" i="7" s="1"/>
  <c r="G26" i="7" s="1"/>
  <c r="H26" i="7" s="1"/>
  <c r="I26" i="7" s="1"/>
  <c r="J26" i="7" s="1"/>
  <c r="K26" i="7" s="1"/>
  <c r="L26" i="7" s="1"/>
  <c r="M26" i="7" s="1"/>
  <c r="N26" i="7" s="1"/>
  <c r="I6" i="7"/>
  <c r="H6" i="7"/>
  <c r="G6" i="7"/>
  <c r="F6" i="7"/>
  <c r="E6" i="7"/>
  <c r="E51" i="3"/>
  <c r="F51" i="3"/>
  <c r="G51" i="3"/>
  <c r="H51" i="3"/>
  <c r="D51" i="3"/>
  <c r="E10" i="7"/>
  <c r="J17" i="7"/>
  <c r="I24" i="7"/>
  <c r="I23" i="7"/>
  <c r="E11" i="7"/>
  <c r="E24" i="7"/>
  <c r="F24" i="7"/>
  <c r="G24" i="7"/>
  <c r="H24" i="7"/>
  <c r="D24" i="7"/>
  <c r="F23" i="7"/>
  <c r="G23" i="7"/>
  <c r="H23" i="7"/>
  <c r="D23" i="7"/>
  <c r="F18" i="7"/>
  <c r="G18" i="7"/>
  <c r="H18" i="7"/>
  <c r="I18" i="7"/>
  <c r="E18" i="7"/>
  <c r="F19" i="7"/>
  <c r="G19" i="7"/>
  <c r="H19" i="7"/>
  <c r="I19" i="7"/>
  <c r="E19" i="7"/>
  <c r="F17" i="7"/>
  <c r="G17" i="7"/>
  <c r="H17" i="7"/>
  <c r="I17" i="7"/>
  <c r="E17" i="7"/>
  <c r="F21" i="7"/>
  <c r="G21" i="7"/>
  <c r="H21" i="7"/>
  <c r="I21" i="7"/>
  <c r="E21" i="7"/>
  <c r="F15" i="7"/>
  <c r="G15" i="7" s="1"/>
  <c r="H15" i="7" s="1"/>
  <c r="I15" i="7" s="1"/>
  <c r="J15" i="7" s="1"/>
  <c r="K15" i="7" s="1"/>
  <c r="L15" i="7" s="1"/>
  <c r="M15" i="7" s="1"/>
  <c r="N15" i="7" s="1"/>
  <c r="E15" i="7"/>
  <c r="E2" i="7"/>
  <c r="H16" i="3"/>
  <c r="D16" i="3"/>
  <c r="E16" i="3"/>
  <c r="F16" i="3"/>
  <c r="G16" i="3"/>
  <c r="S16" i="3"/>
  <c r="T16" i="3"/>
  <c r="U16" i="3"/>
  <c r="V16" i="3"/>
  <c r="W16" i="3"/>
  <c r="F8" i="7"/>
  <c r="G4" i="7" s="1"/>
  <c r="G8" i="7"/>
  <c r="H4" i="7" s="1"/>
  <c r="H8" i="7"/>
  <c r="I8" i="7"/>
  <c r="E8" i="7"/>
  <c r="J4" i="7"/>
  <c r="D4" i="2"/>
  <c r="E4" i="2"/>
  <c r="F4" i="2"/>
  <c r="G4" i="2"/>
  <c r="H4" i="2"/>
  <c r="D9" i="2"/>
  <c r="E9" i="2"/>
  <c r="F9" i="2"/>
  <c r="G9" i="2"/>
  <c r="H9" i="2"/>
  <c r="J14" i="1"/>
  <c r="G6" i="1"/>
  <c r="J21" i="3"/>
  <c r="K21" i="3" s="1"/>
  <c r="L21" i="3" s="1"/>
  <c r="M21" i="3" s="1"/>
  <c r="J7" i="3"/>
  <c r="K7" i="3" s="1"/>
  <c r="L7" i="3" s="1"/>
  <c r="M7" i="3" s="1"/>
  <c r="J31" i="3"/>
  <c r="K31" i="3"/>
  <c r="L31" i="3"/>
  <c r="M31" i="3"/>
  <c r="H9" i="4"/>
  <c r="G9" i="4"/>
  <c r="F9" i="4"/>
  <c r="D9" i="4"/>
  <c r="E4" i="7"/>
  <c r="D6" i="1"/>
  <c r="H20" i="1"/>
  <c r="H21" i="4"/>
  <c r="J20" i="4" s="1"/>
  <c r="J38" i="3"/>
  <c r="K38" i="3" s="1"/>
  <c r="L38" i="3" s="1"/>
  <c r="M38" i="3" s="1"/>
  <c r="J44" i="3"/>
  <c r="K44" i="3" s="1"/>
  <c r="L44" i="3" s="1"/>
  <c r="M44" i="3" s="1"/>
  <c r="J43" i="3"/>
  <c r="K43" i="3" s="1"/>
  <c r="L43" i="3" s="1"/>
  <c r="M43" i="3" s="1"/>
  <c r="I42" i="3"/>
  <c r="J42" i="3" s="1"/>
  <c r="K42" i="3" s="1"/>
  <c r="L42" i="3" s="1"/>
  <c r="M42" i="3" s="1"/>
  <c r="F19" i="2"/>
  <c r="F21" i="2" s="1"/>
  <c r="G19" i="2"/>
  <c r="G21" i="2" s="1"/>
  <c r="H19" i="2"/>
  <c r="H21" i="2" s="1"/>
  <c r="D19" i="2"/>
  <c r="D21" i="2" s="1"/>
  <c r="D22" i="2" s="1"/>
  <c r="J36" i="3"/>
  <c r="K36" i="3" s="1"/>
  <c r="L36" i="3" s="1"/>
  <c r="M36" i="3" s="1"/>
  <c r="J35" i="3"/>
  <c r="K35" i="3" s="1"/>
  <c r="L35" i="3" s="1"/>
  <c r="M35" i="3" s="1"/>
  <c r="G5" i="1"/>
  <c r="F5" i="1"/>
  <c r="H5" i="1"/>
  <c r="J11" i="12"/>
  <c r="L11" i="12" s="1"/>
  <c r="H11" i="12"/>
  <c r="F11" i="12"/>
  <c r="L8" i="12"/>
  <c r="K8" i="12" s="1"/>
  <c r="L4" i="12"/>
  <c r="H8" i="12"/>
  <c r="F8" i="12"/>
  <c r="H7" i="12"/>
  <c r="F7" i="12"/>
  <c r="H6" i="12"/>
  <c r="F6" i="12"/>
  <c r="J5" i="12"/>
  <c r="L5" i="12" s="1"/>
  <c r="K5" i="12" s="1"/>
  <c r="J6" i="12"/>
  <c r="L6" i="12" s="1"/>
  <c r="K6" i="12" s="1"/>
  <c r="J7" i="12"/>
  <c r="L7" i="12" s="1"/>
  <c r="K7" i="12" s="1"/>
  <c r="H5" i="12"/>
  <c r="F5" i="12"/>
  <c r="J4" i="12"/>
  <c r="H4" i="12"/>
  <c r="F4" i="12"/>
  <c r="H29" i="7" l="1"/>
  <c r="H35" i="7" s="1"/>
  <c r="G29" i="7"/>
  <c r="G35" i="7" s="1"/>
  <c r="H34" i="7"/>
  <c r="I34" i="7"/>
  <c r="F4" i="7"/>
  <c r="I4" i="7"/>
  <c r="J19" i="4"/>
  <c r="J16" i="4"/>
  <c r="J18" i="4"/>
  <c r="D8" i="12"/>
  <c r="D7" i="12"/>
  <c r="D6" i="12"/>
  <c r="D5" i="12"/>
  <c r="C44" i="12"/>
  <c r="C38" i="12"/>
  <c r="C32" i="12"/>
  <c r="C26" i="12"/>
  <c r="C20" i="12"/>
  <c r="D11" i="4" l="1"/>
  <c r="J17" i="3"/>
  <c r="K17" i="3" s="1"/>
  <c r="L17" i="3" s="1"/>
  <c r="M17" i="3" s="1"/>
  <c r="J22" i="3"/>
  <c r="K22" i="3" s="1"/>
  <c r="L22" i="3" s="1"/>
  <c r="M22" i="3" s="1"/>
  <c r="J20" i="3"/>
  <c r="K20" i="3" s="1"/>
  <c r="L20" i="3" s="1"/>
  <c r="M20" i="3" s="1"/>
  <c r="J19" i="3"/>
  <c r="K19" i="3" s="1"/>
  <c r="L19" i="3" s="1"/>
  <c r="M19" i="3" s="1"/>
  <c r="J18" i="3"/>
  <c r="K18" i="3" s="1"/>
  <c r="L18" i="3" s="1"/>
  <c r="M18" i="3" s="1"/>
  <c r="J29" i="3"/>
  <c r="K29" i="3"/>
  <c r="L29" i="3" s="1"/>
  <c r="M29" i="3" s="1"/>
  <c r="J28" i="3"/>
  <c r="K28" i="3" s="1"/>
  <c r="L28" i="3" s="1"/>
  <c r="M28" i="3" s="1"/>
  <c r="D2" i="9"/>
  <c r="D10" i="9"/>
  <c r="H4" i="11"/>
  <c r="G4" i="11"/>
  <c r="F4" i="11"/>
  <c r="E4" i="11"/>
  <c r="D4" i="11"/>
  <c r="D4" i="12" s="1"/>
  <c r="K4" i="12" s="1"/>
  <c r="K9" i="12" s="1"/>
  <c r="K11" i="12" s="1"/>
  <c r="F13" i="12" s="1"/>
  <c r="D11" i="9" s="1"/>
  <c r="C4" i="11"/>
  <c r="AB223" i="11"/>
  <c r="X223" i="11"/>
  <c r="T223" i="11"/>
  <c r="P223" i="11"/>
  <c r="L22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AC13" i="11"/>
  <c r="Y13" i="11"/>
  <c r="U13" i="11"/>
  <c r="Q13" i="11"/>
  <c r="M13" i="11"/>
  <c r="I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13" i="11"/>
  <c r="F31" i="8" l="1"/>
  <c r="J6" i="9" s="1"/>
  <c r="F30" i="8"/>
  <c r="J5" i="9" s="1"/>
  <c r="M10" i="8"/>
  <c r="D30" i="5" l="1"/>
  <c r="E30" i="5"/>
  <c r="F30" i="5"/>
  <c r="G30" i="5"/>
  <c r="J7" i="9" l="1"/>
  <c r="B18" i="8" s="1"/>
  <c r="D24" i="8" s="1"/>
  <c r="F11" i="7"/>
  <c r="H11" i="7"/>
  <c r="F24" i="8" l="1"/>
  <c r="G24" i="8"/>
  <c r="E24" i="8"/>
  <c r="I5" i="7"/>
  <c r="I10" i="7"/>
  <c r="I11" i="7"/>
  <c r="G5" i="7"/>
  <c r="G11" i="7"/>
  <c r="G10" i="7"/>
  <c r="E5" i="7"/>
  <c r="F5" i="7"/>
  <c r="H10" i="7"/>
  <c r="H5" i="7"/>
  <c r="F10" i="7"/>
  <c r="J10" i="3" l="1"/>
  <c r="J11" i="7"/>
  <c r="J10" i="7"/>
  <c r="D15" i="5" l="1"/>
  <c r="K10" i="3"/>
  <c r="E15" i="5" l="1"/>
  <c r="L10" i="3"/>
  <c r="F15" i="5" s="1"/>
  <c r="M10" i="3" l="1"/>
  <c r="G15" i="5" s="1"/>
  <c r="H47" i="2"/>
  <c r="E45" i="2" l="1"/>
  <c r="F45" i="2"/>
  <c r="G45" i="2"/>
  <c r="H45" i="2"/>
  <c r="D45" i="2"/>
  <c r="D12" i="4"/>
  <c r="G41" i="2"/>
  <c r="D12" i="1"/>
  <c r="E22" i="1" s="1"/>
  <c r="J8" i="1"/>
  <c r="J7" i="1"/>
  <c r="K7" i="1" s="1"/>
  <c r="F23" i="1"/>
  <c r="G23" i="1"/>
  <c r="H23" i="1"/>
  <c r="F22" i="1"/>
  <c r="G22" i="1"/>
  <c r="H22" i="1"/>
  <c r="F21" i="1"/>
  <c r="G21" i="1"/>
  <c r="H21" i="1"/>
  <c r="E23" i="1"/>
  <c r="E21" i="1"/>
  <c r="I5" i="1" l="1"/>
  <c r="G37" i="2"/>
  <c r="G42" i="2"/>
  <c r="G38" i="2"/>
  <c r="G39" i="2"/>
  <c r="G40" i="2"/>
  <c r="K8" i="1"/>
  <c r="L8" i="1" s="1"/>
  <c r="L7" i="1"/>
  <c r="M7" i="1" s="1"/>
  <c r="J25" i="2" l="1"/>
  <c r="D10" i="4"/>
  <c r="I4" i="2"/>
  <c r="M8" i="1"/>
  <c r="J6" i="7" l="1"/>
  <c r="J19" i="7"/>
  <c r="E7" i="4"/>
  <c r="D31" i="5"/>
  <c r="D33" i="5" s="1"/>
  <c r="D10" i="5"/>
  <c r="J20" i="7" l="1"/>
  <c r="J21" i="7" s="1"/>
  <c r="K17" i="7" s="1"/>
  <c r="J18" i="7"/>
  <c r="F4" i="4"/>
  <c r="J34" i="3"/>
  <c r="K25" i="2" l="1"/>
  <c r="F7" i="4"/>
  <c r="F46" i="3"/>
  <c r="F32" i="3"/>
  <c r="F37" i="3" s="1"/>
  <c r="F49" i="3" s="1"/>
  <c r="F11" i="3"/>
  <c r="F23" i="3" s="1"/>
  <c r="E46" i="3"/>
  <c r="D46" i="3"/>
  <c r="E32" i="3"/>
  <c r="E37" i="3" s="1"/>
  <c r="E49" i="3" s="1"/>
  <c r="D32" i="3"/>
  <c r="D37" i="3" s="1"/>
  <c r="D11" i="3"/>
  <c r="D23" i="3" s="1"/>
  <c r="E11" i="3"/>
  <c r="E23" i="3" s="1"/>
  <c r="E12" i="2"/>
  <c r="D12" i="2"/>
  <c r="H11" i="3"/>
  <c r="H23" i="3" s="1"/>
  <c r="H46" i="3"/>
  <c r="H32" i="3"/>
  <c r="H37" i="3" s="1"/>
  <c r="G11" i="3"/>
  <c r="G23" i="3" s="1"/>
  <c r="G46" i="3"/>
  <c r="G32" i="3"/>
  <c r="G37" i="3" s="1"/>
  <c r="G49" i="3" s="1"/>
  <c r="G12" i="2"/>
  <c r="G13" i="2" s="1"/>
  <c r="G22" i="2" s="1"/>
  <c r="H12" i="2"/>
  <c r="F12" i="2"/>
  <c r="D2" i="3"/>
  <c r="E2" i="3" s="1"/>
  <c r="F2" i="3" s="1"/>
  <c r="G2" i="3" s="1"/>
  <c r="H2" i="3" s="1"/>
  <c r="I2" i="3" s="1"/>
  <c r="J2" i="3" s="1"/>
  <c r="K2" i="3" s="1"/>
  <c r="L2" i="3" s="1"/>
  <c r="M2" i="3" s="1"/>
  <c r="D2" i="2"/>
  <c r="E2" i="2" s="1"/>
  <c r="F2" i="2" s="1"/>
  <c r="G2" i="2" s="1"/>
  <c r="H2" i="2" s="1"/>
  <c r="I2" i="2" s="1"/>
  <c r="J2" i="2" s="1"/>
  <c r="K2" i="2" s="1"/>
  <c r="L2" i="2" s="1"/>
  <c r="M2" i="2" s="1"/>
  <c r="H12" i="1"/>
  <c r="E6" i="1"/>
  <c r="F6" i="1"/>
  <c r="H6" i="1"/>
  <c r="D49" i="3" l="1"/>
  <c r="G4" i="4"/>
  <c r="F10" i="4"/>
  <c r="K34" i="3" s="1"/>
  <c r="E31" i="5"/>
  <c r="E33" i="5" s="1"/>
  <c r="E10" i="5"/>
  <c r="G27" i="2"/>
  <c r="G31" i="2" s="1"/>
  <c r="H13" i="2"/>
  <c r="G20" i="1"/>
  <c r="F20" i="1"/>
  <c r="E5" i="1"/>
  <c r="E13" i="2" s="1"/>
  <c r="D5" i="1"/>
  <c r="D13" i="2" s="1"/>
  <c r="H49" i="3"/>
  <c r="D2" i="1"/>
  <c r="E2" i="1"/>
  <c r="F2" i="1" s="1"/>
  <c r="G2" i="1" s="1"/>
  <c r="H2" i="1" s="1"/>
  <c r="I2" i="1" s="1"/>
  <c r="J2" i="1" s="1"/>
  <c r="K2" i="1" s="1"/>
  <c r="L2" i="1" s="1"/>
  <c r="M2" i="1" s="1"/>
  <c r="L25" i="2" l="1"/>
  <c r="G7" i="4"/>
  <c r="G33" i="2"/>
  <c r="G48" i="2"/>
  <c r="H22" i="2"/>
  <c r="H27" i="2" s="1"/>
  <c r="H31" i="2" s="1"/>
  <c r="H33" i="2" s="1"/>
  <c r="D27" i="2"/>
  <c r="D31" i="2" s="1"/>
  <c r="D33" i="2" s="1"/>
  <c r="H38" i="2"/>
  <c r="H42" i="2"/>
  <c r="H37" i="2"/>
  <c r="H40" i="2"/>
  <c r="H39" i="2"/>
  <c r="H41" i="2"/>
  <c r="F42" i="2"/>
  <c r="F39" i="2"/>
  <c r="F37" i="2"/>
  <c r="F40" i="2"/>
  <c r="F41" i="2"/>
  <c r="F38" i="2"/>
  <c r="F13" i="2"/>
  <c r="E37" i="2"/>
  <c r="E39" i="2"/>
  <c r="E42" i="2"/>
  <c r="E38" i="2"/>
  <c r="E41" i="2"/>
  <c r="E40" i="2"/>
  <c r="D37" i="2"/>
  <c r="D39" i="2"/>
  <c r="D42" i="2"/>
  <c r="D40" i="2"/>
  <c r="D38" i="2"/>
  <c r="D41" i="2"/>
  <c r="J5" i="1"/>
  <c r="J4" i="2" l="1"/>
  <c r="K19" i="7" s="1"/>
  <c r="R4" i="3"/>
  <c r="R7" i="3" s="1"/>
  <c r="R8" i="3" s="1"/>
  <c r="H4" i="4"/>
  <c r="G10" i="4"/>
  <c r="L34" i="3" s="1"/>
  <c r="F10" i="5"/>
  <c r="F31" i="5"/>
  <c r="F33" i="5" s="1"/>
  <c r="F22" i="2"/>
  <c r="F27" i="2" s="1"/>
  <c r="F31" i="2" s="1"/>
  <c r="K5" i="1"/>
  <c r="K41" i="2"/>
  <c r="L41" i="2" s="1"/>
  <c r="M41" i="2" s="1"/>
  <c r="K42" i="2"/>
  <c r="L42" i="2" s="1"/>
  <c r="M42" i="2" s="1"/>
  <c r="K4" i="2" l="1"/>
  <c r="G39" i="19" s="1"/>
  <c r="S4" i="3"/>
  <c r="S7" i="3" s="1"/>
  <c r="S8" i="3" s="1"/>
  <c r="F39" i="19"/>
  <c r="K20" i="7"/>
  <c r="K21" i="7" s="1"/>
  <c r="L17" i="7" s="1"/>
  <c r="K18" i="7"/>
  <c r="L5" i="1"/>
  <c r="M25" i="2"/>
  <c r="H7" i="4"/>
  <c r="H10" i="4" s="1"/>
  <c r="M34" i="3" s="1"/>
  <c r="J7" i="2"/>
  <c r="F33" i="2"/>
  <c r="F48" i="2"/>
  <c r="K6" i="7"/>
  <c r="L6" i="7"/>
  <c r="J5" i="7"/>
  <c r="J7" i="7"/>
  <c r="L4" i="2" l="1"/>
  <c r="H39" i="19" s="1"/>
  <c r="T4" i="3"/>
  <c r="T7" i="3" s="1"/>
  <c r="T8" i="3" s="1"/>
  <c r="L19" i="7"/>
  <c r="L20" i="7" s="1"/>
  <c r="L21" i="7" s="1"/>
  <c r="M17" i="7" s="1"/>
  <c r="F42" i="19"/>
  <c r="G42" i="19"/>
  <c r="M5" i="1"/>
  <c r="J8" i="7"/>
  <c r="K4" i="7" s="1"/>
  <c r="K5" i="7" s="1"/>
  <c r="K7" i="7"/>
  <c r="G31" i="5"/>
  <c r="G33" i="5" s="1"/>
  <c r="G10" i="5"/>
  <c r="I9" i="2"/>
  <c r="I12" i="2" s="1"/>
  <c r="I13" i="2" s="1"/>
  <c r="K39" i="2"/>
  <c r="J10" i="2"/>
  <c r="K37" i="2"/>
  <c r="K7" i="2" s="1"/>
  <c r="K40" i="2"/>
  <c r="J11" i="2"/>
  <c r="K38" i="2"/>
  <c r="J8" i="2"/>
  <c r="J9" i="2" s="1"/>
  <c r="L7" i="7"/>
  <c r="M6" i="7"/>
  <c r="M19" i="7" l="1"/>
  <c r="M20" i="7" s="1"/>
  <c r="M21" i="7" s="1"/>
  <c r="N17" i="7" s="1"/>
  <c r="L18" i="7"/>
  <c r="M4" i="2"/>
  <c r="I39" i="19" s="1"/>
  <c r="U4" i="3"/>
  <c r="U7" i="3" s="1"/>
  <c r="U8" i="3" s="1"/>
  <c r="W8" i="3" s="1"/>
  <c r="J8" i="3" s="1"/>
  <c r="H42" i="19"/>
  <c r="K8" i="7"/>
  <c r="L40" i="2"/>
  <c r="K11" i="2"/>
  <c r="L37" i="2"/>
  <c r="L38" i="2"/>
  <c r="K8" i="2"/>
  <c r="K9" i="2" s="1"/>
  <c r="L39" i="2"/>
  <c r="K10" i="2"/>
  <c r="J12" i="2"/>
  <c r="N6" i="7"/>
  <c r="M7" i="7"/>
  <c r="L8" i="7"/>
  <c r="M18" i="7" l="1"/>
  <c r="J13" i="2"/>
  <c r="R11" i="3"/>
  <c r="N19" i="7"/>
  <c r="N20" i="7" s="1"/>
  <c r="N21" i="7" s="1"/>
  <c r="I42" i="19"/>
  <c r="N18" i="7"/>
  <c r="L4" i="7"/>
  <c r="L5" i="7" s="1"/>
  <c r="M8" i="7"/>
  <c r="N4" i="7" s="1"/>
  <c r="N5" i="7" s="1"/>
  <c r="K12" i="2"/>
  <c r="M38" i="2"/>
  <c r="M8" i="2" s="1"/>
  <c r="L8" i="2"/>
  <c r="M39" i="2"/>
  <c r="M10" i="2" s="1"/>
  <c r="L10" i="2"/>
  <c r="M37" i="2"/>
  <c r="M7" i="2" s="1"/>
  <c r="L7" i="2"/>
  <c r="M40" i="2"/>
  <c r="M11" i="2" s="1"/>
  <c r="L11" i="2"/>
  <c r="N7" i="7"/>
  <c r="K8" i="3"/>
  <c r="L8" i="3"/>
  <c r="M8" i="3"/>
  <c r="M4" i="7"/>
  <c r="M5" i="7" s="1"/>
  <c r="R20" i="3"/>
  <c r="R21" i="3" s="1"/>
  <c r="R13" i="3"/>
  <c r="R14" i="3" s="1"/>
  <c r="K13" i="2" l="1"/>
  <c r="S11" i="3"/>
  <c r="S20" i="3" s="1"/>
  <c r="S21" i="3" s="1"/>
  <c r="G13" i="5"/>
  <c r="F13" i="5"/>
  <c r="E13" i="5"/>
  <c r="D13" i="5"/>
  <c r="N8" i="7"/>
  <c r="L9" i="2"/>
  <c r="L12" i="2" s="1"/>
  <c r="M9" i="2"/>
  <c r="M12" i="2" s="1"/>
  <c r="U11" i="3" s="1"/>
  <c r="S13" i="3" l="1"/>
  <c r="S14" i="3" s="1"/>
  <c r="L13" i="2"/>
  <c r="T11" i="3"/>
  <c r="T13" i="3" s="1"/>
  <c r="T14" i="3" s="1"/>
  <c r="M13" i="2"/>
  <c r="U20" i="3"/>
  <c r="U21" i="3" s="1"/>
  <c r="T20" i="3" l="1"/>
  <c r="T21" i="3" s="1"/>
  <c r="W21" i="3" s="1"/>
  <c r="U13" i="3"/>
  <c r="U14" i="3" s="1"/>
  <c r="W14" i="3" s="1"/>
  <c r="J9" i="3" s="1"/>
  <c r="K27" i="3" l="1"/>
  <c r="K32" i="3" s="1"/>
  <c r="K37" i="3" s="1"/>
  <c r="M27" i="3"/>
  <c r="M32" i="3" s="1"/>
  <c r="M37" i="3" s="1"/>
  <c r="L27" i="3"/>
  <c r="J27" i="3"/>
  <c r="L9" i="3"/>
  <c r="M9" i="3"/>
  <c r="K9" i="3"/>
  <c r="I32" i="3"/>
  <c r="I37" i="3" s="1"/>
  <c r="G14" i="5" l="1"/>
  <c r="G16" i="5"/>
  <c r="L32" i="3"/>
  <c r="L37" i="3" s="1"/>
  <c r="F16" i="5"/>
  <c r="E16" i="5"/>
  <c r="D16" i="5"/>
  <c r="J32" i="3"/>
  <c r="J37" i="3" s="1"/>
  <c r="E14" i="5"/>
  <c r="F14" i="5"/>
  <c r="D14" i="5"/>
  <c r="D12" i="8" l="1"/>
  <c r="E12" i="8"/>
  <c r="G12" i="8"/>
  <c r="F12" i="8"/>
  <c r="F2" i="7" l="1"/>
  <c r="G2" i="7" s="1"/>
  <c r="H2" i="7" s="1"/>
  <c r="I2" i="7" s="1"/>
  <c r="J2" i="7" s="1"/>
  <c r="K2" i="7" s="1"/>
  <c r="L2" i="7" s="1"/>
  <c r="M2" i="7" s="1"/>
  <c r="N2" i="7" s="1"/>
  <c r="F30" i="7" l="1"/>
  <c r="E19" i="2"/>
  <c r="E21" i="2" s="1"/>
  <c r="E22" i="2" s="1"/>
  <c r="E27" i="2" s="1"/>
  <c r="E31" i="2" s="1"/>
  <c r="E48" i="2" l="1"/>
  <c r="E33" i="2"/>
  <c r="F29" i="7"/>
  <c r="F35" i="7" s="1"/>
  <c r="F34" i="7"/>
  <c r="I19" i="2" l="1"/>
  <c r="I21" i="2" s="1"/>
  <c r="I31" i="2" l="1"/>
  <c r="I46" i="3" l="1"/>
  <c r="I49" i="3" s="1"/>
  <c r="L35" i="7" l="1"/>
  <c r="M35" i="7" s="1"/>
  <c r="N35" i="7" s="1"/>
  <c r="J29" i="7"/>
  <c r="L34" i="7"/>
  <c r="L30" i="7" s="1"/>
  <c r="L31" i="7" l="1"/>
  <c r="L32" i="7" s="1"/>
  <c r="M34" i="7"/>
  <c r="M30" i="7" s="1"/>
  <c r="M31" i="7" s="1"/>
  <c r="L16" i="2" s="1"/>
  <c r="L19" i="2" s="1"/>
  <c r="K30" i="7"/>
  <c r="K31" i="7" s="1"/>
  <c r="K16" i="2" l="1"/>
  <c r="K19" i="2" s="1"/>
  <c r="N34" i="7"/>
  <c r="M32" i="7"/>
  <c r="N28" i="7" s="1"/>
  <c r="K32" i="7"/>
  <c r="J16" i="2"/>
  <c r="I11" i="3"/>
  <c r="L21" i="2"/>
  <c r="L22" i="2" s="1"/>
  <c r="F11" i="8"/>
  <c r="F9" i="5"/>
  <c r="M28" i="7"/>
  <c r="M29" i="7" s="1"/>
  <c r="K16" i="3"/>
  <c r="N30" i="7"/>
  <c r="E9" i="5" l="1"/>
  <c r="E11" i="8"/>
  <c r="K21" i="2"/>
  <c r="K22" i="2" s="1"/>
  <c r="L16" i="3"/>
  <c r="D9" i="5"/>
  <c r="J19" i="2"/>
  <c r="J21" i="2" s="1"/>
  <c r="J22" i="2" s="1"/>
  <c r="D11" i="8"/>
  <c r="L28" i="7"/>
  <c r="L29" i="7" s="1"/>
  <c r="J16" i="3"/>
  <c r="N31" i="7"/>
  <c r="M16" i="2" s="1"/>
  <c r="M19" i="2" s="1"/>
  <c r="N29" i="7"/>
  <c r="F8" i="8"/>
  <c r="F10" i="8" s="1"/>
  <c r="F13" i="8" s="1"/>
  <c r="L27" i="2"/>
  <c r="L29" i="2" s="1"/>
  <c r="F14" i="8"/>
  <c r="F21" i="5"/>
  <c r="F23" i="5" s="1"/>
  <c r="E8" i="8" l="1"/>
  <c r="E10" i="8" s="1"/>
  <c r="E13" i="8" s="1"/>
  <c r="K27" i="2"/>
  <c r="F15" i="8"/>
  <c r="F20" i="8" s="1"/>
  <c r="N32" i="7"/>
  <c r="M16" i="3" s="1"/>
  <c r="J27" i="2"/>
  <c r="D8" i="8"/>
  <c r="D10" i="8" s="1"/>
  <c r="D13" i="8" s="1"/>
  <c r="E21" i="5"/>
  <c r="E23" i="5" s="1"/>
  <c r="E14" i="8"/>
  <c r="L31" i="2"/>
  <c r="G21" i="5"/>
  <c r="G23" i="5" s="1"/>
  <c r="G14" i="8"/>
  <c r="G9" i="5"/>
  <c r="G11" i="8"/>
  <c r="M21" i="2"/>
  <c r="M22" i="2" s="1"/>
  <c r="E15" i="8" l="1"/>
  <c r="E20" i="8" s="1"/>
  <c r="K29" i="2"/>
  <c r="K31" i="2" s="1"/>
  <c r="L32" i="2"/>
  <c r="L33" i="2" s="1"/>
  <c r="H31" i="19"/>
  <c r="J29" i="2"/>
  <c r="J31" i="2" s="1"/>
  <c r="M27" i="2"/>
  <c r="M29" i="2" s="1"/>
  <c r="G8" i="8"/>
  <c r="F8" i="5"/>
  <c r="F18" i="5" s="1"/>
  <c r="K32" i="2" l="1"/>
  <c r="K33" i="2" s="1"/>
  <c r="E8" i="5"/>
  <c r="E18" i="5" s="1"/>
  <c r="G31" i="19"/>
  <c r="G38" i="19" s="1"/>
  <c r="M7" i="8"/>
  <c r="M8" i="8" s="1"/>
  <c r="G10" i="8"/>
  <c r="G13" i="8" s="1"/>
  <c r="G15" i="8" s="1"/>
  <c r="F31" i="19"/>
  <c r="D8" i="5"/>
  <c r="D18" i="5" s="1"/>
  <c r="G55" i="19"/>
  <c r="H38" i="19"/>
  <c r="J32" i="2"/>
  <c r="J48" i="3" s="1"/>
  <c r="F27" i="5"/>
  <c r="F35" i="5"/>
  <c r="M31" i="2"/>
  <c r="K48" i="3" l="1"/>
  <c r="L48" i="3" s="1"/>
  <c r="G40" i="19"/>
  <c r="G20" i="8"/>
  <c r="P7" i="8"/>
  <c r="P8" i="8" s="1"/>
  <c r="P9" i="8" s="1"/>
  <c r="P11" i="8" s="1"/>
  <c r="P15" i="8" s="1"/>
  <c r="P18" i="8" s="1"/>
  <c r="K24" i="8" s="1"/>
  <c r="E35" i="5"/>
  <c r="E27" i="5"/>
  <c r="M32" i="2"/>
  <c r="I31" i="19"/>
  <c r="H40" i="19"/>
  <c r="H55" i="19"/>
  <c r="F38" i="19"/>
  <c r="J33" i="2"/>
  <c r="J45" i="3" s="1"/>
  <c r="J46" i="3" s="1"/>
  <c r="G8" i="5"/>
  <c r="G18" i="5" s="1"/>
  <c r="M48" i="3" l="1"/>
  <c r="I38" i="19"/>
  <c r="J49" i="3"/>
  <c r="F32" i="19"/>
  <c r="F40" i="19"/>
  <c r="F55" i="19"/>
  <c r="K45" i="3"/>
  <c r="M33" i="2"/>
  <c r="G35" i="5"/>
  <c r="G27" i="5"/>
  <c r="K28" i="7"/>
  <c r="K29" i="7" s="1"/>
  <c r="I23" i="3"/>
  <c r="I51" i="3" s="1"/>
  <c r="F47" i="19" l="1"/>
  <c r="F33" i="19"/>
  <c r="I55" i="19"/>
  <c r="I40" i="19"/>
  <c r="L45" i="3"/>
  <c r="L46" i="3" s="1"/>
  <c r="K46" i="3"/>
  <c r="D14" i="8"/>
  <c r="D15" i="8" s="1"/>
  <c r="D21" i="5"/>
  <c r="D23" i="5" s="1"/>
  <c r="L49" i="3" l="1"/>
  <c r="H32" i="19"/>
  <c r="K49" i="3"/>
  <c r="G32" i="19"/>
  <c r="D20" i="8"/>
  <c r="D21" i="8" s="1"/>
  <c r="M9" i="8" s="1"/>
  <c r="M11" i="8" s="1"/>
  <c r="M15" i="8" s="1"/>
  <c r="M18" i="8" s="1"/>
  <c r="K34" i="8" s="1"/>
  <c r="M45" i="3"/>
  <c r="M46" i="3" s="1"/>
  <c r="D35" i="5"/>
  <c r="D37" i="5" s="1"/>
  <c r="D27" i="5"/>
  <c r="G47" i="19" l="1"/>
  <c r="G33" i="19"/>
  <c r="M49" i="3"/>
  <c r="I32" i="19"/>
  <c r="H47" i="19"/>
  <c r="H33" i="19"/>
  <c r="J6" i="3"/>
  <c r="J11" i="3" s="1"/>
  <c r="J23" i="3" s="1"/>
  <c r="E36" i="5"/>
  <c r="E37" i="5" s="1"/>
  <c r="J51" i="3" l="1"/>
  <c r="F43" i="19"/>
  <c r="I47" i="19"/>
  <c r="I33" i="19"/>
  <c r="F36" i="5"/>
  <c r="F37" i="5" s="1"/>
  <c r="K6" i="3"/>
  <c r="K11" i="3" s="1"/>
  <c r="K23" i="3" s="1"/>
  <c r="K51" i="3" l="1"/>
  <c r="G43" i="19"/>
  <c r="F46" i="19"/>
  <c r="F44" i="19"/>
  <c r="G36" i="5"/>
  <c r="G37" i="5" s="1"/>
  <c r="M6" i="3" s="1"/>
  <c r="M11" i="3" s="1"/>
  <c r="M23" i="3" s="1"/>
  <c r="L6" i="3"/>
  <c r="L11" i="3" s="1"/>
  <c r="L23" i="3" s="1"/>
  <c r="M51" i="3" l="1"/>
  <c r="I43" i="19"/>
  <c r="F56" i="19"/>
  <c r="F57" i="19" s="1"/>
  <c r="F48" i="19"/>
  <c r="L51" i="3"/>
  <c r="H43" i="19"/>
  <c r="F50" i="19"/>
  <c r="G46" i="19"/>
  <c r="G44" i="19"/>
  <c r="H46" i="19" l="1"/>
  <c r="H44" i="19"/>
  <c r="I46" i="19"/>
  <c r="I44" i="19"/>
  <c r="G56" i="19"/>
  <c r="G57" i="19" s="1"/>
  <c r="G48" i="19"/>
  <c r="G50" i="19" s="1"/>
  <c r="I48" i="19" l="1"/>
  <c r="I50" i="19" s="1"/>
  <c r="I56" i="19"/>
  <c r="I57" i="19" s="1"/>
  <c r="H56" i="19"/>
  <c r="H57" i="19" s="1"/>
  <c r="H48" i="19"/>
  <c r="H50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47" authorId="0" shapeId="0" xr:uid="{62F7F930-FE20-4ED6-875C-D674EDF5B75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Assume stable or modestly increasing foreign exchange activity and rising global cash balances.
</t>
        </r>
      </text>
    </comment>
  </commentList>
</comments>
</file>

<file path=xl/sharedStrings.xml><?xml version="1.0" encoding="utf-8"?>
<sst xmlns="http://schemas.openxmlformats.org/spreadsheetml/2006/main" count="1299" uniqueCount="375">
  <si>
    <t xml:space="preserve">TESLA </t>
  </si>
  <si>
    <t>(in millions)</t>
  </si>
  <si>
    <t>A</t>
  </si>
  <si>
    <t>E</t>
  </si>
  <si>
    <t>REVENUE</t>
  </si>
  <si>
    <t>Automative Sales Revenue</t>
  </si>
  <si>
    <t>unit sold</t>
  </si>
  <si>
    <t>average selling price</t>
  </si>
  <si>
    <t>Automative Lease Revenue</t>
  </si>
  <si>
    <t>Energy Revenue</t>
  </si>
  <si>
    <t>Service Revenue</t>
  </si>
  <si>
    <t>ASSUMPTIONS</t>
  </si>
  <si>
    <t>Automative regulatory credits</t>
  </si>
  <si>
    <t>Automative leasing</t>
  </si>
  <si>
    <t>Energy generation and storage</t>
  </si>
  <si>
    <t>Services and other</t>
  </si>
  <si>
    <t>Total revenues</t>
  </si>
  <si>
    <t>Cost of revenues</t>
  </si>
  <si>
    <t>Automative sales</t>
  </si>
  <si>
    <t>Total automative cost of revenues</t>
  </si>
  <si>
    <t>Total cost of revenues</t>
  </si>
  <si>
    <t>Gross profit</t>
  </si>
  <si>
    <t>Operating expenses</t>
  </si>
  <si>
    <t>Research and development</t>
  </si>
  <si>
    <t>Selling,gereneral and adminsistrative</t>
  </si>
  <si>
    <t>Restructuring and other</t>
  </si>
  <si>
    <t>Total operating expenses</t>
  </si>
  <si>
    <t>Income from operations</t>
  </si>
  <si>
    <t>Interest income</t>
  </si>
  <si>
    <t>Interest expense</t>
  </si>
  <si>
    <t>Other income (expense),net</t>
  </si>
  <si>
    <t>Income before income taxes</t>
  </si>
  <si>
    <t>Provision for income taxes</t>
  </si>
  <si>
    <t>Non controlling interest</t>
  </si>
  <si>
    <t>Net income to stockholders</t>
  </si>
  <si>
    <t>ASSETS</t>
  </si>
  <si>
    <t>Current assets</t>
  </si>
  <si>
    <t>Cash and cash equivalents</t>
  </si>
  <si>
    <t>Short term investments</t>
  </si>
  <si>
    <t>Accounts receivable, net</t>
  </si>
  <si>
    <t>Inventory</t>
  </si>
  <si>
    <t>Prepaid expenses and other current assets</t>
  </si>
  <si>
    <t>Total current assets</t>
  </si>
  <si>
    <t>Operating lease vehicles,net</t>
  </si>
  <si>
    <t>Solar energy systems,net</t>
  </si>
  <si>
    <t>Operating lease right of use assets</t>
  </si>
  <si>
    <t>Digital assets, net</t>
  </si>
  <si>
    <t>Property, plant and equipment, net</t>
  </si>
  <si>
    <t>Goodwill</t>
  </si>
  <si>
    <t>Deferred tax assets</t>
  </si>
  <si>
    <t>Other non current assets</t>
  </si>
  <si>
    <t>Total assets</t>
  </si>
  <si>
    <t>LIABILITIES</t>
  </si>
  <si>
    <t>Current liabilities</t>
  </si>
  <si>
    <t>Accounts payable</t>
  </si>
  <si>
    <t>Accrued liabilities and other</t>
  </si>
  <si>
    <t>Deffered revenue</t>
  </si>
  <si>
    <t>Current portion of debt and finance lease</t>
  </si>
  <si>
    <t>Total current liabilities</t>
  </si>
  <si>
    <t>Total liabilities</t>
  </si>
  <si>
    <t>Debt and finance leases, net of current portion</t>
  </si>
  <si>
    <t>Deferred revenue , net of current portion</t>
  </si>
  <si>
    <t>Other long term liabilities</t>
  </si>
  <si>
    <t xml:space="preserve">Redeemable noncontrolling interest </t>
  </si>
  <si>
    <t>EQUITY</t>
  </si>
  <si>
    <t>Stockholder's equity</t>
  </si>
  <si>
    <t>Additional paid in capital</t>
  </si>
  <si>
    <t>Accumulated other comprehensive loss</t>
  </si>
  <si>
    <t>Retained earnings</t>
  </si>
  <si>
    <t>Total stockholder's equity</t>
  </si>
  <si>
    <t>Non controlling interest in subsidiaries</t>
  </si>
  <si>
    <t>Total liabilities and equity</t>
  </si>
  <si>
    <t>Intangible assets</t>
  </si>
  <si>
    <t>customer deposits</t>
  </si>
  <si>
    <t>Convertible senior notes</t>
  </si>
  <si>
    <t>Projection of expenses</t>
  </si>
  <si>
    <t>Opening debt</t>
  </si>
  <si>
    <t>Debt taken</t>
  </si>
  <si>
    <t>Debt repaid</t>
  </si>
  <si>
    <t>Closing balance</t>
  </si>
  <si>
    <t>Interest yield</t>
  </si>
  <si>
    <t>Effective tax rate</t>
  </si>
  <si>
    <t>from 10 K</t>
  </si>
  <si>
    <t>Debt Component</t>
  </si>
  <si>
    <t>Principal ($M)</t>
  </si>
  <si>
    <t>Interest Rate (%)</t>
  </si>
  <si>
    <t>Weighted Contribution ($M)</t>
  </si>
  <si>
    <t>Solar Bonds</t>
  </si>
  <si>
    <t>Interest Expense</t>
  </si>
  <si>
    <t>Other income (expense) net</t>
  </si>
  <si>
    <t>Add: Net Addition during the Period</t>
  </si>
  <si>
    <t>Total Depreciable Assets During the Year</t>
  </si>
  <si>
    <t>Less: Depreciation during the year</t>
  </si>
  <si>
    <t>Closing Balance</t>
  </si>
  <si>
    <t>PPE ratio</t>
  </si>
  <si>
    <t>Depreciation rate</t>
  </si>
  <si>
    <t>Opening Balance</t>
  </si>
  <si>
    <t>Total fixed assets</t>
  </si>
  <si>
    <t>Cash Flow Statement</t>
  </si>
  <si>
    <t>Cash From Operating Activities</t>
  </si>
  <si>
    <t>Net Income</t>
  </si>
  <si>
    <t>Depreciation and amortization</t>
  </si>
  <si>
    <t>Change in assets and liabilities:</t>
  </si>
  <si>
    <t>Trade accounts receivable</t>
  </si>
  <si>
    <t>Inventories</t>
  </si>
  <si>
    <t>Accounts payable and accrued expenses</t>
  </si>
  <si>
    <t>Net Cash Provided by Operating Activities</t>
  </si>
  <si>
    <t>Cash From Investing Activities</t>
  </si>
  <si>
    <t>Capital Expenditure</t>
  </si>
  <si>
    <t>Net Cash Used for Investing Activities</t>
  </si>
  <si>
    <t>Cash From Financing Activities</t>
  </si>
  <si>
    <t>Cash dividends paid</t>
  </si>
  <si>
    <t>Cash before Raising (Repayment) of Debt</t>
  </si>
  <si>
    <t>Debt Raised</t>
  </si>
  <si>
    <t>Debt Repaid</t>
  </si>
  <si>
    <t>Net Cash Provided by/(Used for) Financing Activities</t>
  </si>
  <si>
    <t>Net Increase/(Decrease) in Cash and Cash Equivalents</t>
  </si>
  <si>
    <t xml:space="preserve">Cash and Cash Equivalents, Beginning of Year </t>
  </si>
  <si>
    <t>Cash and Cash Equivalents, End of Period</t>
  </si>
  <si>
    <t>AR</t>
  </si>
  <si>
    <t>ARTR</t>
  </si>
  <si>
    <t>DSO</t>
  </si>
  <si>
    <t>inv</t>
  </si>
  <si>
    <t>cogs</t>
  </si>
  <si>
    <t>ITR</t>
  </si>
  <si>
    <t>DIO</t>
  </si>
  <si>
    <t>DSO = 365/ARTR</t>
  </si>
  <si>
    <t>prepaid</t>
  </si>
  <si>
    <t>expenses</t>
  </si>
  <si>
    <t>Revenue</t>
  </si>
  <si>
    <t>payables</t>
  </si>
  <si>
    <t>APTR</t>
  </si>
  <si>
    <t>DPO</t>
  </si>
  <si>
    <t>interest paid</t>
  </si>
  <si>
    <t>FREE CASH FLOW TO FIRM</t>
  </si>
  <si>
    <t>EBIT</t>
  </si>
  <si>
    <t>Tax rate</t>
  </si>
  <si>
    <t>EBIT(1-Tax)</t>
  </si>
  <si>
    <t>Depreciation</t>
  </si>
  <si>
    <t>net changes in working capital</t>
  </si>
  <si>
    <t>operating FCFF</t>
  </si>
  <si>
    <t>Capex</t>
  </si>
  <si>
    <t>FCFF (explicit cashflow)</t>
  </si>
  <si>
    <t>WACC</t>
  </si>
  <si>
    <t>PV of explicit cash flows</t>
  </si>
  <si>
    <t>Sum of PV of explicit cash flows</t>
  </si>
  <si>
    <t>Discount factor</t>
  </si>
  <si>
    <t>Terminal value using exit multiplier method</t>
  </si>
  <si>
    <t xml:space="preserve">Terminal value </t>
  </si>
  <si>
    <t>PV of Terminal value</t>
  </si>
  <si>
    <t>Operating enterprise value</t>
  </si>
  <si>
    <t>Short term investment</t>
  </si>
  <si>
    <t>Total enterprise value</t>
  </si>
  <si>
    <t>(-); long and short term debt</t>
  </si>
  <si>
    <t>(-)minority interest</t>
  </si>
  <si>
    <t>(+) cash</t>
  </si>
  <si>
    <t>Outstanding shares</t>
  </si>
  <si>
    <t>Value per share</t>
  </si>
  <si>
    <t>Price</t>
  </si>
  <si>
    <t>Total debt and equity</t>
  </si>
  <si>
    <t>Wd</t>
  </si>
  <si>
    <t>We</t>
  </si>
  <si>
    <t>Risk Free Rate</t>
  </si>
  <si>
    <t xml:space="preserve">Rating of tesla as per S&amp;P (BBB) </t>
  </si>
  <si>
    <t>Cost of debt</t>
  </si>
  <si>
    <t>Date</t>
  </si>
  <si>
    <t>12/29/2024</t>
  </si>
  <si>
    <t>12/22/2024</t>
  </si>
  <si>
    <t>12/15/2024</t>
  </si>
  <si>
    <t>11/24/2024</t>
  </si>
  <si>
    <t>11/17/2024</t>
  </si>
  <si>
    <t>10/27/2024</t>
  </si>
  <si>
    <t>10/20/2024</t>
  </si>
  <si>
    <t>10/13/2024</t>
  </si>
  <si>
    <t>09/29/2024</t>
  </si>
  <si>
    <t>09/22/2024</t>
  </si>
  <si>
    <t>09/15/2024</t>
  </si>
  <si>
    <t>08/25/2024</t>
  </si>
  <si>
    <t>08/18/2024</t>
  </si>
  <si>
    <t>07/28/2024</t>
  </si>
  <si>
    <t>07/21/2024</t>
  </si>
  <si>
    <t>07/14/2024</t>
  </si>
  <si>
    <t>06/30/2024</t>
  </si>
  <si>
    <t>06/23/2024</t>
  </si>
  <si>
    <t>06/16/2024</t>
  </si>
  <si>
    <t>05/26/2024</t>
  </si>
  <si>
    <t>05/19/2024</t>
  </si>
  <si>
    <t>04/28/2024</t>
  </si>
  <si>
    <t>04/21/2024</t>
  </si>
  <si>
    <t>04/14/2024</t>
  </si>
  <si>
    <t>03/31/2024</t>
  </si>
  <si>
    <t>03/24/2024</t>
  </si>
  <si>
    <t>03/17/2024</t>
  </si>
  <si>
    <t>02/25/2024</t>
  </si>
  <si>
    <t>02/18/2024</t>
  </si>
  <si>
    <t>01/28/2024</t>
  </si>
  <si>
    <t>01/21/2024</t>
  </si>
  <si>
    <t>01/14/2024</t>
  </si>
  <si>
    <t>12/31/2023</t>
  </si>
  <si>
    <t>12/24/2023</t>
  </si>
  <si>
    <t>12/17/2023</t>
  </si>
  <si>
    <t>11/26/2023</t>
  </si>
  <si>
    <t>11/19/2023</t>
  </si>
  <si>
    <t>10/29/2023</t>
  </si>
  <si>
    <t>10/22/2023</t>
  </si>
  <si>
    <t>10/15/2023</t>
  </si>
  <si>
    <t>09/24/2023</t>
  </si>
  <si>
    <t>09/17/2023</t>
  </si>
  <si>
    <t>08/27/2023</t>
  </si>
  <si>
    <t>08/20/2023</t>
  </si>
  <si>
    <t>08/13/2023</t>
  </si>
  <si>
    <t>07/30/2023</t>
  </si>
  <si>
    <t>07/23/2023</t>
  </si>
  <si>
    <t>07/16/2023</t>
  </si>
  <si>
    <t>06/25/2023</t>
  </si>
  <si>
    <t>06/18/2023</t>
  </si>
  <si>
    <t>05/28/2023</t>
  </si>
  <si>
    <t>05/21/2023</t>
  </si>
  <si>
    <t>05/14/2023</t>
  </si>
  <si>
    <t>04/30/2023</t>
  </si>
  <si>
    <t>04/23/2023</t>
  </si>
  <si>
    <t>04/16/2023</t>
  </si>
  <si>
    <t>03/26/2023</t>
  </si>
  <si>
    <t>03/19/2023</t>
  </si>
  <si>
    <t>02/26/2023</t>
  </si>
  <si>
    <t>02/19/2023</t>
  </si>
  <si>
    <t>01/29/2023</t>
  </si>
  <si>
    <t>01/22/2023</t>
  </si>
  <si>
    <t>01/15/2023</t>
  </si>
  <si>
    <t>12/25/2022</t>
  </si>
  <si>
    <t>12/18/2022</t>
  </si>
  <si>
    <t>11/27/2022</t>
  </si>
  <si>
    <t>11/20/2022</t>
  </si>
  <si>
    <t>11/13/2022</t>
  </si>
  <si>
    <t>10/30/2022</t>
  </si>
  <si>
    <t>10/23/2022</t>
  </si>
  <si>
    <t>10/16/2022</t>
  </si>
  <si>
    <t>09/25/2022</t>
  </si>
  <si>
    <t>09/18/2022</t>
  </si>
  <si>
    <t>08/28/2022</t>
  </si>
  <si>
    <t>08/21/2022</t>
  </si>
  <si>
    <t>08/14/2022</t>
  </si>
  <si>
    <t>07/31/2022</t>
  </si>
  <si>
    <t>07/24/2022</t>
  </si>
  <si>
    <t>07/17/2022</t>
  </si>
  <si>
    <t>06/26/2022</t>
  </si>
  <si>
    <t>06/19/2022</t>
  </si>
  <si>
    <t>05/29/2022</t>
  </si>
  <si>
    <t>05/22/2022</t>
  </si>
  <si>
    <t>05/15/2022</t>
  </si>
  <si>
    <t>04/24/2022</t>
  </si>
  <si>
    <t>04/17/2022</t>
  </si>
  <si>
    <t>03/27/2022</t>
  </si>
  <si>
    <t>03/20/2022</t>
  </si>
  <si>
    <t>03/13/2022</t>
  </si>
  <si>
    <t>02/27/2022</t>
  </si>
  <si>
    <t>02/20/2022</t>
  </si>
  <si>
    <t>02/13/2022</t>
  </si>
  <si>
    <t>01/30/2022</t>
  </si>
  <si>
    <t>01/23/2022</t>
  </si>
  <si>
    <t>01/16/2022</t>
  </si>
  <si>
    <t>12/26/2021</t>
  </si>
  <si>
    <t>12/19/2021</t>
  </si>
  <si>
    <t>11/28/2021</t>
  </si>
  <si>
    <t>11/21/2021</t>
  </si>
  <si>
    <t>11/14/2021</t>
  </si>
  <si>
    <t>10/31/2021</t>
  </si>
  <si>
    <t>10/24/2021</t>
  </si>
  <si>
    <t>10/17/2021</t>
  </si>
  <si>
    <t>09/26/2021</t>
  </si>
  <si>
    <t>09/19/2021</t>
  </si>
  <si>
    <t>08/29/2021</t>
  </si>
  <si>
    <t>08/22/2021</t>
  </si>
  <si>
    <t>08/15/2021</t>
  </si>
  <si>
    <t>07/25/2021</t>
  </si>
  <si>
    <t>07/18/2021</t>
  </si>
  <si>
    <t>06/27/2021</t>
  </si>
  <si>
    <t>06/20/2021</t>
  </si>
  <si>
    <t>06/13/2021</t>
  </si>
  <si>
    <t>05/30/2021</t>
  </si>
  <si>
    <t>05/23/2021</t>
  </si>
  <si>
    <t>05/16/2021</t>
  </si>
  <si>
    <t>04/25/2021</t>
  </si>
  <si>
    <t>04/18/2021</t>
  </si>
  <si>
    <t>03/28/2021</t>
  </si>
  <si>
    <t>03/21/2021</t>
  </si>
  <si>
    <t>03/14/2021</t>
  </si>
  <si>
    <t>02/28/2021</t>
  </si>
  <si>
    <t>02/21/2021</t>
  </si>
  <si>
    <t>02/14/2021</t>
  </si>
  <si>
    <t>01/31/2021</t>
  </si>
  <si>
    <t>01/24/2021</t>
  </si>
  <si>
    <t>01/17/2021</t>
  </si>
  <si>
    <t>TESLA</t>
  </si>
  <si>
    <t>LI AUTO</t>
  </si>
  <si>
    <t>XPENG</t>
  </si>
  <si>
    <t>NIO</t>
  </si>
  <si>
    <t>GM</t>
  </si>
  <si>
    <t>FORD</t>
  </si>
  <si>
    <t>S&amp;P 500</t>
  </si>
  <si>
    <t>Returns</t>
  </si>
  <si>
    <t>BETA</t>
  </si>
  <si>
    <t>REGRESSION BETA</t>
  </si>
  <si>
    <t>COST OF EQUITY</t>
  </si>
  <si>
    <t>Risk free rate</t>
  </si>
  <si>
    <t>Beta</t>
  </si>
  <si>
    <t>Equity risk premium</t>
  </si>
  <si>
    <t>wd*rd*(1-tax) +we*re</t>
  </si>
  <si>
    <t>wd</t>
  </si>
  <si>
    <t>we</t>
  </si>
  <si>
    <t>COMPANY NAME</t>
  </si>
  <si>
    <t>UNLEVERED BETA CALCULATION - COMPARABLES</t>
  </si>
  <si>
    <t>Name</t>
  </si>
  <si>
    <t>Levered Beta</t>
  </si>
  <si>
    <t>Debt</t>
  </si>
  <si>
    <t>Equity</t>
  </si>
  <si>
    <t>Tax Rate</t>
  </si>
  <si>
    <t>Unlevered Beta</t>
  </si>
  <si>
    <t>Relevered Beta</t>
  </si>
  <si>
    <t>MEDIAN</t>
  </si>
  <si>
    <t>Bottom-up beta</t>
  </si>
  <si>
    <t>Calculation of Capital Structure of Peer Group Companies</t>
  </si>
  <si>
    <t>Company name</t>
  </si>
  <si>
    <t>Market Cap</t>
  </si>
  <si>
    <t>DFL = 1+(1-tax)*(debt/equity)</t>
  </si>
  <si>
    <t>Depreciation &amp; amortisation</t>
  </si>
  <si>
    <t>Net income(before NCI)</t>
  </si>
  <si>
    <t>Selling and general net</t>
  </si>
  <si>
    <t>Recourse debt:</t>
  </si>
  <si>
    <t>Non-recourse debt:</t>
  </si>
  <si>
    <t>Automotive Asset-backed Notes</t>
  </si>
  <si>
    <t>Solar Asset-backed Notes</t>
  </si>
  <si>
    <t>Cash Equity Debt</t>
  </si>
  <si>
    <t>Weighted Average Interst Rate:</t>
  </si>
  <si>
    <t>Short</t>
  </si>
  <si>
    <t>Long</t>
  </si>
  <si>
    <t>check sum</t>
  </si>
  <si>
    <t>Market Value/ Equity value</t>
  </si>
  <si>
    <t>Market value/Equity value</t>
  </si>
  <si>
    <t>valuation date</t>
  </si>
  <si>
    <t>first projection date</t>
  </si>
  <si>
    <t>growth</t>
  </si>
  <si>
    <t>Terminal value using Gordon Growth Model</t>
  </si>
  <si>
    <t>lasy year FCFF (1+g)/(wacc - g )</t>
  </si>
  <si>
    <t>Return on Equity (ROE)</t>
  </si>
  <si>
    <t>Net Profit</t>
  </si>
  <si>
    <t>Average Shareholder Equity</t>
  </si>
  <si>
    <t>Return on Equity</t>
  </si>
  <si>
    <t>Net  Profit Margin (A)</t>
  </si>
  <si>
    <t>Average Total Asset</t>
  </si>
  <si>
    <t>Asset Turnover Ratio (B)</t>
  </si>
  <si>
    <t>Equity Multiplier (C)</t>
  </si>
  <si>
    <t>Return on Equity (A*B*C)</t>
  </si>
  <si>
    <t>Return on Asset (ROA)</t>
  </si>
  <si>
    <t>ROE - Dupont Equation</t>
  </si>
  <si>
    <t>Return on Asset</t>
  </si>
  <si>
    <t>TESLA DUPONT ANALYSIS</t>
  </si>
  <si>
    <t xml:space="preserve"> FINANCIAL SUMMARY</t>
  </si>
  <si>
    <t>s</t>
  </si>
  <si>
    <t>EV/EBITDA\</t>
  </si>
  <si>
    <t>SENSITIVITY ANALYSIS</t>
  </si>
  <si>
    <t>Method</t>
  </si>
  <si>
    <t>Lower</t>
  </si>
  <si>
    <t>Higher</t>
  </si>
  <si>
    <t>Exit Multiple</t>
  </si>
  <si>
    <t>Difference</t>
  </si>
  <si>
    <t>CCA FY1 EV/EBITDA</t>
  </si>
  <si>
    <t>CCA FY2 EV/EBITDA</t>
  </si>
  <si>
    <t>Unaffected Price</t>
  </si>
  <si>
    <t>Final range</t>
  </si>
  <si>
    <t>Perpetual growth</t>
  </si>
  <si>
    <t>Market consensus</t>
  </si>
  <si>
    <t>52 week range</t>
  </si>
  <si>
    <t>GORDON GROWTH</t>
  </si>
  <si>
    <t>EXIT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</si>
</sst>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₹&quot;\ #,##0;[Red]&quot;₹&quot;\ \-#,##0"/>
    <numFmt numFmtId="43" formatCode="_ * #,##0.00_ ;_ * \-#,##0.00_ ;_ * &quot;-&quot;??_ ;_ @_ "/>
    <numFmt numFmtId="164" formatCode="[$$-409]#,##0"/>
    <numFmt numFmtId="165" formatCode="0.0%"/>
    <numFmt numFmtId="166" formatCode="0.0"/>
    <numFmt numFmtId="167" formatCode="0.0000"/>
    <numFmt numFmtId="168" formatCode="_ * #,##0_ ;_ * \-#,##0_ ;_ * &quot;-&quot;??_ ;_ @_ "/>
    <numFmt numFmtId="174" formatCode="0.0\x"/>
  </numFmts>
  <fonts count="2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0" tint="-4.9989318521683403E-2"/>
      <name val="Calibri"/>
      <family val="2"/>
    </font>
    <font>
      <b/>
      <sz val="12"/>
      <color theme="0" tint="-4.9989318521683403E-2"/>
      <name val="Calibri"/>
      <family val="2"/>
    </font>
    <font>
      <b/>
      <sz val="12"/>
      <color theme="1" tint="0.14999847407452621"/>
      <name val="Calibri"/>
      <family val="2"/>
    </font>
    <font>
      <sz val="14"/>
      <color theme="5" tint="-0.499984740745262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2060"/>
      <name val="Calibri"/>
      <family val="2"/>
    </font>
    <font>
      <sz val="11"/>
      <color theme="3"/>
      <name val="Calibri"/>
      <family val="2"/>
    </font>
    <font>
      <sz val="11"/>
      <color theme="0"/>
      <name val="Calibri"/>
      <family val="2"/>
    </font>
    <font>
      <b/>
      <sz val="12"/>
      <color theme="5" tint="-0.499984740745262"/>
      <name val="Calibri"/>
      <family val="2"/>
      <scheme val="minor"/>
    </font>
    <font>
      <sz val="18"/>
      <color theme="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theme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gradientFill degree="90">
        <stop position="0">
          <color theme="7" tint="0.80001220740379042"/>
        </stop>
        <stop position="1">
          <color theme="5" tint="0.59999389629810485"/>
        </stop>
      </gradientFill>
    </fill>
    <fill>
      <gradientFill degree="90">
        <stop position="0">
          <color theme="5" tint="0.59999389629810485"/>
        </stop>
        <stop position="1">
          <color theme="7" tint="0.80001220740379042"/>
        </stop>
      </gradientFill>
    </fill>
    <fill>
      <gradientFill degree="90">
        <stop position="0">
          <color theme="5" tint="0.80001220740379042"/>
        </stop>
        <stop position="1">
          <color theme="7" tint="0.80001220740379042"/>
        </stop>
      </gradient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21" applyNumberFormat="0" applyFill="0" applyAlignment="0" applyProtection="0"/>
  </cellStyleXfs>
  <cellXfs count="254">
    <xf numFmtId="0" fontId="0" fillId="0" borderId="0" xfId="0"/>
    <xf numFmtId="0" fontId="2" fillId="3" borderId="0" xfId="0" applyFont="1" applyFill="1"/>
    <xf numFmtId="14" fontId="3" fillId="2" borderId="0" xfId="0" applyNumberFormat="1" applyFont="1" applyFill="1"/>
    <xf numFmtId="0" fontId="4" fillId="4" borderId="0" xfId="0" applyFont="1" applyFill="1"/>
    <xf numFmtId="0" fontId="3" fillId="4" borderId="0" xfId="0" applyFont="1" applyFill="1"/>
    <xf numFmtId="0" fontId="5" fillId="0" borderId="0" xfId="0" applyFont="1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5" borderId="0" xfId="0" applyFont="1" applyFill="1"/>
    <xf numFmtId="0" fontId="0" fillId="5" borderId="0" xfId="0" applyFill="1"/>
    <xf numFmtId="3" fontId="1" fillId="5" borderId="0" xfId="0" applyNumberFormat="1" applyFont="1" applyFill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3" borderId="2" xfId="0" applyFont="1" applyFill="1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1" fillId="4" borderId="0" xfId="0" applyFont="1" applyFill="1"/>
    <xf numFmtId="0" fontId="1" fillId="4" borderId="2" xfId="0" applyFont="1" applyFill="1" applyBorder="1"/>
    <xf numFmtId="3" fontId="1" fillId="0" borderId="1" xfId="0" applyNumberFormat="1" applyFont="1" applyBorder="1"/>
    <xf numFmtId="1" fontId="1" fillId="0" borderId="1" xfId="0" applyNumberFormat="1" applyFont="1" applyBorder="1"/>
    <xf numFmtId="165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/>
    <xf numFmtId="166" fontId="1" fillId="6" borderId="0" xfId="0" applyNumberFormat="1" applyFont="1" applyFill="1"/>
    <xf numFmtId="1" fontId="1" fillId="6" borderId="1" xfId="0" applyNumberFormat="1" applyFont="1" applyFill="1" applyBorder="1"/>
    <xf numFmtId="0" fontId="6" fillId="0" borderId="0" xfId="0" applyFont="1"/>
    <xf numFmtId="2" fontId="0" fillId="0" borderId="0" xfId="0" applyNumberFormat="1"/>
    <xf numFmtId="2" fontId="1" fillId="0" borderId="0" xfId="0" applyNumberFormat="1" applyFont="1"/>
    <xf numFmtId="10" fontId="1" fillId="0" borderId="0" xfId="0" applyNumberFormat="1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6" fillId="7" borderId="0" xfId="0" applyFont="1" applyFill="1" applyAlignment="1">
      <alignment horizontal="left"/>
    </xf>
    <xf numFmtId="0" fontId="0" fillId="2" borderId="0" xfId="0" applyFill="1"/>
    <xf numFmtId="0" fontId="9" fillId="8" borderId="0" xfId="0" applyFont="1" applyFill="1" applyAlignment="1">
      <alignment vertical="top" wrapText="1"/>
    </xf>
    <xf numFmtId="0" fontId="11" fillId="8" borderId="0" xfId="0" applyFont="1" applyFill="1" applyAlignment="1">
      <alignment vertical="top"/>
    </xf>
    <xf numFmtId="2" fontId="0" fillId="9" borderId="0" xfId="0" applyNumberFormat="1" applyFill="1"/>
    <xf numFmtId="1" fontId="0" fillId="9" borderId="0" xfId="0" applyNumberFormat="1" applyFill="1"/>
    <xf numFmtId="10" fontId="0" fillId="9" borderId="0" xfId="0" applyNumberFormat="1" applyFill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2" fontId="0" fillId="0" borderId="8" xfId="0" applyNumberFormat="1" applyBorder="1"/>
    <xf numFmtId="1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/>
    </xf>
    <xf numFmtId="0" fontId="12" fillId="6" borderId="0" xfId="0" applyFont="1" applyFill="1"/>
    <xf numFmtId="0" fontId="0" fillId="6" borderId="0" xfId="0" applyFill="1"/>
    <xf numFmtId="6" fontId="0" fillId="0" borderId="0" xfId="0" applyNumberFormat="1"/>
    <xf numFmtId="0" fontId="0" fillId="10" borderId="0" xfId="0" applyFill="1"/>
    <xf numFmtId="0" fontId="1" fillId="10" borderId="0" xfId="0" applyFont="1" applyFill="1"/>
    <xf numFmtId="1" fontId="0" fillId="10" borderId="0" xfId="0" applyNumberFormat="1" applyFill="1"/>
    <xf numFmtId="0" fontId="1" fillId="9" borderId="0" xfId="0" applyFont="1" applyFill="1"/>
    <xf numFmtId="0" fontId="0" fillId="9" borderId="0" xfId="0" applyFill="1"/>
    <xf numFmtId="0" fontId="1" fillId="11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7" xfId="0" applyFill="1" applyBorder="1"/>
    <xf numFmtId="14" fontId="0" fillId="12" borderId="7" xfId="0" applyNumberFormat="1" applyFill="1" applyBorder="1"/>
    <xf numFmtId="14" fontId="0" fillId="12" borderId="9" xfId="0" applyNumberFormat="1" applyFill="1" applyBorder="1"/>
    <xf numFmtId="0" fontId="0" fillId="12" borderId="7" xfId="0" applyFill="1" applyBorder="1" applyAlignment="1">
      <alignment horizontal="center"/>
    </xf>
    <xf numFmtId="0" fontId="0" fillId="12" borderId="0" xfId="0" applyFill="1" applyAlignment="1">
      <alignment horizontal="center"/>
    </xf>
    <xf numFmtId="10" fontId="0" fillId="12" borderId="8" xfId="0" applyNumberFormat="1" applyFill="1" applyBorder="1" applyAlignment="1">
      <alignment horizontal="center"/>
    </xf>
    <xf numFmtId="14" fontId="0" fillId="12" borderId="7" xfId="0" applyNumberFormat="1" applyFill="1" applyBorder="1" applyAlignment="1">
      <alignment horizontal="center"/>
    </xf>
    <xf numFmtId="14" fontId="0" fillId="12" borderId="9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10" fontId="0" fillId="12" borderId="11" xfId="0" applyNumberForma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Alignment="1">
      <alignment horizontal="center"/>
    </xf>
    <xf numFmtId="10" fontId="0" fillId="13" borderId="8" xfId="0" applyNumberFormat="1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14" fontId="0" fillId="13" borderId="9" xfId="0" applyNumberForma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10" fontId="0" fillId="13" borderId="11" xfId="0" applyNumberForma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12" borderId="0" xfId="0" applyFill="1"/>
    <xf numFmtId="10" fontId="0" fillId="12" borderId="8" xfId="0" applyNumberFormat="1" applyFill="1" applyBorder="1"/>
    <xf numFmtId="0" fontId="0" fillId="12" borderId="10" xfId="0" applyFill="1" applyBorder="1"/>
    <xf numFmtId="10" fontId="0" fillId="12" borderId="11" xfId="0" applyNumberFormat="1" applyFill="1" applyBorder="1"/>
    <xf numFmtId="4" fontId="0" fillId="12" borderId="0" xfId="0" applyNumberFormat="1" applyFill="1"/>
    <xf numFmtId="4" fontId="0" fillId="12" borderId="10" xfId="0" applyNumberFormat="1" applyFill="1" applyBorder="1"/>
    <xf numFmtId="0" fontId="1" fillId="12" borderId="4" xfId="0" applyFont="1" applyFill="1" applyBorder="1"/>
    <xf numFmtId="0" fontId="1" fillId="12" borderId="5" xfId="0" applyFont="1" applyFill="1" applyBorder="1"/>
    <xf numFmtId="0" fontId="1" fillId="12" borderId="6" xfId="0" applyFont="1" applyFill="1" applyBorder="1"/>
    <xf numFmtId="0" fontId="1" fillId="12" borderId="7" xfId="0" applyFont="1" applyFill="1" applyBorder="1"/>
    <xf numFmtId="0" fontId="1" fillId="12" borderId="0" xfId="0" applyFont="1" applyFill="1"/>
    <xf numFmtId="0" fontId="1" fillId="12" borderId="8" xfId="0" applyFont="1" applyFill="1" applyBorder="1"/>
    <xf numFmtId="0" fontId="13" fillId="6" borderId="0" xfId="0" applyFont="1" applyFill="1" applyAlignment="1">
      <alignment horizontal="left" indent="20"/>
    </xf>
    <xf numFmtId="0" fontId="0" fillId="6" borderId="0" xfId="0" applyFill="1" applyAlignment="1">
      <alignment horizontal="left" indent="20"/>
    </xf>
    <xf numFmtId="0" fontId="1" fillId="14" borderId="17" xfId="0" applyFont="1" applyFill="1" applyBorder="1"/>
    <xf numFmtId="0" fontId="1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left" indent="20"/>
    </xf>
    <xf numFmtId="0" fontId="12" fillId="0" borderId="0" xfId="0" applyFont="1"/>
    <xf numFmtId="0" fontId="15" fillId="0" borderId="0" xfId="0" applyFont="1"/>
    <xf numFmtId="0" fontId="1" fillId="5" borderId="18" xfId="0" applyFont="1" applyFill="1" applyBorder="1"/>
    <xf numFmtId="0" fontId="0" fillId="4" borderId="0" xfId="0" applyFill="1"/>
    <xf numFmtId="0" fontId="12" fillId="4" borderId="20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vertical="center"/>
    </xf>
    <xf numFmtId="0" fontId="16" fillId="15" borderId="19" xfId="0" applyFont="1" applyFill="1" applyBorder="1"/>
    <xf numFmtId="0" fontId="17" fillId="15" borderId="15" xfId="0" applyFont="1" applyFill="1" applyBorder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16" borderId="0" xfId="0" applyFont="1" applyFill="1"/>
    <xf numFmtId="0" fontId="0" fillId="16" borderId="0" xfId="0" applyFill="1"/>
    <xf numFmtId="0" fontId="1" fillId="4" borderId="1" xfId="0" applyFont="1" applyFill="1" applyBorder="1"/>
    <xf numFmtId="167" fontId="0" fillId="0" borderId="0" xfId="0" applyNumberFormat="1"/>
    <xf numFmtId="167" fontId="0" fillId="0" borderId="1" xfId="0" applyNumberFormat="1" applyBorder="1"/>
    <xf numFmtId="10" fontId="0" fillId="16" borderId="0" xfId="0" applyNumberFormat="1" applyFill="1"/>
    <xf numFmtId="167" fontId="0" fillId="16" borderId="0" xfId="0" applyNumberFormat="1" applyFill="1"/>
    <xf numFmtId="167" fontId="0" fillId="18" borderId="0" xfId="0" applyNumberFormat="1" applyFill="1"/>
    <xf numFmtId="10" fontId="0" fillId="5" borderId="0" xfId="0" applyNumberFormat="1" applyFill="1"/>
    <xf numFmtId="1" fontId="1" fillId="0" borderId="0" xfId="0" applyNumberFormat="1" applyFont="1"/>
    <xf numFmtId="0" fontId="1" fillId="0" borderId="21" xfId="3"/>
    <xf numFmtId="9" fontId="1" fillId="0" borderId="0" xfId="1" applyFont="1"/>
    <xf numFmtId="168" fontId="0" fillId="0" borderId="0" xfId="2" applyNumberFormat="1" applyFont="1"/>
    <xf numFmtId="3" fontId="18" fillId="0" borderId="0" xfId="0" applyNumberFormat="1" applyFont="1"/>
    <xf numFmtId="164" fontId="18" fillId="0" borderId="0" xfId="0" applyNumberFormat="1" applyFont="1"/>
    <xf numFmtId="0" fontId="0" fillId="0" borderId="22" xfId="0" applyBorder="1"/>
    <xf numFmtId="0" fontId="0" fillId="0" borderId="23" xfId="0" applyBorder="1"/>
    <xf numFmtId="1" fontId="0" fillId="0" borderId="22" xfId="0" applyNumberFormat="1" applyBorder="1"/>
    <xf numFmtId="1" fontId="0" fillId="6" borderId="0" xfId="0" applyNumberFormat="1" applyFill="1"/>
    <xf numFmtId="168" fontId="0" fillId="6" borderId="0" xfId="2" applyNumberFormat="1" applyFont="1" applyFill="1"/>
    <xf numFmtId="168" fontId="1" fillId="0" borderId="1" xfId="2" applyNumberFormat="1" applyFont="1" applyBorder="1"/>
    <xf numFmtId="168" fontId="1" fillId="6" borderId="1" xfId="2" applyNumberFormat="1" applyFont="1" applyFill="1" applyBorder="1"/>
    <xf numFmtId="168" fontId="0" fillId="0" borderId="0" xfId="0" applyNumberFormat="1"/>
    <xf numFmtId="168" fontId="0" fillId="0" borderId="1" xfId="2" applyNumberFormat="1" applyFont="1" applyBorder="1"/>
    <xf numFmtId="43" fontId="20" fillId="0" borderId="0" xfId="2" applyFont="1"/>
    <xf numFmtId="9" fontId="21" fillId="0" borderId="0" xfId="1" applyFont="1"/>
    <xf numFmtId="168" fontId="1" fillId="0" borderId="21" xfId="3" applyNumberFormat="1"/>
    <xf numFmtId="168" fontId="1" fillId="0" borderId="0" xfId="2" applyNumberFormat="1" applyFont="1"/>
    <xf numFmtId="43" fontId="19" fillId="6" borderId="0" xfId="0" applyNumberFormat="1" applyFont="1" applyFill="1"/>
    <xf numFmtId="9" fontId="19" fillId="6" borderId="0" xfId="0" applyNumberFormat="1" applyFont="1" applyFill="1"/>
    <xf numFmtId="10" fontId="0" fillId="11" borderId="8" xfId="0" applyNumberFormat="1" applyFill="1" applyBorder="1" applyAlignment="1">
      <alignment horizontal="center"/>
    </xf>
    <xf numFmtId="10" fontId="0" fillId="11" borderId="11" xfId="0" applyNumberFormat="1" applyFill="1" applyBorder="1" applyAlignment="1">
      <alignment horizontal="center"/>
    </xf>
    <xf numFmtId="2" fontId="0" fillId="4" borderId="0" xfId="0" applyNumberFormat="1" applyFill="1"/>
    <xf numFmtId="0" fontId="1" fillId="17" borderId="4" xfId="0" applyFont="1" applyFill="1" applyBorder="1"/>
    <xf numFmtId="0" fontId="1" fillId="17" borderId="5" xfId="0" applyFont="1" applyFill="1" applyBorder="1"/>
    <xf numFmtId="0" fontId="1" fillId="17" borderId="6" xfId="0" applyFont="1" applyFill="1" applyBorder="1"/>
    <xf numFmtId="0" fontId="1" fillId="0" borderId="7" xfId="0" applyFont="1" applyBorder="1"/>
    <xf numFmtId="0" fontId="1" fillId="17" borderId="7" xfId="0" applyFont="1" applyFill="1" applyBorder="1"/>
    <xf numFmtId="0" fontId="0" fillId="17" borderId="0" xfId="0" applyFill="1"/>
    <xf numFmtId="0" fontId="0" fillId="17" borderId="8" xfId="0" applyFill="1" applyBorder="1"/>
    <xf numFmtId="0" fontId="22" fillId="15" borderId="0" xfId="0" applyFont="1" applyFill="1"/>
    <xf numFmtId="14" fontId="3" fillId="2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0" fillId="0" borderId="0" xfId="0" applyNumberFormat="1"/>
    <xf numFmtId="168" fontId="0" fillId="0" borderId="0" xfId="2" applyNumberFormat="1" applyFont="1" applyFill="1"/>
    <xf numFmtId="168" fontId="1" fillId="0" borderId="1" xfId="2" applyNumberFormat="1" applyFont="1" applyFill="1" applyBorder="1"/>
    <xf numFmtId="43" fontId="0" fillId="0" borderId="0" xfId="0" applyNumberFormat="1"/>
    <xf numFmtId="168" fontId="1" fillId="0" borderId="21" xfId="3" applyNumberFormat="1" applyFill="1"/>
    <xf numFmtId="43" fontId="19" fillId="0" borderId="0" xfId="0" applyNumberFormat="1" applyFont="1"/>
    <xf numFmtId="9" fontId="19" fillId="0" borderId="0" xfId="0" applyNumberFormat="1" applyFont="1"/>
    <xf numFmtId="3" fontId="1" fillId="6" borderId="1" xfId="0" applyNumberFormat="1" applyFont="1" applyFill="1" applyBorder="1"/>
    <xf numFmtId="1" fontId="0" fillId="6" borderId="22" xfId="0" applyNumberFormat="1" applyFill="1" applyBorder="1"/>
    <xf numFmtId="1" fontId="1" fillId="6" borderId="0" xfId="0" applyNumberFormat="1" applyFont="1" applyFill="1"/>
    <xf numFmtId="9" fontId="0" fillId="6" borderId="0" xfId="0" applyNumberFormat="1" applyFill="1"/>
    <xf numFmtId="10" fontId="0" fillId="6" borderId="0" xfId="0" applyNumberFormat="1" applyFill="1"/>
    <xf numFmtId="165" fontId="0" fillId="6" borderId="0" xfId="0" applyNumberFormat="1" applyFill="1"/>
    <xf numFmtId="0" fontId="23" fillId="5" borderId="0" xfId="0" applyFont="1" applyFill="1"/>
    <xf numFmtId="0" fontId="1" fillId="19" borderId="0" xfId="0" applyFont="1" applyFill="1"/>
    <xf numFmtId="9" fontId="1" fillId="19" borderId="0" xfId="1" applyFont="1" applyFill="1"/>
    <xf numFmtId="14" fontId="1" fillId="0" borderId="0" xfId="0" applyNumberFormat="1" applyFont="1"/>
    <xf numFmtId="174" fontId="1" fillId="19" borderId="0" xfId="1" applyNumberFormat="1" applyFont="1" applyFill="1"/>
    <xf numFmtId="0" fontId="24" fillId="15" borderId="0" xfId="0" applyFont="1" applyFill="1"/>
    <xf numFmtId="0" fontId="24" fillId="15" borderId="0" xfId="0" applyFont="1" applyFill="1" applyAlignment="1">
      <alignment horizontal="left" indent="10"/>
    </xf>
    <xf numFmtId="0" fontId="9" fillId="15" borderId="0" xfId="0" applyFont="1" applyFill="1"/>
    <xf numFmtId="3" fontId="0" fillId="10" borderId="0" xfId="0" applyNumberFormat="1" applyFill="1"/>
    <xf numFmtId="3" fontId="1" fillId="10" borderId="0" xfId="0" applyNumberFormat="1" applyFont="1" applyFill="1"/>
    <xf numFmtId="3" fontId="1" fillId="0" borderId="0" xfId="0" applyNumberFormat="1" applyFont="1"/>
    <xf numFmtId="3" fontId="1" fillId="9" borderId="0" xfId="0" applyNumberFormat="1" applyFont="1" applyFill="1"/>
    <xf numFmtId="0" fontId="1" fillId="4" borderId="0" xfId="0" applyFont="1" applyFill="1" applyAlignment="1">
      <alignment horizontal="center"/>
    </xf>
    <xf numFmtId="3" fontId="9" fillId="15" borderId="0" xfId="0" applyNumberFormat="1" applyFont="1" applyFill="1"/>
    <xf numFmtId="3" fontId="0" fillId="19" borderId="0" xfId="0" applyNumberFormat="1" applyFill="1"/>
    <xf numFmtId="0" fontId="9" fillId="20" borderId="0" xfId="0" applyFont="1" applyFill="1"/>
    <xf numFmtId="3" fontId="9" fillId="21" borderId="0" xfId="0" applyNumberFormat="1" applyFont="1" applyFill="1"/>
    <xf numFmtId="9" fontId="9" fillId="21" borderId="0" xfId="0" applyNumberFormat="1" applyFont="1" applyFill="1"/>
    <xf numFmtId="165" fontId="9" fillId="21" borderId="0" xfId="0" applyNumberFormat="1" applyFont="1" applyFill="1"/>
    <xf numFmtId="10" fontId="9" fillId="21" borderId="0" xfId="0" applyNumberFormat="1" applyFont="1" applyFill="1"/>
    <xf numFmtId="10" fontId="1" fillId="6" borderId="0" xfId="0" applyNumberFormat="1" applyFont="1" applyFill="1"/>
    <xf numFmtId="165" fontId="1" fillId="6" borderId="0" xfId="0" applyNumberFormat="1" applyFont="1" applyFill="1"/>
    <xf numFmtId="0" fontId="12" fillId="6" borderId="4" xfId="0" applyFont="1" applyFill="1" applyBorder="1"/>
    <xf numFmtId="0" fontId="15" fillId="6" borderId="5" xfId="0" applyFont="1" applyFill="1" applyBorder="1" applyAlignment="1">
      <alignment horizontal="center"/>
    </xf>
    <xf numFmtId="0" fontId="15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9" fontId="0" fillId="6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0" fontId="1" fillId="6" borderId="7" xfId="0" applyFont="1" applyFill="1" applyBorder="1"/>
    <xf numFmtId="10" fontId="1" fillId="6" borderId="0" xfId="0" applyNumberFormat="1" applyFont="1" applyFill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6" borderId="0" xfId="0" applyNumberFormat="1" applyFont="1" applyFill="1"/>
    <xf numFmtId="1" fontId="0" fillId="0" borderId="24" xfId="0" applyNumberFormat="1" applyBorder="1"/>
    <xf numFmtId="1" fontId="0" fillId="0" borderId="25" xfId="0" applyNumberFormat="1" applyBorder="1"/>
    <xf numFmtId="1" fontId="0" fillId="0" borderId="26" xfId="0" applyNumberFormat="1" applyBorder="1"/>
    <xf numFmtId="1" fontId="0" fillId="0" borderId="27" xfId="0" applyNumberFormat="1" applyBorder="1"/>
    <xf numFmtId="1" fontId="0" fillId="0" borderId="28" xfId="0" applyNumberFormat="1" applyBorder="1"/>
    <xf numFmtId="1" fontId="0" fillId="0" borderId="29" xfId="0" applyNumberFormat="1" applyBorder="1"/>
    <xf numFmtId="1" fontId="0" fillId="0" borderId="30" xfId="0" applyNumberFormat="1" applyBorder="1"/>
    <xf numFmtId="1" fontId="0" fillId="0" borderId="31" xfId="0" applyNumberFormat="1" applyBorder="1"/>
    <xf numFmtId="2" fontId="9" fillId="21" borderId="0" xfId="0" applyNumberFormat="1" applyFont="1" applyFill="1"/>
    <xf numFmtId="1" fontId="0" fillId="0" borderId="0" xfId="2" applyNumberFormat="1" applyFont="1" applyBorder="1"/>
    <xf numFmtId="1" fontId="0" fillId="0" borderId="28" xfId="2" applyNumberFormat="1" applyFont="1" applyBorder="1"/>
    <xf numFmtId="0" fontId="1" fillId="22" borderId="32" xfId="0" applyFont="1" applyFill="1" applyBorder="1"/>
    <xf numFmtId="0" fontId="1" fillId="22" borderId="33" xfId="0" applyFont="1" applyFill="1" applyBorder="1"/>
    <xf numFmtId="0" fontId="1" fillId="22" borderId="34" xfId="0" applyFont="1" applyFill="1" applyBorder="1"/>
    <xf numFmtId="1" fontId="0" fillId="6" borderId="0" xfId="2" applyNumberFormat="1" applyFont="1" applyFill="1" applyBorder="1"/>
    <xf numFmtId="1" fontId="0" fillId="6" borderId="28" xfId="0" applyNumberFormat="1" applyFill="1" applyBorder="1"/>
    <xf numFmtId="166" fontId="0" fillId="6" borderId="31" xfId="0" applyNumberFormat="1" applyFill="1" applyBorder="1"/>
    <xf numFmtId="1" fontId="0" fillId="6" borderId="30" xfId="0" applyNumberFormat="1" applyFill="1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7" xfId="0" applyFont="1" applyBorder="1"/>
    <xf numFmtId="0" fontId="0" fillId="6" borderId="27" xfId="0" applyFont="1" applyFill="1" applyBorder="1"/>
    <xf numFmtId="0" fontId="0" fillId="6" borderId="29" xfId="0" applyFont="1" applyFill="1" applyBorder="1"/>
    <xf numFmtId="0" fontId="1" fillId="9" borderId="0" xfId="0" applyFont="1" applyFill="1" applyAlignment="1">
      <alignment horizontal="center" vertical="center" textRotation="90" wrapText="1"/>
    </xf>
    <xf numFmtId="0" fontId="1" fillId="9" borderId="0" xfId="0" applyFont="1" applyFill="1" applyAlignment="1">
      <alignment horizontal="center" vertical="center" textRotation="90"/>
    </xf>
    <xf numFmtId="166" fontId="0" fillId="6" borderId="30" xfId="0" applyNumberFormat="1" applyFill="1" applyBorder="1"/>
  </cellXfs>
  <cellStyles count="4">
    <cellStyle name="Comma" xfId="2" builtinId="3"/>
    <cellStyle name="Normal" xfId="0" builtinId="0"/>
    <cellStyle name="Percent" xfId="1" builtinId="5"/>
    <cellStyle name="Total" xfId="3" builtinId="25"/>
  </cellStyles>
  <dxfs count="0"/>
  <tableStyles count="0" defaultTableStyle="TableStyleMedium2" defaultPivotStyle="PivotStyleLight16"/>
  <colors>
    <mruColors>
      <color rgb="FF11C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346871114794862E-2"/>
          <c:y val="0.10339829396325459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DUPONT!$F$39:$I$39</c:f>
              <c:numCache>
                <c:formatCode>0</c:formatCode>
                <c:ptCount val="4"/>
                <c:pt idx="0">
                  <c:v>108465.41379213102</c:v>
                </c:pt>
                <c:pt idx="1">
                  <c:v>121996.41777271118</c:v>
                </c:pt>
                <c:pt idx="2">
                  <c:v>139397.74181233268</c:v>
                </c:pt>
                <c:pt idx="3">
                  <c:v>162027.42092779835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8-4946-9054-0044AD802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86404046831311E-4"/>
          <c:y val="7.8281804475788724E-2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DUPONT!$F$38:$I$38</c:f>
              <c:numCache>
                <c:formatCode>0</c:formatCode>
                <c:ptCount val="4"/>
                <c:pt idx="0">
                  <c:v>8714.6395217618174</c:v>
                </c:pt>
                <c:pt idx="1">
                  <c:v>10151.519363209889</c:v>
                </c:pt>
                <c:pt idx="2">
                  <c:v>12148.254905502985</c:v>
                </c:pt>
                <c:pt idx="3">
                  <c:v>15059.669414190725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3-47D3-AE8B-967A63BF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811290877712186E-3"/>
          <c:y val="9.5064978920764237E-2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DUPONT!$F$43:$I$43</c:f>
              <c:numCache>
                <c:formatCode>0</c:formatCode>
                <c:ptCount val="4"/>
                <c:pt idx="0">
                  <c:v>126172.87298365057</c:v>
                </c:pt>
                <c:pt idx="1">
                  <c:v>135954.80474485471</c:v>
                </c:pt>
                <c:pt idx="2">
                  <c:v>148663.50407444162</c:v>
                </c:pt>
                <c:pt idx="3">
                  <c:v>164623.04644116294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F-41BB-B60F-97DEDB0C9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346871114794862E-2"/>
          <c:y val="0.10339829396325459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DUPONT!$F$57:$I$57</c:f>
              <c:numCache>
                <c:formatCode>0%</c:formatCode>
                <c:ptCount val="4"/>
                <c:pt idx="0">
                  <c:v>6.9069042462804639E-2</c:v>
                </c:pt>
                <c:pt idx="1">
                  <c:v>7.4668338366276676E-2</c:v>
                </c:pt>
                <c:pt idx="2">
                  <c:v>8.1716457452932628E-2</c:v>
                </c:pt>
                <c:pt idx="3">
                  <c:v>9.1479715263154987E-2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C-4CA5-A2FA-454C01BA0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609339130232998E-2"/>
          <c:y val="0.10339834530968685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DUPONT!$F$50:$I$50</c:f>
              <c:numCache>
                <c:formatCode>0%</c:formatCode>
                <c:ptCount val="4"/>
                <c:pt idx="0">
                  <c:v>0.11290744934279752</c:v>
                </c:pt>
                <c:pt idx="1">
                  <c:v>0.11745371735528619</c:v>
                </c:pt>
                <c:pt idx="2">
                  <c:v>0.12477825038100372</c:v>
                </c:pt>
                <c:pt idx="3">
                  <c:v>0.13604901768523472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3-43DD-8FD3-78B710E1E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346871114794862E-2"/>
          <c:y val="0.10339829396325459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DUPONT!$F$48:$I$48</c:f>
              <c:numCache>
                <c:formatCode>0.0\x</c:formatCode>
                <c:ptCount val="4"/>
                <c:pt idx="0">
                  <c:v>1.6347041354106062</c:v>
                </c:pt>
                <c:pt idx="1">
                  <c:v>1.5730056396746224</c:v>
                </c:pt>
                <c:pt idx="2">
                  <c:v>1.5269659780941189</c:v>
                </c:pt>
                <c:pt idx="3">
                  <c:v>1.4872042101778469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3-40E3-B71E-3A9B3813F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.0\x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42935258092737"/>
          <c:y val="0.16708333333333336"/>
          <c:w val="0.7039039807524059"/>
          <c:h val="0.61498432487605714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99-4D11-8C4D-7672451326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analysis'!$B$4:$B$11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FY1 EV/EBITDA</c:v>
                </c:pt>
                <c:pt idx="3">
                  <c:v>CCA FY2 EV/EBITDA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analysis'!$C$4:$C$11</c:f>
              <c:numCache>
                <c:formatCode>0</c:formatCode>
                <c:ptCount val="8"/>
                <c:pt idx="0">
                  <c:v>574</c:v>
                </c:pt>
                <c:pt idx="1">
                  <c:v>409</c:v>
                </c:pt>
                <c:pt idx="2">
                  <c:v>67</c:v>
                </c:pt>
                <c:pt idx="3">
                  <c:v>99</c:v>
                </c:pt>
                <c:pt idx="4">
                  <c:v>135</c:v>
                </c:pt>
                <c:pt idx="5">
                  <c:v>138</c:v>
                </c:pt>
                <c:pt idx="6">
                  <c:v>373</c:v>
                </c:pt>
                <c:pt idx="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9-4D11-8C4D-7672451326D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'football analysis'!$B$4:$B$11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FY1 EV/EBITDA</c:v>
                </c:pt>
                <c:pt idx="3">
                  <c:v>CCA FY2 EV/EBITDA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analysis'!$D$4:$D$11</c:f>
              <c:numCache>
                <c:formatCode>0</c:formatCode>
                <c:ptCount val="8"/>
                <c:pt idx="0">
                  <c:v>308</c:v>
                </c:pt>
                <c:pt idx="1">
                  <c:v>23</c:v>
                </c:pt>
                <c:pt idx="2">
                  <c:v>14</c:v>
                </c:pt>
                <c:pt idx="3">
                  <c:v>20</c:v>
                </c:pt>
                <c:pt idx="4">
                  <c:v>415</c:v>
                </c:pt>
                <c:pt idx="5">
                  <c:v>350</c:v>
                </c:pt>
                <c:pt idx="7" formatCode="0.0">
                  <c:v>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9-4D11-8C4D-7672451326D8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analysis'!$B$4:$B$11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FY1 EV/EBITDA</c:v>
                </c:pt>
                <c:pt idx="3">
                  <c:v>CCA FY2 EV/EBITDA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analysis'!$E$4:$E$11</c:f>
              <c:numCache>
                <c:formatCode>0</c:formatCode>
                <c:ptCount val="8"/>
                <c:pt idx="0">
                  <c:v>882</c:v>
                </c:pt>
                <c:pt idx="1">
                  <c:v>432</c:v>
                </c:pt>
                <c:pt idx="2">
                  <c:v>81</c:v>
                </c:pt>
                <c:pt idx="3">
                  <c:v>119</c:v>
                </c:pt>
                <c:pt idx="4">
                  <c:v>550</c:v>
                </c:pt>
                <c:pt idx="5">
                  <c:v>488</c:v>
                </c:pt>
                <c:pt idx="6">
                  <c:v>392</c:v>
                </c:pt>
                <c:pt idx="7" formatCode="0.0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99-4D11-8C4D-7672451326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62610368"/>
        <c:axId val="1562616128"/>
      </c:barChart>
      <c:catAx>
        <c:axId val="156261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16128"/>
        <c:crosses val="autoZero"/>
        <c:auto val="1"/>
        <c:lblAlgn val="ctr"/>
        <c:lblOffset val="100"/>
        <c:noMultiLvlLbl val="0"/>
      </c:catAx>
      <c:valAx>
        <c:axId val="1562616128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1036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5</xdr:row>
      <xdr:rowOff>165100</xdr:rowOff>
    </xdr:from>
    <xdr:to>
      <xdr:col>3</xdr:col>
      <xdr:colOff>228600</xdr:colOff>
      <xdr:row>14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2B716-E3CE-A5CB-3E2E-69107FDBD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5</xdr:row>
      <xdr:rowOff>174625</xdr:rowOff>
    </xdr:from>
    <xdr:to>
      <xdr:col>1</xdr:col>
      <xdr:colOff>698500</xdr:colOff>
      <xdr:row>7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1AC43B-4F48-6D55-8B39-B899CC31F265}"/>
            </a:ext>
          </a:extLst>
        </xdr:cNvPr>
        <xdr:cNvSpPr txBox="1"/>
      </xdr:nvSpPr>
      <xdr:spPr>
        <a:xfrm>
          <a:off x="561975" y="1241425"/>
          <a:ext cx="746125" cy="2127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Revenues</a:t>
          </a:r>
        </a:p>
      </xdr:txBody>
    </xdr:sp>
    <xdr:clientData/>
  </xdr:twoCellAnchor>
  <xdr:twoCellAnchor>
    <xdr:from>
      <xdr:col>4</xdr:col>
      <xdr:colOff>224204</xdr:colOff>
      <xdr:row>5</xdr:row>
      <xdr:rowOff>180486</xdr:rowOff>
    </xdr:from>
    <xdr:to>
      <xdr:col>7</xdr:col>
      <xdr:colOff>329712</xdr:colOff>
      <xdr:row>14</xdr:row>
      <xdr:rowOff>48845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952270-2070-4B6B-90FB-583BC0917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105508</xdr:colOff>
      <xdr:row>5</xdr:row>
      <xdr:rowOff>105019</xdr:rowOff>
    </xdr:from>
    <xdr:to>
      <xdr:col>11</xdr:col>
      <xdr:colOff>595435</xdr:colOff>
      <xdr:row>13</xdr:row>
      <xdr:rowOff>155819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5788A-F521-4FDD-AC36-94DF2F203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281597</xdr:colOff>
      <xdr:row>5</xdr:row>
      <xdr:rowOff>128953</xdr:rowOff>
    </xdr:from>
    <xdr:to>
      <xdr:col>5</xdr:col>
      <xdr:colOff>464038</xdr:colOff>
      <xdr:row>6</xdr:row>
      <xdr:rowOff>164855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94D1E4-D635-4A8E-41B2-C51F56A6ACA8}"/>
            </a:ext>
          </a:extLst>
        </xdr:cNvPr>
        <xdr:cNvSpPr txBox="1"/>
      </xdr:nvSpPr>
      <xdr:spPr>
        <a:xfrm>
          <a:off x="3542078" y="1191357"/>
          <a:ext cx="909027" cy="219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Net Profit</a:t>
          </a:r>
        </a:p>
      </xdr:txBody>
    </xdr:sp>
    <xdr:clientData/>
  </xdr:twoCellAnchor>
  <xdr:twoCellAnchor>
    <xdr:from>
      <xdr:col>8</xdr:col>
      <xdr:colOff>293809</xdr:colOff>
      <xdr:row>5</xdr:row>
      <xdr:rowOff>19051</xdr:rowOff>
    </xdr:from>
    <xdr:to>
      <xdr:col>10</xdr:col>
      <xdr:colOff>317499</xdr:colOff>
      <xdr:row>6</xdr:row>
      <xdr:rowOff>73270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E28208-6B34-8BF0-A75D-BACD44F9DA64}"/>
            </a:ext>
          </a:extLst>
        </xdr:cNvPr>
        <xdr:cNvSpPr txBox="1"/>
      </xdr:nvSpPr>
      <xdr:spPr>
        <a:xfrm>
          <a:off x="6460636" y="1081455"/>
          <a:ext cx="1360853" cy="2373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Average Total Asset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3</xdr:col>
      <xdr:colOff>489927</xdr:colOff>
      <xdr:row>26</xdr:row>
      <xdr:rowOff>49824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9B6E6C-B05E-40A5-8E1B-A1275B612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7</xdr:col>
      <xdr:colOff>233485</xdr:colOff>
      <xdr:row>26</xdr:row>
      <xdr:rowOff>49824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0D2AA6-7CA7-4DC1-9C68-A45EE8152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465504</xdr:colOff>
      <xdr:row>26</xdr:row>
      <xdr:rowOff>49824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F452C4C-8ADB-4CE2-B8F3-0264CD969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562464</xdr:colOff>
      <xdr:row>16</xdr:row>
      <xdr:rowOff>55684</xdr:rowOff>
    </xdr:from>
    <xdr:to>
      <xdr:col>1</xdr:col>
      <xdr:colOff>1068511</xdr:colOff>
      <xdr:row>17</xdr:row>
      <xdr:rowOff>109904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9520F1F-173F-229B-A48A-887009B3530B}"/>
            </a:ext>
          </a:extLst>
        </xdr:cNvPr>
        <xdr:cNvSpPr txBox="1"/>
      </xdr:nvSpPr>
      <xdr:spPr>
        <a:xfrm>
          <a:off x="562464" y="3132992"/>
          <a:ext cx="1116624" cy="23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Return on Asset</a:t>
          </a:r>
        </a:p>
      </xdr:txBody>
    </xdr:sp>
    <xdr:clientData/>
  </xdr:twoCellAnchor>
  <xdr:twoCellAnchor>
    <xdr:from>
      <xdr:col>4</xdr:col>
      <xdr:colOff>306020</xdr:colOff>
      <xdr:row>16</xdr:row>
      <xdr:rowOff>25157</xdr:rowOff>
    </xdr:from>
    <xdr:to>
      <xdr:col>6</xdr:col>
      <xdr:colOff>6106</xdr:colOff>
      <xdr:row>17</xdr:row>
      <xdr:rowOff>85482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F51F65A-82A4-0E5B-80B4-16F3487B3758}"/>
            </a:ext>
          </a:extLst>
        </xdr:cNvPr>
        <xdr:cNvSpPr txBox="1"/>
      </xdr:nvSpPr>
      <xdr:spPr>
        <a:xfrm>
          <a:off x="3566501" y="3102465"/>
          <a:ext cx="1153259" cy="24349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Return on Equity</a:t>
          </a:r>
        </a:p>
      </xdr:txBody>
    </xdr:sp>
    <xdr:clientData/>
  </xdr:twoCellAnchor>
  <xdr:twoCellAnchor>
    <xdr:from>
      <xdr:col>8</xdr:col>
      <xdr:colOff>177800</xdr:colOff>
      <xdr:row>15</xdr:row>
      <xdr:rowOff>135059</xdr:rowOff>
    </xdr:from>
    <xdr:to>
      <xdr:col>10</xdr:col>
      <xdr:colOff>140433</xdr:colOff>
      <xdr:row>17</xdr:row>
      <xdr:rowOff>18317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E25CB40-0C83-70D8-F84D-5D72C2124DFE}"/>
            </a:ext>
          </a:extLst>
        </xdr:cNvPr>
        <xdr:cNvSpPr txBox="1"/>
      </xdr:nvSpPr>
      <xdr:spPr>
        <a:xfrm>
          <a:off x="6344627" y="3029194"/>
          <a:ext cx="1299796" cy="2496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Financial Leverage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568325</xdr:colOff>
      <xdr:row>2</xdr:row>
      <xdr:rowOff>3175</xdr:rowOff>
    </xdr:from>
    <xdr:to>
      <xdr:col>15</xdr:col>
      <xdr:colOff>263525</xdr:colOff>
      <xdr:row>16</xdr:row>
      <xdr:rowOff>149225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C3A276-21A7-C4D0-24FB-0EBBAFFE6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431800</xdr:colOff>
      <xdr:row>3</xdr:row>
      <xdr:rowOff>120650</xdr:rowOff>
    </xdr:from>
    <xdr:to>
      <xdr:col>9</xdr:col>
      <xdr:colOff>431800</xdr:colOff>
      <xdr:row>14</xdr:row>
      <xdr:rowOff>6350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8E68EF0-BD4C-40DE-87E5-1813765539DF}"/>
            </a:ext>
          </a:extLst>
        </xdr:cNvPr>
        <xdr:cNvCxnSpPr/>
      </xdr:nvCxnSpPr>
      <xdr:spPr>
        <a:xfrm>
          <a:off x="6559550" y="685800"/>
          <a:ext cx="0" cy="1924050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3</xdr:row>
      <xdr:rowOff>57150</xdr:rowOff>
    </xdr:from>
    <xdr:to>
      <xdr:col>14</xdr:col>
      <xdr:colOff>430823</xdr:colOff>
      <xdr:row>13</xdr:row>
      <xdr:rowOff>127488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5C24F3D-F7EF-4B53-8FE0-AC88A01D9C1A}"/>
            </a:ext>
          </a:extLst>
        </xdr:cNvPr>
        <xdr:cNvCxnSpPr/>
      </xdr:nvCxnSpPr>
      <xdr:spPr>
        <a:xfrm>
          <a:off x="9582150" y="622300"/>
          <a:ext cx="24423" cy="192453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450850</xdr:colOff>
      <xdr:row>3</xdr:row>
      <xdr:rowOff>19050</xdr:rowOff>
    </xdr:from>
    <xdr:to>
      <xdr:col>11</xdr:col>
      <xdr:colOff>475273</xdr:colOff>
      <xdr:row>13</xdr:row>
      <xdr:rowOff>89388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EE142DB-229B-472E-B71B-03442ED04CE3}"/>
            </a:ext>
          </a:extLst>
        </xdr:cNvPr>
        <xdr:cNvCxnSpPr/>
      </xdr:nvCxnSpPr>
      <xdr:spPr>
        <a:xfrm>
          <a:off x="7797800" y="584200"/>
          <a:ext cx="24423" cy="192453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ECB7-D9A9-47F6-B290-52C168BB6D1B}">
  <dimension ref="B1:N24"/>
  <sheetViews>
    <sheetView showGridLines="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L19" sqref="L19"/>
    </sheetView>
  </sheetViews>
  <sheetFormatPr defaultRowHeight="14.5" x14ac:dyDescent="0.35"/>
  <cols>
    <col min="1" max="1" width="1.81640625" customWidth="1"/>
    <col min="3" max="3" width="19.453125" customWidth="1"/>
    <col min="4" max="4" width="21.1796875" bestFit="1" customWidth="1"/>
    <col min="5" max="5" width="13.90625" bestFit="1" customWidth="1"/>
    <col min="6" max="9" width="13.81640625" bestFit="1" customWidth="1"/>
    <col min="10" max="14" width="10.81640625" bestFit="1" customWidth="1"/>
  </cols>
  <sheetData>
    <row r="1" spans="2:14" ht="18.5" x14ac:dyDescent="0.45"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ht="18.5" x14ac:dyDescent="0.45">
      <c r="B2" s="1" t="s">
        <v>0</v>
      </c>
      <c r="C2" s="1"/>
      <c r="D2" s="2">
        <f>DATE(2019,12,31)</f>
        <v>43830</v>
      </c>
      <c r="E2" s="2">
        <f>EDATE(D2,12)</f>
        <v>44196</v>
      </c>
      <c r="F2" s="2">
        <f>EDATE(E2,12)</f>
        <v>44561</v>
      </c>
      <c r="G2" s="2">
        <f t="shared" ref="G2:M2" si="0">EDATE(F2,12)</f>
        <v>44926</v>
      </c>
      <c r="H2" s="2">
        <f t="shared" si="0"/>
        <v>45291</v>
      </c>
      <c r="I2" s="2">
        <f t="shared" si="0"/>
        <v>45657</v>
      </c>
      <c r="J2" s="2">
        <f t="shared" si="0"/>
        <v>46022</v>
      </c>
      <c r="K2" s="2">
        <f t="shared" si="0"/>
        <v>46387</v>
      </c>
      <c r="L2" s="2">
        <f t="shared" si="0"/>
        <v>46752</v>
      </c>
      <c r="M2" s="2">
        <f t="shared" si="0"/>
        <v>47118</v>
      </c>
      <c r="N2" s="2"/>
    </row>
    <row r="3" spans="2:14" ht="18.5" x14ac:dyDescent="0.45">
      <c r="B3" s="1" t="s">
        <v>1</v>
      </c>
      <c r="C3" s="1"/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4" t="s">
        <v>3</v>
      </c>
      <c r="K3" s="4" t="s">
        <v>3</v>
      </c>
      <c r="L3" s="4" t="s">
        <v>3</v>
      </c>
      <c r="M3" s="4" t="s">
        <v>3</v>
      </c>
      <c r="N3" s="4"/>
    </row>
    <row r="5" spans="2:14" x14ac:dyDescent="0.35">
      <c r="B5" s="11" t="s">
        <v>4</v>
      </c>
      <c r="C5" s="12"/>
      <c r="D5" s="13">
        <f>D6+D10+D12+D16</f>
        <v>24471</v>
      </c>
      <c r="E5" s="13">
        <f>E6+E10+E12+E16</f>
        <v>31578.375</v>
      </c>
      <c r="F5" s="13">
        <f t="shared" ref="F5:M5" si="1">F6+F10+F12+F16+F14</f>
        <v>54483</v>
      </c>
      <c r="G5" s="13">
        <f t="shared" si="1"/>
        <v>81258.400999999998</v>
      </c>
      <c r="H5" s="13">
        <f t="shared" si="1"/>
        <v>96630.5</v>
      </c>
      <c r="I5" s="13">
        <f t="shared" si="1"/>
        <v>97815</v>
      </c>
      <c r="J5" s="13">
        <f t="shared" si="1"/>
        <v>108465.41379213102</v>
      </c>
      <c r="K5" s="13">
        <f t="shared" si="1"/>
        <v>121996.41777271118</v>
      </c>
      <c r="L5" s="13">
        <f t="shared" si="1"/>
        <v>139397.74181233268</v>
      </c>
      <c r="M5" s="13">
        <f t="shared" si="1"/>
        <v>162027.42092779835</v>
      </c>
      <c r="N5" s="13"/>
    </row>
    <row r="6" spans="2:14" x14ac:dyDescent="0.35">
      <c r="B6" t="s">
        <v>5</v>
      </c>
      <c r="D6" s="7">
        <f>D7*D8/10^6</f>
        <v>19845</v>
      </c>
      <c r="E6" s="7">
        <f>E7*E8/10^6</f>
        <v>26226.375</v>
      </c>
      <c r="F6" s="7">
        <f>F7*F8/10^6</f>
        <v>44460</v>
      </c>
      <c r="G6" s="7">
        <f>G7*G8/10^6</f>
        <v>67006.400999999998</v>
      </c>
      <c r="H6" s="7">
        <f>H7*H8/10^6</f>
        <v>78691.5</v>
      </c>
      <c r="I6" s="7">
        <f>(I7*I8)/10^6</f>
        <v>72590</v>
      </c>
      <c r="J6" s="7">
        <f>I6*(1+$J$20)</f>
        <v>76105.20117165496</v>
      </c>
      <c r="K6" s="7">
        <f t="shared" ref="K6:M6" si="2">J6*(1+$J$20)</f>
        <v>79790.627433228714</v>
      </c>
      <c r="L6" s="7">
        <f t="shared" si="2"/>
        <v>83654.522006039988</v>
      </c>
      <c r="M6" s="7">
        <f t="shared" si="2"/>
        <v>87705.527292854531</v>
      </c>
      <c r="N6" s="7"/>
    </row>
    <row r="7" spans="2:14" x14ac:dyDescent="0.35">
      <c r="B7" t="s">
        <v>6</v>
      </c>
      <c r="D7" s="7">
        <v>367500</v>
      </c>
      <c r="E7" s="7">
        <v>499550</v>
      </c>
      <c r="F7" s="7">
        <v>936000</v>
      </c>
      <c r="G7" s="7">
        <v>1313851</v>
      </c>
      <c r="H7" s="7">
        <v>1809000</v>
      </c>
      <c r="I7" s="148">
        <v>1700000</v>
      </c>
      <c r="J7" s="148">
        <f t="shared" ref="J7:M8" si="3">AVERAGE(E7:I7)</f>
        <v>1251680.2</v>
      </c>
      <c r="K7" s="148">
        <f t="shared" si="3"/>
        <v>1402106.24</v>
      </c>
      <c r="L7" s="148">
        <f t="shared" si="3"/>
        <v>1495327.4880000001</v>
      </c>
      <c r="M7" s="148">
        <f t="shared" si="3"/>
        <v>1531622.7856000001</v>
      </c>
      <c r="N7" s="7"/>
    </row>
    <row r="8" spans="2:14" x14ac:dyDescent="0.35">
      <c r="B8" t="s">
        <v>7</v>
      </c>
      <c r="D8" s="9">
        <v>54000</v>
      </c>
      <c r="E8" s="9">
        <v>52500</v>
      </c>
      <c r="F8" s="9">
        <v>47500</v>
      </c>
      <c r="G8" s="9">
        <v>51000</v>
      </c>
      <c r="H8" s="9">
        <v>43500</v>
      </c>
      <c r="I8" s="149">
        <v>42700</v>
      </c>
      <c r="J8" s="149">
        <f t="shared" si="3"/>
        <v>47440</v>
      </c>
      <c r="K8" s="149">
        <f t="shared" si="3"/>
        <v>46428</v>
      </c>
      <c r="L8" s="149">
        <f t="shared" si="3"/>
        <v>46213.599999999999</v>
      </c>
      <c r="M8" s="149">
        <f t="shared" si="3"/>
        <v>45256.32</v>
      </c>
      <c r="N8" s="9"/>
    </row>
    <row r="10" spans="2:14" x14ac:dyDescent="0.35">
      <c r="B10" t="s">
        <v>8</v>
      </c>
      <c r="D10">
        <v>869</v>
      </c>
      <c r="E10">
        <v>1052</v>
      </c>
      <c r="F10">
        <v>1642</v>
      </c>
      <c r="G10">
        <v>2476</v>
      </c>
      <c r="H10">
        <v>2120</v>
      </c>
      <c r="I10" s="8">
        <v>1872</v>
      </c>
      <c r="J10" s="8">
        <f>I10*(1+$J$21)</f>
        <v>1627.9273081964213</v>
      </c>
      <c r="K10" s="8">
        <f t="shared" ref="K10:M10" si="4">J10*(1+$J$21)</f>
        <v>1415.6769875916914</v>
      </c>
      <c r="L10" s="8">
        <f t="shared" si="4"/>
        <v>1231.1000147894022</v>
      </c>
      <c r="M10" s="8">
        <f t="shared" si="4"/>
        <v>1070.5883190153238</v>
      </c>
      <c r="N10" s="8"/>
    </row>
    <row r="11" spans="2:14" x14ac:dyDescent="0.35">
      <c r="I11" s="8"/>
    </row>
    <row r="12" spans="2:14" x14ac:dyDescent="0.35">
      <c r="B12" t="s">
        <v>9</v>
      </c>
      <c r="D12">
        <f>1531</f>
        <v>1531</v>
      </c>
      <c r="E12">
        <v>1994</v>
      </c>
      <c r="F12">
        <v>2789</v>
      </c>
      <c r="G12">
        <v>3909</v>
      </c>
      <c r="H12">
        <f>6035</f>
        <v>6035</v>
      </c>
      <c r="I12" s="8">
        <v>10086</v>
      </c>
      <c r="J12" s="8">
        <f>I12*(1+$J$22)</f>
        <v>14136.311939763356</v>
      </c>
      <c r="K12" s="8">
        <f t="shared" ref="K12:M12" si="5">J12*(1+$J$22)</f>
        <v>19813.138534433474</v>
      </c>
      <c r="L12" s="8">
        <f t="shared" si="5"/>
        <v>27769.651678415365</v>
      </c>
      <c r="M12" s="8">
        <f t="shared" si="5"/>
        <v>38921.322485093457</v>
      </c>
      <c r="N12" s="8"/>
    </row>
    <row r="13" spans="2:14" x14ac:dyDescent="0.35">
      <c r="I13" s="8"/>
      <c r="J13" s="8"/>
      <c r="K13" s="8"/>
      <c r="L13" s="8"/>
      <c r="M13" s="8"/>
      <c r="N13" s="8"/>
    </row>
    <row r="14" spans="2:14" x14ac:dyDescent="0.35">
      <c r="B14" t="s">
        <v>12</v>
      </c>
      <c r="D14" s="8"/>
      <c r="E14" s="8"/>
      <c r="F14" s="8">
        <v>1790</v>
      </c>
      <c r="G14" s="8">
        <v>1776</v>
      </c>
      <c r="H14" s="8">
        <v>1465</v>
      </c>
      <c r="I14" s="8">
        <v>2733</v>
      </c>
      <c r="J14" s="8">
        <f>$I$14</f>
        <v>2733</v>
      </c>
      <c r="K14" s="8">
        <f t="shared" ref="K14:M14" si="6">$I$14</f>
        <v>2733</v>
      </c>
      <c r="L14" s="8">
        <f t="shared" si="6"/>
        <v>2733</v>
      </c>
      <c r="M14" s="8">
        <f t="shared" si="6"/>
        <v>2733</v>
      </c>
      <c r="N14" s="8"/>
    </row>
    <row r="16" spans="2:14" x14ac:dyDescent="0.35">
      <c r="B16" t="s">
        <v>10</v>
      </c>
      <c r="D16">
        <v>2226</v>
      </c>
      <c r="E16">
        <v>2306</v>
      </c>
      <c r="F16">
        <v>3802</v>
      </c>
      <c r="G16">
        <v>6091</v>
      </c>
      <c r="H16">
        <v>8319</v>
      </c>
      <c r="I16" s="8">
        <v>10534</v>
      </c>
      <c r="J16" s="8">
        <f>I16*(1+$J$23)</f>
        <v>13862.973372516275</v>
      </c>
      <c r="K16" s="8">
        <f t="shared" ref="K16:M16" si="7">J16*(1+$J$23)</f>
        <v>18243.974817457307</v>
      </c>
      <c r="L16" s="8">
        <f t="shared" si="7"/>
        <v>24009.468113087918</v>
      </c>
      <c r="M16" s="8">
        <f t="shared" si="7"/>
        <v>31596.982830835048</v>
      </c>
      <c r="N16" s="8"/>
    </row>
    <row r="19" spans="2:11" x14ac:dyDescent="0.35">
      <c r="B19" s="11" t="s">
        <v>11</v>
      </c>
      <c r="C19" s="11"/>
    </row>
    <row r="20" spans="2:11" x14ac:dyDescent="0.35">
      <c r="B20" t="s">
        <v>5</v>
      </c>
      <c r="D20" s="10"/>
      <c r="E20" s="10">
        <f>E6/D6-1</f>
        <v>0.3215608465608466</v>
      </c>
      <c r="F20" s="10">
        <f>F6/E6-1</f>
        <v>0.69524000171583</v>
      </c>
      <c r="G20" s="10">
        <f>G6/F6-1</f>
        <v>0.50711653171390014</v>
      </c>
      <c r="H20" s="10">
        <f>H6/G6-1</f>
        <v>0.17438780214445493</v>
      </c>
      <c r="I20" s="10">
        <f>I6/H6-1</f>
        <v>-7.7536963966883365E-2</v>
      </c>
      <c r="J20" s="143">
        <f>AVERAGE(H20:I20)</f>
        <v>4.8425419088785782E-2</v>
      </c>
      <c r="K20" s="14"/>
    </row>
    <row r="21" spans="2:11" x14ac:dyDescent="0.35">
      <c r="B21" t="s">
        <v>8</v>
      </c>
      <c r="E21" s="10">
        <f>E10/D10-1</f>
        <v>0.21058688147295745</v>
      </c>
      <c r="F21" s="10">
        <f>F10/E10-1</f>
        <v>0.56083650190114076</v>
      </c>
      <c r="G21" s="10">
        <f>G10/F10-1</f>
        <v>0.50791717417783189</v>
      </c>
      <c r="H21" s="10">
        <f>H10/G10-1</f>
        <v>-0.14378029079159937</v>
      </c>
      <c r="I21" s="10">
        <f>I10/H10-1</f>
        <v>-0.11698113207547167</v>
      </c>
      <c r="J21" s="143">
        <f>AVERAGE(H21:I21)</f>
        <v>-0.13038071143353552</v>
      </c>
    </row>
    <row r="22" spans="2:11" x14ac:dyDescent="0.35">
      <c r="B22" t="s">
        <v>9</v>
      </c>
      <c r="E22" s="10">
        <f>E12/D12-1</f>
        <v>0.30241672109732209</v>
      </c>
      <c r="F22" s="10">
        <f>F12/E12-1</f>
        <v>0.3986960882647943</v>
      </c>
      <c r="G22" s="10">
        <f>G12/F12-1</f>
        <v>0.40157762638938688</v>
      </c>
      <c r="H22" s="10">
        <f>H12/G12-1</f>
        <v>0.54387311332821686</v>
      </c>
      <c r="I22" s="10">
        <f>I12/H12-1</f>
        <v>0.67125103562551791</v>
      </c>
      <c r="J22" s="143">
        <f>MEDIAN(E22:I22)</f>
        <v>0.40157762638938688</v>
      </c>
    </row>
    <row r="23" spans="2:11" x14ac:dyDescent="0.35">
      <c r="B23" t="s">
        <v>10</v>
      </c>
      <c r="E23" s="10">
        <f>E16/D16-1</f>
        <v>3.5938903863432126E-2</v>
      </c>
      <c r="F23" s="10">
        <f>F16/E16-1</f>
        <v>0.64874241110147435</v>
      </c>
      <c r="G23" s="10">
        <f>G16/F16-1</f>
        <v>0.60205155181483438</v>
      </c>
      <c r="H23" s="10">
        <f>H16/G16-1</f>
        <v>0.36578558528977179</v>
      </c>
      <c r="I23" s="10">
        <f>I16/H16-1</f>
        <v>0.26625796369755972</v>
      </c>
      <c r="J23" s="143">
        <f>AVERAGE(H23:I23)</f>
        <v>0.31602177449366575</v>
      </c>
    </row>
    <row r="24" spans="2:11" x14ac:dyDescent="0.35">
      <c r="G24" s="10"/>
      <c r="H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72D6-03BC-4FD2-A287-864EEDA66DDB}">
  <dimension ref="B2:N48"/>
  <sheetViews>
    <sheetView showGridLines="0" workbookViewId="0">
      <pane xSplit="9" ySplit="3" topLeftCell="J34" activePane="bottomRight" state="frozen"/>
      <selection pane="topRight" activeCell="J1" sqref="J1"/>
      <selection pane="bottomLeft" activeCell="A4" sqref="A4"/>
      <selection pane="bottomRight" activeCell="N38" sqref="N38"/>
    </sheetView>
  </sheetViews>
  <sheetFormatPr defaultRowHeight="14.5" x14ac:dyDescent="0.35"/>
  <cols>
    <col min="1" max="1" width="1.90625" customWidth="1"/>
    <col min="3" max="3" width="22" style="18" customWidth="1"/>
    <col min="4" max="14" width="11.81640625" customWidth="1"/>
  </cols>
  <sheetData>
    <row r="2" spans="2:14" ht="18.5" x14ac:dyDescent="0.45">
      <c r="B2" s="1" t="s">
        <v>0</v>
      </c>
      <c r="C2" s="17"/>
      <c r="D2" s="2">
        <f>DATE(2019,12,31)</f>
        <v>43830</v>
      </c>
      <c r="E2" s="2">
        <f>EDATE(D2,12)</f>
        <v>44196</v>
      </c>
      <c r="F2" s="2">
        <f>EDATE(E2,12)</f>
        <v>44561</v>
      </c>
      <c r="G2" s="2">
        <f t="shared" ref="G2:M2" si="0">EDATE(F2,12)</f>
        <v>44926</v>
      </c>
      <c r="H2" s="2">
        <f t="shared" si="0"/>
        <v>45291</v>
      </c>
      <c r="I2" s="2">
        <f t="shared" si="0"/>
        <v>45657</v>
      </c>
      <c r="J2" s="2">
        <f t="shared" si="0"/>
        <v>46022</v>
      </c>
      <c r="K2" s="2">
        <f t="shared" si="0"/>
        <v>46387</v>
      </c>
      <c r="L2" s="2">
        <f t="shared" si="0"/>
        <v>46752</v>
      </c>
      <c r="M2" s="2">
        <f t="shared" si="0"/>
        <v>47118</v>
      </c>
      <c r="N2" s="2"/>
    </row>
    <row r="3" spans="2:14" ht="18.5" x14ac:dyDescent="0.45">
      <c r="B3" s="1" t="s">
        <v>1</v>
      </c>
      <c r="C3" s="17"/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/>
    </row>
    <row r="4" spans="2:14" ht="15" thickBot="1" x14ac:dyDescent="0.4">
      <c r="B4" s="15" t="s">
        <v>16</v>
      </c>
      <c r="C4" s="19"/>
      <c r="D4" s="23">
        <f>Revenue!D5</f>
        <v>24471</v>
      </c>
      <c r="E4" s="23">
        <f>Revenue!E5</f>
        <v>31578.375</v>
      </c>
      <c r="F4" s="23">
        <f>Revenue!F5</f>
        <v>54483</v>
      </c>
      <c r="G4" s="23">
        <f>Revenue!G5</f>
        <v>81258.400999999998</v>
      </c>
      <c r="H4" s="23">
        <f>Revenue!H5</f>
        <v>96630.5</v>
      </c>
      <c r="I4" s="23">
        <f>Revenue!I5</f>
        <v>97815</v>
      </c>
      <c r="J4" s="185">
        <f>Revenue!J5</f>
        <v>108465.41379213102</v>
      </c>
      <c r="K4" s="185">
        <f>Revenue!K5</f>
        <v>121996.41777271118</v>
      </c>
      <c r="L4" s="185">
        <f>Revenue!L5</f>
        <v>139397.74181233268</v>
      </c>
      <c r="M4" s="185">
        <f>Revenue!M5</f>
        <v>162027.42092779835</v>
      </c>
      <c r="N4" s="23"/>
    </row>
    <row r="5" spans="2:14" x14ac:dyDescent="0.35">
      <c r="I5" s="8"/>
      <c r="J5" s="62"/>
      <c r="K5" s="153"/>
      <c r="L5" s="153"/>
      <c r="M5" s="62"/>
    </row>
    <row r="6" spans="2:14" x14ac:dyDescent="0.35">
      <c r="B6" s="6" t="s">
        <v>17</v>
      </c>
      <c r="C6" s="20"/>
      <c r="I6" s="8"/>
      <c r="J6" s="153"/>
      <c r="K6" s="153"/>
      <c r="L6" s="62"/>
      <c r="M6" s="62"/>
    </row>
    <row r="7" spans="2:14" x14ac:dyDescent="0.35">
      <c r="B7" t="s">
        <v>18</v>
      </c>
      <c r="D7">
        <v>15939</v>
      </c>
      <c r="E7">
        <v>19696</v>
      </c>
      <c r="F7">
        <v>32415</v>
      </c>
      <c r="G7">
        <v>49599</v>
      </c>
      <c r="H7">
        <v>65121</v>
      </c>
      <c r="I7" s="8">
        <v>61870</v>
      </c>
      <c r="J7" s="153">
        <f>J4*J37</f>
        <v>68456.878441755427</v>
      </c>
      <c r="K7" s="153">
        <f>K4*K37</f>
        <v>76996.838437378348</v>
      </c>
      <c r="L7" s="153">
        <f>L4*L37</f>
        <v>87979.512848125756</v>
      </c>
      <c r="M7" s="153">
        <f>M4*M37</f>
        <v>102262.01210961617</v>
      </c>
      <c r="N7" s="8"/>
    </row>
    <row r="8" spans="2:14" x14ac:dyDescent="0.35">
      <c r="B8" t="s">
        <v>13</v>
      </c>
      <c r="D8">
        <v>459</v>
      </c>
      <c r="E8">
        <v>563</v>
      </c>
      <c r="F8">
        <v>978</v>
      </c>
      <c r="G8">
        <v>1509</v>
      </c>
      <c r="H8">
        <v>1268</v>
      </c>
      <c r="I8" s="8">
        <v>1003</v>
      </c>
      <c r="J8" s="153">
        <f>J4*J38</f>
        <v>1744.1725771410345</v>
      </c>
      <c r="K8" s="153">
        <f>K4*K38</f>
        <v>1961.7571993630377</v>
      </c>
      <c r="L8" s="153">
        <f>L4*L38</f>
        <v>2241.5783067071629</v>
      </c>
      <c r="M8" s="153">
        <f>M4*M38</f>
        <v>2605.47371228169</v>
      </c>
      <c r="N8" s="8"/>
    </row>
    <row r="9" spans="2:14" x14ac:dyDescent="0.35">
      <c r="B9" s="150" t="s">
        <v>19</v>
      </c>
      <c r="C9" s="151"/>
      <c r="D9" s="150">
        <f>SUM(D7:D8)</f>
        <v>16398</v>
      </c>
      <c r="E9" s="150">
        <f>SUM(E7:E8)</f>
        <v>20259</v>
      </c>
      <c r="F9" s="150">
        <f>SUM(F7:F8)</f>
        <v>33393</v>
      </c>
      <c r="G9" s="150">
        <f t="shared" ref="G9:M9" si="1">SUM(G7:G8)</f>
        <v>51108</v>
      </c>
      <c r="H9" s="150">
        <f t="shared" si="1"/>
        <v>66389</v>
      </c>
      <c r="I9" s="152">
        <f>SUM(I7:I8)</f>
        <v>62873</v>
      </c>
      <c r="J9" s="186">
        <f t="shared" si="1"/>
        <v>70201.051018896454</v>
      </c>
      <c r="K9" s="186">
        <f t="shared" si="1"/>
        <v>78958.595636741389</v>
      </c>
      <c r="L9" s="186">
        <f t="shared" si="1"/>
        <v>90221.091154832917</v>
      </c>
      <c r="M9" s="186">
        <f t="shared" si="1"/>
        <v>104867.48582189786</v>
      </c>
      <c r="N9" s="8"/>
    </row>
    <row r="10" spans="2:14" x14ac:dyDescent="0.35">
      <c r="B10" t="s">
        <v>14</v>
      </c>
      <c r="D10">
        <v>1341</v>
      </c>
      <c r="E10">
        <v>1976</v>
      </c>
      <c r="F10">
        <v>2918</v>
      </c>
      <c r="G10">
        <v>3621</v>
      </c>
      <c r="H10">
        <v>4894</v>
      </c>
      <c r="I10" s="8">
        <v>7446</v>
      </c>
      <c r="J10" s="153">
        <f>J4*J39</f>
        <v>6187.2900734151635</v>
      </c>
      <c r="K10" s="153">
        <f>K4*K39</f>
        <v>6959.1512933689337</v>
      </c>
      <c r="L10" s="153">
        <f>L4*L39</f>
        <v>7951.790658586031</v>
      </c>
      <c r="M10" s="153">
        <f>M4*M39</f>
        <v>9242.6757809534811</v>
      </c>
      <c r="N10" s="8"/>
    </row>
    <row r="11" spans="2:14" x14ac:dyDescent="0.35">
      <c r="B11" t="s">
        <v>15</v>
      </c>
      <c r="D11">
        <v>2770</v>
      </c>
      <c r="E11">
        <v>2671</v>
      </c>
      <c r="F11">
        <v>3906</v>
      </c>
      <c r="G11">
        <v>5880</v>
      </c>
      <c r="H11">
        <v>7830</v>
      </c>
      <c r="I11" s="8">
        <v>9921</v>
      </c>
      <c r="J11" s="153">
        <f>J4*J40</f>
        <v>9477.8655797602241</v>
      </c>
      <c r="K11" s="153">
        <f>K4*K40</f>
        <v>10660.224383396146</v>
      </c>
      <c r="L11" s="153">
        <f>L4*L40</f>
        <v>12180.777381732174</v>
      </c>
      <c r="M11" s="153">
        <f>M4*M40</f>
        <v>14158.191649293389</v>
      </c>
      <c r="N11" s="8"/>
    </row>
    <row r="12" spans="2:14" s="6" customFormat="1" x14ac:dyDescent="0.35">
      <c r="B12" s="6" t="s">
        <v>20</v>
      </c>
      <c r="C12" s="20"/>
      <c r="D12" s="6">
        <f t="shared" ref="D12:M12" si="2">SUM(D9:D11)</f>
        <v>20509</v>
      </c>
      <c r="E12" s="6">
        <f t="shared" si="2"/>
        <v>24906</v>
      </c>
      <c r="F12" s="6">
        <f t="shared" si="2"/>
        <v>40217</v>
      </c>
      <c r="G12" s="6">
        <f t="shared" si="2"/>
        <v>60609</v>
      </c>
      <c r="H12" s="144">
        <f t="shared" si="2"/>
        <v>79113</v>
      </c>
      <c r="I12" s="144">
        <f>SUM(I9:I11)</f>
        <v>80240</v>
      </c>
      <c r="J12" s="187">
        <f t="shared" si="2"/>
        <v>85866.206672071843</v>
      </c>
      <c r="K12" s="187">
        <f t="shared" si="2"/>
        <v>96577.971313506467</v>
      </c>
      <c r="L12" s="187">
        <f t="shared" si="2"/>
        <v>110353.65919515112</v>
      </c>
      <c r="M12" s="187">
        <f t="shared" si="2"/>
        <v>128268.35325214473</v>
      </c>
      <c r="N12" s="144"/>
    </row>
    <row r="13" spans="2:14" ht="15" thickBot="1" x14ac:dyDescent="0.4">
      <c r="B13" s="15" t="s">
        <v>21</v>
      </c>
      <c r="C13" s="19"/>
      <c r="D13" s="24">
        <f t="shared" ref="D13:M13" si="3">D4-D12</f>
        <v>3962</v>
      </c>
      <c r="E13" s="24">
        <f t="shared" si="3"/>
        <v>6672.375</v>
      </c>
      <c r="F13" s="24">
        <f t="shared" si="3"/>
        <v>14266</v>
      </c>
      <c r="G13" s="24">
        <f t="shared" si="3"/>
        <v>20649.400999999998</v>
      </c>
      <c r="H13" s="24">
        <f t="shared" si="3"/>
        <v>17517.5</v>
      </c>
      <c r="I13" s="24">
        <f>I4-I12</f>
        <v>17575</v>
      </c>
      <c r="J13" s="32">
        <f t="shared" si="3"/>
        <v>22599.207120059174</v>
      </c>
      <c r="K13" s="32">
        <f t="shared" si="3"/>
        <v>25418.446459204715</v>
      </c>
      <c r="L13" s="32">
        <f t="shared" si="3"/>
        <v>29044.082617181557</v>
      </c>
      <c r="M13" s="32">
        <f t="shared" si="3"/>
        <v>33759.067675653612</v>
      </c>
      <c r="N13" s="24"/>
    </row>
    <row r="14" spans="2:14" x14ac:dyDescent="0.35">
      <c r="J14" s="62"/>
      <c r="K14" s="62"/>
      <c r="L14" s="62"/>
      <c r="M14" s="62"/>
    </row>
    <row r="15" spans="2:14" x14ac:dyDescent="0.35">
      <c r="B15" s="6" t="s">
        <v>22</v>
      </c>
      <c r="C15" s="20"/>
      <c r="D15" s="8"/>
      <c r="J15" s="62"/>
      <c r="K15" s="62"/>
      <c r="L15" s="62"/>
      <c r="M15" s="62"/>
    </row>
    <row r="16" spans="2:14" x14ac:dyDescent="0.35">
      <c r="B16" t="s">
        <v>325</v>
      </c>
      <c r="D16" s="8">
        <f>FA!E31</f>
        <v>0</v>
      </c>
      <c r="E16" s="8">
        <f>FA!F31</f>
        <v>2322</v>
      </c>
      <c r="F16" s="8">
        <f>FA!G31</f>
        <v>2911</v>
      </c>
      <c r="G16" s="8">
        <f>FA!H31</f>
        <v>3747</v>
      </c>
      <c r="H16" s="8">
        <f>FA!I31</f>
        <v>4667</v>
      </c>
      <c r="I16" s="8">
        <f>FA!J31</f>
        <v>5368</v>
      </c>
      <c r="J16" s="153">
        <f>FA!K31</f>
        <v>12318.976087505976</v>
      </c>
      <c r="K16" s="153">
        <f>FA!L31</f>
        <v>12712.662152405945</v>
      </c>
      <c r="L16" s="153">
        <f>FA!M31</f>
        <v>14804.946752478239</v>
      </c>
      <c r="M16" s="153">
        <f>FA!N31</f>
        <v>17562.825631559233</v>
      </c>
    </row>
    <row r="17" spans="2:14" x14ac:dyDescent="0.35">
      <c r="B17" t="s">
        <v>23</v>
      </c>
      <c r="D17">
        <v>1343</v>
      </c>
      <c r="E17">
        <v>1491</v>
      </c>
      <c r="F17">
        <v>2593</v>
      </c>
      <c r="G17">
        <v>3075</v>
      </c>
      <c r="H17">
        <v>3969</v>
      </c>
      <c r="I17" s="8">
        <v>4540</v>
      </c>
      <c r="J17" s="153">
        <f>I17*(1+$J$41)</f>
        <v>4748.0987309124994</v>
      </c>
      <c r="K17" s="153">
        <f t="shared" ref="K17:M17" si="4">J17*(1+$J$41)</f>
        <v>4965.7360260997548</v>
      </c>
      <c r="L17" s="153">
        <f t="shared" si="4"/>
        <v>5193.349102108089</v>
      </c>
      <c r="M17" s="153">
        <f t="shared" si="4"/>
        <v>5431.3952160583676</v>
      </c>
      <c r="N17" s="8"/>
    </row>
    <row r="18" spans="2:14" x14ac:dyDescent="0.35">
      <c r="B18" t="s">
        <v>24</v>
      </c>
      <c r="D18">
        <v>2646</v>
      </c>
      <c r="E18">
        <v>3145</v>
      </c>
      <c r="F18">
        <v>4517</v>
      </c>
      <c r="G18">
        <v>3946</v>
      </c>
      <c r="H18">
        <v>4800</v>
      </c>
      <c r="I18" s="8">
        <v>5150</v>
      </c>
      <c r="J18" s="153">
        <f>I18*(1+$J$42)</f>
        <v>5528.965630792417</v>
      </c>
      <c r="K18" s="153">
        <f t="shared" ref="K18:M18" si="5">J18*(1+$J$42)</f>
        <v>5935.8176595114155</v>
      </c>
      <c r="L18" s="153">
        <f t="shared" si="5"/>
        <v>6372.6081223474375</v>
      </c>
      <c r="M18" s="153">
        <f t="shared" si="5"/>
        <v>6841.54005572186</v>
      </c>
      <c r="N18" s="8"/>
    </row>
    <row r="19" spans="2:14" x14ac:dyDescent="0.35">
      <c r="B19" t="s">
        <v>327</v>
      </c>
      <c r="D19" s="8">
        <f t="shared" ref="D19:M19" si="6">D18-D16</f>
        <v>2646</v>
      </c>
      <c r="E19" s="8">
        <f t="shared" si="6"/>
        <v>823</v>
      </c>
      <c r="F19" s="8">
        <f t="shared" si="6"/>
        <v>1606</v>
      </c>
      <c r="G19" s="8">
        <f t="shared" si="6"/>
        <v>199</v>
      </c>
      <c r="H19" s="8">
        <f t="shared" si="6"/>
        <v>133</v>
      </c>
      <c r="I19" s="8">
        <f t="shared" si="6"/>
        <v>-218</v>
      </c>
      <c r="J19" s="153">
        <f t="shared" si="6"/>
        <v>-6790.0104567135595</v>
      </c>
      <c r="K19" s="153">
        <f t="shared" si="6"/>
        <v>-6776.8444928945291</v>
      </c>
      <c r="L19" s="153">
        <f t="shared" si="6"/>
        <v>-8432.3386301308019</v>
      </c>
      <c r="M19" s="153">
        <f t="shared" si="6"/>
        <v>-10721.285575837373</v>
      </c>
      <c r="N19" s="8"/>
    </row>
    <row r="20" spans="2:14" x14ac:dyDescent="0.35">
      <c r="B20" t="s">
        <v>25</v>
      </c>
      <c r="D20">
        <v>149</v>
      </c>
      <c r="E20">
        <v>0</v>
      </c>
      <c r="F20">
        <v>-27</v>
      </c>
      <c r="G20">
        <v>176</v>
      </c>
      <c r="H20">
        <v>0</v>
      </c>
      <c r="I20">
        <v>684</v>
      </c>
      <c r="J20" s="153">
        <f>AVERAGE(G20:I20)</f>
        <v>286.66666666666669</v>
      </c>
      <c r="K20" s="153">
        <f t="shared" ref="K20:M20" si="7">AVERAGE(H20:J20)</f>
        <v>323.5555555555556</v>
      </c>
      <c r="L20" s="153">
        <f t="shared" si="7"/>
        <v>431.40740740740745</v>
      </c>
      <c r="M20" s="153">
        <f t="shared" si="7"/>
        <v>347.20987654320993</v>
      </c>
    </row>
    <row r="21" spans="2:14" x14ac:dyDescent="0.35">
      <c r="B21" t="s">
        <v>26</v>
      </c>
      <c r="D21" s="8">
        <f>D16+D17+D19+D20</f>
        <v>4138</v>
      </c>
      <c r="E21" s="8">
        <f t="shared" ref="E21:M21" si="8">E16+E17+E19+E20</f>
        <v>4636</v>
      </c>
      <c r="F21" s="8">
        <f t="shared" si="8"/>
        <v>7083</v>
      </c>
      <c r="G21" s="8">
        <f t="shared" si="8"/>
        <v>7197</v>
      </c>
      <c r="H21" s="8">
        <f t="shared" si="8"/>
        <v>8769</v>
      </c>
      <c r="I21" s="8">
        <f t="shared" si="8"/>
        <v>10374</v>
      </c>
      <c r="J21" s="153">
        <f t="shared" si="8"/>
        <v>10563.731028371583</v>
      </c>
      <c r="K21" s="153">
        <f t="shared" si="8"/>
        <v>11225.109241166727</v>
      </c>
      <c r="L21" s="153">
        <f t="shared" si="8"/>
        <v>11997.364631862934</v>
      </c>
      <c r="M21" s="153">
        <f t="shared" si="8"/>
        <v>12620.145148323438</v>
      </c>
      <c r="N21" s="8"/>
    </row>
    <row r="22" spans="2:14" ht="15" thickBot="1" x14ac:dyDescent="0.4">
      <c r="B22" s="15" t="s">
        <v>27</v>
      </c>
      <c r="C22" s="19"/>
      <c r="D22" s="24">
        <f t="shared" ref="D22:M22" si="9">D13-D21</f>
        <v>-176</v>
      </c>
      <c r="E22" s="24">
        <f t="shared" si="9"/>
        <v>2036.375</v>
      </c>
      <c r="F22" s="24">
        <f t="shared" si="9"/>
        <v>7183</v>
      </c>
      <c r="G22" s="24">
        <f t="shared" si="9"/>
        <v>13452.400999999998</v>
      </c>
      <c r="H22" s="24">
        <f t="shared" si="9"/>
        <v>8748.5</v>
      </c>
      <c r="I22" s="24">
        <f t="shared" si="9"/>
        <v>7201</v>
      </c>
      <c r="J22" s="32">
        <f t="shared" si="9"/>
        <v>12035.476091687591</v>
      </c>
      <c r="K22" s="32">
        <f t="shared" si="9"/>
        <v>14193.337218037988</v>
      </c>
      <c r="L22" s="32">
        <f t="shared" si="9"/>
        <v>17046.717985318624</v>
      </c>
      <c r="M22" s="32">
        <f t="shared" si="9"/>
        <v>21138.922527330174</v>
      </c>
      <c r="N22" s="24"/>
    </row>
    <row r="23" spans="2:14" x14ac:dyDescent="0.35">
      <c r="J23" s="62"/>
      <c r="K23" s="62"/>
      <c r="L23" s="62"/>
      <c r="M23" s="62"/>
    </row>
    <row r="24" spans="2:14" x14ac:dyDescent="0.35">
      <c r="B24" t="s">
        <v>28</v>
      </c>
      <c r="D24">
        <v>44</v>
      </c>
      <c r="E24">
        <v>30</v>
      </c>
      <c r="F24">
        <v>56</v>
      </c>
      <c r="G24">
        <v>297</v>
      </c>
      <c r="H24">
        <v>1066</v>
      </c>
      <c r="I24">
        <v>1569</v>
      </c>
      <c r="J24" s="62">
        <v>0</v>
      </c>
      <c r="K24" s="62">
        <v>0</v>
      </c>
      <c r="L24" s="62">
        <v>0</v>
      </c>
      <c r="M24" s="62">
        <v>0</v>
      </c>
    </row>
    <row r="25" spans="2:14" x14ac:dyDescent="0.35">
      <c r="B25" t="s">
        <v>29</v>
      </c>
      <c r="D25">
        <v>-685</v>
      </c>
      <c r="E25">
        <v>-748</v>
      </c>
      <c r="F25">
        <v>-371</v>
      </c>
      <c r="G25">
        <v>-191</v>
      </c>
      <c r="H25">
        <v>-156</v>
      </c>
      <c r="I25" s="8">
        <f>-350</f>
        <v>-350</v>
      </c>
      <c r="J25" s="153">
        <f>-Debt!E12</f>
        <v>-531.30454332587612</v>
      </c>
      <c r="K25" s="153">
        <f>-Debt!F12</f>
        <v>-423.46518210290827</v>
      </c>
      <c r="L25" s="153">
        <f>-Debt!G12</f>
        <v>-391.50798687546603</v>
      </c>
      <c r="M25" s="153">
        <f>-Debt!H12</f>
        <v>-373.65335958240115</v>
      </c>
    </row>
    <row r="26" spans="2:14" x14ac:dyDescent="0.35">
      <c r="B26" t="s">
        <v>30</v>
      </c>
      <c r="D26">
        <v>45</v>
      </c>
      <c r="E26">
        <v>-122</v>
      </c>
      <c r="F26">
        <v>135</v>
      </c>
      <c r="G26">
        <v>-43</v>
      </c>
      <c r="H26">
        <v>172</v>
      </c>
      <c r="I26" s="8">
        <v>695</v>
      </c>
      <c r="J26" s="153">
        <f>I26*(1+$I$47)</f>
        <v>790.24074074074076</v>
      </c>
      <c r="K26" s="153">
        <f t="shared" ref="K26:M26" si="10">J26*(1+$I$47)</f>
        <v>898.53299039780529</v>
      </c>
      <c r="L26" s="153">
        <f t="shared" si="10"/>
        <v>1021.665289081949</v>
      </c>
      <c r="M26" s="153">
        <f t="shared" si="10"/>
        <v>1161.6712731413272</v>
      </c>
    </row>
    <row r="27" spans="2:14" ht="15" thickBot="1" x14ac:dyDescent="0.4">
      <c r="B27" s="15" t="s">
        <v>31</v>
      </c>
      <c r="C27" s="19"/>
      <c r="D27" s="24">
        <f t="shared" ref="D27:I27" si="11">SUM(D22:D26)</f>
        <v>-772</v>
      </c>
      <c r="E27" s="24">
        <f t="shared" si="11"/>
        <v>1196.375</v>
      </c>
      <c r="F27" s="24">
        <f t="shared" si="11"/>
        <v>7003</v>
      </c>
      <c r="G27" s="24">
        <f t="shared" si="11"/>
        <v>13515.400999999998</v>
      </c>
      <c r="H27" s="24">
        <f t="shared" si="11"/>
        <v>9830.5</v>
      </c>
      <c r="I27" s="24">
        <f t="shared" si="11"/>
        <v>9115</v>
      </c>
      <c r="J27" s="32">
        <f>J22-SUM(J24:J26)</f>
        <v>11776.539894272726</v>
      </c>
      <c r="K27" s="32">
        <f>K22-SUM(K24:K26)</f>
        <v>13718.269409743092</v>
      </c>
      <c r="L27" s="32">
        <f>L22-SUM(L24:L26)</f>
        <v>16416.56068311214</v>
      </c>
      <c r="M27" s="32">
        <f>M22-SUM(M24:M26)</f>
        <v>20350.90461377125</v>
      </c>
      <c r="N27" s="16"/>
    </row>
    <row r="28" spans="2:14" x14ac:dyDescent="0.35">
      <c r="B28" s="6"/>
      <c r="C28" s="20"/>
      <c r="J28" s="62"/>
      <c r="K28" s="62"/>
      <c r="L28" s="62"/>
      <c r="M28" s="62"/>
    </row>
    <row r="29" spans="2:14" x14ac:dyDescent="0.35">
      <c r="B29" t="s">
        <v>32</v>
      </c>
      <c r="D29">
        <v>110</v>
      </c>
      <c r="E29">
        <v>292</v>
      </c>
      <c r="F29">
        <v>699</v>
      </c>
      <c r="G29">
        <v>1132</v>
      </c>
      <c r="H29">
        <v>-5001</v>
      </c>
      <c r="I29" s="8">
        <v>1837</v>
      </c>
      <c r="J29" s="153">
        <f>J27*$J$46</f>
        <v>3061.9003725109087</v>
      </c>
      <c r="K29" s="153">
        <f t="shared" ref="K29:M29" si="12">K27*$J$46</f>
        <v>3566.7500465332041</v>
      </c>
      <c r="L29" s="153">
        <f t="shared" si="12"/>
        <v>4268.3057776091564</v>
      </c>
      <c r="M29" s="153">
        <f t="shared" si="12"/>
        <v>5291.2351995805257</v>
      </c>
    </row>
    <row r="30" spans="2:14" x14ac:dyDescent="0.35">
      <c r="J30" s="62"/>
      <c r="K30" s="62"/>
      <c r="L30" s="62"/>
      <c r="M30" s="62"/>
    </row>
    <row r="31" spans="2:14" ht="15" thickBot="1" x14ac:dyDescent="0.4">
      <c r="B31" s="15" t="s">
        <v>326</v>
      </c>
      <c r="C31" s="19"/>
      <c r="D31" s="24">
        <f t="shared" ref="D31:M31" si="13">D27-D29</f>
        <v>-882</v>
      </c>
      <c r="E31" s="24">
        <f t="shared" si="13"/>
        <v>904.375</v>
      </c>
      <c r="F31" s="24">
        <f t="shared" si="13"/>
        <v>6304</v>
      </c>
      <c r="G31" s="24">
        <f t="shared" si="13"/>
        <v>12383.400999999998</v>
      </c>
      <c r="H31" s="24">
        <f t="shared" si="13"/>
        <v>14831.5</v>
      </c>
      <c r="I31" s="24">
        <f t="shared" si="13"/>
        <v>7278</v>
      </c>
      <c r="J31" s="32">
        <f t="shared" si="13"/>
        <v>8714.6395217618174</v>
      </c>
      <c r="K31" s="32">
        <f t="shared" si="13"/>
        <v>10151.519363209889</v>
      </c>
      <c r="L31" s="32">
        <f t="shared" si="13"/>
        <v>12148.254905502985</v>
      </c>
      <c r="M31" s="32">
        <f t="shared" si="13"/>
        <v>15059.669414190725</v>
      </c>
      <c r="N31" s="16"/>
    </row>
    <row r="32" spans="2:14" x14ac:dyDescent="0.35">
      <c r="B32" t="s">
        <v>33</v>
      </c>
      <c r="D32">
        <v>87</v>
      </c>
      <c r="E32">
        <v>141</v>
      </c>
      <c r="F32">
        <v>125</v>
      </c>
      <c r="G32">
        <v>31</v>
      </c>
      <c r="H32">
        <v>-23</v>
      </c>
      <c r="I32" s="8">
        <v>62</v>
      </c>
      <c r="J32" s="153">
        <f>J31*$J$48</f>
        <v>172.79980016183808</v>
      </c>
      <c r="K32" s="153">
        <f t="shared" ref="K32:M32" si="14">K31*$J$48</f>
        <v>201.29123102811488</v>
      </c>
      <c r="L32" s="153">
        <f t="shared" si="14"/>
        <v>240.88386154629967</v>
      </c>
      <c r="M32" s="153">
        <f t="shared" si="14"/>
        <v>298.61336877757623</v>
      </c>
    </row>
    <row r="33" spans="2:14" ht="15" thickBot="1" x14ac:dyDescent="0.4">
      <c r="B33" s="15" t="s">
        <v>34</v>
      </c>
      <c r="C33" s="19"/>
      <c r="D33" s="32">
        <f t="shared" ref="D33:M33" si="15">D31-D32</f>
        <v>-969</v>
      </c>
      <c r="E33" s="32">
        <f t="shared" si="15"/>
        <v>763.375</v>
      </c>
      <c r="F33" s="32">
        <f t="shared" si="15"/>
        <v>6179</v>
      </c>
      <c r="G33" s="32">
        <f t="shared" si="15"/>
        <v>12352.400999999998</v>
      </c>
      <c r="H33" s="32">
        <f t="shared" si="15"/>
        <v>14854.5</v>
      </c>
      <c r="I33" s="32">
        <f t="shared" si="15"/>
        <v>7216</v>
      </c>
      <c r="J33" s="32">
        <f t="shared" si="15"/>
        <v>8541.8397215999794</v>
      </c>
      <c r="K33" s="32">
        <f t="shared" si="15"/>
        <v>9950.2281321817736</v>
      </c>
      <c r="L33" s="32">
        <f t="shared" si="15"/>
        <v>11907.371043956686</v>
      </c>
      <c r="M33" s="32">
        <f t="shared" si="15"/>
        <v>14761.056045413148</v>
      </c>
      <c r="N33" s="16"/>
    </row>
    <row r="34" spans="2:14" x14ac:dyDescent="0.35">
      <c r="I34">
        <v>7091</v>
      </c>
      <c r="J34" s="62"/>
      <c r="K34" s="62"/>
      <c r="L34" s="62"/>
      <c r="M34" s="62"/>
    </row>
    <row r="35" spans="2:14" x14ac:dyDescent="0.35">
      <c r="J35" s="62"/>
      <c r="K35" s="62"/>
      <c r="L35" s="62"/>
      <c r="M35" s="62"/>
    </row>
    <row r="36" spans="2:14" x14ac:dyDescent="0.35">
      <c r="B36" s="21" t="s">
        <v>75</v>
      </c>
      <c r="C36" s="22"/>
      <c r="J36" s="62"/>
      <c r="K36" s="62"/>
      <c r="L36" s="62"/>
      <c r="M36" s="62"/>
      <c r="N36" s="10"/>
    </row>
    <row r="37" spans="2:14" x14ac:dyDescent="0.35">
      <c r="B37" t="s">
        <v>18</v>
      </c>
      <c r="D37" s="10">
        <f>D7/D4</f>
        <v>0.65134240529606469</v>
      </c>
      <c r="E37" s="10">
        <f>E7/E4</f>
        <v>0.62371797155490105</v>
      </c>
      <c r="F37" s="10">
        <f>F7/F4</f>
        <v>0.59495622487748467</v>
      </c>
      <c r="G37" s="10">
        <f>G7/G4</f>
        <v>0.61038611872266602</v>
      </c>
      <c r="H37" s="10">
        <f>H7/H4</f>
        <v>0.67391765539865778</v>
      </c>
      <c r="I37" s="10">
        <f t="shared" ref="I37" si="16">I7/I4</f>
        <v>0.63252057455400501</v>
      </c>
      <c r="J37" s="227">
        <f>AVERAGE(D37:I37)</f>
        <v>0.63114015840062987</v>
      </c>
      <c r="K37" s="188">
        <f t="shared" ref="K37:M42" si="17">J37</f>
        <v>0.63114015840062987</v>
      </c>
      <c r="L37" s="188">
        <f t="shared" si="17"/>
        <v>0.63114015840062987</v>
      </c>
      <c r="M37" s="188">
        <f t="shared" si="17"/>
        <v>0.63114015840062987</v>
      </c>
      <c r="N37" s="10"/>
    </row>
    <row r="38" spans="2:14" x14ac:dyDescent="0.35">
      <c r="B38" t="s">
        <v>13</v>
      </c>
      <c r="D38" s="10">
        <f>D8/D4</f>
        <v>1.875689591761677E-2</v>
      </c>
      <c r="E38" s="10">
        <f>E8/E4</f>
        <v>1.7828656477731991E-2</v>
      </c>
      <c r="F38" s="10">
        <f>F8/F4</f>
        <v>1.7950553383624251E-2</v>
      </c>
      <c r="G38" s="10">
        <f>G8/G4</f>
        <v>1.8570387571372467E-2</v>
      </c>
      <c r="H38" s="10">
        <f>H8/H4</f>
        <v>1.3122150873688948E-2</v>
      </c>
      <c r="I38" s="10">
        <f t="shared" ref="I38" si="18">I8/I4</f>
        <v>1.0254051014670551E-2</v>
      </c>
      <c r="J38" s="227">
        <f t="shared" ref="J38:J42" si="19">AVERAGE(D38:I38)</f>
        <v>1.6080449206450832E-2</v>
      </c>
      <c r="K38" s="188">
        <f t="shared" si="17"/>
        <v>1.6080449206450832E-2</v>
      </c>
      <c r="L38" s="188">
        <f t="shared" si="17"/>
        <v>1.6080449206450832E-2</v>
      </c>
      <c r="M38" s="188">
        <f t="shared" si="17"/>
        <v>1.6080449206450832E-2</v>
      </c>
      <c r="N38" s="10"/>
    </row>
    <row r="39" spans="2:14" x14ac:dyDescent="0.35">
      <c r="B39" t="s">
        <v>14</v>
      </c>
      <c r="D39" s="10">
        <f>D10/D4</f>
        <v>5.4799558661272528E-2</v>
      </c>
      <c r="E39" s="10">
        <f>E10/E4</f>
        <v>6.2574467495556688E-2</v>
      </c>
      <c r="F39" s="10">
        <f>F10/F4</f>
        <v>5.3557990565864584E-2</v>
      </c>
      <c r="G39" s="10">
        <f>G10/G4</f>
        <v>4.4561546319376873E-2</v>
      </c>
      <c r="H39" s="10">
        <f>H10/H4</f>
        <v>5.0646534996714287E-2</v>
      </c>
      <c r="I39" s="10">
        <f t="shared" ref="I39" si="20">I10/I4</f>
        <v>7.6123293973316977E-2</v>
      </c>
      <c r="J39" s="227">
        <f t="shared" si="19"/>
        <v>5.7043898668683646E-2</v>
      </c>
      <c r="K39" s="188">
        <f t="shared" si="17"/>
        <v>5.7043898668683646E-2</v>
      </c>
      <c r="L39" s="188">
        <f t="shared" si="17"/>
        <v>5.7043898668683646E-2</v>
      </c>
      <c r="M39" s="188">
        <f t="shared" si="17"/>
        <v>5.7043898668683646E-2</v>
      </c>
      <c r="N39" s="10"/>
    </row>
    <row r="40" spans="2:14" x14ac:dyDescent="0.35">
      <c r="B40" t="s">
        <v>15</v>
      </c>
      <c r="D40" s="10">
        <f>D11/D4</f>
        <v>0.11319521065751298</v>
      </c>
      <c r="E40" s="10">
        <f>E11/E4</f>
        <v>8.4583199737161899E-2</v>
      </c>
      <c r="F40" s="10">
        <f>F11/F4</f>
        <v>7.1692087440118943E-2</v>
      </c>
      <c r="G40" s="10">
        <f>G11/G4</f>
        <v>7.2361748787057728E-2</v>
      </c>
      <c r="H40" s="10">
        <f>H11/H4</f>
        <v>8.1030316514971987E-2</v>
      </c>
      <c r="I40" s="10">
        <f t="shared" ref="I40" si="21">I11/I4</f>
        <v>0.10142616163165159</v>
      </c>
      <c r="J40" s="227">
        <f t="shared" si="19"/>
        <v>8.7381454128079183E-2</v>
      </c>
      <c r="K40" s="188">
        <f t="shared" si="17"/>
        <v>8.7381454128079183E-2</v>
      </c>
      <c r="L40" s="188">
        <f t="shared" si="17"/>
        <v>8.7381454128079183E-2</v>
      </c>
      <c r="M40" s="188">
        <f t="shared" si="17"/>
        <v>8.7381454128079183E-2</v>
      </c>
      <c r="N40" s="10"/>
    </row>
    <row r="41" spans="2:14" x14ac:dyDescent="0.35">
      <c r="B41" t="s">
        <v>23</v>
      </c>
      <c r="D41" s="10">
        <f>D17/D4</f>
        <v>5.488128805524907E-2</v>
      </c>
      <c r="E41" s="10">
        <f>E17/E4</f>
        <v>4.7215855787386143E-2</v>
      </c>
      <c r="F41" s="10">
        <f>F17/F4</f>
        <v>4.7592827120386177E-2</v>
      </c>
      <c r="G41" s="10">
        <f>G17/G4</f>
        <v>3.784224107486437E-2</v>
      </c>
      <c r="H41" s="10">
        <f>H17/H4</f>
        <v>4.1073988026554764E-2</v>
      </c>
      <c r="I41" s="10">
        <f t="shared" ref="I41" si="22">I17/I4</f>
        <v>4.6414149159126922E-2</v>
      </c>
      <c r="J41" s="227">
        <f t="shared" si="19"/>
        <v>4.5836724870594571E-2</v>
      </c>
      <c r="K41" s="188">
        <f t="shared" si="17"/>
        <v>4.5836724870594571E-2</v>
      </c>
      <c r="L41" s="188">
        <f t="shared" si="17"/>
        <v>4.5836724870594571E-2</v>
      </c>
      <c r="M41" s="188">
        <f t="shared" si="17"/>
        <v>4.5836724870594571E-2</v>
      </c>
      <c r="N41" s="10"/>
    </row>
    <row r="42" spans="2:14" x14ac:dyDescent="0.35">
      <c r="B42" t="s">
        <v>24</v>
      </c>
      <c r="D42" s="10">
        <f>D18/D4</f>
        <v>0.10812798823096727</v>
      </c>
      <c r="E42" s="10">
        <f>E18/E4</f>
        <v>9.9593471798343006E-2</v>
      </c>
      <c r="F42" s="10">
        <f>F18/F4</f>
        <v>8.290659471761834E-2</v>
      </c>
      <c r="G42" s="10">
        <f>G18/G4</f>
        <v>4.8561132774443842E-2</v>
      </c>
      <c r="H42" s="10">
        <f>H18/H4</f>
        <v>4.9673757250557539E-2</v>
      </c>
      <c r="I42" s="10">
        <f t="shared" ref="I42" si="23">I18/I4</f>
        <v>5.2650411491080101E-2</v>
      </c>
      <c r="J42" s="227">
        <f t="shared" si="19"/>
        <v>7.3585559377168361E-2</v>
      </c>
      <c r="K42" s="188">
        <f t="shared" si="17"/>
        <v>7.3585559377168361E-2</v>
      </c>
      <c r="L42" s="188">
        <f t="shared" si="17"/>
        <v>7.3585559377168361E-2</v>
      </c>
      <c r="M42" s="188">
        <f t="shared" si="17"/>
        <v>7.3585559377168361E-2</v>
      </c>
      <c r="N42" s="10"/>
    </row>
    <row r="43" spans="2:14" x14ac:dyDescent="0.35">
      <c r="D43" s="10"/>
      <c r="E43" s="10"/>
      <c r="F43" s="10"/>
      <c r="G43" s="10"/>
      <c r="H43" s="10"/>
      <c r="I43" s="25"/>
      <c r="J43" s="189"/>
      <c r="K43" s="188"/>
      <c r="L43" s="188"/>
      <c r="M43" s="188"/>
    </row>
    <row r="44" spans="2:14" x14ac:dyDescent="0.35">
      <c r="E44" s="10"/>
      <c r="F44" s="10"/>
      <c r="G44" s="10"/>
      <c r="H44" s="10"/>
      <c r="J44" s="62"/>
      <c r="K44" s="62"/>
      <c r="L44" s="62"/>
      <c r="M44" s="62"/>
    </row>
    <row r="45" spans="2:14" x14ac:dyDescent="0.35">
      <c r="B45" t="s">
        <v>80</v>
      </c>
      <c r="D45" s="10">
        <f>D24/(BS!D6+BS!D7)</f>
        <v>7.0197830248883214E-3</v>
      </c>
      <c r="E45" s="10">
        <f>E24/(BS!E6+BS!E7)</f>
        <v>1.5476681799422203E-3</v>
      </c>
      <c r="F45" s="10">
        <f>F24/(BS!F6+BS!F7)</f>
        <v>3.1625910656802396E-3</v>
      </c>
      <c r="G45" s="10">
        <f>G24/(BS!G6+BS!G7)</f>
        <v>1.3387423935091278E-2</v>
      </c>
      <c r="H45" s="10">
        <f>H24/(BS!H6+BS!H7)</f>
        <v>3.6639857015192137E-2</v>
      </c>
      <c r="I45" s="10">
        <f>I24/(BS!I6+BS!I7)</f>
        <v>4.2912233678855674E-2</v>
      </c>
      <c r="J45" s="189">
        <f>AVERAGE(D45:I45)</f>
        <v>1.7444926149941645E-2</v>
      </c>
      <c r="K45" s="62"/>
      <c r="L45" s="62"/>
      <c r="M45" s="62"/>
    </row>
    <row r="46" spans="2:14" x14ac:dyDescent="0.35">
      <c r="B46" t="s">
        <v>81</v>
      </c>
      <c r="D46" s="26"/>
      <c r="E46" s="26"/>
      <c r="F46" s="26"/>
      <c r="G46" s="26"/>
      <c r="H46" s="26"/>
      <c r="I46" s="26"/>
      <c r="J46" s="188">
        <v>0.26</v>
      </c>
      <c r="K46" s="62"/>
      <c r="L46" s="62"/>
      <c r="M46" s="62"/>
    </row>
    <row r="47" spans="2:14" x14ac:dyDescent="0.35">
      <c r="B47" t="s">
        <v>89</v>
      </c>
      <c r="E47" s="10"/>
      <c r="F47" s="10"/>
      <c r="G47" s="10"/>
      <c r="H47" s="10">
        <f>H26/F26-1</f>
        <v>0.27407407407407414</v>
      </c>
      <c r="I47" s="10">
        <f>H47/2</f>
        <v>0.13703703703703707</v>
      </c>
      <c r="J47" s="62"/>
      <c r="K47" s="62"/>
      <c r="L47" s="62"/>
      <c r="M47" s="62"/>
    </row>
    <row r="48" spans="2:14" x14ac:dyDescent="0.35">
      <c r="B48" t="s">
        <v>33</v>
      </c>
      <c r="E48" s="25">
        <f>E32/E31</f>
        <v>0.15590877677954387</v>
      </c>
      <c r="F48" s="25">
        <f>F32/F31</f>
        <v>1.9828680203045686E-2</v>
      </c>
      <c r="G48" s="25">
        <f>G32/G31</f>
        <v>2.5033510584047151E-3</v>
      </c>
      <c r="H48" s="25"/>
      <c r="I48" s="25"/>
      <c r="J48" s="190">
        <f>MEDIAN(E48:G48)</f>
        <v>1.9828680203045686E-2</v>
      </c>
      <c r="K48" s="62"/>
      <c r="L48" s="62"/>
      <c r="M48" s="6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374B-8F9D-4167-9E1F-31475D6161FB}">
  <dimension ref="B2:J22"/>
  <sheetViews>
    <sheetView showGridLines="0" topLeftCell="A10" workbookViewId="0">
      <selection activeCell="J11" sqref="J11"/>
    </sheetView>
  </sheetViews>
  <sheetFormatPr defaultRowHeight="14.5" x14ac:dyDescent="0.35"/>
  <cols>
    <col min="1" max="1" width="1.6328125" customWidth="1"/>
    <col min="2" max="2" width="16" customWidth="1"/>
    <col min="3" max="3" width="13.6328125" customWidth="1"/>
    <col min="4" max="4" width="11.90625" hidden="1" customWidth="1"/>
    <col min="5" max="6" width="10.81640625" bestFit="1" customWidth="1"/>
    <col min="7" max="7" width="15.81640625" customWidth="1"/>
    <col min="8" max="10" width="15.6328125" customWidth="1"/>
  </cols>
  <sheetData>
    <row r="2" spans="2:10" ht="18.5" x14ac:dyDescent="0.45">
      <c r="B2" s="1" t="s">
        <v>0</v>
      </c>
      <c r="C2" s="1"/>
      <c r="D2" s="2"/>
      <c r="E2" s="2">
        <v>46022</v>
      </c>
      <c r="F2" s="2">
        <v>46387</v>
      </c>
      <c r="G2" s="2">
        <v>46752</v>
      </c>
      <c r="H2" s="2">
        <v>47118</v>
      </c>
      <c r="I2" s="2"/>
    </row>
    <row r="3" spans="2:10" ht="18.5" x14ac:dyDescent="0.45">
      <c r="B3" s="1" t="s">
        <v>1</v>
      </c>
      <c r="C3" s="1"/>
      <c r="D3" s="4"/>
      <c r="E3" s="4" t="s">
        <v>3</v>
      </c>
      <c r="F3" s="4" t="s">
        <v>3</v>
      </c>
      <c r="G3" s="4" t="s">
        <v>3</v>
      </c>
      <c r="H3" s="4" t="s">
        <v>3</v>
      </c>
      <c r="I3" s="4"/>
    </row>
    <row r="4" spans="2:10" x14ac:dyDescent="0.35">
      <c r="B4" t="s">
        <v>76</v>
      </c>
      <c r="E4">
        <f>C7</f>
        <v>8213</v>
      </c>
      <c r="F4">
        <f>E7</f>
        <v>6546</v>
      </c>
      <c r="G4">
        <f>F7</f>
        <v>6052</v>
      </c>
      <c r="H4">
        <f>G7</f>
        <v>5776</v>
      </c>
    </row>
    <row r="5" spans="2:10" x14ac:dyDescent="0.35">
      <c r="B5" t="s">
        <v>77</v>
      </c>
      <c r="E5">
        <v>0</v>
      </c>
      <c r="F5">
        <v>0</v>
      </c>
      <c r="G5">
        <v>0</v>
      </c>
      <c r="H5">
        <v>0</v>
      </c>
    </row>
    <row r="6" spans="2:10" x14ac:dyDescent="0.35">
      <c r="B6" t="s">
        <v>78</v>
      </c>
      <c r="E6">
        <v>1667</v>
      </c>
      <c r="F6">
        <v>494</v>
      </c>
      <c r="G6">
        <v>276</v>
      </c>
      <c r="H6">
        <v>44</v>
      </c>
      <c r="J6" t="s">
        <v>82</v>
      </c>
    </row>
    <row r="7" spans="2:10" ht="15" thickBot="1" x14ac:dyDescent="0.4">
      <c r="B7" s="15" t="s">
        <v>79</v>
      </c>
      <c r="C7" s="15">
        <f>BS!I34+BS!I31</f>
        <v>8213</v>
      </c>
      <c r="D7" s="15"/>
      <c r="E7" s="15">
        <f>E4+E5-E6</f>
        <v>6546</v>
      </c>
      <c r="F7" s="15">
        <f>F4+F5-F6</f>
        <v>6052</v>
      </c>
      <c r="G7" s="15">
        <f>G4+G5-G6</f>
        <v>5776</v>
      </c>
      <c r="H7" s="15">
        <f>H4+H5-H6</f>
        <v>5732</v>
      </c>
    </row>
    <row r="8" spans="2:10" x14ac:dyDescent="0.35">
      <c r="B8" s="6"/>
      <c r="C8" s="6"/>
      <c r="D8" s="6"/>
      <c r="E8" s="6"/>
      <c r="F8" s="6"/>
      <c r="G8" s="6"/>
      <c r="H8" s="6"/>
    </row>
    <row r="9" spans="2:10" x14ac:dyDescent="0.35">
      <c r="B9" s="6" t="s">
        <v>334</v>
      </c>
      <c r="C9" s="6"/>
      <c r="D9" s="6">
        <f>E6</f>
        <v>1667</v>
      </c>
      <c r="E9" s="6">
        <f>F6</f>
        <v>494</v>
      </c>
      <c r="F9" s="6">
        <f>G6</f>
        <v>276</v>
      </c>
      <c r="G9" s="6">
        <f>H6</f>
        <v>44</v>
      </c>
      <c r="H9" s="6">
        <f>I6</f>
        <v>0</v>
      </c>
    </row>
    <row r="10" spans="2:10" x14ac:dyDescent="0.35">
      <c r="B10" s="6" t="s">
        <v>335</v>
      </c>
      <c r="D10">
        <f>D7-D9</f>
        <v>-1667</v>
      </c>
      <c r="E10">
        <f>E7-E9</f>
        <v>6052</v>
      </c>
      <c r="F10">
        <f>F7-F9</f>
        <v>5776</v>
      </c>
      <c r="G10">
        <f>G7-G9</f>
        <v>5732</v>
      </c>
      <c r="H10">
        <f>H7-H9</f>
        <v>5732</v>
      </c>
    </row>
    <row r="11" spans="2:10" x14ac:dyDescent="0.35">
      <c r="B11" s="6" t="s">
        <v>333</v>
      </c>
      <c r="D11" s="146">
        <f>SUMPRODUCT(I16:I20,J16:J20)</f>
        <v>6.4690678598061144E-2</v>
      </c>
      <c r="E11" s="10">
        <f>SUMPRODUCT(I16:I20,J16:J20)</f>
        <v>6.4690678598061144E-2</v>
      </c>
    </row>
    <row r="12" spans="2:10" x14ac:dyDescent="0.35">
      <c r="B12" s="30" t="s">
        <v>88</v>
      </c>
      <c r="C12" s="30"/>
      <c r="D12" s="31">
        <f>$D$11*(D4+D5)</f>
        <v>0</v>
      </c>
      <c r="E12" s="31">
        <f>$E$11*(E4+E5)</f>
        <v>531.30454332587612</v>
      </c>
      <c r="F12" s="31">
        <f t="shared" ref="F12:H12" si="0">$E$11*(F4+F5)</f>
        <v>423.46518210290827</v>
      </c>
      <c r="G12" s="31">
        <f t="shared" si="0"/>
        <v>391.50798687546603</v>
      </c>
      <c r="H12" s="31">
        <f t="shared" si="0"/>
        <v>373.65335958240115</v>
      </c>
    </row>
    <row r="14" spans="2:10" ht="43.5" x14ac:dyDescent="0.35">
      <c r="F14" s="27"/>
      <c r="G14" s="29" t="s">
        <v>83</v>
      </c>
      <c r="H14" s="29" t="s">
        <v>84</v>
      </c>
      <c r="I14" s="29" t="s">
        <v>85</v>
      </c>
      <c r="J14" s="29" t="s">
        <v>86</v>
      </c>
    </row>
    <row r="15" spans="2:10" x14ac:dyDescent="0.35">
      <c r="F15" s="28"/>
      <c r="G15" s="6" t="s">
        <v>328</v>
      </c>
    </row>
    <row r="16" spans="2:10" x14ac:dyDescent="0.35">
      <c r="F16" s="28"/>
      <c r="G16" t="s">
        <v>87</v>
      </c>
      <c r="H16">
        <v>7</v>
      </c>
      <c r="I16" s="10">
        <v>5.7500000000000002E-2</v>
      </c>
      <c r="J16" s="138">
        <f>H16/H21</f>
        <v>2.609992542878449E-3</v>
      </c>
    </row>
    <row r="17" spans="6:10" x14ac:dyDescent="0.35">
      <c r="F17" s="28"/>
      <c r="G17" s="6" t="s">
        <v>329</v>
      </c>
      <c r="J17" s="138"/>
    </row>
    <row r="18" spans="6:10" x14ac:dyDescent="0.35">
      <c r="G18" t="s">
        <v>330</v>
      </c>
      <c r="H18" s="7">
        <v>2337</v>
      </c>
      <c r="I18" s="10">
        <v>6.5699999999999995E-2</v>
      </c>
      <c r="J18" s="138">
        <f>H18/H21</f>
        <v>0.87136465324384782</v>
      </c>
    </row>
    <row r="19" spans="6:10" x14ac:dyDescent="0.35">
      <c r="G19" t="s">
        <v>331</v>
      </c>
      <c r="H19">
        <v>8</v>
      </c>
      <c r="I19" s="10">
        <v>4.8000000000000001E-2</v>
      </c>
      <c r="J19" s="138">
        <f>H19/H21</f>
        <v>2.9828486204325128E-3</v>
      </c>
    </row>
    <row r="20" spans="6:10" x14ac:dyDescent="0.35">
      <c r="G20" t="s">
        <v>332</v>
      </c>
      <c r="H20">
        <v>330</v>
      </c>
      <c r="I20" s="10">
        <v>5.8099999999999999E-2</v>
      </c>
      <c r="J20" s="138">
        <f>H20/H21</f>
        <v>0.12304250559284116</v>
      </c>
    </row>
    <row r="21" spans="6:10" ht="15" thickBot="1" x14ac:dyDescent="0.4">
      <c r="G21" s="145"/>
      <c r="H21" s="145">
        <f>SUM(H16:H20)</f>
        <v>2682</v>
      </c>
    </row>
    <row r="22" spans="6:10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3267-753C-4F85-91A9-419D1D7D3448}">
  <dimension ref="B2:O35"/>
  <sheetViews>
    <sheetView workbookViewId="0">
      <pane xSplit="10" ySplit="3" topLeftCell="K23" activePane="bottomRight" state="frozen"/>
      <selection pane="topRight" activeCell="K1" sqref="K1"/>
      <selection pane="bottomLeft" activeCell="A4" sqref="A4"/>
      <selection pane="bottomRight" activeCell="N38" sqref="N38"/>
    </sheetView>
  </sheetViews>
  <sheetFormatPr defaultRowHeight="14.5" x14ac:dyDescent="0.35"/>
  <cols>
    <col min="1" max="1" width="3" customWidth="1"/>
    <col min="3" max="3" width="25.90625" customWidth="1"/>
    <col min="4" max="4" width="9.90625" customWidth="1"/>
    <col min="5" max="10" width="11" bestFit="1" customWidth="1"/>
    <col min="11" max="14" width="12.1796875" bestFit="1" customWidth="1"/>
  </cols>
  <sheetData>
    <row r="2" spans="2:15" ht="18.5" x14ac:dyDescent="0.45">
      <c r="B2" s="1" t="s">
        <v>0</v>
      </c>
      <c r="C2" s="1"/>
      <c r="D2" s="1"/>
      <c r="E2" s="2">
        <f>DATE(2019,12,31)</f>
        <v>43830</v>
      </c>
      <c r="F2" s="2">
        <f>EDATE(E2,12)</f>
        <v>44196</v>
      </c>
      <c r="G2" s="2">
        <f>EDATE(F2,12)</f>
        <v>44561</v>
      </c>
      <c r="H2" s="2">
        <f t="shared" ref="H2:N2" si="0">EDATE(G2,12)</f>
        <v>44926</v>
      </c>
      <c r="I2" s="2">
        <f t="shared" si="0"/>
        <v>45291</v>
      </c>
      <c r="J2" s="2">
        <f t="shared" si="0"/>
        <v>45657</v>
      </c>
      <c r="K2" s="2">
        <f t="shared" si="0"/>
        <v>46022</v>
      </c>
      <c r="L2" s="2">
        <f t="shared" si="0"/>
        <v>46387</v>
      </c>
      <c r="M2" s="2">
        <f t="shared" si="0"/>
        <v>46752</v>
      </c>
      <c r="N2" s="2">
        <f t="shared" si="0"/>
        <v>47118</v>
      </c>
      <c r="O2" s="2"/>
    </row>
    <row r="3" spans="2:15" ht="18.5" x14ac:dyDescent="0.45">
      <c r="B3" s="1" t="s">
        <v>1</v>
      </c>
      <c r="C3" s="1"/>
      <c r="D3" s="1"/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/>
    </row>
    <row r="4" spans="2:15" x14ac:dyDescent="0.35">
      <c r="B4" s="33" t="s">
        <v>96</v>
      </c>
      <c r="E4" s="147">
        <f>D8</f>
        <v>11330</v>
      </c>
      <c r="F4" s="147">
        <f t="shared" ref="F4:N4" si="1">E8</f>
        <v>10396</v>
      </c>
      <c r="G4" s="147">
        <f t="shared" si="1"/>
        <v>12747</v>
      </c>
      <c r="H4" s="147">
        <f t="shared" si="1"/>
        <v>18884</v>
      </c>
      <c r="I4" s="147">
        <f t="shared" si="1"/>
        <v>23548</v>
      </c>
      <c r="J4" s="179">
        <f t="shared" si="1"/>
        <v>29725</v>
      </c>
      <c r="K4" s="154">
        <f t="shared" si="1"/>
        <v>33945.329991251769</v>
      </c>
      <c r="L4" s="154">
        <f t="shared" si="1"/>
        <v>37641.407389577857</v>
      </c>
      <c r="M4" s="154">
        <f t="shared" si="1"/>
        <v>42337.153392069653</v>
      </c>
      <c r="N4" s="154">
        <f t="shared" si="1"/>
        <v>48376.039931042746</v>
      </c>
    </row>
    <row r="5" spans="2:15" x14ac:dyDescent="0.35">
      <c r="B5" s="33" t="s">
        <v>90</v>
      </c>
      <c r="E5" s="147">
        <f t="shared" ref="E5:N5" si="2">E6-E4</f>
        <v>2800</v>
      </c>
      <c r="F5" s="147">
        <f t="shared" si="2"/>
        <v>7468</v>
      </c>
      <c r="G5" s="147">
        <f t="shared" si="2"/>
        <v>12868</v>
      </c>
      <c r="H5" s="147">
        <f t="shared" si="2"/>
        <v>13705</v>
      </c>
      <c r="I5" s="147">
        <f t="shared" si="2"/>
        <v>18234</v>
      </c>
      <c r="J5" s="179">
        <f t="shared" si="2"/>
        <v>17153.981202106515</v>
      </c>
      <c r="K5" s="154">
        <f t="shared" si="2"/>
        <v>18037.986414616607</v>
      </c>
      <c r="L5" s="154">
        <f t="shared" si="2"/>
        <v>20826.800712362143</v>
      </c>
      <c r="M5" s="154">
        <f t="shared" si="2"/>
        <v>24470.842498503785</v>
      </c>
      <c r="N5" s="154">
        <f t="shared" si="2"/>
        <v>29277.493984001558</v>
      </c>
    </row>
    <row r="6" spans="2:15" x14ac:dyDescent="0.35">
      <c r="B6" s="33" t="s">
        <v>91</v>
      </c>
      <c r="E6" s="147">
        <f>E7+E8</f>
        <v>14130</v>
      </c>
      <c r="F6" s="147">
        <f>F7+F8</f>
        <v>17864</v>
      </c>
      <c r="G6" s="147">
        <f>G7+G8</f>
        <v>25615</v>
      </c>
      <c r="H6" s="147">
        <f>H7+H8</f>
        <v>32589</v>
      </c>
      <c r="I6" s="147">
        <f>I7+I8</f>
        <v>41782</v>
      </c>
      <c r="J6" s="179">
        <f>IS!I4/FA!$J$10</f>
        <v>46878.981202106515</v>
      </c>
      <c r="K6" s="154">
        <f>IS!J4/FA!$J$10</f>
        <v>51983.316405868376</v>
      </c>
      <c r="L6" s="154">
        <f>Revenue!K5/FA!$J$10</f>
        <v>58468.208101939999</v>
      </c>
      <c r="M6" s="154">
        <f>Revenue!L5/FA!$J$10</f>
        <v>66807.995890573438</v>
      </c>
      <c r="N6" s="154">
        <f>Revenue!M5/FA!$J$10</f>
        <v>77653.533915044303</v>
      </c>
    </row>
    <row r="7" spans="2:15" x14ac:dyDescent="0.35">
      <c r="B7" s="33" t="s">
        <v>92</v>
      </c>
      <c r="E7" s="147">
        <v>3734</v>
      </c>
      <c r="F7" s="147">
        <v>5117</v>
      </c>
      <c r="G7" s="147">
        <v>6731</v>
      </c>
      <c r="H7" s="147">
        <v>9041</v>
      </c>
      <c r="I7" s="147">
        <v>12057</v>
      </c>
      <c r="J7" s="179">
        <f>J6*$J$11</f>
        <v>12933.65121085475</v>
      </c>
      <c r="K7" s="154">
        <f>K6*$J$11</f>
        <v>14341.909016290518</v>
      </c>
      <c r="L7" s="154">
        <f>L6*$J$11</f>
        <v>16131.054709870348</v>
      </c>
      <c r="M7" s="154">
        <f>M6*$J$11</f>
        <v>18431.955959530689</v>
      </c>
      <c r="N7" s="154">
        <f>N6*$J$11</f>
        <v>21424.179817763037</v>
      </c>
    </row>
    <row r="8" spans="2:15" s="6" customFormat="1" ht="15" thickBot="1" x14ac:dyDescent="0.4">
      <c r="B8" s="15" t="s">
        <v>93</v>
      </c>
      <c r="C8" s="15"/>
      <c r="D8" s="15">
        <v>11330</v>
      </c>
      <c r="E8" s="155">
        <f>BS!D15</f>
        <v>10396</v>
      </c>
      <c r="F8" s="155">
        <f>BS!E15</f>
        <v>12747</v>
      </c>
      <c r="G8" s="155">
        <f>BS!F15</f>
        <v>18884</v>
      </c>
      <c r="H8" s="155">
        <f>BS!G15</f>
        <v>23548</v>
      </c>
      <c r="I8" s="155">
        <f>BS!H15</f>
        <v>29725</v>
      </c>
      <c r="J8" s="180">
        <f>J6-J7</f>
        <v>33945.329991251769</v>
      </c>
      <c r="K8" s="156">
        <f>K6-K7</f>
        <v>37641.407389577857</v>
      </c>
      <c r="L8" s="156">
        <f>L6-L7</f>
        <v>42337.153392069653</v>
      </c>
      <c r="M8" s="156">
        <f>M6-M7</f>
        <v>48376.039931042746</v>
      </c>
      <c r="N8" s="156">
        <f>N6-N7</f>
        <v>56229.354097281263</v>
      </c>
      <c r="O8" s="15"/>
    </row>
    <row r="10" spans="2:15" x14ac:dyDescent="0.35">
      <c r="C10" s="6" t="s">
        <v>94</v>
      </c>
      <c r="E10" s="34">
        <f>Revenue!D5/FA!E6</f>
        <v>1.7318471337579617</v>
      </c>
      <c r="F10" s="34">
        <f>Revenue!E5/FA!F6</f>
        <v>1.7677101992834752</v>
      </c>
      <c r="G10" s="34">
        <f>Revenue!F5/FA!G6</f>
        <v>2.126995900839352</v>
      </c>
      <c r="H10" s="34">
        <f>Revenue!G5/FA!H6</f>
        <v>2.4934303292522015</v>
      </c>
      <c r="I10" s="34">
        <f>Revenue!H5/FA!I6</f>
        <v>2.3127303623569957</v>
      </c>
      <c r="J10" s="35">
        <f>AVERAGE(E10:I10)</f>
        <v>2.0865427850979974</v>
      </c>
    </row>
    <row r="11" spans="2:15" x14ac:dyDescent="0.35">
      <c r="C11" s="6" t="s">
        <v>95</v>
      </c>
      <c r="E11" s="10">
        <f>E7/E6</f>
        <v>0.26426043878273175</v>
      </c>
      <c r="F11" s="10">
        <f>F7/F6</f>
        <v>0.28644200626959249</v>
      </c>
      <c r="G11" s="10">
        <f>G7/G6</f>
        <v>0.26277571735311339</v>
      </c>
      <c r="H11" s="10">
        <f>H7/H6</f>
        <v>0.27742489797170822</v>
      </c>
      <c r="I11" s="10">
        <f>I7/I6</f>
        <v>0.28856924034273129</v>
      </c>
      <c r="J11" s="36">
        <f>AVERAGE(E11:I11)</f>
        <v>0.27589446014397545</v>
      </c>
    </row>
    <row r="12" spans="2:15" x14ac:dyDescent="0.35">
      <c r="J12" s="6"/>
      <c r="L12" s="157"/>
    </row>
    <row r="15" spans="2:15" ht="18.5" x14ac:dyDescent="0.45">
      <c r="B15" s="1" t="s">
        <v>0</v>
      </c>
      <c r="C15" s="1"/>
      <c r="D15" s="1"/>
      <c r="E15" s="2">
        <f>DATE(2019,12,31)</f>
        <v>43830</v>
      </c>
      <c r="F15" s="2">
        <f t="shared" ref="F15:N15" si="3">EDATE(E15,12)</f>
        <v>44196</v>
      </c>
      <c r="G15" s="2">
        <f t="shared" si="3"/>
        <v>44561</v>
      </c>
      <c r="H15" s="2">
        <f t="shared" si="3"/>
        <v>44926</v>
      </c>
      <c r="I15" s="2">
        <f t="shared" si="3"/>
        <v>45291</v>
      </c>
      <c r="J15" s="2">
        <f t="shared" si="3"/>
        <v>45657</v>
      </c>
      <c r="K15" s="2">
        <f t="shared" si="3"/>
        <v>46022</v>
      </c>
      <c r="L15" s="2">
        <f t="shared" si="3"/>
        <v>46387</v>
      </c>
      <c r="M15" s="2">
        <f t="shared" si="3"/>
        <v>46752</v>
      </c>
      <c r="N15" s="2">
        <f t="shared" si="3"/>
        <v>47118</v>
      </c>
      <c r="O15" s="2"/>
    </row>
    <row r="16" spans="2:15" ht="18.5" x14ac:dyDescent="0.45">
      <c r="B16" s="1" t="s">
        <v>1</v>
      </c>
      <c r="C16" s="1"/>
      <c r="D16" s="1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4" t="s">
        <v>3</v>
      </c>
      <c r="K16" s="4" t="s">
        <v>3</v>
      </c>
      <c r="L16" s="4" t="s">
        <v>3</v>
      </c>
      <c r="M16" s="4" t="s">
        <v>3</v>
      </c>
      <c r="N16" s="4" t="s">
        <v>3</v>
      </c>
      <c r="O16" s="4"/>
    </row>
    <row r="17" spans="2:15" x14ac:dyDescent="0.35">
      <c r="B17" s="33" t="s">
        <v>96</v>
      </c>
      <c r="E17">
        <f t="shared" ref="E17:N17" si="4">D21</f>
        <v>6241</v>
      </c>
      <c r="F17">
        <f t="shared" si="4"/>
        <v>6138</v>
      </c>
      <c r="G17">
        <f t="shared" si="4"/>
        <v>5979</v>
      </c>
      <c r="H17">
        <f t="shared" si="4"/>
        <v>5765</v>
      </c>
      <c r="I17">
        <f t="shared" si="4"/>
        <v>5489</v>
      </c>
      <c r="J17">
        <f t="shared" si="4"/>
        <v>5229</v>
      </c>
      <c r="K17" s="153">
        <f t="shared" si="4"/>
        <v>9695.7513980293388</v>
      </c>
      <c r="L17" s="153">
        <f t="shared" si="4"/>
        <v>10751.456191922356</v>
      </c>
      <c r="M17" s="153">
        <f t="shared" si="4"/>
        <v>12092.694762299605</v>
      </c>
      <c r="N17" s="153">
        <f t="shared" si="4"/>
        <v>13817.572458815699</v>
      </c>
    </row>
    <row r="18" spans="2:15" x14ac:dyDescent="0.35">
      <c r="B18" s="33" t="s">
        <v>90</v>
      </c>
      <c r="E18">
        <f t="shared" ref="E18:N18" si="5">E19-E17</f>
        <v>620</v>
      </c>
      <c r="F18">
        <f t="shared" si="5"/>
        <v>796</v>
      </c>
      <c r="G18">
        <f t="shared" si="5"/>
        <v>973</v>
      </c>
      <c r="H18">
        <f t="shared" si="5"/>
        <v>1142</v>
      </c>
      <c r="I18">
        <f t="shared" si="5"/>
        <v>1383</v>
      </c>
      <c r="J18" s="8">
        <f t="shared" si="5"/>
        <v>6475.8481201940231</v>
      </c>
      <c r="K18" s="153">
        <f t="shared" si="5"/>
        <v>3283.5584698936964</v>
      </c>
      <c r="L18" s="153">
        <f t="shared" si="5"/>
        <v>3847.0158342221348</v>
      </c>
      <c r="M18" s="153">
        <f t="shared" si="5"/>
        <v>4588.0739972094088</v>
      </c>
      <c r="N18" s="153">
        <f t="shared" si="5"/>
        <v>5571.134316899952</v>
      </c>
    </row>
    <row r="19" spans="2:15" x14ac:dyDescent="0.35">
      <c r="B19" s="33" t="s">
        <v>91</v>
      </c>
      <c r="E19">
        <f>E21+E20</f>
        <v>6861</v>
      </c>
      <c r="F19">
        <f>F21+F20</f>
        <v>6934</v>
      </c>
      <c r="G19">
        <f>G21+G20</f>
        <v>6952</v>
      </c>
      <c r="H19">
        <f>H21+H20</f>
        <v>6907</v>
      </c>
      <c r="I19">
        <f>I21+I20</f>
        <v>6872</v>
      </c>
      <c r="J19" s="8">
        <f>IS!I4/FA!$I$23</f>
        <v>11704.848120194023</v>
      </c>
      <c r="K19" s="153">
        <f>IS!J4/FA!$I$23</f>
        <v>12979.309867923035</v>
      </c>
      <c r="L19" s="153">
        <f>IS!K4/FA!$I$23</f>
        <v>14598.472026144491</v>
      </c>
      <c r="M19" s="153">
        <f>IS!L4/FA!$I$23</f>
        <v>16680.768759509014</v>
      </c>
      <c r="N19" s="153">
        <f>IS!M4/FA!$I$23</f>
        <v>19388.706775715651</v>
      </c>
    </row>
    <row r="20" spans="2:15" x14ac:dyDescent="0.35">
      <c r="B20" s="33" t="s">
        <v>92</v>
      </c>
      <c r="E20">
        <v>723</v>
      </c>
      <c r="F20">
        <v>955</v>
      </c>
      <c r="G20">
        <v>1187</v>
      </c>
      <c r="H20">
        <v>1418</v>
      </c>
      <c r="I20">
        <v>1643</v>
      </c>
      <c r="J20" s="8">
        <f>J19*$I$24</f>
        <v>2009.0967221646838</v>
      </c>
      <c r="K20" s="153">
        <f>K19*$I$24</f>
        <v>2227.85367600068</v>
      </c>
      <c r="L20" s="153">
        <f>L19*$I$24</f>
        <v>2505.7772638448851</v>
      </c>
      <c r="M20" s="153">
        <f>M19*$I$24</f>
        <v>2863.1963006933142</v>
      </c>
      <c r="N20" s="153">
        <f>N19*$I$24</f>
        <v>3328.0045012200299</v>
      </c>
    </row>
    <row r="21" spans="2:15" s="6" customFormat="1" ht="15" thickBot="1" x14ac:dyDescent="0.4">
      <c r="B21" s="15" t="s">
        <v>93</v>
      </c>
      <c r="C21" s="15"/>
      <c r="D21" s="15">
        <v>6241</v>
      </c>
      <c r="E21" s="15">
        <f>BS!D14</f>
        <v>6138</v>
      </c>
      <c r="F21" s="15">
        <f>BS!E14</f>
        <v>5979</v>
      </c>
      <c r="G21" s="15">
        <f>BS!F14</f>
        <v>5765</v>
      </c>
      <c r="H21" s="15">
        <f>BS!G14</f>
        <v>5489</v>
      </c>
      <c r="I21" s="15">
        <f>BS!H14</f>
        <v>5229</v>
      </c>
      <c r="J21" s="24">
        <f>J19-J20</f>
        <v>9695.7513980293388</v>
      </c>
      <c r="K21" s="32">
        <f>K19-K20</f>
        <v>10751.456191922356</v>
      </c>
      <c r="L21" s="32">
        <f>L19-L20</f>
        <v>12092.694762299605</v>
      </c>
      <c r="M21" s="32">
        <f>M19-M20</f>
        <v>13817.572458815699</v>
      </c>
      <c r="N21" s="32">
        <f>N19-N20</f>
        <v>16060.702274495621</v>
      </c>
    </row>
    <row r="23" spans="2:15" x14ac:dyDescent="0.35">
      <c r="C23" s="6" t="s">
        <v>94</v>
      </c>
      <c r="D23" s="34">
        <f>Revenue!D5/FA!E19</f>
        <v>3.5666812418014868</v>
      </c>
      <c r="E23" s="34">
        <f>Revenue!E5/FA!F19</f>
        <v>4.5541354196711854</v>
      </c>
      <c r="F23" s="34">
        <f>Revenue!F5/FA!G19</f>
        <v>7.837025316455696</v>
      </c>
      <c r="G23" s="34">
        <f>Revenue!G5/FA!H19</f>
        <v>11.764644708266975</v>
      </c>
      <c r="H23" s="34">
        <f>Revenue!H5/FA!I19</f>
        <v>14.061481373690338</v>
      </c>
      <c r="I23" s="35">
        <f>AVERAGE(D23:H23)</f>
        <v>8.3567936119771353</v>
      </c>
    </row>
    <row r="24" spans="2:15" x14ac:dyDescent="0.35">
      <c r="C24" s="6" t="s">
        <v>95</v>
      </c>
      <c r="D24" s="10">
        <f>E20/E19</f>
        <v>0.10537822474857893</v>
      </c>
      <c r="E24" s="10">
        <f>F20/F19</f>
        <v>0.13772714162099797</v>
      </c>
      <c r="F24" s="10">
        <f>G20/G19</f>
        <v>0.17074223245109321</v>
      </c>
      <c r="G24" s="10">
        <f>H20/H19</f>
        <v>0.20529897205733313</v>
      </c>
      <c r="H24" s="10">
        <f>I20/I19</f>
        <v>0.23908614668218858</v>
      </c>
      <c r="I24" s="36">
        <f>AVERAGE(D24:H24)</f>
        <v>0.17164654351203837</v>
      </c>
    </row>
    <row r="26" spans="2:15" ht="18.5" x14ac:dyDescent="0.45">
      <c r="B26" s="1" t="s">
        <v>0</v>
      </c>
      <c r="C26" s="1"/>
      <c r="D26" s="1"/>
      <c r="E26" s="2">
        <f>DATE(2019,12,31)</f>
        <v>43830</v>
      </c>
      <c r="F26" s="2">
        <f t="shared" ref="F26:N26" si="6">EDATE(E26,12)</f>
        <v>44196</v>
      </c>
      <c r="G26" s="2">
        <f t="shared" si="6"/>
        <v>44561</v>
      </c>
      <c r="H26" s="2">
        <f t="shared" si="6"/>
        <v>44926</v>
      </c>
      <c r="I26" s="2">
        <f t="shared" si="6"/>
        <v>45291</v>
      </c>
      <c r="J26" s="2">
        <f t="shared" si="6"/>
        <v>45657</v>
      </c>
      <c r="K26" s="2">
        <f t="shared" si="6"/>
        <v>46022</v>
      </c>
      <c r="L26" s="2">
        <f t="shared" si="6"/>
        <v>46387</v>
      </c>
      <c r="M26" s="2">
        <f t="shared" si="6"/>
        <v>46752</v>
      </c>
      <c r="N26" s="2">
        <f t="shared" si="6"/>
        <v>47118</v>
      </c>
      <c r="O26" s="2"/>
    </row>
    <row r="27" spans="2:15" ht="18.5" x14ac:dyDescent="0.45">
      <c r="B27" s="1" t="s">
        <v>1</v>
      </c>
      <c r="C27" s="1"/>
      <c r="D27" s="1"/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4" t="s">
        <v>3</v>
      </c>
      <c r="K27" s="4" t="s">
        <v>3</v>
      </c>
      <c r="L27" s="4" t="s">
        <v>3</v>
      </c>
      <c r="M27" s="4" t="s">
        <v>3</v>
      </c>
      <c r="N27" s="4" t="s">
        <v>3</v>
      </c>
      <c r="O27" s="4"/>
    </row>
    <row r="28" spans="2:15" x14ac:dyDescent="0.35">
      <c r="B28" s="33" t="s">
        <v>96</v>
      </c>
      <c r="F28" s="6">
        <f t="shared" ref="F28:N28" si="7">E32</f>
        <v>18981</v>
      </c>
      <c r="G28" s="6">
        <f t="shared" si="7"/>
        <v>21817</v>
      </c>
      <c r="H28" s="6">
        <f t="shared" si="7"/>
        <v>29160</v>
      </c>
      <c r="I28" s="6">
        <f t="shared" si="7"/>
        <v>34072</v>
      </c>
      <c r="J28" s="6">
        <f t="shared" si="7"/>
        <v>40943</v>
      </c>
      <c r="K28" s="162">
        <f t="shared" si="7"/>
        <v>46341</v>
      </c>
      <c r="L28" s="162">
        <f t="shared" si="7"/>
        <v>46848.953924461937</v>
      </c>
      <c r="M28" s="162">
        <f t="shared" si="7"/>
        <v>48346.138445658238</v>
      </c>
      <c r="N28" s="162">
        <f t="shared" si="7"/>
        <v>56303.077734229664</v>
      </c>
    </row>
    <row r="29" spans="2:15" x14ac:dyDescent="0.35">
      <c r="B29" s="33" t="s">
        <v>90</v>
      </c>
      <c r="F29" s="8">
        <f t="shared" ref="F29:N29" si="8">F30-F28</f>
        <v>5158</v>
      </c>
      <c r="G29" s="8">
        <f t="shared" si="8"/>
        <v>10254</v>
      </c>
      <c r="H29" s="8">
        <f t="shared" si="8"/>
        <v>8659</v>
      </c>
      <c r="I29" s="8">
        <f t="shared" si="8"/>
        <v>11538</v>
      </c>
      <c r="J29" s="179">
        <f t="shared" si="8"/>
        <v>10766</v>
      </c>
      <c r="K29" s="154">
        <f t="shared" si="8"/>
        <v>12826.93001196791</v>
      </c>
      <c r="L29" s="154">
        <f t="shared" si="8"/>
        <v>14209.846673602246</v>
      </c>
      <c r="M29" s="154">
        <f t="shared" si="8"/>
        <v>22761.886041049664</v>
      </c>
      <c r="N29" s="154">
        <f t="shared" si="8"/>
        <v>28051.013904475185</v>
      </c>
    </row>
    <row r="30" spans="2:15" x14ac:dyDescent="0.35">
      <c r="B30" s="33" t="s">
        <v>91</v>
      </c>
      <c r="F30" s="8">
        <f>F32+F31</f>
        <v>24139</v>
      </c>
      <c r="G30" s="8">
        <f>G32+G31</f>
        <v>32071</v>
      </c>
      <c r="H30" s="8">
        <f>H32+H31</f>
        <v>37819</v>
      </c>
      <c r="I30" s="8">
        <f>I32+I31</f>
        <v>45610</v>
      </c>
      <c r="J30" s="8">
        <f>J32+J31</f>
        <v>51709</v>
      </c>
      <c r="K30" s="147">
        <f>IS!J4/FA!K34</f>
        <v>59167.93001196791</v>
      </c>
      <c r="L30" s="147">
        <f>IS!K4/FA!L34</f>
        <v>61058.800598064183</v>
      </c>
      <c r="M30" s="147">
        <f>IS!L4/FA!M34</f>
        <v>71108.024486707902</v>
      </c>
      <c r="N30" s="147">
        <f>IS!M4/FA!N34</f>
        <v>84354.091638704849</v>
      </c>
      <c r="O30" s="181"/>
    </row>
    <row r="31" spans="2:15" x14ac:dyDescent="0.35">
      <c r="B31" s="33" t="s">
        <v>92</v>
      </c>
      <c r="F31" s="8">
        <v>2322</v>
      </c>
      <c r="G31" s="8">
        <v>2911</v>
      </c>
      <c r="H31" s="8">
        <v>3747</v>
      </c>
      <c r="I31" s="8">
        <v>4667</v>
      </c>
      <c r="J31" s="157">
        <v>5368</v>
      </c>
      <c r="K31" s="157">
        <f>K30*K35</f>
        <v>12318.976087505976</v>
      </c>
      <c r="L31" s="157">
        <f>L30*L35</f>
        <v>12712.662152405945</v>
      </c>
      <c r="M31" s="157">
        <f>M30*M35</f>
        <v>14804.946752478239</v>
      </c>
      <c r="N31" s="157">
        <f>N30*N35</f>
        <v>17562.825631559233</v>
      </c>
    </row>
    <row r="32" spans="2:15" ht="15" thickBot="1" x14ac:dyDescent="0.4">
      <c r="B32" s="15" t="s">
        <v>93</v>
      </c>
      <c r="C32" s="15"/>
      <c r="D32" s="145"/>
      <c r="E32" s="145">
        <f>BS!D16</f>
        <v>18981</v>
      </c>
      <c r="F32" s="145">
        <f>BS!E16</f>
        <v>21817</v>
      </c>
      <c r="G32" s="145">
        <f>BS!F16</f>
        <v>29160</v>
      </c>
      <c r="H32" s="145">
        <f>BS!G16</f>
        <v>34072</v>
      </c>
      <c r="I32" s="145">
        <f>BS!H16</f>
        <v>40943</v>
      </c>
      <c r="J32" s="145">
        <f>BS!I16</f>
        <v>46341</v>
      </c>
      <c r="K32" s="161">
        <f t="shared" ref="K32:N32" si="9">K30-K31</f>
        <v>46848.953924461937</v>
      </c>
      <c r="L32" s="161">
        <f t="shared" si="9"/>
        <v>48346.138445658238</v>
      </c>
      <c r="M32" s="161">
        <f t="shared" si="9"/>
        <v>56303.077734229664</v>
      </c>
      <c r="N32" s="161">
        <f t="shared" si="9"/>
        <v>66791.266007145619</v>
      </c>
      <c r="O32" s="182"/>
    </row>
    <row r="34" spans="3:15" x14ac:dyDescent="0.35">
      <c r="C34" s="6" t="s">
        <v>94</v>
      </c>
      <c r="F34" s="159">
        <f>IS!E4/FA!F30</f>
        <v>1.3081890302000911</v>
      </c>
      <c r="G34" s="159">
        <f>IS!F4/FA!G30</f>
        <v>1.6988244831779489</v>
      </c>
      <c r="H34" s="159">
        <f>IS!G4/FA!H30</f>
        <v>2.1486131574076524</v>
      </c>
      <c r="I34" s="159">
        <f>IS!H4/FA!I30</f>
        <v>2.1186253014689762</v>
      </c>
      <c r="J34" s="159">
        <f>IS!I4/FA!J30</f>
        <v>1.8916436210330889</v>
      </c>
      <c r="K34" s="163">
        <f>AVERAGE(F34:J34)</f>
        <v>1.8331791186575515</v>
      </c>
      <c r="L34" s="163">
        <f t="shared" ref="L34:N34" si="10">AVERAGE(H34:K34)</f>
        <v>1.9980152996418172</v>
      </c>
      <c r="M34" s="163">
        <f t="shared" si="10"/>
        <v>1.9603658352003586</v>
      </c>
      <c r="N34" s="163">
        <f t="shared" si="10"/>
        <v>1.9208009686332042</v>
      </c>
      <c r="O34" s="183"/>
    </row>
    <row r="35" spans="3:15" x14ac:dyDescent="0.35">
      <c r="C35" s="6" t="s">
        <v>95</v>
      </c>
      <c r="F35" s="160">
        <f>F29/F30</f>
        <v>0.21367910849662372</v>
      </c>
      <c r="G35" s="160">
        <f>G29/G30</f>
        <v>0.31972810327086776</v>
      </c>
      <c r="H35" s="160">
        <f>H29/H30</f>
        <v>0.22895898886802929</v>
      </c>
      <c r="I35" s="160">
        <f>I29/I30</f>
        <v>0.25297083972812978</v>
      </c>
      <c r="J35" s="160">
        <f>J29/J30</f>
        <v>0.20820360092053608</v>
      </c>
      <c r="K35" s="164">
        <f>J35</f>
        <v>0.20820360092053608</v>
      </c>
      <c r="L35" s="164">
        <f>K35</f>
        <v>0.20820360092053608</v>
      </c>
      <c r="M35" s="164">
        <f>L35</f>
        <v>0.20820360092053608</v>
      </c>
      <c r="N35" s="164">
        <f>M35</f>
        <v>0.20820360092053608</v>
      </c>
      <c r="O35" s="1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C22D-0792-413D-B078-83E0130582F9}">
  <dimension ref="B2:W52"/>
  <sheetViews>
    <sheetView showGridLines="0" tabSelected="1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G47" sqref="G47"/>
    </sheetView>
  </sheetViews>
  <sheetFormatPr defaultRowHeight="14.5" x14ac:dyDescent="0.35"/>
  <cols>
    <col min="1" max="1" width="2.54296875" customWidth="1"/>
    <col min="3" max="3" width="30.54296875" customWidth="1"/>
    <col min="4" max="8" width="10.81640625" bestFit="1" customWidth="1"/>
    <col min="9" max="11" width="10.90625" bestFit="1" customWidth="1"/>
    <col min="12" max="13" width="11.81640625" bestFit="1" customWidth="1"/>
    <col min="14" max="14" width="10.81640625" bestFit="1" customWidth="1"/>
  </cols>
  <sheetData>
    <row r="2" spans="2:23" ht="18.5" x14ac:dyDescent="0.45">
      <c r="B2" s="1" t="s">
        <v>0</v>
      </c>
      <c r="C2" s="1"/>
      <c r="D2" s="2">
        <f>DATE(2019,12,31)</f>
        <v>43830</v>
      </c>
      <c r="E2" s="2">
        <f>EDATE(D2,12)</f>
        <v>44196</v>
      </c>
      <c r="F2" s="2">
        <f>EDATE(E2,12)</f>
        <v>44561</v>
      </c>
      <c r="G2" s="2">
        <f t="shared" ref="G2:M2" si="0">EDATE(F2,12)</f>
        <v>44926</v>
      </c>
      <c r="H2" s="2">
        <f t="shared" si="0"/>
        <v>45291</v>
      </c>
      <c r="I2" s="2">
        <f t="shared" si="0"/>
        <v>45657</v>
      </c>
      <c r="J2" s="2">
        <f t="shared" si="0"/>
        <v>46022</v>
      </c>
      <c r="K2" s="2">
        <f t="shared" si="0"/>
        <v>46387</v>
      </c>
      <c r="L2" s="2">
        <f t="shared" si="0"/>
        <v>46752</v>
      </c>
      <c r="M2" s="2">
        <f t="shared" si="0"/>
        <v>47118</v>
      </c>
      <c r="N2" s="2"/>
    </row>
    <row r="3" spans="2:23" ht="19" thickBot="1" x14ac:dyDescent="0.5">
      <c r="B3" s="1" t="s">
        <v>1</v>
      </c>
      <c r="C3" s="1"/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/>
    </row>
    <row r="4" spans="2:23" x14ac:dyDescent="0.35">
      <c r="B4" s="6" t="s">
        <v>35</v>
      </c>
      <c r="J4" s="62"/>
      <c r="K4" s="62"/>
      <c r="L4" s="62"/>
      <c r="M4" s="62"/>
      <c r="O4" s="47"/>
      <c r="P4" s="48"/>
      <c r="Q4" s="58" t="s">
        <v>129</v>
      </c>
      <c r="R4" s="49">
        <f>Revenue!J5</f>
        <v>108465.41379213102</v>
      </c>
      <c r="S4" s="49">
        <f>Revenue!K5</f>
        <v>121996.41777271118</v>
      </c>
      <c r="T4" s="49">
        <f>Revenue!L5</f>
        <v>139397.74181233268</v>
      </c>
      <c r="U4" s="49">
        <f>Revenue!M5</f>
        <v>162027.42092779835</v>
      </c>
      <c r="V4" s="49"/>
    </row>
    <row r="5" spans="2:23" x14ac:dyDescent="0.35">
      <c r="B5" t="s">
        <v>36</v>
      </c>
      <c r="J5" s="62"/>
      <c r="K5" s="62"/>
      <c r="L5" s="62"/>
      <c r="M5" s="62"/>
      <c r="O5" s="50"/>
      <c r="Q5" s="18" t="s">
        <v>119</v>
      </c>
      <c r="R5">
        <f>F8</f>
        <v>1913</v>
      </c>
      <c r="S5">
        <f t="shared" ref="S5:U5" si="1">G8</f>
        <v>2952</v>
      </c>
      <c r="T5">
        <f t="shared" si="1"/>
        <v>3508</v>
      </c>
      <c r="U5">
        <f t="shared" si="1"/>
        <v>4418</v>
      </c>
      <c r="V5" s="51"/>
    </row>
    <row r="6" spans="2:23" x14ac:dyDescent="0.35">
      <c r="B6" t="s">
        <v>37</v>
      </c>
      <c r="D6">
        <v>6268</v>
      </c>
      <c r="E6">
        <v>19384</v>
      </c>
      <c r="F6">
        <v>17576</v>
      </c>
      <c r="G6">
        <v>16253</v>
      </c>
      <c r="H6">
        <v>16398</v>
      </c>
      <c r="I6" s="8">
        <v>16139</v>
      </c>
      <c r="J6" s="153">
        <f>CF!D37</f>
        <v>28562.837599945677</v>
      </c>
      <c r="K6" s="153">
        <f>CF!E37</f>
        <v>36782.412664591277</v>
      </c>
      <c r="L6" s="153">
        <f>CF!F37</f>
        <v>40825.07241627809</v>
      </c>
      <c r="M6" s="153">
        <f>CF!G37</f>
        <v>45574.279938992346</v>
      </c>
      <c r="O6" s="50"/>
      <c r="Q6" s="18"/>
      <c r="V6" s="51"/>
    </row>
    <row r="7" spans="2:23" x14ac:dyDescent="0.35">
      <c r="B7" t="s">
        <v>38</v>
      </c>
      <c r="F7">
        <v>131</v>
      </c>
      <c r="G7">
        <v>5932</v>
      </c>
      <c r="H7">
        <v>12696</v>
      </c>
      <c r="I7">
        <v>20424</v>
      </c>
      <c r="J7" s="62">
        <f>I7</f>
        <v>20424</v>
      </c>
      <c r="K7" s="62">
        <f>J7</f>
        <v>20424</v>
      </c>
      <c r="L7" s="62">
        <f>K7</f>
        <v>20424</v>
      </c>
      <c r="M7" s="62">
        <f>L7</f>
        <v>20424</v>
      </c>
      <c r="O7" s="50" t="s">
        <v>126</v>
      </c>
      <c r="Q7" s="18" t="s">
        <v>120</v>
      </c>
      <c r="R7" s="8">
        <f>R4/R5</f>
        <v>56.69911855312651</v>
      </c>
      <c r="S7" s="8">
        <f>S4/S5</f>
        <v>41.326699787503784</v>
      </c>
      <c r="T7" s="8">
        <f>T4/T5</f>
        <v>39.737098578202016</v>
      </c>
      <c r="U7" s="8">
        <f>U4/U5</f>
        <v>36.674382283340506</v>
      </c>
      <c r="V7" s="52"/>
    </row>
    <row r="8" spans="2:23" x14ac:dyDescent="0.35">
      <c r="B8" t="s">
        <v>39</v>
      </c>
      <c r="D8">
        <v>1324</v>
      </c>
      <c r="E8">
        <v>1886</v>
      </c>
      <c r="F8">
        <v>1913</v>
      </c>
      <c r="G8">
        <v>2952</v>
      </c>
      <c r="H8">
        <v>3508</v>
      </c>
      <c r="I8" s="8">
        <v>4418</v>
      </c>
      <c r="J8" s="153">
        <f>IS!J4*BS!$W$8/365</f>
        <v>2556.1713350260029</v>
      </c>
      <c r="K8" s="153">
        <f>IS!K4*BS!$W$8/365</f>
        <v>2875.0523801448389</v>
      </c>
      <c r="L8" s="153">
        <f>IS!L4*BS!$W$8/365</f>
        <v>3285.1440780092357</v>
      </c>
      <c r="M8" s="153">
        <f>IS!M4*BS!$W$8/365</f>
        <v>3818.4508257864381</v>
      </c>
      <c r="O8" s="50">
        <v>365</v>
      </c>
      <c r="Q8" s="18" t="s">
        <v>121</v>
      </c>
      <c r="R8" s="34">
        <f>$O$8/R7</f>
        <v>6.4374898466542936</v>
      </c>
      <c r="S8" s="34">
        <f>$O$8/S7</f>
        <v>8.832062610292617</v>
      </c>
      <c r="T8" s="34">
        <f>$O$8/T7</f>
        <v>9.1853711785646723</v>
      </c>
      <c r="U8" s="34">
        <f>$O$8/U7</f>
        <v>9.9524512009518649</v>
      </c>
      <c r="V8" s="53"/>
      <c r="W8" s="44">
        <f>AVERAGE(R8:V8)</f>
        <v>8.6018437091158617</v>
      </c>
    </row>
    <row r="9" spans="2:23" x14ac:dyDescent="0.35">
      <c r="B9" t="s">
        <v>40</v>
      </c>
      <c r="D9">
        <v>3552</v>
      </c>
      <c r="E9">
        <v>4101</v>
      </c>
      <c r="F9">
        <v>5757</v>
      </c>
      <c r="G9">
        <v>12839</v>
      </c>
      <c r="H9">
        <v>13626</v>
      </c>
      <c r="I9" s="8">
        <v>12017</v>
      </c>
      <c r="J9" s="153">
        <f>IS!J12*BS!$W$14/365</f>
        <v>8954.71890495343</v>
      </c>
      <c r="K9" s="153">
        <f>IS!K12*BS!$W$14/365</f>
        <v>10071.815432885469</v>
      </c>
      <c r="L9" s="153">
        <f>IS!L12*BS!$W$14/365</f>
        <v>11508.438960155174</v>
      </c>
      <c r="M9" s="153">
        <f>IS!M12*BS!$W$14/365</f>
        <v>13376.706533232848</v>
      </c>
      <c r="O9" s="50"/>
      <c r="Q9" s="18"/>
      <c r="V9" s="51"/>
    </row>
    <row r="10" spans="2:23" x14ac:dyDescent="0.35">
      <c r="B10" t="s">
        <v>41</v>
      </c>
      <c r="D10">
        <v>959</v>
      </c>
      <c r="E10">
        <v>1346</v>
      </c>
      <c r="F10">
        <v>1723</v>
      </c>
      <c r="G10">
        <v>2941</v>
      </c>
      <c r="H10">
        <v>3388</v>
      </c>
      <c r="I10" s="8">
        <v>5362</v>
      </c>
      <c r="J10" s="153">
        <f>I10*(1+$W$16)</f>
        <v>5560.0642029141036</v>
      </c>
      <c r="K10" s="153">
        <f>J10*(1+$W$16)</f>
        <v>5765.4445991284683</v>
      </c>
      <c r="L10" s="153">
        <f>K10*(1+$W$16)</f>
        <v>5978.4114378028071</v>
      </c>
      <c r="M10" s="153">
        <f>L10*(1+$W$16)</f>
        <v>6199.244950693701</v>
      </c>
      <c r="O10" s="50"/>
      <c r="Q10" s="18" t="s">
        <v>122</v>
      </c>
      <c r="R10">
        <f>F9</f>
        <v>5757</v>
      </c>
      <c r="S10">
        <f t="shared" ref="S10:U10" si="2">G9</f>
        <v>12839</v>
      </c>
      <c r="T10">
        <f t="shared" si="2"/>
        <v>13626</v>
      </c>
      <c r="U10">
        <f t="shared" si="2"/>
        <v>12017</v>
      </c>
      <c r="V10" s="51"/>
    </row>
    <row r="11" spans="2:23" ht="15" thickBot="1" x14ac:dyDescent="0.4">
      <c r="B11" s="15" t="s">
        <v>42</v>
      </c>
      <c r="C11" s="15"/>
      <c r="D11" s="15">
        <f t="shared" ref="D11:M11" si="3">SUM(D6:D10)</f>
        <v>12103</v>
      </c>
      <c r="E11" s="15">
        <f t="shared" si="3"/>
        <v>26717</v>
      </c>
      <c r="F11" s="15">
        <f t="shared" si="3"/>
        <v>27100</v>
      </c>
      <c r="G11" s="15">
        <f t="shared" si="3"/>
        <v>40917</v>
      </c>
      <c r="H11" s="15">
        <f t="shared" si="3"/>
        <v>49616</v>
      </c>
      <c r="I11" s="24">
        <f t="shared" si="3"/>
        <v>58360</v>
      </c>
      <c r="J11" s="32">
        <f t="shared" si="3"/>
        <v>66057.79204283921</v>
      </c>
      <c r="K11" s="32">
        <f t="shared" si="3"/>
        <v>75918.725076750052</v>
      </c>
      <c r="L11" s="32">
        <f t="shared" si="3"/>
        <v>82021.066892245304</v>
      </c>
      <c r="M11" s="32">
        <f t="shared" si="3"/>
        <v>89392.682248705329</v>
      </c>
      <c r="O11" s="50"/>
      <c r="Q11" s="18" t="s">
        <v>123</v>
      </c>
      <c r="R11" s="8">
        <f>IS!J12</f>
        <v>85866.206672071843</v>
      </c>
      <c r="S11" s="8">
        <f>IS!K12</f>
        <v>96577.971313506467</v>
      </c>
      <c r="T11" s="8">
        <f>IS!L12</f>
        <v>110353.65919515112</v>
      </c>
      <c r="U11" s="8">
        <f>IS!M12</f>
        <v>128268.35325214473</v>
      </c>
      <c r="V11" s="52"/>
    </row>
    <row r="12" spans="2:23" x14ac:dyDescent="0.35">
      <c r="J12" s="62"/>
      <c r="K12" s="62"/>
      <c r="L12" s="62"/>
      <c r="M12" s="62"/>
      <c r="O12" s="50"/>
      <c r="Q12" s="18"/>
      <c r="V12" s="51"/>
    </row>
    <row r="13" spans="2:23" x14ac:dyDescent="0.35">
      <c r="B13" t="s">
        <v>43</v>
      </c>
      <c r="D13">
        <v>2447</v>
      </c>
      <c r="E13">
        <v>3091</v>
      </c>
      <c r="F13">
        <v>4511</v>
      </c>
      <c r="G13">
        <v>5035</v>
      </c>
      <c r="H13">
        <v>5989</v>
      </c>
      <c r="I13">
        <v>5581</v>
      </c>
      <c r="J13" s="62">
        <v>0</v>
      </c>
      <c r="K13" s="62">
        <v>0</v>
      </c>
      <c r="L13" s="62">
        <v>0</v>
      </c>
      <c r="M13" s="62">
        <v>0</v>
      </c>
      <c r="O13" s="50"/>
      <c r="Q13" s="18" t="s">
        <v>124</v>
      </c>
      <c r="R13" s="8">
        <f>R11/R10</f>
        <v>14.915095826310898</v>
      </c>
      <c r="S13" s="8">
        <f>S11/S10</f>
        <v>7.5222347000160816</v>
      </c>
      <c r="T13" s="8">
        <f>T11/T10</f>
        <v>8.0987567294254461</v>
      </c>
      <c r="U13" s="8">
        <f>U11/U10</f>
        <v>10.673908067915846</v>
      </c>
      <c r="V13" s="52"/>
    </row>
    <row r="14" spans="2:23" x14ac:dyDescent="0.35">
      <c r="B14" t="s">
        <v>44</v>
      </c>
      <c r="D14">
        <v>6138</v>
      </c>
      <c r="E14">
        <v>5979</v>
      </c>
      <c r="F14">
        <v>5765</v>
      </c>
      <c r="G14">
        <v>5489</v>
      </c>
      <c r="H14">
        <v>5229</v>
      </c>
      <c r="I14" s="8">
        <v>4924</v>
      </c>
      <c r="J14" s="153">
        <v>0</v>
      </c>
      <c r="K14" s="153">
        <v>0</v>
      </c>
      <c r="L14" s="153">
        <v>0</v>
      </c>
      <c r="M14" s="153">
        <v>0</v>
      </c>
      <c r="O14" s="50"/>
      <c r="Q14" s="18" t="s">
        <v>125</v>
      </c>
      <c r="R14" s="8">
        <f>$O$8/R13</f>
        <v>24.47185081815724</v>
      </c>
      <c r="S14" s="8">
        <f>$O$8/S13</f>
        <v>48.522814636349977</v>
      </c>
      <c r="T14" s="8">
        <f>$O$8/T13</f>
        <v>45.068645990295643</v>
      </c>
      <c r="U14" s="8">
        <f>$O$8/U13</f>
        <v>34.195535288254433</v>
      </c>
      <c r="V14" s="52"/>
      <c r="W14" s="45">
        <f>AVERAGE(R14:V14)</f>
        <v>38.064711683264321</v>
      </c>
    </row>
    <row r="15" spans="2:23" x14ac:dyDescent="0.35">
      <c r="B15" t="s">
        <v>47</v>
      </c>
      <c r="D15">
        <v>10396</v>
      </c>
      <c r="E15">
        <v>12747</v>
      </c>
      <c r="F15">
        <v>18884</v>
      </c>
      <c r="G15">
        <v>23548</v>
      </c>
      <c r="H15">
        <v>29725</v>
      </c>
      <c r="I15" s="8">
        <v>35836</v>
      </c>
      <c r="J15" s="153">
        <v>0</v>
      </c>
      <c r="K15" s="153">
        <v>0</v>
      </c>
      <c r="L15" s="153">
        <v>0</v>
      </c>
      <c r="M15" s="153">
        <v>0</v>
      </c>
      <c r="O15" s="50"/>
      <c r="Q15" s="18"/>
      <c r="V15" s="51"/>
    </row>
    <row r="16" spans="2:23" x14ac:dyDescent="0.35">
      <c r="B16" t="s">
        <v>97</v>
      </c>
      <c r="D16">
        <f t="shared" ref="D16:I16" si="4">SUM(D13:D15)</f>
        <v>18981</v>
      </c>
      <c r="E16">
        <f t="shared" si="4"/>
        <v>21817</v>
      </c>
      <c r="F16">
        <f t="shared" si="4"/>
        <v>29160</v>
      </c>
      <c r="G16">
        <f t="shared" si="4"/>
        <v>34072</v>
      </c>
      <c r="H16">
        <f t="shared" si="4"/>
        <v>40943</v>
      </c>
      <c r="I16">
        <f t="shared" si="4"/>
        <v>46341</v>
      </c>
      <c r="J16" s="153">
        <f>FA!K32</f>
        <v>46848.953924461937</v>
      </c>
      <c r="K16" s="153">
        <f>FA!L32</f>
        <v>48346.138445658238</v>
      </c>
      <c r="L16" s="153">
        <f>FA!M32</f>
        <v>56303.077734229664</v>
      </c>
      <c r="M16" s="153">
        <f>FA!N32</f>
        <v>66791.266007145619</v>
      </c>
      <c r="O16" s="50"/>
      <c r="Q16" s="18" t="s">
        <v>127</v>
      </c>
      <c r="R16" s="10">
        <f>D10/Revenue!D5</f>
        <v>3.9189244411752686E-2</v>
      </c>
      <c r="S16" s="10">
        <f>E10/Revenue!E5</f>
        <v>4.2624105895252687E-2</v>
      </c>
      <c r="T16" s="10">
        <f>F10/Revenue!F5</f>
        <v>3.162454343556706E-2</v>
      </c>
      <c r="U16" s="10">
        <f>G10/Revenue!G5</f>
        <v>3.6193180813390603E-2</v>
      </c>
      <c r="V16" s="54">
        <f>H10/Revenue!H5</f>
        <v>3.5061393659351861E-2</v>
      </c>
      <c r="W16" s="46">
        <f>AVERAGE(R16:V16)</f>
        <v>3.6938493643062974E-2</v>
      </c>
    </row>
    <row r="17" spans="2:23" ht="15" thickBot="1" x14ac:dyDescent="0.4">
      <c r="B17" t="s">
        <v>45</v>
      </c>
      <c r="D17">
        <v>1218</v>
      </c>
      <c r="E17">
        <v>1558</v>
      </c>
      <c r="F17">
        <v>2016</v>
      </c>
      <c r="G17">
        <v>2563</v>
      </c>
      <c r="H17">
        <v>4180</v>
      </c>
      <c r="I17">
        <v>5160</v>
      </c>
      <c r="J17" s="62">
        <f t="shared" ref="J17:M19" si="5">I17</f>
        <v>5160</v>
      </c>
      <c r="K17" s="62">
        <f t="shared" si="5"/>
        <v>5160</v>
      </c>
      <c r="L17" s="62">
        <f t="shared" si="5"/>
        <v>5160</v>
      </c>
      <c r="M17" s="62">
        <f t="shared" si="5"/>
        <v>5160</v>
      </c>
      <c r="O17" s="55"/>
      <c r="P17" s="56"/>
      <c r="Q17" s="59" t="s">
        <v>128</v>
      </c>
      <c r="R17" s="56"/>
      <c r="S17" s="56"/>
      <c r="T17" s="56"/>
      <c r="U17" s="56"/>
      <c r="V17" s="57"/>
    </row>
    <row r="18" spans="2:23" x14ac:dyDescent="0.35">
      <c r="B18" t="s">
        <v>46</v>
      </c>
      <c r="F18">
        <v>1260</v>
      </c>
      <c r="G18">
        <v>184</v>
      </c>
      <c r="H18">
        <v>184</v>
      </c>
      <c r="I18">
        <v>1076</v>
      </c>
      <c r="J18" s="62">
        <f t="shared" si="5"/>
        <v>1076</v>
      </c>
      <c r="K18" s="62">
        <f t="shared" si="5"/>
        <v>1076</v>
      </c>
      <c r="L18" s="62">
        <f t="shared" si="5"/>
        <v>1076</v>
      </c>
      <c r="M18" s="62">
        <f t="shared" si="5"/>
        <v>1076</v>
      </c>
    </row>
    <row r="19" spans="2:23" x14ac:dyDescent="0.35">
      <c r="B19" t="s">
        <v>72</v>
      </c>
      <c r="D19">
        <v>339</v>
      </c>
      <c r="E19">
        <v>313</v>
      </c>
      <c r="F19">
        <v>257</v>
      </c>
      <c r="G19">
        <v>215</v>
      </c>
      <c r="H19">
        <v>178</v>
      </c>
      <c r="I19">
        <v>150</v>
      </c>
      <c r="J19" s="62">
        <f t="shared" si="5"/>
        <v>150</v>
      </c>
      <c r="K19" s="62">
        <f t="shared" si="5"/>
        <v>150</v>
      </c>
      <c r="L19" s="62">
        <f t="shared" si="5"/>
        <v>150</v>
      </c>
      <c r="M19" s="62">
        <f t="shared" si="5"/>
        <v>150</v>
      </c>
      <c r="Q19" t="s">
        <v>130</v>
      </c>
      <c r="R19">
        <f>F27</f>
        <v>10025</v>
      </c>
      <c r="S19">
        <f t="shared" ref="S19:U19" si="6">G27</f>
        <v>15255</v>
      </c>
      <c r="T19">
        <f t="shared" si="6"/>
        <v>14431</v>
      </c>
      <c r="U19">
        <f t="shared" si="6"/>
        <v>12474</v>
      </c>
    </row>
    <row r="20" spans="2:23" x14ac:dyDescent="0.35">
      <c r="B20" t="s">
        <v>48</v>
      </c>
      <c r="D20">
        <v>198</v>
      </c>
      <c r="E20">
        <v>207</v>
      </c>
      <c r="F20">
        <v>200</v>
      </c>
      <c r="G20">
        <v>194</v>
      </c>
      <c r="H20">
        <v>253</v>
      </c>
      <c r="I20">
        <v>244</v>
      </c>
      <c r="J20" s="62">
        <f t="shared" ref="J20:M21" si="7">I20</f>
        <v>244</v>
      </c>
      <c r="K20" s="62">
        <f t="shared" si="7"/>
        <v>244</v>
      </c>
      <c r="L20" s="62">
        <f t="shared" si="7"/>
        <v>244</v>
      </c>
      <c r="M20" s="62">
        <f t="shared" si="7"/>
        <v>244</v>
      </c>
      <c r="Q20" t="s">
        <v>131</v>
      </c>
      <c r="R20" s="8">
        <f>R11/R19</f>
        <v>8.5652076480869663</v>
      </c>
      <c r="S20" s="8">
        <f>S11/S19</f>
        <v>6.3309060185844945</v>
      </c>
      <c r="T20" s="8">
        <f>T11/T19</f>
        <v>7.6469862930601566</v>
      </c>
      <c r="U20" s="8">
        <f>U11/U19</f>
        <v>10.282856601903537</v>
      </c>
      <c r="V20" s="8"/>
    </row>
    <row r="21" spans="2:23" x14ac:dyDescent="0.35">
      <c r="B21" t="s">
        <v>49</v>
      </c>
      <c r="G21">
        <v>328</v>
      </c>
      <c r="H21">
        <v>6733</v>
      </c>
      <c r="I21">
        <v>6524</v>
      </c>
      <c r="J21" s="62">
        <f t="shared" si="7"/>
        <v>6524</v>
      </c>
      <c r="K21" s="62">
        <f t="shared" si="7"/>
        <v>6524</v>
      </c>
      <c r="L21" s="62">
        <f t="shared" si="7"/>
        <v>6524</v>
      </c>
      <c r="M21" s="62">
        <f t="shared" si="7"/>
        <v>6524</v>
      </c>
      <c r="Q21" t="s">
        <v>132</v>
      </c>
      <c r="R21" s="8">
        <f>$O$8/R20</f>
        <v>42.614261673098198</v>
      </c>
      <c r="S21" s="8">
        <f>$O$8/S20</f>
        <v>57.653675307852552</v>
      </c>
      <c r="T21" s="8">
        <f>$O$8/T20</f>
        <v>47.731221949651875</v>
      </c>
      <c r="U21" s="8">
        <f>$O$8/U20</f>
        <v>35.495972970432369</v>
      </c>
      <c r="V21" s="8"/>
      <c r="W21" s="8">
        <f>AVERAGE(R21:V21)</f>
        <v>45.873782975258749</v>
      </c>
    </row>
    <row r="22" spans="2:23" x14ac:dyDescent="0.35">
      <c r="B22" t="s">
        <v>50</v>
      </c>
      <c r="D22">
        <v>1470</v>
      </c>
      <c r="E22">
        <v>1536</v>
      </c>
      <c r="F22">
        <v>2138</v>
      </c>
      <c r="G22">
        <v>3865</v>
      </c>
      <c r="H22">
        <v>4531</v>
      </c>
      <c r="I22">
        <v>4215</v>
      </c>
      <c r="J22" s="62">
        <f>I22</f>
        <v>4215</v>
      </c>
      <c r="K22" s="62">
        <f>J22</f>
        <v>4215</v>
      </c>
      <c r="L22" s="62">
        <f>K22</f>
        <v>4215</v>
      </c>
      <c r="M22" s="62">
        <f>L22</f>
        <v>4215</v>
      </c>
    </row>
    <row r="23" spans="2:23" ht="15" thickBot="1" x14ac:dyDescent="0.4">
      <c r="B23" s="15" t="s">
        <v>51</v>
      </c>
      <c r="C23" s="15"/>
      <c r="D23" s="15">
        <f t="shared" ref="D23:M23" si="8">SUM(D17:D22)+D16+D11</f>
        <v>34309</v>
      </c>
      <c r="E23" s="15">
        <f t="shared" si="8"/>
        <v>52148</v>
      </c>
      <c r="F23" s="15">
        <f t="shared" si="8"/>
        <v>62131</v>
      </c>
      <c r="G23" s="15">
        <f t="shared" si="8"/>
        <v>82338</v>
      </c>
      <c r="H23" s="15">
        <f t="shared" si="8"/>
        <v>106618</v>
      </c>
      <c r="I23" s="24">
        <f>SUM(I17:I22)+I16+I11</f>
        <v>122070</v>
      </c>
      <c r="J23" s="32">
        <f t="shared" si="8"/>
        <v>130275.74596730115</v>
      </c>
      <c r="K23" s="32">
        <f t="shared" si="8"/>
        <v>141633.8635224083</v>
      </c>
      <c r="L23" s="32">
        <f t="shared" si="8"/>
        <v>155693.14462647497</v>
      </c>
      <c r="M23" s="32">
        <f t="shared" si="8"/>
        <v>173552.94825585093</v>
      </c>
    </row>
    <row r="24" spans="2:23" x14ac:dyDescent="0.35">
      <c r="J24" s="62"/>
      <c r="K24" s="62"/>
      <c r="L24" s="62"/>
      <c r="M24" s="62"/>
    </row>
    <row r="25" spans="2:23" x14ac:dyDescent="0.35">
      <c r="B25" s="6" t="s">
        <v>52</v>
      </c>
      <c r="C25" s="6"/>
      <c r="J25" s="62"/>
      <c r="K25" s="62"/>
      <c r="L25" s="62"/>
      <c r="M25" s="62"/>
    </row>
    <row r="26" spans="2:23" x14ac:dyDescent="0.35">
      <c r="B26" t="s">
        <v>53</v>
      </c>
      <c r="J26" s="62"/>
      <c r="K26" s="62"/>
      <c r="L26" s="62"/>
      <c r="M26" s="62"/>
    </row>
    <row r="27" spans="2:23" x14ac:dyDescent="0.35">
      <c r="B27" t="s">
        <v>54</v>
      </c>
      <c r="D27">
        <v>3771</v>
      </c>
      <c r="E27">
        <v>6051</v>
      </c>
      <c r="F27">
        <v>10025</v>
      </c>
      <c r="G27">
        <v>15255</v>
      </c>
      <c r="H27">
        <v>14431</v>
      </c>
      <c r="I27" s="8">
        <v>12474</v>
      </c>
      <c r="J27" s="153">
        <f>Revenue!J5*BS!$W$21/365</f>
        <v>13632.10644553933</v>
      </c>
      <c r="K27" s="153">
        <f>Revenue!K5*BS!$W$21/365</f>
        <v>15332.704637436582</v>
      </c>
      <c r="L27" s="153">
        <f>Revenue!L5*BS!$W$21/365</f>
        <v>17519.730836000279</v>
      </c>
      <c r="M27" s="153">
        <f>Revenue!M5*BS!$W$21/365</f>
        <v>20363.86505118553</v>
      </c>
    </row>
    <row r="28" spans="2:23" x14ac:dyDescent="0.35">
      <c r="B28" t="s">
        <v>55</v>
      </c>
      <c r="D28">
        <v>3222</v>
      </c>
      <c r="E28">
        <v>3855</v>
      </c>
      <c r="F28">
        <v>5719</v>
      </c>
      <c r="G28">
        <v>8205</v>
      </c>
      <c r="H28">
        <v>9080</v>
      </c>
      <c r="I28">
        <v>10723</v>
      </c>
      <c r="J28" s="62">
        <f t="shared" ref="J28:M29" si="9">I28</f>
        <v>10723</v>
      </c>
      <c r="K28" s="62">
        <f t="shared" si="9"/>
        <v>10723</v>
      </c>
      <c r="L28" s="62">
        <f t="shared" si="9"/>
        <v>10723</v>
      </c>
      <c r="M28" s="62">
        <f t="shared" si="9"/>
        <v>10723</v>
      </c>
    </row>
    <row r="29" spans="2:23" x14ac:dyDescent="0.35">
      <c r="B29" t="s">
        <v>56</v>
      </c>
      <c r="D29">
        <v>1163</v>
      </c>
      <c r="E29">
        <v>1458</v>
      </c>
      <c r="F29">
        <v>1447</v>
      </c>
      <c r="G29">
        <v>1747</v>
      </c>
      <c r="H29">
        <v>2864</v>
      </c>
      <c r="I29">
        <v>3168</v>
      </c>
      <c r="J29" s="62">
        <f t="shared" si="9"/>
        <v>3168</v>
      </c>
      <c r="K29" s="62">
        <f t="shared" si="9"/>
        <v>3168</v>
      </c>
      <c r="L29" s="62">
        <f t="shared" si="9"/>
        <v>3168</v>
      </c>
      <c r="M29" s="62">
        <f t="shared" si="9"/>
        <v>3168</v>
      </c>
    </row>
    <row r="30" spans="2:23" x14ac:dyDescent="0.35">
      <c r="B30" t="s">
        <v>73</v>
      </c>
      <c r="D30">
        <v>726</v>
      </c>
      <c r="E30">
        <v>752</v>
      </c>
      <c r="F30">
        <v>925</v>
      </c>
      <c r="G30">
        <v>0</v>
      </c>
      <c r="H30">
        <v>0</v>
      </c>
      <c r="I30">
        <v>0</v>
      </c>
      <c r="J30" s="62">
        <v>0</v>
      </c>
      <c r="K30" s="62">
        <v>0</v>
      </c>
      <c r="L30" s="62">
        <v>0</v>
      </c>
      <c r="M30" s="62">
        <v>0</v>
      </c>
    </row>
    <row r="31" spans="2:23" x14ac:dyDescent="0.35">
      <c r="B31" t="s">
        <v>57</v>
      </c>
      <c r="D31">
        <v>1785</v>
      </c>
      <c r="E31">
        <v>2132</v>
      </c>
      <c r="F31">
        <v>1589</v>
      </c>
      <c r="G31">
        <v>1502</v>
      </c>
      <c r="H31">
        <v>2373</v>
      </c>
      <c r="I31">
        <v>2456</v>
      </c>
      <c r="J31" s="62">
        <f>Debt!E9</f>
        <v>494</v>
      </c>
      <c r="K31" s="62">
        <f>Debt!F9</f>
        <v>276</v>
      </c>
      <c r="L31" s="62">
        <f>Debt!G9</f>
        <v>44</v>
      </c>
      <c r="M31" s="62">
        <f>Debt!H9</f>
        <v>0</v>
      </c>
    </row>
    <row r="32" spans="2:23" ht="15" thickBot="1" x14ac:dyDescent="0.4">
      <c r="B32" s="15" t="s">
        <v>58</v>
      </c>
      <c r="C32" s="15"/>
      <c r="D32" s="15">
        <f t="shared" ref="D32:M32" si="10">SUM(D27:D31)</f>
        <v>10667</v>
      </c>
      <c r="E32" s="15">
        <f t="shared" si="10"/>
        <v>14248</v>
      </c>
      <c r="F32" s="15">
        <f t="shared" si="10"/>
        <v>19705</v>
      </c>
      <c r="G32" s="15">
        <f t="shared" si="10"/>
        <v>26709</v>
      </c>
      <c r="H32" s="15">
        <f t="shared" si="10"/>
        <v>28748</v>
      </c>
      <c r="I32" s="24">
        <f t="shared" si="10"/>
        <v>28821</v>
      </c>
      <c r="J32" s="32">
        <f t="shared" si="10"/>
        <v>28017.106445539328</v>
      </c>
      <c r="K32" s="32">
        <f t="shared" si="10"/>
        <v>29499.704637436582</v>
      </c>
      <c r="L32" s="32">
        <f t="shared" si="10"/>
        <v>31454.730836000279</v>
      </c>
      <c r="M32" s="32">
        <f t="shared" si="10"/>
        <v>34254.86505118553</v>
      </c>
      <c r="N32" s="15"/>
    </row>
    <row r="33" spans="2:13" x14ac:dyDescent="0.35">
      <c r="B33" s="6"/>
      <c r="C33" s="6"/>
      <c r="J33" s="62"/>
      <c r="K33" s="62"/>
      <c r="L33" s="62"/>
      <c r="M33" s="62"/>
    </row>
    <row r="34" spans="2:13" x14ac:dyDescent="0.35">
      <c r="B34" t="s">
        <v>60</v>
      </c>
      <c r="D34">
        <v>11634</v>
      </c>
      <c r="E34">
        <v>9556</v>
      </c>
      <c r="F34">
        <v>5245</v>
      </c>
      <c r="G34">
        <v>1597</v>
      </c>
      <c r="H34">
        <v>2857</v>
      </c>
      <c r="I34">
        <v>5757</v>
      </c>
      <c r="J34" s="62">
        <f>Debt!E10</f>
        <v>6052</v>
      </c>
      <c r="K34" s="62">
        <f>Debt!F10</f>
        <v>5776</v>
      </c>
      <c r="L34" s="62">
        <f>Debt!G10</f>
        <v>5732</v>
      </c>
      <c r="M34" s="62">
        <f>Debt!H10</f>
        <v>5732</v>
      </c>
    </row>
    <row r="35" spans="2:13" x14ac:dyDescent="0.35">
      <c r="B35" t="s">
        <v>61</v>
      </c>
      <c r="D35">
        <v>1207</v>
      </c>
      <c r="E35">
        <v>1284</v>
      </c>
      <c r="F35">
        <v>2052</v>
      </c>
      <c r="G35">
        <v>2804</v>
      </c>
      <c r="H35">
        <v>3251</v>
      </c>
      <c r="I35">
        <v>3317</v>
      </c>
      <c r="J35" s="62">
        <f t="shared" ref="J35:M36" si="11">I35</f>
        <v>3317</v>
      </c>
      <c r="K35" s="62">
        <f t="shared" si="11"/>
        <v>3317</v>
      </c>
      <c r="L35" s="62">
        <f t="shared" si="11"/>
        <v>3317</v>
      </c>
      <c r="M35" s="62">
        <f t="shared" si="11"/>
        <v>3317</v>
      </c>
    </row>
    <row r="36" spans="2:13" x14ac:dyDescent="0.35">
      <c r="B36" t="s">
        <v>62</v>
      </c>
      <c r="D36">
        <v>2691</v>
      </c>
      <c r="E36">
        <v>3330</v>
      </c>
      <c r="F36">
        <v>3546</v>
      </c>
      <c r="G36">
        <v>5330</v>
      </c>
      <c r="H36">
        <v>8153</v>
      </c>
      <c r="I36">
        <v>10495</v>
      </c>
      <c r="J36" s="62">
        <f t="shared" si="11"/>
        <v>10495</v>
      </c>
      <c r="K36" s="62">
        <f t="shared" si="11"/>
        <v>10495</v>
      </c>
      <c r="L36" s="62">
        <f t="shared" si="11"/>
        <v>10495</v>
      </c>
      <c r="M36" s="62">
        <f t="shared" si="11"/>
        <v>10495</v>
      </c>
    </row>
    <row r="37" spans="2:13" ht="15" thickBot="1" x14ac:dyDescent="0.4">
      <c r="B37" s="15" t="s">
        <v>59</v>
      </c>
      <c r="C37" s="15"/>
      <c r="D37" s="15">
        <f t="shared" ref="D37:M37" si="12">D32+SUM(D34:D36)</f>
        <v>26199</v>
      </c>
      <c r="E37" s="15">
        <f t="shared" si="12"/>
        <v>28418</v>
      </c>
      <c r="F37" s="15">
        <f t="shared" si="12"/>
        <v>30548</v>
      </c>
      <c r="G37" s="15">
        <f t="shared" si="12"/>
        <v>36440</v>
      </c>
      <c r="H37" s="24">
        <f t="shared" si="12"/>
        <v>43009</v>
      </c>
      <c r="I37" s="24">
        <f t="shared" si="12"/>
        <v>48390</v>
      </c>
      <c r="J37" s="32">
        <f t="shared" si="12"/>
        <v>47881.106445539328</v>
      </c>
      <c r="K37" s="32">
        <f t="shared" si="12"/>
        <v>49087.704637436582</v>
      </c>
      <c r="L37" s="32">
        <f t="shared" si="12"/>
        <v>50998.730836000279</v>
      </c>
      <c r="M37" s="32">
        <f t="shared" si="12"/>
        <v>53798.86505118553</v>
      </c>
    </row>
    <row r="38" spans="2:13" x14ac:dyDescent="0.35">
      <c r="B38" t="s">
        <v>63</v>
      </c>
      <c r="D38">
        <v>643</v>
      </c>
      <c r="E38">
        <v>604</v>
      </c>
      <c r="F38">
        <v>568</v>
      </c>
      <c r="G38">
        <v>409</v>
      </c>
      <c r="H38">
        <v>242</v>
      </c>
      <c r="I38">
        <v>63</v>
      </c>
      <c r="J38" s="62">
        <f>I38</f>
        <v>63</v>
      </c>
      <c r="K38" s="62">
        <f>J38</f>
        <v>63</v>
      </c>
      <c r="L38" s="62">
        <f>K38</f>
        <v>63</v>
      </c>
      <c r="M38" s="62">
        <f>L38</f>
        <v>63</v>
      </c>
    </row>
    <row r="39" spans="2:13" x14ac:dyDescent="0.35">
      <c r="B39" t="s">
        <v>74</v>
      </c>
      <c r="E39">
        <v>51</v>
      </c>
      <c r="I39">
        <v>0</v>
      </c>
      <c r="J39" s="62">
        <v>0</v>
      </c>
      <c r="K39" s="62">
        <v>0</v>
      </c>
      <c r="L39" s="62">
        <v>0</v>
      </c>
      <c r="M39" s="62">
        <v>0</v>
      </c>
    </row>
    <row r="40" spans="2:13" x14ac:dyDescent="0.35">
      <c r="J40" s="62"/>
      <c r="K40" s="62"/>
      <c r="L40" s="62"/>
      <c r="M40" s="62"/>
    </row>
    <row r="41" spans="2:13" x14ac:dyDescent="0.35">
      <c r="B41" s="6" t="s">
        <v>64</v>
      </c>
      <c r="J41" s="62"/>
      <c r="K41" s="62"/>
      <c r="L41" s="62"/>
      <c r="M41" s="62"/>
    </row>
    <row r="42" spans="2:13" x14ac:dyDescent="0.35">
      <c r="B42" t="s">
        <v>65</v>
      </c>
      <c r="D42">
        <v>1</v>
      </c>
      <c r="E42">
        <v>1</v>
      </c>
      <c r="F42">
        <v>1</v>
      </c>
      <c r="G42">
        <v>3</v>
      </c>
      <c r="H42">
        <v>3</v>
      </c>
      <c r="I42">
        <f t="shared" ref="I42:M44" si="13">H42</f>
        <v>3</v>
      </c>
      <c r="J42" s="62">
        <f t="shared" si="13"/>
        <v>3</v>
      </c>
      <c r="K42" s="62">
        <f t="shared" si="13"/>
        <v>3</v>
      </c>
      <c r="L42" s="62">
        <f t="shared" si="13"/>
        <v>3</v>
      </c>
      <c r="M42" s="62">
        <f t="shared" si="13"/>
        <v>3</v>
      </c>
    </row>
    <row r="43" spans="2:13" x14ac:dyDescent="0.35">
      <c r="B43" t="s">
        <v>66</v>
      </c>
      <c r="D43">
        <v>12736</v>
      </c>
      <c r="E43">
        <v>27260</v>
      </c>
      <c r="F43">
        <v>29803</v>
      </c>
      <c r="G43">
        <v>32177</v>
      </c>
      <c r="H43">
        <v>34892</v>
      </c>
      <c r="I43">
        <v>38371</v>
      </c>
      <c r="J43" s="62">
        <f t="shared" si="13"/>
        <v>38371</v>
      </c>
      <c r="K43" s="62">
        <f t="shared" si="13"/>
        <v>38371</v>
      </c>
      <c r="L43" s="62">
        <f t="shared" si="13"/>
        <v>38371</v>
      </c>
      <c r="M43" s="62">
        <f t="shared" si="13"/>
        <v>38371</v>
      </c>
    </row>
    <row r="44" spans="2:13" x14ac:dyDescent="0.35">
      <c r="B44" t="s">
        <v>67</v>
      </c>
      <c r="D44">
        <v>-36</v>
      </c>
      <c r="E44">
        <v>363</v>
      </c>
      <c r="F44">
        <v>54</v>
      </c>
      <c r="G44">
        <v>-361</v>
      </c>
      <c r="H44">
        <v>-143</v>
      </c>
      <c r="I44">
        <v>-670</v>
      </c>
      <c r="J44" s="62">
        <f t="shared" si="13"/>
        <v>-670</v>
      </c>
      <c r="K44" s="62">
        <f t="shared" si="13"/>
        <v>-670</v>
      </c>
      <c r="L44" s="62">
        <f t="shared" si="13"/>
        <v>-670</v>
      </c>
      <c r="M44" s="62">
        <f t="shared" si="13"/>
        <v>-670</v>
      </c>
    </row>
    <row r="45" spans="2:13" x14ac:dyDescent="0.35">
      <c r="B45" t="s">
        <v>68</v>
      </c>
      <c r="D45">
        <v>-6083</v>
      </c>
      <c r="E45">
        <v>-5399</v>
      </c>
      <c r="F45">
        <v>331</v>
      </c>
      <c r="G45">
        <v>12885</v>
      </c>
      <c r="H45">
        <v>27882</v>
      </c>
      <c r="I45" s="8">
        <v>35209</v>
      </c>
      <c r="J45" s="153">
        <f>I45+IS!J33</f>
        <v>43750.839721599979</v>
      </c>
      <c r="K45" s="153">
        <f>J45+IS!K33</f>
        <v>53701.067853781751</v>
      </c>
      <c r="L45" s="153">
        <f>K45+IS!L33</f>
        <v>65608.438897738437</v>
      </c>
      <c r="M45" s="153">
        <f>L45+IS!M33</f>
        <v>80369.494943151585</v>
      </c>
    </row>
    <row r="46" spans="2:13" x14ac:dyDescent="0.35">
      <c r="B46" t="s">
        <v>69</v>
      </c>
      <c r="D46">
        <f t="shared" ref="D46:M46" si="14">SUM(D42:D45)</f>
        <v>6618</v>
      </c>
      <c r="E46">
        <f t="shared" si="14"/>
        <v>22225</v>
      </c>
      <c r="F46">
        <f t="shared" si="14"/>
        <v>30189</v>
      </c>
      <c r="G46">
        <f t="shared" si="14"/>
        <v>44704</v>
      </c>
      <c r="H46" s="8">
        <f t="shared" si="14"/>
        <v>62634</v>
      </c>
      <c r="I46" s="8">
        <f t="shared" si="14"/>
        <v>72913</v>
      </c>
      <c r="J46" s="153">
        <f t="shared" si="14"/>
        <v>81454.839721599972</v>
      </c>
      <c r="K46" s="153">
        <f t="shared" si="14"/>
        <v>91405.067853781744</v>
      </c>
      <c r="L46" s="153">
        <f t="shared" si="14"/>
        <v>103312.43889773844</v>
      </c>
      <c r="M46" s="153">
        <f t="shared" si="14"/>
        <v>118073.49494315159</v>
      </c>
    </row>
    <row r="47" spans="2:13" x14ac:dyDescent="0.35">
      <c r="J47" s="62"/>
      <c r="K47" s="62"/>
      <c r="L47" s="62"/>
      <c r="M47" s="62"/>
    </row>
    <row r="48" spans="2:13" x14ac:dyDescent="0.35">
      <c r="B48" t="s">
        <v>70</v>
      </c>
      <c r="D48">
        <v>849</v>
      </c>
      <c r="E48">
        <v>850</v>
      </c>
      <c r="F48">
        <v>826</v>
      </c>
      <c r="G48">
        <v>785</v>
      </c>
      <c r="H48">
        <v>733</v>
      </c>
      <c r="I48" s="8">
        <v>704</v>
      </c>
      <c r="J48" s="153">
        <f>I48+IS!J32</f>
        <v>876.79980016183811</v>
      </c>
      <c r="K48" s="153">
        <f>J48+IS!K32</f>
        <v>1078.0910311899529</v>
      </c>
      <c r="L48" s="153">
        <f>K48+IS!L32</f>
        <v>1318.9748927362525</v>
      </c>
      <c r="M48" s="153">
        <f>L48+IS!M32</f>
        <v>1617.5882615138287</v>
      </c>
    </row>
    <row r="49" spans="2:13" ht="15" thickBot="1" x14ac:dyDescent="0.4">
      <c r="B49" s="15" t="s">
        <v>71</v>
      </c>
      <c r="C49" s="15"/>
      <c r="D49" s="15">
        <f>D37+D46+D48+D38</f>
        <v>34309</v>
      </c>
      <c r="E49" s="15">
        <f>E37+E46+E48+E38+E39</f>
        <v>52148</v>
      </c>
      <c r="F49" s="15">
        <f t="shared" ref="F49:M49" si="15">F37+F46+F48+F38</f>
        <v>62131</v>
      </c>
      <c r="G49" s="15">
        <f t="shared" si="15"/>
        <v>82338</v>
      </c>
      <c r="H49" s="15">
        <f t="shared" si="15"/>
        <v>106618</v>
      </c>
      <c r="I49" s="24">
        <f t="shared" si="15"/>
        <v>122070</v>
      </c>
      <c r="J49" s="32">
        <f t="shared" si="15"/>
        <v>130275.74596730115</v>
      </c>
      <c r="K49" s="32">
        <f t="shared" si="15"/>
        <v>141633.86352240827</v>
      </c>
      <c r="L49" s="32">
        <f t="shared" si="15"/>
        <v>155693.14462647494</v>
      </c>
      <c r="M49" s="32">
        <f t="shared" si="15"/>
        <v>173552.94825585093</v>
      </c>
    </row>
    <row r="50" spans="2:13" x14ac:dyDescent="0.35">
      <c r="J50" s="62"/>
      <c r="K50" s="62"/>
      <c r="L50" s="62"/>
      <c r="M50" s="62"/>
    </row>
    <row r="51" spans="2:13" x14ac:dyDescent="0.35">
      <c r="B51" s="6" t="s">
        <v>336</v>
      </c>
      <c r="D51">
        <f>D23-D49</f>
        <v>0</v>
      </c>
      <c r="E51">
        <f t="shared" ref="E51:M51" si="16">E23-E49</f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 s="8">
        <f>I23-I49</f>
        <v>0</v>
      </c>
      <c r="J51" s="153">
        <f t="shared" si="16"/>
        <v>0</v>
      </c>
      <c r="K51" s="153">
        <f t="shared" si="16"/>
        <v>0</v>
      </c>
      <c r="L51" s="153">
        <f t="shared" si="16"/>
        <v>0</v>
      </c>
      <c r="M51" s="153">
        <f t="shared" si="16"/>
        <v>0</v>
      </c>
    </row>
    <row r="52" spans="2:13" x14ac:dyDescent="0.35">
      <c r="J52" s="62"/>
      <c r="K52" s="62"/>
      <c r="L52" s="62"/>
      <c r="M52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31D1-23A8-4355-8BB8-6B7B27921CF5}">
  <dimension ref="B2:H37"/>
  <sheetViews>
    <sheetView showGridLines="0" topLeftCell="B7" workbookViewId="0">
      <selection activeCell="F39" sqref="F39"/>
    </sheetView>
  </sheetViews>
  <sheetFormatPr defaultRowHeight="14.5" x14ac:dyDescent="0.35"/>
  <cols>
    <col min="1" max="1" width="2.08984375" customWidth="1"/>
    <col min="2" max="2" width="24.36328125" customWidth="1"/>
    <col min="3" max="3" width="16.54296875" customWidth="1"/>
    <col min="4" max="8" width="11.81640625" customWidth="1"/>
  </cols>
  <sheetData>
    <row r="2" spans="2:8" ht="18.5" x14ac:dyDescent="0.45">
      <c r="B2" s="1" t="s">
        <v>0</v>
      </c>
      <c r="C2" s="1"/>
      <c r="D2" s="2">
        <v>46022</v>
      </c>
      <c r="E2" s="2">
        <v>46387</v>
      </c>
      <c r="F2" s="2">
        <v>46752</v>
      </c>
      <c r="G2" s="2">
        <v>47118</v>
      </c>
      <c r="H2" s="2"/>
    </row>
    <row r="3" spans="2:8" ht="18.5" x14ac:dyDescent="0.45">
      <c r="B3" s="1" t="s">
        <v>1</v>
      </c>
      <c r="C3" s="1"/>
      <c r="D3" s="4" t="s">
        <v>3</v>
      </c>
      <c r="E3" s="4" t="s">
        <v>3</v>
      </c>
      <c r="F3" s="4" t="s">
        <v>3</v>
      </c>
      <c r="G3" s="4" t="s">
        <v>3</v>
      </c>
      <c r="H3" s="4"/>
    </row>
    <row r="4" spans="2:8" ht="21" x14ac:dyDescent="0.35">
      <c r="B4" s="43" t="s">
        <v>98</v>
      </c>
      <c r="C4" s="41"/>
    </row>
    <row r="5" spans="2:8" x14ac:dyDescent="0.35">
      <c r="B5" s="42"/>
      <c r="C5" s="41"/>
    </row>
    <row r="6" spans="2:8" x14ac:dyDescent="0.35">
      <c r="B6" s="33"/>
    </row>
    <row r="7" spans="2:8" x14ac:dyDescent="0.35">
      <c r="B7" s="6" t="s">
        <v>99</v>
      </c>
    </row>
    <row r="8" spans="2:8" x14ac:dyDescent="0.35">
      <c r="B8" s="37" t="s">
        <v>100</v>
      </c>
      <c r="D8" s="147">
        <f>IS!J31</f>
        <v>8714.6395217618174</v>
      </c>
      <c r="E8" s="147">
        <f>IS!K31</f>
        <v>10151.519363209889</v>
      </c>
      <c r="F8" s="147">
        <f>IS!L31</f>
        <v>12148.254905502985</v>
      </c>
      <c r="G8" s="147">
        <f>IS!M31</f>
        <v>15059.669414190725</v>
      </c>
    </row>
    <row r="9" spans="2:8" x14ac:dyDescent="0.35">
      <c r="B9" s="37" t="s">
        <v>101</v>
      </c>
      <c r="D9" s="147">
        <f>IS!J16</f>
        <v>12318.976087505976</v>
      </c>
      <c r="E9" s="147">
        <f>IS!K16</f>
        <v>12712.662152405945</v>
      </c>
      <c r="F9" s="147">
        <f>IS!L16</f>
        <v>14804.946752478239</v>
      </c>
      <c r="G9" s="147">
        <f>IS!M16</f>
        <v>17562.825631559233</v>
      </c>
    </row>
    <row r="10" spans="2:8" x14ac:dyDescent="0.35">
      <c r="B10" s="37" t="s">
        <v>29</v>
      </c>
      <c r="D10" s="147">
        <f>-IS!J25</f>
        <v>531.30454332587612</v>
      </c>
      <c r="E10" s="147">
        <f>-IS!K25</f>
        <v>423.46518210290827</v>
      </c>
      <c r="F10" s="147">
        <f>-IS!L25</f>
        <v>391.50798687546603</v>
      </c>
      <c r="G10" s="147">
        <f>-IS!M25</f>
        <v>373.65335958240115</v>
      </c>
    </row>
    <row r="11" spans="2:8" x14ac:dyDescent="0.35">
      <c r="B11" s="37"/>
      <c r="D11" s="147"/>
      <c r="E11" s="147"/>
      <c r="F11" s="147"/>
      <c r="G11" s="147"/>
    </row>
    <row r="12" spans="2:8" x14ac:dyDescent="0.35">
      <c r="B12" s="38" t="s">
        <v>102</v>
      </c>
      <c r="D12" s="147"/>
      <c r="E12" s="147"/>
      <c r="F12" s="147"/>
      <c r="G12" s="147"/>
    </row>
    <row r="13" spans="2:8" x14ac:dyDescent="0.35">
      <c r="B13" s="39" t="s">
        <v>103</v>
      </c>
      <c r="D13" s="147">
        <f>-(BS!J8-BS!I8)</f>
        <v>1861.8286649739971</v>
      </c>
      <c r="E13" s="147">
        <f>-(BS!K8-BS!J8)</f>
        <v>-318.88104511883603</v>
      </c>
      <c r="F13" s="147">
        <f>-(BS!L8-BS!K8)</f>
        <v>-410.09169786439679</v>
      </c>
      <c r="G13" s="147">
        <f>-(BS!M8-BS!L8)</f>
        <v>-533.30674777720242</v>
      </c>
    </row>
    <row r="14" spans="2:8" x14ac:dyDescent="0.35">
      <c r="B14" s="37" t="s">
        <v>104</v>
      </c>
      <c r="D14" s="147">
        <f>-(BS!J9-BS!I9)</f>
        <v>3062.28109504657</v>
      </c>
      <c r="E14" s="147">
        <f>-(BS!K9-BS!J9)</f>
        <v>-1117.096527932039</v>
      </c>
      <c r="F14" s="147">
        <f>-(BS!L9-BS!K9)</f>
        <v>-1436.6235272697049</v>
      </c>
      <c r="G14" s="147">
        <f>-(BS!M9-BS!L9)</f>
        <v>-1868.2675730776737</v>
      </c>
    </row>
    <row r="15" spans="2:8" x14ac:dyDescent="0.35">
      <c r="B15" s="37" t="s">
        <v>41</v>
      </c>
      <c r="D15" s="147">
        <f>(BS!I10-BS!J10)</f>
        <v>-198.06420291410359</v>
      </c>
      <c r="E15" s="147">
        <f>(BS!J10-BS!K10)</f>
        <v>-205.38039621436474</v>
      </c>
      <c r="F15" s="147">
        <f>(BS!K10-BS!L10)</f>
        <v>-212.96683867433876</v>
      </c>
      <c r="G15" s="147">
        <f>(BS!L10-BS!M10)</f>
        <v>-220.83351289089387</v>
      </c>
    </row>
    <row r="16" spans="2:8" x14ac:dyDescent="0.35">
      <c r="B16" s="37" t="s">
        <v>105</v>
      </c>
      <c r="D16" s="147">
        <f>BS!J27-BS!I27</f>
        <v>1158.1064455393298</v>
      </c>
      <c r="E16" s="147">
        <f>BS!K27-BS!J27</f>
        <v>1700.598191897252</v>
      </c>
      <c r="F16" s="147">
        <f>BS!L27-BS!K27</f>
        <v>2187.0261985636971</v>
      </c>
      <c r="G16" s="147">
        <f>BS!M27-BS!L27</f>
        <v>2844.1342151852514</v>
      </c>
    </row>
    <row r="17" spans="2:8" x14ac:dyDescent="0.35">
      <c r="B17" s="33"/>
      <c r="D17" s="147"/>
      <c r="E17" s="147"/>
      <c r="F17" s="147"/>
      <c r="G17" s="147"/>
    </row>
    <row r="18" spans="2:8" ht="15" thickBot="1" x14ac:dyDescent="0.4">
      <c r="B18" s="15" t="s">
        <v>106</v>
      </c>
      <c r="C18" s="16"/>
      <c r="D18" s="158">
        <f>SUM(D8:D16)</f>
        <v>27449.072155239461</v>
      </c>
      <c r="E18" s="158">
        <f>SUM(E8:E16)</f>
        <v>23346.886920350757</v>
      </c>
      <c r="F18" s="158">
        <f>SUM(F8:F16)</f>
        <v>27472.053779611946</v>
      </c>
      <c r="G18" s="158">
        <f>SUM(G8:G16)</f>
        <v>33217.874786771841</v>
      </c>
      <c r="H18" s="16"/>
    </row>
    <row r="19" spans="2:8" x14ac:dyDescent="0.35">
      <c r="B19" s="33"/>
      <c r="D19" s="147"/>
      <c r="E19" s="147"/>
      <c r="F19" s="147"/>
      <c r="G19" s="147"/>
    </row>
    <row r="20" spans="2:8" x14ac:dyDescent="0.35">
      <c r="B20" s="6" t="s">
        <v>107</v>
      </c>
      <c r="D20" s="147"/>
      <c r="E20" s="147"/>
      <c r="F20" s="147"/>
      <c r="G20" s="147"/>
    </row>
    <row r="21" spans="2:8" x14ac:dyDescent="0.35">
      <c r="B21" s="37" t="s">
        <v>108</v>
      </c>
      <c r="D21" s="147">
        <f>-FA!K29</f>
        <v>-12826.93001196791</v>
      </c>
      <c r="E21" s="147">
        <f>-FA!L29</f>
        <v>-14209.846673602246</v>
      </c>
      <c r="F21" s="147">
        <f>-FA!M29</f>
        <v>-22761.886041049664</v>
      </c>
      <c r="G21" s="147">
        <f>-FA!N29</f>
        <v>-28051.013904475185</v>
      </c>
    </row>
    <row r="22" spans="2:8" x14ac:dyDescent="0.35">
      <c r="B22" s="33"/>
      <c r="D22" s="147"/>
      <c r="E22" s="147"/>
      <c r="F22" s="147"/>
      <c r="G22" s="147"/>
    </row>
    <row r="23" spans="2:8" ht="15" thickBot="1" x14ac:dyDescent="0.4">
      <c r="B23" s="15" t="s">
        <v>109</v>
      </c>
      <c r="C23" s="16"/>
      <c r="D23" s="158">
        <f>D21</f>
        <v>-12826.93001196791</v>
      </c>
      <c r="E23" s="158">
        <f>E21</f>
        <v>-14209.846673602246</v>
      </c>
      <c r="F23" s="158">
        <f>F21</f>
        <v>-22761.886041049664</v>
      </c>
      <c r="G23" s="158">
        <f>G21</f>
        <v>-28051.013904475185</v>
      </c>
      <c r="H23" s="16"/>
    </row>
    <row r="24" spans="2:8" x14ac:dyDescent="0.35">
      <c r="B24" s="33"/>
      <c r="D24" s="147"/>
      <c r="E24" s="147"/>
      <c r="F24" s="147"/>
      <c r="G24" s="147"/>
    </row>
    <row r="25" spans="2:8" x14ac:dyDescent="0.35">
      <c r="B25" s="6" t="s">
        <v>110</v>
      </c>
      <c r="D25" s="147"/>
      <c r="E25" s="147"/>
      <c r="F25" s="147"/>
      <c r="G25" s="147"/>
    </row>
    <row r="26" spans="2:8" x14ac:dyDescent="0.35">
      <c r="B26" s="37" t="s">
        <v>111</v>
      </c>
      <c r="D26" s="147">
        <v>0</v>
      </c>
      <c r="E26" s="147">
        <v>0</v>
      </c>
      <c r="F26" s="147">
        <v>0</v>
      </c>
      <c r="G26" s="147">
        <v>0</v>
      </c>
    </row>
    <row r="27" spans="2:8" x14ac:dyDescent="0.35">
      <c r="B27" s="40" t="s">
        <v>112</v>
      </c>
      <c r="D27" s="147">
        <f>D18+D23</f>
        <v>14622.142143271551</v>
      </c>
      <c r="E27" s="147">
        <f>E18+E23</f>
        <v>9137.040246748511</v>
      </c>
      <c r="F27" s="147">
        <f>F18+F23</f>
        <v>4710.1677385622825</v>
      </c>
      <c r="G27" s="147">
        <f>G18+G23</f>
        <v>5166.8608822966562</v>
      </c>
    </row>
    <row r="28" spans="2:8" x14ac:dyDescent="0.35">
      <c r="B28" s="6"/>
      <c r="D28" s="147"/>
      <c r="E28" s="147"/>
      <c r="F28" s="147"/>
      <c r="G28" s="147"/>
    </row>
    <row r="29" spans="2:8" x14ac:dyDescent="0.35">
      <c r="B29" s="37" t="s">
        <v>113</v>
      </c>
      <c r="D29" s="147">
        <v>0</v>
      </c>
      <c r="E29" s="147">
        <v>0</v>
      </c>
      <c r="F29" s="147">
        <v>0</v>
      </c>
      <c r="G29" s="147">
        <v>0</v>
      </c>
    </row>
    <row r="30" spans="2:8" x14ac:dyDescent="0.35">
      <c r="B30" s="37" t="s">
        <v>114</v>
      </c>
      <c r="D30" s="147">
        <f>-Debt!E6</f>
        <v>-1667</v>
      </c>
      <c r="E30" s="147">
        <f>-Debt!F6</f>
        <v>-494</v>
      </c>
      <c r="F30" s="147">
        <f>-Debt!G6</f>
        <v>-276</v>
      </c>
      <c r="G30" s="147">
        <f>-Debt!H6</f>
        <v>-44</v>
      </c>
    </row>
    <row r="31" spans="2:8" x14ac:dyDescent="0.35">
      <c r="B31" s="60" t="s">
        <v>133</v>
      </c>
      <c r="D31" s="147">
        <f>IS!J25</f>
        <v>-531.30454332587612</v>
      </c>
      <c r="E31" s="147">
        <f>IS!K25</f>
        <v>-423.46518210290827</v>
      </c>
      <c r="F31" s="147">
        <f>IS!L25</f>
        <v>-391.50798687546603</v>
      </c>
      <c r="G31" s="147">
        <f>IS!M25</f>
        <v>-373.65335958240115</v>
      </c>
    </row>
    <row r="32" spans="2:8" x14ac:dyDescent="0.35">
      <c r="B32" s="37"/>
      <c r="D32" s="147"/>
      <c r="E32" s="147"/>
      <c r="F32" s="147"/>
      <c r="G32" s="147"/>
    </row>
    <row r="33" spans="2:8" ht="15" thickBot="1" x14ac:dyDescent="0.4">
      <c r="B33" s="15" t="s">
        <v>115</v>
      </c>
      <c r="C33" s="16"/>
      <c r="D33" s="158">
        <f>D26+D29+D30+D31</f>
        <v>-2198.3045433258762</v>
      </c>
      <c r="E33" s="158">
        <f>E26+E29+E30+E31</f>
        <v>-917.46518210290833</v>
      </c>
      <c r="F33" s="158">
        <f>F26+F29+F30+F31</f>
        <v>-667.50798687546603</v>
      </c>
      <c r="G33" s="158">
        <f>G26+G29+G30+G31</f>
        <v>-417.65335958240115</v>
      </c>
      <c r="H33" s="16"/>
    </row>
    <row r="34" spans="2:8" x14ac:dyDescent="0.35">
      <c r="B34" s="33"/>
      <c r="D34" s="147"/>
      <c r="E34" s="147"/>
      <c r="F34" s="147"/>
      <c r="G34" s="147"/>
    </row>
    <row r="35" spans="2:8" x14ac:dyDescent="0.35">
      <c r="B35" s="6" t="s">
        <v>116</v>
      </c>
      <c r="D35" s="147">
        <f>D18+D23+D33</f>
        <v>12423.837599945675</v>
      </c>
      <c r="E35" s="147">
        <f>E18+E23+E33</f>
        <v>8219.5750646456036</v>
      </c>
      <c r="F35" s="147">
        <f>F18+F23+F33</f>
        <v>4042.6597516868164</v>
      </c>
      <c r="G35" s="147">
        <f>G18+G23+G33</f>
        <v>4749.207522714255</v>
      </c>
    </row>
    <row r="36" spans="2:8" x14ac:dyDescent="0.35">
      <c r="B36" s="6" t="s">
        <v>117</v>
      </c>
      <c r="D36" s="147">
        <f>BS!I6</f>
        <v>16139</v>
      </c>
      <c r="E36" s="147">
        <f>D37</f>
        <v>28562.837599945677</v>
      </c>
      <c r="F36" s="147">
        <f>E37</f>
        <v>36782.412664591277</v>
      </c>
      <c r="G36" s="147">
        <f>F37</f>
        <v>40825.07241627809</v>
      </c>
    </row>
    <row r="37" spans="2:8" x14ac:dyDescent="0.35">
      <c r="B37" s="6" t="s">
        <v>118</v>
      </c>
      <c r="D37" s="147">
        <f>D35+D36</f>
        <v>28562.837599945677</v>
      </c>
      <c r="E37" s="147">
        <f>E35+E36</f>
        <v>36782.412664591277</v>
      </c>
      <c r="F37" s="147">
        <f>F35+F36</f>
        <v>40825.07241627809</v>
      </c>
      <c r="G37" s="147">
        <f>G35+G36</f>
        <v>45574.279938992346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24F4-79F4-48F7-986C-94F2A5141E89}">
  <dimension ref="B1:S41"/>
  <sheetViews>
    <sheetView showGridLines="0" topLeftCell="A14" zoomScale="98" zoomScaleNormal="100" workbookViewId="0">
      <selection activeCell="H36" sqref="H36"/>
    </sheetView>
  </sheetViews>
  <sheetFormatPr defaultRowHeight="14.5" x14ac:dyDescent="0.35"/>
  <cols>
    <col min="1" max="1" width="2.453125" customWidth="1"/>
    <col min="2" max="2" width="23.1796875" customWidth="1"/>
    <col min="3" max="3" width="18.08984375" customWidth="1"/>
    <col min="4" max="6" width="10.81640625" bestFit="1" customWidth="1"/>
    <col min="7" max="7" width="11.81640625" bestFit="1" customWidth="1"/>
    <col min="12" max="12" width="18.1796875" customWidth="1"/>
    <col min="13" max="13" width="13.08984375" bestFit="1" customWidth="1"/>
    <col min="14" max="15" width="11.36328125" bestFit="1" customWidth="1"/>
    <col min="16" max="16" width="11.54296875" bestFit="1" customWidth="1"/>
  </cols>
  <sheetData>
    <row r="1" spans="2:19" x14ac:dyDescent="0.35">
      <c r="B1" t="s">
        <v>339</v>
      </c>
      <c r="C1" s="178">
        <f>DATE(2024,1,2)</f>
        <v>45293</v>
      </c>
    </row>
    <row r="2" spans="2:19" x14ac:dyDescent="0.35">
      <c r="B2" t="s">
        <v>340</v>
      </c>
      <c r="C2" s="178">
        <f>DATE(2024,12,31)</f>
        <v>45657</v>
      </c>
    </row>
    <row r="3" spans="2:19" x14ac:dyDescent="0.35">
      <c r="D3">
        <f>(C2-C1)/365</f>
        <v>0.99726027397260275</v>
      </c>
      <c r="E3">
        <f t="shared" ref="E3:G3" si="0">D3+1</f>
        <v>1.9972602739726026</v>
      </c>
      <c r="F3">
        <f t="shared" si="0"/>
        <v>2.9972602739726026</v>
      </c>
      <c r="G3">
        <f t="shared" si="0"/>
        <v>3.9972602739726026</v>
      </c>
    </row>
    <row r="4" spans="2:19" ht="18.5" x14ac:dyDescent="0.45">
      <c r="B4" s="1" t="s">
        <v>0</v>
      </c>
      <c r="C4" s="1"/>
      <c r="D4" s="176">
        <v>46022</v>
      </c>
      <c r="E4" s="176">
        <v>46387</v>
      </c>
      <c r="F4" s="176">
        <v>46752</v>
      </c>
      <c r="G4" s="176">
        <v>47118</v>
      </c>
      <c r="H4" s="176"/>
    </row>
    <row r="5" spans="2:19" ht="18.5" x14ac:dyDescent="0.45">
      <c r="B5" s="1" t="s">
        <v>1</v>
      </c>
      <c r="C5" s="1"/>
      <c r="D5" s="177" t="s">
        <v>3</v>
      </c>
      <c r="E5" s="177" t="s">
        <v>3</v>
      </c>
      <c r="F5" s="177" t="s">
        <v>3</v>
      </c>
      <c r="G5" s="177" t="s">
        <v>3</v>
      </c>
      <c r="H5" s="177"/>
      <c r="K5" t="s">
        <v>147</v>
      </c>
      <c r="P5" t="s">
        <v>342</v>
      </c>
    </row>
    <row r="6" spans="2:19" ht="15.5" x14ac:dyDescent="0.35">
      <c r="B6" s="61" t="s">
        <v>134</v>
      </c>
      <c r="C6" s="62"/>
      <c r="K6" t="s">
        <v>359</v>
      </c>
      <c r="M6">
        <v>38</v>
      </c>
      <c r="P6" s="191" t="s">
        <v>343</v>
      </c>
      <c r="Q6" s="191"/>
      <c r="R6" s="191"/>
      <c r="S6" s="12"/>
    </row>
    <row r="7" spans="2:19" x14ac:dyDescent="0.35">
      <c r="K7" s="64" t="s">
        <v>148</v>
      </c>
      <c r="L7" s="66"/>
      <c r="M7" s="199">
        <f>M6*(G8+G11)</f>
        <v>1470666.4300377974</v>
      </c>
      <c r="N7" s="7"/>
      <c r="O7" s="7"/>
      <c r="P7" s="205">
        <f>G15*(1+C18)/(B18-C18)</f>
        <v>1091625.631164178</v>
      </c>
    </row>
    <row r="8" spans="2:19" x14ac:dyDescent="0.35">
      <c r="B8" t="s">
        <v>135</v>
      </c>
      <c r="D8" s="8">
        <f>IS!J22</f>
        <v>12035.476091687591</v>
      </c>
      <c r="E8" s="8">
        <f>IS!K22</f>
        <v>14193.337218037988</v>
      </c>
      <c r="F8" s="8">
        <f>IS!L22</f>
        <v>17046.717985318624</v>
      </c>
      <c r="G8" s="8">
        <f>IS!M22</f>
        <v>21138.922527330174</v>
      </c>
      <c r="K8" s="64" t="s">
        <v>149</v>
      </c>
      <c r="L8" s="64"/>
      <c r="M8" s="199">
        <f>M7*G24</f>
        <v>1113150.5347146441</v>
      </c>
      <c r="N8" s="7"/>
      <c r="O8" s="7"/>
      <c r="P8" s="205">
        <f>P7*G24</f>
        <v>826253.75151004514</v>
      </c>
    </row>
    <row r="9" spans="2:19" x14ac:dyDescent="0.35">
      <c r="B9" t="s">
        <v>136</v>
      </c>
      <c r="D9" s="26">
        <f>IS!$J$46</f>
        <v>0.26</v>
      </c>
      <c r="E9" s="26">
        <f>IS!$J$46</f>
        <v>0.26</v>
      </c>
      <c r="F9" s="26">
        <f>IS!$J$46</f>
        <v>0.26</v>
      </c>
      <c r="G9" s="26">
        <f>IS!$J$46</f>
        <v>0.26</v>
      </c>
      <c r="K9" s="65" t="s">
        <v>150</v>
      </c>
      <c r="L9" s="65"/>
      <c r="M9" s="200">
        <f>M8+D21</f>
        <v>1298579.6855077981</v>
      </c>
      <c r="N9" s="7"/>
      <c r="O9" s="7"/>
      <c r="P9" s="205">
        <f>P7+P8</f>
        <v>1917879.3826742233</v>
      </c>
    </row>
    <row r="10" spans="2:19" x14ac:dyDescent="0.35">
      <c r="B10" t="s">
        <v>137</v>
      </c>
      <c r="D10" s="8">
        <f>D8*(1-D9)</f>
        <v>8906.2523078488175</v>
      </c>
      <c r="E10" s="8">
        <f>E8*(1-E9)</f>
        <v>10503.069541348112</v>
      </c>
      <c r="F10" s="8">
        <f>F8*(1-F9)</f>
        <v>12614.571309135781</v>
      </c>
      <c r="G10" s="8">
        <f>G8*(1-G9)</f>
        <v>15642.80267022433</v>
      </c>
      <c r="K10" t="s">
        <v>151</v>
      </c>
      <c r="M10" s="7">
        <f>BS!H7</f>
        <v>12696</v>
      </c>
      <c r="N10" s="7"/>
      <c r="O10" s="7"/>
      <c r="P10" s="205">
        <v>12696</v>
      </c>
    </row>
    <row r="11" spans="2:19" x14ac:dyDescent="0.35">
      <c r="B11" t="s">
        <v>138</v>
      </c>
      <c r="D11" s="8">
        <f>IS!J16</f>
        <v>12318.976087505976</v>
      </c>
      <c r="E11" s="8">
        <f>IS!K16</f>
        <v>12712.662152405945</v>
      </c>
      <c r="F11" s="8">
        <f>IS!L16</f>
        <v>14804.946752478239</v>
      </c>
      <c r="G11" s="8">
        <f>IS!M16</f>
        <v>17562.825631559233</v>
      </c>
      <c r="K11" s="6" t="s">
        <v>152</v>
      </c>
      <c r="L11" s="6"/>
      <c r="M11" s="201">
        <f>M9+M10</f>
        <v>1311275.6855077981</v>
      </c>
      <c r="N11" s="7"/>
      <c r="O11" s="7"/>
      <c r="P11" s="205">
        <f>P9+P10</f>
        <v>1930575.3826742233</v>
      </c>
    </row>
    <row r="12" spans="2:19" x14ac:dyDescent="0.35">
      <c r="B12" t="s">
        <v>139</v>
      </c>
      <c r="D12" s="8">
        <f>SUM(CF!D13:D16)</f>
        <v>5884.1520026457929</v>
      </c>
      <c r="E12" s="8">
        <f>SUM(CF!E13:E16)</f>
        <v>59.240222632012319</v>
      </c>
      <c r="F12" s="8">
        <f>SUM(CF!F13:F16)</f>
        <v>127.34413475525662</v>
      </c>
      <c r="G12" s="8">
        <f>SUM(CF!G13:G16)</f>
        <v>221.72638143948143</v>
      </c>
      <c r="K12" t="s">
        <v>153</v>
      </c>
      <c r="M12" s="7">
        <f>BS!H36+BS!H31</f>
        <v>10526</v>
      </c>
      <c r="N12" s="7"/>
      <c r="O12" s="7"/>
      <c r="P12" s="205">
        <v>10526</v>
      </c>
    </row>
    <row r="13" spans="2:19" x14ac:dyDescent="0.35">
      <c r="B13" t="s">
        <v>140</v>
      </c>
      <c r="D13" s="8">
        <f>SUM(D10:D12)</f>
        <v>27109.380398000591</v>
      </c>
      <c r="E13" s="8">
        <f>SUM(E10:E12)</f>
        <v>23274.971916386068</v>
      </c>
      <c r="F13" s="8">
        <f>SUM(F10:F12)</f>
        <v>27546.862196369279</v>
      </c>
      <c r="G13" s="8">
        <f>SUM(G10:G12)</f>
        <v>33427.35468322305</v>
      </c>
      <c r="K13" t="s">
        <v>154</v>
      </c>
      <c r="M13" s="7">
        <f>BS!H48</f>
        <v>733</v>
      </c>
      <c r="N13" s="7"/>
      <c r="O13" s="7"/>
      <c r="P13" s="205">
        <v>733</v>
      </c>
    </row>
    <row r="14" spans="2:19" x14ac:dyDescent="0.35">
      <c r="B14" t="s">
        <v>141</v>
      </c>
      <c r="D14" s="8">
        <f>-FA!K29</f>
        <v>-12826.93001196791</v>
      </c>
      <c r="E14" s="8">
        <f>-FA!L29</f>
        <v>-14209.846673602246</v>
      </c>
      <c r="F14" s="8">
        <f>-FA!M29</f>
        <v>-22761.886041049664</v>
      </c>
      <c r="G14" s="8">
        <f>-FA!N29</f>
        <v>-28051.013904475185</v>
      </c>
      <c r="K14" t="s">
        <v>155</v>
      </c>
      <c r="M14" s="7">
        <f>BS!H6</f>
        <v>16398</v>
      </c>
      <c r="N14" s="7"/>
      <c r="O14" s="7"/>
      <c r="P14" s="205">
        <v>16398</v>
      </c>
    </row>
    <row r="15" spans="2:19" ht="15" thickBot="1" x14ac:dyDescent="0.4">
      <c r="B15" s="15" t="s">
        <v>142</v>
      </c>
      <c r="C15" s="15"/>
      <c r="D15" s="24">
        <f>D13-D14</f>
        <v>39936.310409968501</v>
      </c>
      <c r="E15" s="24">
        <f>E13-E14</f>
        <v>37484.81858998831</v>
      </c>
      <c r="F15" s="24">
        <f>F13-F14</f>
        <v>50308.748237418942</v>
      </c>
      <c r="G15" s="24">
        <f>G13-G14</f>
        <v>61478.368587698234</v>
      </c>
      <c r="K15" s="67" t="s">
        <v>337</v>
      </c>
      <c r="L15" s="67"/>
      <c r="M15" s="202">
        <f>M11+M14-M12-M13</f>
        <v>1316414.6855077981</v>
      </c>
      <c r="N15" s="7"/>
      <c r="O15" s="7"/>
      <c r="P15" s="205">
        <f>P11-P12-P13+P14</f>
        <v>1935714.3826742233</v>
      </c>
    </row>
    <row r="16" spans="2:19" x14ac:dyDescent="0.35">
      <c r="M16" s="7"/>
      <c r="N16" s="7"/>
      <c r="O16" s="7"/>
      <c r="P16" s="7"/>
    </row>
    <row r="17" spans="2:16" x14ac:dyDescent="0.35">
      <c r="B17" s="203" t="s">
        <v>143</v>
      </c>
      <c r="C17" s="203" t="s">
        <v>341</v>
      </c>
      <c r="K17" t="s">
        <v>156</v>
      </c>
      <c r="M17" s="7">
        <v>3207</v>
      </c>
      <c r="N17" s="7"/>
      <c r="O17" s="7"/>
      <c r="P17" s="7">
        <v>3207</v>
      </c>
    </row>
    <row r="18" spans="2:16" x14ac:dyDescent="0.35">
      <c r="B18" s="225">
        <f>WACC!J7</f>
        <v>7.2162952513276785E-2</v>
      </c>
      <c r="C18" s="226">
        <v>1.4999999999999999E-2</v>
      </c>
      <c r="K18" s="198" t="s">
        <v>157</v>
      </c>
      <c r="L18" s="198"/>
      <c r="M18" s="204">
        <f>M15/M17</f>
        <v>410.48166058864922</v>
      </c>
      <c r="N18" s="201"/>
      <c r="O18" s="201"/>
      <c r="P18" s="204">
        <f>P15/P17</f>
        <v>603.59039060624366</v>
      </c>
    </row>
    <row r="20" spans="2:16" x14ac:dyDescent="0.35">
      <c r="B20" s="64" t="s">
        <v>144</v>
      </c>
      <c r="C20" s="64"/>
      <c r="D20" s="63">
        <f>PV(B18,D3,0,-D15,0)</f>
        <v>37255.470203925237</v>
      </c>
      <c r="E20" s="63">
        <f t="shared" ref="E20:G20" si="1">PV(C18,E3,0,-E15,0)</f>
        <v>36386.563764111539</v>
      </c>
      <c r="F20" s="63">
        <f t="shared" si="1"/>
        <v>50308.748237418942</v>
      </c>
      <c r="G20" s="63">
        <f t="shared" si="1"/>
        <v>61478.368587698234</v>
      </c>
    </row>
    <row r="21" spans="2:16" x14ac:dyDescent="0.35">
      <c r="B21" s="65" t="s">
        <v>145</v>
      </c>
      <c r="C21" s="65"/>
      <c r="D21" s="63">
        <f>SUM(D20:G20)</f>
        <v>185429.15079315397</v>
      </c>
    </row>
    <row r="22" spans="2:16" x14ac:dyDescent="0.35">
      <c r="M22" s="198" t="s">
        <v>360</v>
      </c>
      <c r="N22" s="198"/>
    </row>
    <row r="23" spans="2:16" x14ac:dyDescent="0.35">
      <c r="M23" s="206"/>
      <c r="N23" s="206"/>
    </row>
    <row r="24" spans="2:16" x14ac:dyDescent="0.35">
      <c r="B24" s="21" t="s">
        <v>146</v>
      </c>
      <c r="C24" s="126"/>
      <c r="D24" s="167">
        <f>1/(1+$B$18)^D3</f>
        <v>0.93287211115591451</v>
      </c>
      <c r="E24" s="167">
        <f>1/(1+$B$18)^E3</f>
        <v>0.87008426188309529</v>
      </c>
      <c r="F24" s="167">
        <f>1/(1+$B$18)^F3</f>
        <v>0.8115224088311529</v>
      </c>
      <c r="G24" s="167">
        <f>1/(1+$B$18)^G3</f>
        <v>0.75690211728436274</v>
      </c>
      <c r="J24" s="251" t="s">
        <v>373</v>
      </c>
      <c r="K24" s="207">
        <f>P18</f>
        <v>603.59039060624366</v>
      </c>
      <c r="L24" s="210">
        <f>0.5%</f>
        <v>5.0000000000000001E-3</v>
      </c>
      <c r="M24" s="210">
        <f>L24+0.5%</f>
        <v>0.01</v>
      </c>
      <c r="N24" s="210">
        <f t="shared" ref="N24:P24" si="2">M24+0.5%</f>
        <v>1.4999999999999999E-2</v>
      </c>
      <c r="O24" s="210">
        <f t="shared" si="2"/>
        <v>0.02</v>
      </c>
      <c r="P24" s="210">
        <f t="shared" si="2"/>
        <v>2.5000000000000001E-2</v>
      </c>
    </row>
    <row r="25" spans="2:16" x14ac:dyDescent="0.35">
      <c r="J25" s="251"/>
      <c r="K25" s="208">
        <v>0.05</v>
      </c>
      <c r="L25" s="8">
        <f t="dataTable" ref="L25:P31" dt2D="1" dtr="1" r1="C18" r2="B18" ca="1"/>
        <v>785.96423520151723</v>
      </c>
      <c r="M25" s="8">
        <v>887.88253260620831</v>
      </c>
      <c r="N25" s="8">
        <v>1018.9203435550968</v>
      </c>
      <c r="O25" s="8">
        <v>1193.6374248202817</v>
      </c>
      <c r="P25" s="8">
        <v>1438.2413385915399</v>
      </c>
    </row>
    <row r="26" spans="2:16" ht="15" thickBot="1" x14ac:dyDescent="0.4">
      <c r="J26" s="251"/>
      <c r="K26" s="209">
        <f>K25+0.5%</f>
        <v>5.5E-2</v>
      </c>
      <c r="L26" s="8">
        <v>701.96025710612059</v>
      </c>
      <c r="M26" s="8">
        <v>783.18755716781152</v>
      </c>
      <c r="N26" s="8">
        <v>884.72168224492543</v>
      </c>
      <c r="O26" s="8">
        <v>1015.2655573440719</v>
      </c>
      <c r="P26" s="8">
        <v>1189.3240574762669</v>
      </c>
    </row>
    <row r="27" spans="2:16" ht="15" thickTop="1" x14ac:dyDescent="0.35">
      <c r="B27" t="s">
        <v>158</v>
      </c>
      <c r="C27" t="s">
        <v>156</v>
      </c>
      <c r="J27" s="251"/>
      <c r="K27" s="209">
        <f t="shared" ref="K27:K31" si="3">K26+0.5%</f>
        <v>0.06</v>
      </c>
      <c r="L27" s="8">
        <v>633.3566244868274</v>
      </c>
      <c r="M27" s="228">
        <v>699.57185567150304</v>
      </c>
      <c r="N27" s="229">
        <v>780.50158267499546</v>
      </c>
      <c r="O27" s="230">
        <v>881.66374142936138</v>
      </c>
      <c r="P27" s="8">
        <v>1011.7293741135455</v>
      </c>
    </row>
    <row r="28" spans="2:16" x14ac:dyDescent="0.35">
      <c r="B28">
        <v>426</v>
      </c>
      <c r="C28">
        <v>3207</v>
      </c>
      <c r="J28" s="251"/>
      <c r="K28" s="209">
        <f t="shared" si="3"/>
        <v>6.5000000000000002E-2</v>
      </c>
      <c r="L28" s="8">
        <v>576.29999884912013</v>
      </c>
      <c r="M28" s="231">
        <v>631.28296980010896</v>
      </c>
      <c r="N28" s="8">
        <v>697.26253494129537</v>
      </c>
      <c r="O28" s="232">
        <v>777.90422566941254</v>
      </c>
      <c r="P28" s="8">
        <v>878.70633907955857</v>
      </c>
    </row>
    <row r="29" spans="2:16" ht="15" thickBot="1" x14ac:dyDescent="0.4">
      <c r="J29" s="251"/>
      <c r="K29" s="209">
        <f t="shared" si="3"/>
        <v>7.0000000000000007E-2</v>
      </c>
      <c r="L29" s="8">
        <v>528.12278178189752</v>
      </c>
      <c r="M29" s="233">
        <v>574.48603345970957</v>
      </c>
      <c r="N29" s="234">
        <v>629.27896726076006</v>
      </c>
      <c r="O29" s="235">
        <v>695.03048782202097</v>
      </c>
      <c r="P29" s="8">
        <v>775.39345739689509</v>
      </c>
    </row>
    <row r="30" spans="2:16" ht="15" thickTop="1" x14ac:dyDescent="0.35">
      <c r="B30" t="s">
        <v>338</v>
      </c>
      <c r="C30">
        <f>B28*C28</f>
        <v>1366182</v>
      </c>
      <c r="E30" s="68" t="s">
        <v>160</v>
      </c>
      <c r="F30" s="46">
        <f>M12/C31</f>
        <v>7.6457752842287547E-3</v>
      </c>
      <c r="J30" s="251"/>
      <c r="K30" s="209">
        <f>K29+0.5%</f>
        <v>7.5000000000000011E-2</v>
      </c>
      <c r="L30" s="8">
        <v>486.91963301315172</v>
      </c>
      <c r="M30" s="8">
        <v>526.52623369098069</v>
      </c>
      <c r="N30" s="8">
        <v>572.73393448178126</v>
      </c>
      <c r="O30" s="8">
        <v>627.34303541636382</v>
      </c>
      <c r="P30" s="8">
        <v>692.87395653786257</v>
      </c>
    </row>
    <row r="31" spans="2:16" x14ac:dyDescent="0.35">
      <c r="B31" t="s">
        <v>159</v>
      </c>
      <c r="C31">
        <f>C30+M12</f>
        <v>1376708</v>
      </c>
      <c r="E31" s="68" t="s">
        <v>161</v>
      </c>
      <c r="F31" s="46">
        <f>C30/C31</f>
        <v>0.99235422471577128</v>
      </c>
      <c r="J31" s="251"/>
      <c r="K31" s="209">
        <f t="shared" si="3"/>
        <v>8.0000000000000016E-2</v>
      </c>
      <c r="L31" s="8">
        <v>451.2933813724398</v>
      </c>
      <c r="M31" s="8">
        <v>485.50735990036077</v>
      </c>
      <c r="N31" s="8">
        <v>524.98502743257723</v>
      </c>
      <c r="O31" s="8">
        <v>571.04230622016314</v>
      </c>
      <c r="P31" s="8">
        <v>625.47363569640095</v>
      </c>
    </row>
    <row r="34" spans="10:16" x14ac:dyDescent="0.35">
      <c r="J34" s="252" t="s">
        <v>374</v>
      </c>
      <c r="K34" s="207">
        <f>M18</f>
        <v>410.48166058864922</v>
      </c>
      <c r="L34" s="236">
        <v>37</v>
      </c>
      <c r="M34" s="236">
        <f>L34+0.5</f>
        <v>37.5</v>
      </c>
      <c r="N34" s="236">
        <f t="shared" ref="N34:P34" si="4">M34+0.5</f>
        <v>38</v>
      </c>
      <c r="O34" s="236">
        <f t="shared" si="4"/>
        <v>38.5</v>
      </c>
      <c r="P34" s="236">
        <f t="shared" si="4"/>
        <v>39</v>
      </c>
    </row>
    <row r="35" spans="10:16" x14ac:dyDescent="0.35">
      <c r="J35" s="252"/>
      <c r="K35" s="208">
        <f>5%</f>
        <v>0.05</v>
      </c>
      <c r="L35" s="8">
        <f t="dataTable" ref="L35:P41" dt2D="1" dtr="1" r1="M6" r2="B18"/>
        <v>431.02174012933347</v>
      </c>
      <c r="M35" s="8">
        <v>435.98654842106191</v>
      </c>
      <c r="N35" s="8">
        <v>440.9513567127903</v>
      </c>
      <c r="O35" s="8">
        <v>445.91616500451875</v>
      </c>
      <c r="P35" s="8">
        <v>450.88097329624725</v>
      </c>
    </row>
    <row r="36" spans="10:16" ht="15" thickBot="1" x14ac:dyDescent="0.4">
      <c r="J36" s="252"/>
      <c r="K36" s="209">
        <f>K35+0.5%</f>
        <v>5.5E-2</v>
      </c>
      <c r="L36" s="8">
        <v>424.0548775386581</v>
      </c>
      <c r="M36" s="8">
        <v>428.92629662978572</v>
      </c>
      <c r="N36" s="8">
        <v>433.79771572091335</v>
      </c>
      <c r="O36" s="8">
        <v>438.66913481204097</v>
      </c>
      <c r="P36" s="8">
        <v>443.5405539031687</v>
      </c>
    </row>
    <row r="37" spans="10:16" ht="15" thickTop="1" x14ac:dyDescent="0.35">
      <c r="J37" s="252"/>
      <c r="K37" s="209">
        <f t="shared" ref="K37:K41" si="5">K36+0.5%</f>
        <v>0.06</v>
      </c>
      <c r="L37" s="8">
        <v>417.25029554113814</v>
      </c>
      <c r="M37" s="228">
        <v>422.03051127531131</v>
      </c>
      <c r="N37" s="229">
        <v>426.81072700948471</v>
      </c>
      <c r="O37" s="230">
        <v>431.59094274365788</v>
      </c>
      <c r="P37" s="8">
        <v>436.37115847783122</v>
      </c>
    </row>
    <row r="38" spans="10:16" x14ac:dyDescent="0.35">
      <c r="J38" s="252"/>
      <c r="K38" s="209">
        <f t="shared" si="5"/>
        <v>6.5000000000000002E-2</v>
      </c>
      <c r="L38" s="8">
        <v>410.6034643724509</v>
      </c>
      <c r="M38" s="231">
        <v>415.29460148071962</v>
      </c>
      <c r="N38" s="8">
        <v>419.98573858898828</v>
      </c>
      <c r="O38" s="232">
        <v>424.67687569725695</v>
      </c>
      <c r="P38" s="8">
        <v>429.36801280552567</v>
      </c>
    </row>
    <row r="39" spans="10:16" ht="15" thickBot="1" x14ac:dyDescent="0.4">
      <c r="J39" s="252"/>
      <c r="K39" s="209">
        <f t="shared" si="5"/>
        <v>7.0000000000000007E-2</v>
      </c>
      <c r="L39" s="8">
        <v>404.11000124121625</v>
      </c>
      <c r="M39" s="233">
        <v>408.71412532627841</v>
      </c>
      <c r="N39" s="234">
        <v>413.31824941134062</v>
      </c>
      <c r="O39" s="235">
        <v>417.92237349640277</v>
      </c>
      <c r="P39" s="8">
        <v>422.52649758146504</v>
      </c>
    </row>
    <row r="40" spans="10:16" ht="15" thickTop="1" x14ac:dyDescent="0.35">
      <c r="J40" s="252"/>
      <c r="K40" s="209">
        <f t="shared" si="5"/>
        <v>7.5000000000000011E-2</v>
      </c>
      <c r="L40" s="8">
        <v>397.76566490212093</v>
      </c>
      <c r="M40" s="8">
        <v>402.28478434927513</v>
      </c>
      <c r="N40" s="8">
        <v>406.80390379642938</v>
      </c>
      <c r="O40" s="8">
        <v>411.32302324358363</v>
      </c>
      <c r="P40" s="8">
        <v>415.84214269073794</v>
      </c>
    </row>
    <row r="41" spans="10:16" x14ac:dyDescent="0.35">
      <c r="J41" s="252"/>
      <c r="K41" s="209">
        <f t="shared" si="5"/>
        <v>8.0000000000000016E-2</v>
      </c>
      <c r="L41" s="8">
        <v>391.56635045347321</v>
      </c>
      <c r="M41" s="8">
        <v>396.00241827130998</v>
      </c>
      <c r="N41" s="8">
        <v>400.43848608914681</v>
      </c>
      <c r="O41" s="8">
        <v>404.87455390698358</v>
      </c>
      <c r="P41" s="8">
        <v>409.31062172482046</v>
      </c>
    </row>
  </sheetData>
  <mergeCells count="2">
    <mergeCell ref="J24:J31"/>
    <mergeCell ref="J34:J41"/>
  </mergeCells>
  <conditionalFormatting sqref="L25:P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5:P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3E30-7E86-4CDA-95E2-3E93C6DCE3C9}">
  <dimension ref="B1:L66"/>
  <sheetViews>
    <sheetView showGridLines="0" zoomScale="91" workbookViewId="0">
      <selection activeCell="D40" sqref="D40"/>
    </sheetView>
  </sheetViews>
  <sheetFormatPr defaultRowHeight="14.5" x14ac:dyDescent="0.35"/>
  <cols>
    <col min="2" max="2" width="16.7265625" customWidth="1"/>
    <col min="3" max="3" width="10.81640625" customWidth="1"/>
    <col min="4" max="9" width="10.36328125" bestFit="1" customWidth="1"/>
  </cols>
  <sheetData>
    <row r="1" spans="2:8" s="196" customFormat="1" ht="22.5" customHeight="1" x14ac:dyDescent="0.55000000000000004">
      <c r="F1" s="197"/>
      <c r="G1" s="197" t="s">
        <v>356</v>
      </c>
      <c r="H1" s="197"/>
    </row>
    <row r="4" spans="2:8" x14ac:dyDescent="0.35">
      <c r="B4" s="198" t="s">
        <v>357</v>
      </c>
      <c r="C4" s="175"/>
    </row>
    <row r="29" spans="2:9" x14ac:dyDescent="0.35">
      <c r="B29" s="246" t="s">
        <v>344</v>
      </c>
      <c r="C29" s="247"/>
      <c r="D29" s="247"/>
      <c r="E29" s="247"/>
      <c r="F29" s="247"/>
      <c r="G29" s="247"/>
      <c r="H29" s="247"/>
      <c r="I29" s="247"/>
    </row>
    <row r="30" spans="2:9" x14ac:dyDescent="0.35">
      <c r="B30" s="178"/>
      <c r="C30" s="178"/>
      <c r="D30" s="194">
        <f>IS!H2</f>
        <v>45291</v>
      </c>
      <c r="E30" s="194">
        <f>IS!I2</f>
        <v>45657</v>
      </c>
      <c r="F30" s="194">
        <f>IS!J2</f>
        <v>46022</v>
      </c>
      <c r="G30" s="194">
        <f>IS!K2</f>
        <v>46387</v>
      </c>
      <c r="H30" s="194">
        <f>IS!L2</f>
        <v>46752</v>
      </c>
      <c r="I30" s="194">
        <f>IS!M2</f>
        <v>47118</v>
      </c>
    </row>
    <row r="31" spans="2:9" x14ac:dyDescent="0.35">
      <c r="B31" t="s">
        <v>345</v>
      </c>
      <c r="D31" s="8">
        <f>IS!H31</f>
        <v>14831.5</v>
      </c>
      <c r="E31" s="8">
        <f>IS!I31</f>
        <v>7278</v>
      </c>
      <c r="F31" s="8">
        <f>IS!J31</f>
        <v>8714.6395217618174</v>
      </c>
      <c r="G31" s="8">
        <f>IS!K31</f>
        <v>10151.519363209889</v>
      </c>
      <c r="H31" s="8">
        <f>IS!L31</f>
        <v>12148.254905502985</v>
      </c>
      <c r="I31" s="8">
        <f>IS!M31</f>
        <v>15059.669414190725</v>
      </c>
    </row>
    <row r="32" spans="2:9" x14ac:dyDescent="0.35">
      <c r="B32" t="s">
        <v>346</v>
      </c>
      <c r="D32" s="8">
        <f>(BS!H46+BS!G46)/2</f>
        <v>53669</v>
      </c>
      <c r="E32" s="8">
        <f>(BS!I46+BS!H46)/2</f>
        <v>67773.5</v>
      </c>
      <c r="F32" s="8">
        <f>(BS!J46+BS!I46)/2</f>
        <v>77183.919860799986</v>
      </c>
      <c r="G32" s="8">
        <f>(BS!K46+BS!J46)/2</f>
        <v>86429.953787690858</v>
      </c>
      <c r="H32" s="8">
        <f>(BS!L46+BS!K46)/2</f>
        <v>97358.75337576009</v>
      </c>
      <c r="I32" s="8">
        <f>(BS!M46+BS!L46)/2</f>
        <v>110692.966920445</v>
      </c>
    </row>
    <row r="33" spans="2:9" x14ac:dyDescent="0.35">
      <c r="B33" s="192" t="s">
        <v>347</v>
      </c>
      <c r="C33" s="192"/>
      <c r="D33" s="193">
        <f>D31/D32</f>
        <v>0.27635133876166873</v>
      </c>
      <c r="E33" s="193">
        <f t="shared" ref="E33:I33" si="0">E31/E32</f>
        <v>0.10738710557961445</v>
      </c>
      <c r="F33" s="193">
        <f t="shared" si="0"/>
        <v>0.11290744934279752</v>
      </c>
      <c r="G33" s="193">
        <f t="shared" si="0"/>
        <v>0.11745371735528619</v>
      </c>
      <c r="H33" s="193">
        <f t="shared" si="0"/>
        <v>0.12477825038100374</v>
      </c>
      <c r="I33" s="193">
        <f t="shared" si="0"/>
        <v>0.13604901768523472</v>
      </c>
    </row>
    <row r="36" spans="2:9" x14ac:dyDescent="0.35">
      <c r="B36" s="246" t="s">
        <v>354</v>
      </c>
      <c r="C36" s="247"/>
      <c r="D36" s="247"/>
      <c r="E36" s="247"/>
      <c r="F36" s="247"/>
      <c r="G36" s="247"/>
      <c r="H36" s="247"/>
      <c r="I36" s="247"/>
    </row>
    <row r="37" spans="2:9" x14ac:dyDescent="0.35">
      <c r="D37" s="178">
        <f>D30</f>
        <v>45291</v>
      </c>
      <c r="E37" s="178">
        <f t="shared" ref="E37:I37" si="1">E30</f>
        <v>45657</v>
      </c>
      <c r="F37" s="178">
        <f t="shared" si="1"/>
        <v>46022</v>
      </c>
      <c r="G37" s="178">
        <f t="shared" si="1"/>
        <v>46387</v>
      </c>
      <c r="H37" s="178">
        <f t="shared" si="1"/>
        <v>46752</v>
      </c>
      <c r="I37" s="178">
        <f t="shared" si="1"/>
        <v>47118</v>
      </c>
    </row>
    <row r="38" spans="2:9" x14ac:dyDescent="0.35">
      <c r="B38" t="str">
        <f>B31</f>
        <v>Net Profit</v>
      </c>
      <c r="D38" s="8">
        <f t="shared" ref="D38:I38" si="2">D31</f>
        <v>14831.5</v>
      </c>
      <c r="E38" s="8">
        <f t="shared" si="2"/>
        <v>7278</v>
      </c>
      <c r="F38" s="8">
        <f t="shared" si="2"/>
        <v>8714.6395217618174</v>
      </c>
      <c r="G38" s="8">
        <f t="shared" si="2"/>
        <v>10151.519363209889</v>
      </c>
      <c r="H38" s="8">
        <f t="shared" si="2"/>
        <v>12148.254905502985</v>
      </c>
      <c r="I38" s="8">
        <f t="shared" si="2"/>
        <v>15059.669414190725</v>
      </c>
    </row>
    <row r="39" spans="2:9" x14ac:dyDescent="0.35">
      <c r="B39" t="s">
        <v>129</v>
      </c>
      <c r="D39" s="8">
        <f>IS!H4</f>
        <v>96630.5</v>
      </c>
      <c r="E39" s="8">
        <f>IS!I4</f>
        <v>97815</v>
      </c>
      <c r="F39" s="8">
        <f>IS!J4</f>
        <v>108465.41379213102</v>
      </c>
      <c r="G39" s="8">
        <f>IS!K4</f>
        <v>121996.41777271118</v>
      </c>
      <c r="H39" s="8">
        <f>IS!L4</f>
        <v>139397.74181233268</v>
      </c>
      <c r="I39" s="8">
        <f>IS!M4</f>
        <v>162027.42092779835</v>
      </c>
    </row>
    <row r="40" spans="2:9" x14ac:dyDescent="0.35">
      <c r="B40" s="192" t="s">
        <v>348</v>
      </c>
      <c r="C40" s="192"/>
      <c r="D40" s="193">
        <f>D38/D39</f>
        <v>0.15348673555450917</v>
      </c>
      <c r="E40" s="193">
        <f t="shared" ref="E40:H40" si="3">E38/E39</f>
        <v>7.4405765986811839E-2</v>
      </c>
      <c r="F40" s="193">
        <f t="shared" si="3"/>
        <v>8.0344869549504733E-2</v>
      </c>
      <c r="G40" s="193">
        <f t="shared" si="3"/>
        <v>8.3211618410984484E-2</v>
      </c>
      <c r="H40" s="193">
        <f t="shared" si="3"/>
        <v>8.7148147075853236E-2</v>
      </c>
      <c r="I40" s="193">
        <f>I38/I39</f>
        <v>9.2945189943506673E-2</v>
      </c>
    </row>
    <row r="42" spans="2:9" x14ac:dyDescent="0.35">
      <c r="B42" t="s">
        <v>129</v>
      </c>
      <c r="D42" s="8">
        <f t="shared" ref="D42:H42" si="4">D39</f>
        <v>96630.5</v>
      </c>
      <c r="E42" s="8">
        <f t="shared" si="4"/>
        <v>97815</v>
      </c>
      <c r="F42" s="8">
        <f t="shared" si="4"/>
        <v>108465.41379213102</v>
      </c>
      <c r="G42" s="8">
        <f t="shared" si="4"/>
        <v>121996.41777271118</v>
      </c>
      <c r="H42" s="8">
        <f t="shared" si="4"/>
        <v>139397.74181233268</v>
      </c>
      <c r="I42" s="8">
        <f>I39</f>
        <v>162027.42092779835</v>
      </c>
    </row>
    <row r="43" spans="2:9" x14ac:dyDescent="0.35">
      <c r="B43" t="s">
        <v>349</v>
      </c>
      <c r="D43" s="8">
        <f>(BS!H23+BS!G23)/2</f>
        <v>94478</v>
      </c>
      <c r="E43" s="8">
        <f>(BS!I23+BS!H23)/2</f>
        <v>114344</v>
      </c>
      <c r="F43" s="8">
        <f>(BS!J23+BS!I23)/2</f>
        <v>126172.87298365057</v>
      </c>
      <c r="G43" s="8">
        <f>(BS!K23+BS!J23)/2</f>
        <v>135954.80474485471</v>
      </c>
      <c r="H43" s="8">
        <f>(BS!L23+BS!K23)/2</f>
        <v>148663.50407444162</v>
      </c>
      <c r="I43" s="8">
        <f>(BS!M23+BS!L23)/2</f>
        <v>164623.04644116294</v>
      </c>
    </row>
    <row r="44" spans="2:9" x14ac:dyDescent="0.35">
      <c r="B44" s="192" t="s">
        <v>350</v>
      </c>
      <c r="C44" s="192"/>
      <c r="D44" s="195">
        <f t="shared" ref="D44" si="5">D42/D43</f>
        <v>1.0227830817756516</v>
      </c>
      <c r="E44" s="195">
        <f t="shared" ref="E44" si="6">E42/E43</f>
        <v>0.85544497306373746</v>
      </c>
      <c r="F44" s="195">
        <f t="shared" ref="F44" si="7">F42/F43</f>
        <v>0.85965716106175949</v>
      </c>
      <c r="G44" s="195">
        <f t="shared" ref="G44" si="8">G42/G43</f>
        <v>0.89733068280787043</v>
      </c>
      <c r="H44" s="195">
        <f t="shared" ref="H44" si="9">H42/H43</f>
        <v>0.93767291898710248</v>
      </c>
      <c r="I44" s="195">
        <f>I42/I43</f>
        <v>0.98423291532092816</v>
      </c>
    </row>
    <row r="46" spans="2:9" x14ac:dyDescent="0.35">
      <c r="B46" t="str">
        <f>B43</f>
        <v>Average Total Asset</v>
      </c>
      <c r="D46" s="8">
        <f>D43</f>
        <v>94478</v>
      </c>
      <c r="E46" s="8">
        <f t="shared" ref="E46:I46" si="10">E43</f>
        <v>114344</v>
      </c>
      <c r="F46" s="8">
        <f t="shared" si="10"/>
        <v>126172.87298365057</v>
      </c>
      <c r="G46" s="8">
        <f t="shared" si="10"/>
        <v>135954.80474485471</v>
      </c>
      <c r="H46" s="8">
        <f t="shared" si="10"/>
        <v>148663.50407444162</v>
      </c>
      <c r="I46" s="8">
        <f t="shared" si="10"/>
        <v>164623.04644116294</v>
      </c>
    </row>
    <row r="47" spans="2:9" x14ac:dyDescent="0.35">
      <c r="B47" t="str">
        <f>B32</f>
        <v>Average Shareholder Equity</v>
      </c>
      <c r="D47" s="8">
        <f>D32</f>
        <v>53669</v>
      </c>
      <c r="E47" s="8">
        <f t="shared" ref="E47:I47" si="11">E32</f>
        <v>67773.5</v>
      </c>
      <c r="F47" s="8">
        <f t="shared" si="11"/>
        <v>77183.919860799986</v>
      </c>
      <c r="G47" s="8">
        <f t="shared" si="11"/>
        <v>86429.953787690858</v>
      </c>
      <c r="H47" s="8">
        <f t="shared" si="11"/>
        <v>97358.75337576009</v>
      </c>
      <c r="I47" s="8">
        <f t="shared" si="11"/>
        <v>110692.966920445</v>
      </c>
    </row>
    <row r="48" spans="2:9" x14ac:dyDescent="0.35">
      <c r="B48" s="192" t="s">
        <v>351</v>
      </c>
      <c r="C48" s="192"/>
      <c r="D48" s="195">
        <f t="shared" ref="D48" si="12">D46/D47</f>
        <v>1.7603830889340215</v>
      </c>
      <c r="E48" s="195">
        <f t="shared" ref="E48" si="13">E46/E47</f>
        <v>1.6871491069518323</v>
      </c>
      <c r="F48" s="195">
        <f t="shared" ref="F48" si="14">F46/F47</f>
        <v>1.6347041354106062</v>
      </c>
      <c r="G48" s="195">
        <f t="shared" ref="G48" si="15">G46/G47</f>
        <v>1.5730056396746224</v>
      </c>
      <c r="H48" s="195">
        <f t="shared" ref="H48" si="16">H46/H47</f>
        <v>1.5269659780941189</v>
      </c>
      <c r="I48" s="195">
        <f>I46/I47</f>
        <v>1.4872042101778469</v>
      </c>
    </row>
    <row r="50" spans="2:9" x14ac:dyDescent="0.35">
      <c r="B50" s="192" t="s">
        <v>352</v>
      </c>
      <c r="C50" s="192"/>
      <c r="D50" s="193">
        <f t="shared" ref="D50:H50" si="17">D48*D44*D40</f>
        <v>0.27635133876166873</v>
      </c>
      <c r="E50" s="193">
        <f t="shared" si="17"/>
        <v>0.10738710557961446</v>
      </c>
      <c r="F50" s="193">
        <f t="shared" si="17"/>
        <v>0.11290744934279752</v>
      </c>
      <c r="G50" s="193">
        <f t="shared" si="17"/>
        <v>0.11745371735528619</v>
      </c>
      <c r="H50" s="193">
        <f t="shared" si="17"/>
        <v>0.12477825038100372</v>
      </c>
      <c r="I50" s="193">
        <f>I48*I44*I40</f>
        <v>0.13604901768523472</v>
      </c>
    </row>
    <row r="53" spans="2:9" x14ac:dyDescent="0.35">
      <c r="B53" s="246" t="s">
        <v>353</v>
      </c>
      <c r="C53" s="247"/>
      <c r="D53" s="247"/>
      <c r="E53" s="247"/>
      <c r="F53" s="247"/>
      <c r="G53" s="247"/>
      <c r="H53" s="247"/>
      <c r="I53" s="247"/>
    </row>
    <row r="54" spans="2:9" x14ac:dyDescent="0.35">
      <c r="B54" s="178"/>
      <c r="C54" s="178"/>
      <c r="D54" s="194">
        <f t="shared" ref="D54:H54" si="18">D30</f>
        <v>45291</v>
      </c>
      <c r="E54" s="194">
        <f t="shared" si="18"/>
        <v>45657</v>
      </c>
      <c r="F54" s="194">
        <f t="shared" si="18"/>
        <v>46022</v>
      </c>
      <c r="G54" s="194">
        <f t="shared" si="18"/>
        <v>46387</v>
      </c>
      <c r="H54" s="194">
        <f t="shared" si="18"/>
        <v>46752</v>
      </c>
      <c r="I54" s="194">
        <f>I30</f>
        <v>47118</v>
      </c>
    </row>
    <row r="55" spans="2:9" x14ac:dyDescent="0.35">
      <c r="B55" t="s">
        <v>345</v>
      </c>
      <c r="D55" s="8">
        <f t="shared" ref="D55:H55" si="19">D38</f>
        <v>14831.5</v>
      </c>
      <c r="E55" s="8">
        <f t="shared" si="19"/>
        <v>7278</v>
      </c>
      <c r="F55" s="8">
        <f t="shared" si="19"/>
        <v>8714.6395217618174</v>
      </c>
      <c r="G55" s="8">
        <f t="shared" si="19"/>
        <v>10151.519363209889</v>
      </c>
      <c r="H55" s="8">
        <f t="shared" si="19"/>
        <v>12148.254905502985</v>
      </c>
      <c r="I55" s="8">
        <f>I38</f>
        <v>15059.669414190725</v>
      </c>
    </row>
    <row r="56" spans="2:9" x14ac:dyDescent="0.35">
      <c r="B56" t="s">
        <v>349</v>
      </c>
      <c r="D56" s="8">
        <f t="shared" ref="D56:H56" si="20">D46</f>
        <v>94478</v>
      </c>
      <c r="E56" s="8">
        <f t="shared" si="20"/>
        <v>114344</v>
      </c>
      <c r="F56" s="8">
        <f t="shared" si="20"/>
        <v>126172.87298365057</v>
      </c>
      <c r="G56" s="8">
        <f t="shared" si="20"/>
        <v>135954.80474485471</v>
      </c>
      <c r="H56" s="8">
        <f t="shared" si="20"/>
        <v>148663.50407444162</v>
      </c>
      <c r="I56" s="8">
        <f>I46</f>
        <v>164623.04644116294</v>
      </c>
    </row>
    <row r="57" spans="2:9" x14ac:dyDescent="0.35">
      <c r="B57" s="192" t="s">
        <v>355</v>
      </c>
      <c r="C57" s="192"/>
      <c r="D57" s="193">
        <f>D55/D56</f>
        <v>0.15698363640212537</v>
      </c>
      <c r="E57" s="193">
        <f t="shared" ref="E57" si="21">E55/E56</f>
        <v>6.365003848037501E-2</v>
      </c>
      <c r="F57" s="193">
        <f t="shared" ref="F57" si="22">F55/F56</f>
        <v>6.9069042462804639E-2</v>
      </c>
      <c r="G57" s="193">
        <f t="shared" ref="G57" si="23">G55/G56</f>
        <v>7.4668338366276676E-2</v>
      </c>
      <c r="H57" s="193">
        <f t="shared" ref="H57" si="24">H55/H56</f>
        <v>8.1716457452932628E-2</v>
      </c>
      <c r="I57" s="193">
        <f t="shared" ref="I57" si="25">I55/I56</f>
        <v>9.1479715263154987E-2</v>
      </c>
    </row>
    <row r="66" spans="12:12" x14ac:dyDescent="0.35">
      <c r="L66" t="s">
        <v>358</v>
      </c>
    </row>
  </sheetData>
  <mergeCells count="3">
    <mergeCell ref="B29:I29"/>
    <mergeCell ref="B36:I36"/>
    <mergeCell ref="B53:I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3C3E-F288-4B12-8310-7EE30FA6D7B6}">
  <dimension ref="B2:E12"/>
  <sheetViews>
    <sheetView showGridLines="0" workbookViewId="0">
      <selection activeCell="H19" sqref="H19"/>
    </sheetView>
  </sheetViews>
  <sheetFormatPr defaultRowHeight="14.5" x14ac:dyDescent="0.35"/>
  <cols>
    <col min="2" max="2" width="17.1796875" bestFit="1" customWidth="1"/>
    <col min="4" max="4" width="9.453125" bestFit="1" customWidth="1"/>
  </cols>
  <sheetData>
    <row r="2" spans="2:5" ht="15" thickBot="1" x14ac:dyDescent="0.4"/>
    <row r="3" spans="2:5" ht="15" thickTop="1" x14ac:dyDescent="0.35">
      <c r="B3" s="239" t="s">
        <v>361</v>
      </c>
      <c r="C3" s="240" t="s">
        <v>362</v>
      </c>
      <c r="D3" s="240" t="s">
        <v>365</v>
      </c>
      <c r="E3" s="241" t="s">
        <v>363</v>
      </c>
    </row>
    <row r="4" spans="2:5" x14ac:dyDescent="0.35">
      <c r="B4" s="248" t="s">
        <v>370</v>
      </c>
      <c r="C4" s="8">
        <v>574</v>
      </c>
      <c r="D4" s="237">
        <f>E4-C4</f>
        <v>308</v>
      </c>
      <c r="E4" s="232">
        <v>882</v>
      </c>
    </row>
    <row r="5" spans="2:5" x14ac:dyDescent="0.35">
      <c r="B5" s="248" t="s">
        <v>364</v>
      </c>
      <c r="C5" s="8">
        <v>409</v>
      </c>
      <c r="D5" s="237">
        <f>E5-C5</f>
        <v>23</v>
      </c>
      <c r="E5" s="238">
        <v>432</v>
      </c>
    </row>
    <row r="6" spans="2:5" x14ac:dyDescent="0.35">
      <c r="B6" s="248" t="s">
        <v>366</v>
      </c>
      <c r="C6" s="8">
        <v>67</v>
      </c>
      <c r="D6" s="237">
        <f t="shared" ref="D6:D8" si="0">E6-C6</f>
        <v>14</v>
      </c>
      <c r="E6" s="232">
        <v>81</v>
      </c>
    </row>
    <row r="7" spans="2:5" x14ac:dyDescent="0.35">
      <c r="B7" s="248" t="s">
        <v>367</v>
      </c>
      <c r="C7" s="8">
        <v>99</v>
      </c>
      <c r="D7" s="237">
        <f t="shared" si="0"/>
        <v>20</v>
      </c>
      <c r="E7" s="232">
        <v>119</v>
      </c>
    </row>
    <row r="8" spans="2:5" x14ac:dyDescent="0.35">
      <c r="B8" s="248" t="s">
        <v>371</v>
      </c>
      <c r="C8" s="8">
        <v>135</v>
      </c>
      <c r="D8" s="237">
        <f t="shared" si="0"/>
        <v>415</v>
      </c>
      <c r="E8" s="232">
        <v>550</v>
      </c>
    </row>
    <row r="9" spans="2:5" x14ac:dyDescent="0.35">
      <c r="B9" s="248" t="s">
        <v>372</v>
      </c>
      <c r="C9" s="8">
        <v>138</v>
      </c>
      <c r="D9" s="237">
        <f>E9-C9</f>
        <v>350</v>
      </c>
      <c r="E9" s="232">
        <v>488</v>
      </c>
    </row>
    <row r="10" spans="2:5" x14ac:dyDescent="0.35">
      <c r="B10" s="249" t="s">
        <v>368</v>
      </c>
      <c r="C10" s="153">
        <v>373</v>
      </c>
      <c r="D10" s="242"/>
      <c r="E10" s="243">
        <v>392</v>
      </c>
    </row>
    <row r="11" spans="2:5" ht="15" thickBot="1" x14ac:dyDescent="0.4">
      <c r="B11" s="250" t="s">
        <v>369</v>
      </c>
      <c r="C11" s="245">
        <f>MIN(C4:C10)</f>
        <v>67</v>
      </c>
      <c r="D11" s="253">
        <f>E11-C11</f>
        <v>815</v>
      </c>
      <c r="E11" s="244">
        <f>MAX(E4:E10)</f>
        <v>882</v>
      </c>
    </row>
    <row r="12" spans="2:5" ht="15" thickTop="1" x14ac:dyDescent="0.3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047-E8E5-463A-AD63-9E24AB9E691F}">
  <dimension ref="B1:AC223"/>
  <sheetViews>
    <sheetView showGridLines="0" zoomScale="101" workbookViewId="0">
      <selection activeCell="J9" sqref="J9"/>
    </sheetView>
  </sheetViews>
  <sheetFormatPr defaultRowHeight="14.5" x14ac:dyDescent="0.35"/>
  <cols>
    <col min="1" max="1" width="2.90625" customWidth="1"/>
    <col min="2" max="2" width="15.81640625" customWidth="1"/>
    <col min="3" max="3" width="10.453125" bestFit="1" customWidth="1"/>
    <col min="7" max="7" width="10.453125" bestFit="1" customWidth="1"/>
    <col min="11" max="11" width="10.453125" bestFit="1" customWidth="1"/>
    <col min="15" max="15" width="10.453125" bestFit="1" customWidth="1"/>
    <col min="19" max="19" width="10.453125" bestFit="1" customWidth="1"/>
    <col min="23" max="23" width="10.453125" bestFit="1" customWidth="1"/>
    <col min="27" max="27" width="10.453125" bestFit="1" customWidth="1"/>
  </cols>
  <sheetData>
    <row r="1" spans="2:29" s="62" customFormat="1" ht="18.5" x14ac:dyDescent="0.45">
      <c r="H1" s="122" t="s">
        <v>302</v>
      </c>
      <c r="I1" s="118"/>
      <c r="J1" s="119"/>
      <c r="K1" s="121"/>
      <c r="L1" s="121"/>
      <c r="M1" s="121"/>
    </row>
    <row r="2" spans="2:29" ht="15" thickBot="1" x14ac:dyDescent="0.4"/>
    <row r="3" spans="2:29" x14ac:dyDescent="0.35">
      <c r="B3" s="125" t="s">
        <v>310</v>
      </c>
      <c r="C3" s="69" t="s">
        <v>293</v>
      </c>
      <c r="D3" s="87" t="s">
        <v>294</v>
      </c>
      <c r="E3" s="100" t="s">
        <v>295</v>
      </c>
      <c r="F3" s="87" t="s">
        <v>296</v>
      </c>
      <c r="G3" s="112" t="s">
        <v>297</v>
      </c>
      <c r="H3" s="112" t="s">
        <v>298</v>
      </c>
    </row>
    <row r="4" spans="2:29" ht="15" thickBot="1" x14ac:dyDescent="0.4">
      <c r="B4" s="120" t="s">
        <v>301</v>
      </c>
      <c r="C4" s="120">
        <f>D223</f>
        <v>2.0515702784365284</v>
      </c>
      <c r="D4" s="120">
        <f>H223</f>
        <v>0.80192207779846159</v>
      </c>
      <c r="E4" s="120">
        <f>L223</f>
        <v>1.6934667437174102</v>
      </c>
      <c r="F4" s="120">
        <f>P223</f>
        <v>1.3302596756192784</v>
      </c>
      <c r="G4" s="120">
        <f>T223</f>
        <v>1.4274325545952884</v>
      </c>
      <c r="H4" s="120">
        <f>X223</f>
        <v>1.5344964436507265</v>
      </c>
    </row>
    <row r="10" spans="2:29" ht="15" thickBot="1" x14ac:dyDescent="0.4"/>
    <row r="11" spans="2:29" x14ac:dyDescent="0.35">
      <c r="C11" s="69" t="s">
        <v>293</v>
      </c>
      <c r="D11" s="70"/>
      <c r="E11" s="71"/>
      <c r="G11" s="87" t="s">
        <v>294</v>
      </c>
      <c r="H11" s="88"/>
      <c r="I11" s="89"/>
      <c r="K11" s="100" t="s">
        <v>295</v>
      </c>
      <c r="L11" s="101"/>
      <c r="M11" s="102"/>
      <c r="O11" s="87" t="s">
        <v>296</v>
      </c>
      <c r="P11" s="88"/>
      <c r="Q11" s="89"/>
      <c r="S11" s="112" t="s">
        <v>297</v>
      </c>
      <c r="T11" s="113"/>
      <c r="U11" s="114"/>
      <c r="W11" s="112" t="s">
        <v>298</v>
      </c>
      <c r="X11" s="113"/>
      <c r="Y11" s="114"/>
      <c r="AA11" s="112" t="s">
        <v>299</v>
      </c>
      <c r="AB11" s="113"/>
      <c r="AC11" s="114"/>
    </row>
    <row r="12" spans="2:29" x14ac:dyDescent="0.35">
      <c r="C12" s="72" t="s">
        <v>165</v>
      </c>
      <c r="D12" s="73" t="s">
        <v>158</v>
      </c>
      <c r="E12" s="74" t="s">
        <v>300</v>
      </c>
      <c r="G12" s="90" t="s">
        <v>165</v>
      </c>
      <c r="H12" s="91" t="s">
        <v>158</v>
      </c>
      <c r="I12" s="92" t="s">
        <v>300</v>
      </c>
      <c r="K12" s="103" t="s">
        <v>165</v>
      </c>
      <c r="L12" s="104" t="s">
        <v>158</v>
      </c>
      <c r="M12" s="105" t="s">
        <v>300</v>
      </c>
      <c r="O12" s="90" t="s">
        <v>165</v>
      </c>
      <c r="P12" s="91" t="s">
        <v>158</v>
      </c>
      <c r="Q12" s="92" t="s">
        <v>300</v>
      </c>
      <c r="S12" s="115" t="s">
        <v>165</v>
      </c>
      <c r="T12" s="116" t="s">
        <v>158</v>
      </c>
      <c r="U12" s="117" t="s">
        <v>300</v>
      </c>
      <c r="W12" s="115" t="s">
        <v>165</v>
      </c>
      <c r="X12" s="116" t="s">
        <v>158</v>
      </c>
      <c r="Y12" s="117" t="s">
        <v>300</v>
      </c>
      <c r="AA12" s="115" t="s">
        <v>165</v>
      </c>
      <c r="AB12" s="116" t="s">
        <v>158</v>
      </c>
      <c r="AC12" s="117" t="s">
        <v>300</v>
      </c>
    </row>
    <row r="13" spans="2:29" x14ac:dyDescent="0.35">
      <c r="C13" s="77" t="s">
        <v>166</v>
      </c>
      <c r="D13" s="75">
        <v>403.84</v>
      </c>
      <c r="E13" s="165">
        <f>D13/D14-1</f>
        <v>-6.4448871797247897E-2</v>
      </c>
      <c r="G13" s="80" t="s">
        <v>166</v>
      </c>
      <c r="H13" s="81">
        <v>23.99</v>
      </c>
      <c r="I13" s="82">
        <f>H13/H14-1</f>
        <v>-5.8846606512357846E-2</v>
      </c>
      <c r="K13" s="93" t="s">
        <v>166</v>
      </c>
      <c r="L13" s="94">
        <v>11.82</v>
      </c>
      <c r="M13" s="95">
        <f>L13/L14-1</f>
        <v>-6.4133016627078376E-2</v>
      </c>
      <c r="O13" s="80" t="s">
        <v>166</v>
      </c>
      <c r="P13" s="81">
        <v>4.3600000000000003</v>
      </c>
      <c r="Q13" s="82">
        <f>P13/P14-1</f>
        <v>-2.6785714285714302E-2</v>
      </c>
      <c r="S13" s="77" t="s">
        <v>166</v>
      </c>
      <c r="T13" s="106">
        <v>53.27</v>
      </c>
      <c r="U13" s="107">
        <f>T13/T14-1</f>
        <v>-1.8607221812822372E-2</v>
      </c>
      <c r="W13" s="77" t="s">
        <v>166</v>
      </c>
      <c r="X13" s="106">
        <v>9.9</v>
      </c>
      <c r="Y13" s="107">
        <f>X13/X14-1</f>
        <v>-1.2961116650049731E-2</v>
      </c>
      <c r="AA13" s="77" t="s">
        <v>166</v>
      </c>
      <c r="AB13" s="110">
        <v>5881.63</v>
      </c>
      <c r="AC13" s="107">
        <f>AB13/AB14-1</f>
        <v>-1.4940946332509308E-2</v>
      </c>
    </row>
    <row r="14" spans="2:29" x14ac:dyDescent="0.35">
      <c r="C14" s="77" t="s">
        <v>167</v>
      </c>
      <c r="D14" s="75">
        <v>431.66</v>
      </c>
      <c r="E14" s="165">
        <f t="shared" ref="E14:E77" si="0">D14/D15-1</f>
        <v>2.5174559445209743E-2</v>
      </c>
      <c r="G14" s="80" t="s">
        <v>167</v>
      </c>
      <c r="H14" s="81">
        <v>25.49</v>
      </c>
      <c r="I14" s="82">
        <f t="shared" ref="I14:I77" si="1">H14/H15-1</f>
        <v>8.1918505942275122E-2</v>
      </c>
      <c r="K14" s="93" t="s">
        <v>167</v>
      </c>
      <c r="L14" s="94">
        <v>12.63</v>
      </c>
      <c r="M14" s="95">
        <f t="shared" ref="M14:M77" si="2">L14/L15-1</f>
        <v>-7.9113924050633333E-4</v>
      </c>
      <c r="O14" s="80" t="s">
        <v>167</v>
      </c>
      <c r="P14" s="81">
        <v>4.4800000000000004</v>
      </c>
      <c r="Q14" s="82">
        <f t="shared" ref="Q14:Q77" si="3">P14/P15-1</f>
        <v>-1.3215859030836885E-2</v>
      </c>
      <c r="S14" s="77" t="s">
        <v>167</v>
      </c>
      <c r="T14" s="106">
        <v>54.28</v>
      </c>
      <c r="U14" s="107">
        <f t="shared" ref="U14:U77" si="4">T14/T15-1</f>
        <v>4.7674194171009487E-2</v>
      </c>
      <c r="W14" s="77" t="s">
        <v>167</v>
      </c>
      <c r="X14" s="106">
        <v>10.029999999999999</v>
      </c>
      <c r="Y14" s="107">
        <f t="shared" ref="Y14:Y77" si="5">X14/X15-1</f>
        <v>1.5182186234817596E-2</v>
      </c>
      <c r="AA14" s="77" t="s">
        <v>167</v>
      </c>
      <c r="AB14" s="110">
        <v>5970.84</v>
      </c>
      <c r="AC14" s="107">
        <f t="shared" ref="AC14:AC77" si="6">AB14/AB15-1</f>
        <v>6.7427097296339777E-3</v>
      </c>
    </row>
    <row r="15" spans="2:29" x14ac:dyDescent="0.35">
      <c r="C15" s="77" t="s">
        <v>168</v>
      </c>
      <c r="D15" s="75">
        <v>421.06</v>
      </c>
      <c r="E15" s="165">
        <f t="shared" si="0"/>
        <v>-3.4775233248515725E-2</v>
      </c>
      <c r="G15" s="80" t="s">
        <v>168</v>
      </c>
      <c r="H15" s="81">
        <v>23.56</v>
      </c>
      <c r="I15" s="82">
        <f t="shared" si="1"/>
        <v>6.1261261261261302E-2</v>
      </c>
      <c r="K15" s="93" t="s">
        <v>168</v>
      </c>
      <c r="L15" s="94">
        <v>12.64</v>
      </c>
      <c r="M15" s="95">
        <f t="shared" si="2"/>
        <v>2.7642276422764178E-2</v>
      </c>
      <c r="O15" s="80" t="s">
        <v>168</v>
      </c>
      <c r="P15" s="81">
        <v>4.54</v>
      </c>
      <c r="Q15" s="82">
        <f t="shared" si="3"/>
        <v>6.6518847006651338E-3</v>
      </c>
      <c r="S15" s="77" t="s">
        <v>168</v>
      </c>
      <c r="T15" s="106">
        <v>51.81</v>
      </c>
      <c r="U15" s="107">
        <f t="shared" si="4"/>
        <v>-1.370645345516841E-2</v>
      </c>
      <c r="W15" s="77" t="s">
        <v>168</v>
      </c>
      <c r="X15" s="106">
        <v>9.8800000000000008</v>
      </c>
      <c r="Y15" s="107">
        <f t="shared" si="5"/>
        <v>-4.908565928777664E-2</v>
      </c>
      <c r="AA15" s="77" t="s">
        <v>168</v>
      </c>
      <c r="AB15" s="110">
        <v>5930.85</v>
      </c>
      <c r="AC15" s="107">
        <f t="shared" si="6"/>
        <v>-1.9870800136834843E-2</v>
      </c>
    </row>
    <row r="16" spans="2:29" x14ac:dyDescent="0.35">
      <c r="C16" s="78">
        <v>45516</v>
      </c>
      <c r="D16" s="75">
        <v>436.23</v>
      </c>
      <c r="E16" s="165">
        <f t="shared" si="0"/>
        <v>0.12078002158162482</v>
      </c>
      <c r="G16" s="83">
        <v>45516</v>
      </c>
      <c r="H16" s="81">
        <v>22.2</v>
      </c>
      <c r="I16" s="82">
        <f t="shared" si="1"/>
        <v>-5.3763440860215006E-3</v>
      </c>
      <c r="K16" s="96">
        <v>45516</v>
      </c>
      <c r="L16" s="94">
        <v>12.3</v>
      </c>
      <c r="M16" s="95">
        <f t="shared" si="2"/>
        <v>-1.5999999999999903E-2</v>
      </c>
      <c r="O16" s="83">
        <v>45516</v>
      </c>
      <c r="P16" s="81">
        <v>4.51</v>
      </c>
      <c r="Q16" s="82">
        <f t="shared" si="3"/>
        <v>-2.1691973969631295E-2</v>
      </c>
      <c r="S16" s="78">
        <v>45516</v>
      </c>
      <c r="T16" s="106">
        <v>52.53</v>
      </c>
      <c r="U16" s="107">
        <f t="shared" si="4"/>
        <v>-1.6476315296760857E-2</v>
      </c>
      <c r="W16" s="78">
        <v>45516</v>
      </c>
      <c r="X16" s="106">
        <v>10.39</v>
      </c>
      <c r="Y16" s="107">
        <f t="shared" si="5"/>
        <v>-1.1417697431018059E-2</v>
      </c>
      <c r="AA16" s="78">
        <v>45516</v>
      </c>
      <c r="AB16" s="110">
        <v>6051.09</v>
      </c>
      <c r="AC16" s="107">
        <f t="shared" si="6"/>
        <v>-6.4332123206360947E-3</v>
      </c>
    </row>
    <row r="17" spans="3:29" x14ac:dyDescent="0.35">
      <c r="C17" s="78">
        <v>45303</v>
      </c>
      <c r="D17" s="75">
        <v>389.22</v>
      </c>
      <c r="E17" s="165">
        <f t="shared" si="0"/>
        <v>0.1276509444895122</v>
      </c>
      <c r="G17" s="83">
        <v>45303</v>
      </c>
      <c r="H17" s="81">
        <v>22.32</v>
      </c>
      <c r="I17" s="82">
        <f t="shared" si="1"/>
        <v>-5.7432432432432456E-2</v>
      </c>
      <c r="K17" s="96">
        <v>45303</v>
      </c>
      <c r="L17" s="94">
        <v>12.5</v>
      </c>
      <c r="M17" s="95">
        <f t="shared" si="2"/>
        <v>3.734439834024883E-2</v>
      </c>
      <c r="O17" s="83">
        <v>45303</v>
      </c>
      <c r="P17" s="81">
        <v>4.6100000000000003</v>
      </c>
      <c r="Q17" s="82">
        <f t="shared" si="3"/>
        <v>2.9017857142857206E-2</v>
      </c>
      <c r="S17" s="78">
        <v>45303</v>
      </c>
      <c r="T17" s="106">
        <v>53.41</v>
      </c>
      <c r="U17" s="107">
        <f t="shared" si="4"/>
        <v>-3.9215686274509887E-2</v>
      </c>
      <c r="W17" s="78">
        <v>45303</v>
      </c>
      <c r="X17" s="106">
        <v>10.51</v>
      </c>
      <c r="Y17" s="107">
        <f t="shared" si="5"/>
        <v>-5.5705300988319939E-2</v>
      </c>
      <c r="AA17" s="78">
        <v>45303</v>
      </c>
      <c r="AB17" s="110">
        <v>6090.27</v>
      </c>
      <c r="AC17" s="107">
        <f t="shared" si="6"/>
        <v>9.5965439842982114E-3</v>
      </c>
    </row>
    <row r="18" spans="3:29" x14ac:dyDescent="0.35">
      <c r="C18" s="77" t="s">
        <v>169</v>
      </c>
      <c r="D18" s="75">
        <v>345.16</v>
      </c>
      <c r="E18" s="165">
        <f t="shared" si="0"/>
        <v>-2.0989335148627108E-2</v>
      </c>
      <c r="G18" s="80" t="s">
        <v>169</v>
      </c>
      <c r="H18" s="81">
        <v>23.68</v>
      </c>
      <c r="I18" s="82">
        <f t="shared" si="1"/>
        <v>6.2836624775583383E-2</v>
      </c>
      <c r="K18" s="93" t="s">
        <v>169</v>
      </c>
      <c r="L18" s="94">
        <v>12.05</v>
      </c>
      <c r="M18" s="95">
        <f t="shared" si="2"/>
        <v>1.1754827875734675E-2</v>
      </c>
      <c r="O18" s="80" t="s">
        <v>169</v>
      </c>
      <c r="P18" s="81">
        <v>4.4800000000000004</v>
      </c>
      <c r="Q18" s="82">
        <f t="shared" si="3"/>
        <v>-7.4380165289256062E-2</v>
      </c>
      <c r="S18" s="77" t="s">
        <v>169</v>
      </c>
      <c r="T18" s="106">
        <v>55.59</v>
      </c>
      <c r="U18" s="107">
        <f t="shared" si="4"/>
        <v>-5.0230650948231648E-2</v>
      </c>
      <c r="W18" s="77" t="s">
        <v>169</v>
      </c>
      <c r="X18" s="106">
        <v>11.13</v>
      </c>
      <c r="Y18" s="107">
        <f t="shared" si="5"/>
        <v>-4.472271914132242E-3</v>
      </c>
      <c r="AA18" s="77" t="s">
        <v>169</v>
      </c>
      <c r="AB18" s="110">
        <v>6032.38</v>
      </c>
      <c r="AC18" s="107">
        <f t="shared" si="6"/>
        <v>1.0560631493598871E-2</v>
      </c>
    </row>
    <row r="19" spans="3:29" x14ac:dyDescent="0.35">
      <c r="C19" s="77" t="s">
        <v>170</v>
      </c>
      <c r="D19" s="75">
        <v>352.56</v>
      </c>
      <c r="E19" s="165">
        <f t="shared" si="0"/>
        <v>9.9276627587927102E-2</v>
      </c>
      <c r="G19" s="80" t="s">
        <v>170</v>
      </c>
      <c r="H19" s="81">
        <v>22.28</v>
      </c>
      <c r="I19" s="82">
        <f t="shared" si="1"/>
        <v>-1.936619718309851E-2</v>
      </c>
      <c r="K19" s="93" t="s">
        <v>170</v>
      </c>
      <c r="L19" s="94">
        <v>11.91</v>
      </c>
      <c r="M19" s="95">
        <f t="shared" si="2"/>
        <v>-6.5149136577708044E-2</v>
      </c>
      <c r="O19" s="80" t="s">
        <v>170</v>
      </c>
      <c r="P19" s="81">
        <v>4.84</v>
      </c>
      <c r="Q19" s="82">
        <f t="shared" si="3"/>
        <v>7.795100222717144E-2</v>
      </c>
      <c r="S19" s="77" t="s">
        <v>170</v>
      </c>
      <c r="T19" s="106">
        <v>58.53</v>
      </c>
      <c r="U19" s="107">
        <f t="shared" si="4"/>
        <v>2.6122019635343552E-2</v>
      </c>
      <c r="W19" s="77" t="s">
        <v>170</v>
      </c>
      <c r="X19" s="106">
        <v>11.18</v>
      </c>
      <c r="Y19" s="107">
        <f t="shared" si="5"/>
        <v>1.5440508628519423E-2</v>
      </c>
      <c r="AA19" s="77" t="s">
        <v>170</v>
      </c>
      <c r="AB19" s="110">
        <v>5969.34</v>
      </c>
      <c r="AC19" s="107">
        <f t="shared" si="6"/>
        <v>1.6815941076070429E-2</v>
      </c>
    </row>
    <row r="20" spans="3:29" x14ac:dyDescent="0.35">
      <c r="C20" s="78">
        <v>45576</v>
      </c>
      <c r="D20" s="75">
        <v>320.72000000000003</v>
      </c>
      <c r="E20" s="165">
        <f t="shared" si="0"/>
        <v>-1.5565655936741196E-3</v>
      </c>
      <c r="G20" s="83">
        <v>45576</v>
      </c>
      <c r="H20" s="81">
        <v>22.72</v>
      </c>
      <c r="I20" s="82">
        <f t="shared" si="1"/>
        <v>-3.9323467230443998E-2</v>
      </c>
      <c r="K20" s="96">
        <v>45576</v>
      </c>
      <c r="L20" s="94">
        <v>12.74</v>
      </c>
      <c r="M20" s="95">
        <f t="shared" si="2"/>
        <v>-0.12077294685990336</v>
      </c>
      <c r="O20" s="83">
        <v>45576</v>
      </c>
      <c r="P20" s="81">
        <v>4.49</v>
      </c>
      <c r="Q20" s="82">
        <f t="shared" si="3"/>
        <v>-0.11787819253438103</v>
      </c>
      <c r="S20" s="78">
        <v>45576</v>
      </c>
      <c r="T20" s="106">
        <v>57.04</v>
      </c>
      <c r="U20" s="107">
        <f t="shared" si="4"/>
        <v>2.6268441885570315E-2</v>
      </c>
      <c r="W20" s="78">
        <v>45576</v>
      </c>
      <c r="X20" s="106">
        <v>11.01</v>
      </c>
      <c r="Y20" s="107">
        <f t="shared" si="5"/>
        <v>3.6463081130355679E-3</v>
      </c>
      <c r="AA20" s="78">
        <v>45576</v>
      </c>
      <c r="AB20" s="110">
        <v>5870.62</v>
      </c>
      <c r="AC20" s="107">
        <f t="shared" si="6"/>
        <v>-2.0835487712532963E-2</v>
      </c>
    </row>
    <row r="21" spans="3:29" x14ac:dyDescent="0.35">
      <c r="C21" s="78">
        <v>45362</v>
      </c>
      <c r="D21" s="75">
        <v>321.22000000000003</v>
      </c>
      <c r="E21" s="165">
        <f t="shared" si="0"/>
        <v>0.29014378664953022</v>
      </c>
      <c r="G21" s="83">
        <v>45362</v>
      </c>
      <c r="H21" s="81">
        <v>23.65</v>
      </c>
      <c r="I21" s="82">
        <f t="shared" si="1"/>
        <v>-5.6264964086193192E-2</v>
      </c>
      <c r="K21" s="96">
        <v>45362</v>
      </c>
      <c r="L21" s="94">
        <v>14.49</v>
      </c>
      <c r="M21" s="95">
        <f t="shared" si="2"/>
        <v>0.2578125</v>
      </c>
      <c r="O21" s="83">
        <v>45362</v>
      </c>
      <c r="P21" s="81">
        <v>5.09</v>
      </c>
      <c r="Q21" s="82">
        <f t="shared" si="3"/>
        <v>-1.9607843137254832E-3</v>
      </c>
      <c r="S21" s="78">
        <v>45362</v>
      </c>
      <c r="T21" s="106">
        <v>55.58</v>
      </c>
      <c r="U21" s="107">
        <f t="shared" si="4"/>
        <v>9.0659340659340559E-2</v>
      </c>
      <c r="W21" s="78">
        <v>45362</v>
      </c>
      <c r="X21" s="106">
        <v>10.97</v>
      </c>
      <c r="Y21" s="107">
        <f t="shared" si="5"/>
        <v>7.3385518590997956E-2</v>
      </c>
      <c r="AA21" s="78">
        <v>45362</v>
      </c>
      <c r="AB21" s="110">
        <v>5995.54</v>
      </c>
      <c r="AC21" s="107">
        <f t="shared" si="6"/>
        <v>4.6561234464460144E-2</v>
      </c>
    </row>
    <row r="22" spans="3:29" x14ac:dyDescent="0.35">
      <c r="C22" s="77" t="s">
        <v>171</v>
      </c>
      <c r="D22" s="75">
        <v>248.98</v>
      </c>
      <c r="E22" s="165">
        <f t="shared" si="0"/>
        <v>-7.5077083101155351E-2</v>
      </c>
      <c r="G22" s="80" t="s">
        <v>171</v>
      </c>
      <c r="H22" s="81">
        <v>25.06</v>
      </c>
      <c r="I22" s="82">
        <f t="shared" si="1"/>
        <v>-0.12955887460923932</v>
      </c>
      <c r="K22" s="93" t="s">
        <v>171</v>
      </c>
      <c r="L22" s="94">
        <v>11.52</v>
      </c>
      <c r="M22" s="95">
        <f t="shared" si="2"/>
        <v>3.5040431266846195E-2</v>
      </c>
      <c r="O22" s="80" t="s">
        <v>171</v>
      </c>
      <c r="P22" s="81">
        <v>5.0999999999999996</v>
      </c>
      <c r="Q22" s="82">
        <f t="shared" si="3"/>
        <v>-3.041825095057038E-2</v>
      </c>
      <c r="S22" s="77" t="s">
        <v>171</v>
      </c>
      <c r="T22" s="106">
        <v>50.96</v>
      </c>
      <c r="U22" s="107">
        <f t="shared" si="4"/>
        <v>-2.1317457269060869E-2</v>
      </c>
      <c r="W22" s="77" t="s">
        <v>171</v>
      </c>
      <c r="X22" s="106">
        <v>10.220000000000001</v>
      </c>
      <c r="Y22" s="107">
        <f t="shared" si="5"/>
        <v>-7.6784101174345087E-2</v>
      </c>
      <c r="AA22" s="77" t="s">
        <v>171</v>
      </c>
      <c r="AB22" s="110">
        <v>5728.8</v>
      </c>
      <c r="AC22" s="107">
        <f t="shared" si="6"/>
        <v>-1.3656742629284513E-2</v>
      </c>
    </row>
    <row r="23" spans="3:29" x14ac:dyDescent="0.35">
      <c r="C23" s="77" t="s">
        <v>172</v>
      </c>
      <c r="D23" s="75">
        <v>269.19</v>
      </c>
      <c r="E23" s="165">
        <f t="shared" si="0"/>
        <v>0.21971001359311293</v>
      </c>
      <c r="G23" s="80" t="s">
        <v>172</v>
      </c>
      <c r="H23" s="81">
        <v>28.79</v>
      </c>
      <c r="I23" s="82">
        <f t="shared" si="1"/>
        <v>0.1401980198019801</v>
      </c>
      <c r="K23" s="93" t="s">
        <v>172</v>
      </c>
      <c r="L23" s="94">
        <v>11.13</v>
      </c>
      <c r="M23" s="95">
        <f t="shared" si="2"/>
        <v>6.1010486177311751E-2</v>
      </c>
      <c r="O23" s="80" t="s">
        <v>172</v>
      </c>
      <c r="P23" s="81">
        <v>5.26</v>
      </c>
      <c r="Q23" s="82">
        <f t="shared" si="3"/>
        <v>7.6628352490422103E-3</v>
      </c>
      <c r="S23" s="77" t="s">
        <v>172</v>
      </c>
      <c r="T23" s="106">
        <v>52.07</v>
      </c>
      <c r="U23" s="107">
        <f t="shared" si="4"/>
        <v>5.8763725091500518E-2</v>
      </c>
      <c r="W23" s="77" t="s">
        <v>172</v>
      </c>
      <c r="X23" s="106">
        <v>11.07</v>
      </c>
      <c r="Y23" s="107">
        <f t="shared" si="5"/>
        <v>-2.7027027027026751E-3</v>
      </c>
      <c r="AA23" s="77" t="s">
        <v>172</v>
      </c>
      <c r="AB23" s="110">
        <v>5808.12</v>
      </c>
      <c r="AC23" s="107">
        <f t="shared" si="6"/>
        <v>-9.6424862780003506E-3</v>
      </c>
    </row>
    <row r="24" spans="3:29" x14ac:dyDescent="0.35">
      <c r="C24" s="77" t="s">
        <v>173</v>
      </c>
      <c r="D24" s="75">
        <v>220.7</v>
      </c>
      <c r="E24" s="165">
        <f t="shared" si="0"/>
        <v>1.33149678604223E-2</v>
      </c>
      <c r="G24" s="80" t="s">
        <v>173</v>
      </c>
      <c r="H24" s="81">
        <v>25.25</v>
      </c>
      <c r="I24" s="82">
        <f t="shared" si="1"/>
        <v>-6.6543438077634076E-2</v>
      </c>
      <c r="K24" s="93" t="s">
        <v>173</v>
      </c>
      <c r="L24" s="94">
        <v>10.49</v>
      </c>
      <c r="M24" s="95">
        <f t="shared" si="2"/>
        <v>-0.18682170542635657</v>
      </c>
      <c r="O24" s="80" t="s">
        <v>173</v>
      </c>
      <c r="P24" s="81">
        <v>5.22</v>
      </c>
      <c r="Q24" s="82">
        <f t="shared" si="3"/>
        <v>-0.16346153846153855</v>
      </c>
      <c r="S24" s="77" t="s">
        <v>173</v>
      </c>
      <c r="T24" s="106">
        <v>49.18</v>
      </c>
      <c r="U24" s="107">
        <f t="shared" si="4"/>
        <v>2.7365782327136046E-2</v>
      </c>
      <c r="W24" s="77" t="s">
        <v>173</v>
      </c>
      <c r="X24" s="106">
        <v>11.1</v>
      </c>
      <c r="Y24" s="107">
        <f t="shared" si="5"/>
        <v>3.5447761194029814E-2</v>
      </c>
      <c r="AA24" s="77" t="s">
        <v>173</v>
      </c>
      <c r="AB24" s="110">
        <v>5864.67</v>
      </c>
      <c r="AC24" s="107">
        <f t="shared" si="6"/>
        <v>8.5364993817744761E-3</v>
      </c>
    </row>
    <row r="25" spans="3:29" x14ac:dyDescent="0.35">
      <c r="C25" s="78">
        <v>45453</v>
      </c>
      <c r="D25" s="75">
        <v>217.8</v>
      </c>
      <c r="E25" s="165">
        <f t="shared" si="0"/>
        <v>-0.12907869481765832</v>
      </c>
      <c r="G25" s="83">
        <v>45453</v>
      </c>
      <c r="H25" s="81">
        <v>27.05</v>
      </c>
      <c r="I25" s="82">
        <f t="shared" si="1"/>
        <v>-7.6161202185792365E-2</v>
      </c>
      <c r="K25" s="96">
        <v>45453</v>
      </c>
      <c r="L25" s="94">
        <v>12.9</v>
      </c>
      <c r="M25" s="95">
        <f t="shared" si="2"/>
        <v>7.0257611241217877E-3</v>
      </c>
      <c r="O25" s="83">
        <v>45453</v>
      </c>
      <c r="P25" s="81">
        <v>6.24</v>
      </c>
      <c r="Q25" s="82">
        <f t="shared" si="3"/>
        <v>-7.8286558345642465E-2</v>
      </c>
      <c r="S25" s="78">
        <v>45453</v>
      </c>
      <c r="T25" s="106">
        <v>47.87</v>
      </c>
      <c r="U25" s="107">
        <f t="shared" si="4"/>
        <v>4.7942206654991271E-2</v>
      </c>
      <c r="W25" s="78">
        <v>45453</v>
      </c>
      <c r="X25" s="106">
        <v>10.72</v>
      </c>
      <c r="Y25" s="107">
        <f t="shared" si="5"/>
        <v>1.4191106906338735E-2</v>
      </c>
      <c r="AA25" s="78">
        <v>45453</v>
      </c>
      <c r="AB25" s="110">
        <v>5815.03</v>
      </c>
      <c r="AC25" s="107">
        <f t="shared" si="6"/>
        <v>1.1121408711770142E-2</v>
      </c>
    </row>
    <row r="26" spans="3:29" x14ac:dyDescent="0.35">
      <c r="C26" s="77" t="s">
        <v>174</v>
      </c>
      <c r="D26" s="75">
        <v>250.08</v>
      </c>
      <c r="E26" s="165">
        <f t="shared" si="0"/>
        <v>-3.9852568532596E-2</v>
      </c>
      <c r="G26" s="80" t="s">
        <v>174</v>
      </c>
      <c r="H26" s="81">
        <v>29.28</v>
      </c>
      <c r="I26" s="82">
        <f t="shared" si="1"/>
        <v>0.13576415826221866</v>
      </c>
      <c r="K26" s="93" t="s">
        <v>174</v>
      </c>
      <c r="L26" s="94">
        <v>12.81</v>
      </c>
      <c r="M26" s="95">
        <f t="shared" si="2"/>
        <v>7.0754716981131782E-3</v>
      </c>
      <c r="O26" s="80" t="s">
        <v>174</v>
      </c>
      <c r="P26" s="81">
        <v>6.77</v>
      </c>
      <c r="Q26" s="82">
        <f t="shared" si="3"/>
        <v>3.8343558282208701E-2</v>
      </c>
      <c r="S26" s="77" t="s">
        <v>174</v>
      </c>
      <c r="T26" s="106">
        <v>45.68</v>
      </c>
      <c r="U26" s="107">
        <f t="shared" si="4"/>
        <v>-1.7211703958691871E-2</v>
      </c>
      <c r="W26" s="77" t="s">
        <v>174</v>
      </c>
      <c r="X26" s="106">
        <v>10.57</v>
      </c>
      <c r="Y26" s="107">
        <f t="shared" si="5"/>
        <v>-1.9480519480519431E-2</v>
      </c>
      <c r="AA26" s="77" t="s">
        <v>174</v>
      </c>
      <c r="AB26" s="110">
        <v>5751.07</v>
      </c>
      <c r="AC26" s="107">
        <f t="shared" si="6"/>
        <v>2.2481034894399343E-3</v>
      </c>
    </row>
    <row r="27" spans="3:29" x14ac:dyDescent="0.35">
      <c r="C27" s="77" t="s">
        <v>175</v>
      </c>
      <c r="D27" s="75">
        <v>260.45999999999998</v>
      </c>
      <c r="E27" s="165">
        <f t="shared" si="0"/>
        <v>9.3221406086043901E-2</v>
      </c>
      <c r="G27" s="80" t="s">
        <v>175</v>
      </c>
      <c r="H27" s="81">
        <v>25.78</v>
      </c>
      <c r="I27" s="82">
        <f t="shared" si="1"/>
        <v>0.19684308263695471</v>
      </c>
      <c r="K27" s="93" t="s">
        <v>175</v>
      </c>
      <c r="L27" s="94">
        <v>12.72</v>
      </c>
      <c r="M27" s="95">
        <f t="shared" si="2"/>
        <v>0.32500000000000018</v>
      </c>
      <c r="O27" s="80" t="s">
        <v>175</v>
      </c>
      <c r="P27" s="81">
        <v>6.52</v>
      </c>
      <c r="Q27" s="82">
        <f t="shared" si="3"/>
        <v>0.23484848484848464</v>
      </c>
      <c r="S27" s="77" t="s">
        <v>175</v>
      </c>
      <c r="T27" s="106">
        <v>46.48</v>
      </c>
      <c r="U27" s="107">
        <f t="shared" si="4"/>
        <v>-4.9099836333879043E-2</v>
      </c>
      <c r="W27" s="77" t="s">
        <v>175</v>
      </c>
      <c r="X27" s="106">
        <v>10.78</v>
      </c>
      <c r="Y27" s="107">
        <f t="shared" si="5"/>
        <v>-9.1911764705883137E-3</v>
      </c>
      <c r="AA27" s="77" t="s">
        <v>175</v>
      </c>
      <c r="AB27" s="110">
        <v>5738.17</v>
      </c>
      <c r="AC27" s="107">
        <f t="shared" si="6"/>
        <v>6.2463283969451666E-3</v>
      </c>
    </row>
    <row r="28" spans="3:29" x14ac:dyDescent="0.35">
      <c r="C28" s="77" t="s">
        <v>176</v>
      </c>
      <c r="D28" s="75">
        <v>238.25</v>
      </c>
      <c r="E28" s="165">
        <f t="shared" si="0"/>
        <v>3.4565113552477378E-2</v>
      </c>
      <c r="G28" s="80" t="s">
        <v>176</v>
      </c>
      <c r="H28" s="81">
        <v>21.54</v>
      </c>
      <c r="I28" s="82">
        <f t="shared" si="1"/>
        <v>0.12656903765690375</v>
      </c>
      <c r="K28" s="93" t="s">
        <v>176</v>
      </c>
      <c r="L28" s="94">
        <v>9.6</v>
      </c>
      <c r="M28" s="95">
        <f t="shared" si="2"/>
        <v>7.0234113712374535E-2</v>
      </c>
      <c r="O28" s="80" t="s">
        <v>176</v>
      </c>
      <c r="P28" s="81">
        <v>5.28</v>
      </c>
      <c r="Q28" s="82">
        <f t="shared" si="3"/>
        <v>-4.8648648648648596E-2</v>
      </c>
      <c r="S28" s="77" t="s">
        <v>176</v>
      </c>
      <c r="T28" s="106">
        <v>48.88</v>
      </c>
      <c r="U28" s="107">
        <f t="shared" si="4"/>
        <v>5.5723542116630886E-2</v>
      </c>
      <c r="W28" s="77" t="s">
        <v>176</v>
      </c>
      <c r="X28" s="106">
        <v>10.88</v>
      </c>
      <c r="Y28" s="107">
        <f t="shared" si="5"/>
        <v>1.7773620205799867E-2</v>
      </c>
      <c r="AA28" s="77" t="s">
        <v>176</v>
      </c>
      <c r="AB28" s="110">
        <v>5702.55</v>
      </c>
      <c r="AC28" s="107">
        <f t="shared" si="6"/>
        <v>1.3602866680175296E-2</v>
      </c>
    </row>
    <row r="29" spans="3:29" x14ac:dyDescent="0.35">
      <c r="C29" s="78">
        <v>45513</v>
      </c>
      <c r="D29" s="75">
        <v>230.29</v>
      </c>
      <c r="E29" s="165">
        <f t="shared" si="0"/>
        <v>9.2820196459925119E-2</v>
      </c>
      <c r="G29" s="83">
        <v>45513</v>
      </c>
      <c r="H29" s="81">
        <v>19.12</v>
      </c>
      <c r="I29" s="82">
        <f t="shared" si="1"/>
        <v>4.4238121245221418E-2</v>
      </c>
      <c r="K29" s="96">
        <v>45513</v>
      </c>
      <c r="L29" s="94">
        <v>8.9700000000000006</v>
      </c>
      <c r="M29" s="95">
        <f t="shared" si="2"/>
        <v>5.0351288056206256E-2</v>
      </c>
      <c r="O29" s="83">
        <v>45513</v>
      </c>
      <c r="P29" s="81">
        <v>5.55</v>
      </c>
      <c r="Q29" s="82">
        <f t="shared" si="3"/>
        <v>0.10557768924302802</v>
      </c>
      <c r="S29" s="78">
        <v>45513</v>
      </c>
      <c r="T29" s="106">
        <v>46.3</v>
      </c>
      <c r="U29" s="107">
        <f t="shared" si="4"/>
        <v>-1.7819261773440842E-2</v>
      </c>
      <c r="W29" s="78">
        <v>45513</v>
      </c>
      <c r="X29" s="106">
        <v>10.69</v>
      </c>
      <c r="Y29" s="107">
        <f t="shared" si="5"/>
        <v>1.0396975425330801E-2</v>
      </c>
      <c r="AA29" s="78">
        <v>45513</v>
      </c>
      <c r="AB29" s="110">
        <v>5626.02</v>
      </c>
      <c r="AC29" s="107">
        <f t="shared" si="6"/>
        <v>4.0233561742616164E-2</v>
      </c>
    </row>
    <row r="30" spans="3:29" x14ac:dyDescent="0.35">
      <c r="C30" s="78">
        <v>45300</v>
      </c>
      <c r="D30" s="75">
        <v>210.73</v>
      </c>
      <c r="E30" s="165">
        <f t="shared" si="0"/>
        <v>-1.5786278081360128E-2</v>
      </c>
      <c r="G30" s="83">
        <v>45300</v>
      </c>
      <c r="H30" s="81">
        <v>18.309999999999999</v>
      </c>
      <c r="I30" s="82">
        <f t="shared" si="1"/>
        <v>-5.9095580678314552E-2</v>
      </c>
      <c r="K30" s="96">
        <v>45300</v>
      </c>
      <c r="L30" s="94">
        <v>8.5399999999999991</v>
      </c>
      <c r="M30" s="95">
        <f t="shared" si="2"/>
        <v>6.0869565217391175E-2</v>
      </c>
      <c r="O30" s="83">
        <v>45300</v>
      </c>
      <c r="P30" s="81">
        <v>5.0199999999999996</v>
      </c>
      <c r="Q30" s="82">
        <f t="shared" si="3"/>
        <v>0.24257425742574257</v>
      </c>
      <c r="S30" s="78">
        <v>45300</v>
      </c>
      <c r="T30" s="106">
        <v>47.14</v>
      </c>
      <c r="U30" s="107">
        <f t="shared" si="4"/>
        <v>-5.3033346725592567E-2</v>
      </c>
      <c r="W30" s="78">
        <v>45300</v>
      </c>
      <c r="X30" s="106">
        <v>10.58</v>
      </c>
      <c r="Y30" s="107">
        <f t="shared" si="5"/>
        <v>-5.4512957998212652E-2</v>
      </c>
      <c r="AA30" s="78">
        <v>45300</v>
      </c>
      <c r="AB30" s="110">
        <v>5408.42</v>
      </c>
      <c r="AC30" s="107">
        <f t="shared" si="6"/>
        <v>-4.2486367820975812E-2</v>
      </c>
    </row>
    <row r="31" spans="3:29" x14ac:dyDescent="0.35">
      <c r="C31" s="77" t="s">
        <v>177</v>
      </c>
      <c r="D31" s="75">
        <v>214.11</v>
      </c>
      <c r="E31" s="165">
        <f t="shared" si="0"/>
        <v>-2.8186274509803821E-2</v>
      </c>
      <c r="G31" s="80" t="s">
        <v>177</v>
      </c>
      <c r="H31" s="81">
        <v>19.46</v>
      </c>
      <c r="I31" s="82">
        <f t="shared" si="1"/>
        <v>-8.2940622054665347E-2</v>
      </c>
      <c r="K31" s="93" t="s">
        <v>177</v>
      </c>
      <c r="L31" s="94">
        <v>8.0500000000000007</v>
      </c>
      <c r="M31" s="95">
        <f t="shared" si="2"/>
        <v>0.14835948644793162</v>
      </c>
      <c r="O31" s="80" t="s">
        <v>177</v>
      </c>
      <c r="P31" s="81">
        <v>4.04</v>
      </c>
      <c r="Q31" s="82">
        <f t="shared" si="3"/>
        <v>-9.8039215686274161E-3</v>
      </c>
      <c r="S31" s="77" t="s">
        <v>177</v>
      </c>
      <c r="T31" s="106">
        <v>49.78</v>
      </c>
      <c r="U31" s="107">
        <f t="shared" si="4"/>
        <v>2.4912497426395008E-2</v>
      </c>
      <c r="W31" s="77" t="s">
        <v>177</v>
      </c>
      <c r="X31" s="106">
        <v>11.19</v>
      </c>
      <c r="Y31" s="107">
        <f t="shared" si="5"/>
        <v>-7.098491570541321E-3</v>
      </c>
      <c r="AA31" s="77" t="s">
        <v>177</v>
      </c>
      <c r="AB31" s="110">
        <v>5648.4</v>
      </c>
      <c r="AC31" s="107">
        <f t="shared" si="6"/>
        <v>2.4473743524395797E-3</v>
      </c>
    </row>
    <row r="32" spans="3:29" x14ac:dyDescent="0.35">
      <c r="C32" s="77" t="s">
        <v>178</v>
      </c>
      <c r="D32" s="75">
        <v>220.32</v>
      </c>
      <c r="E32" s="165">
        <f t="shared" si="0"/>
        <v>1.9433647973348123E-2</v>
      </c>
      <c r="G32" s="80" t="s">
        <v>178</v>
      </c>
      <c r="H32" s="81">
        <v>21.22</v>
      </c>
      <c r="I32" s="82">
        <f t="shared" si="1"/>
        <v>3.3609352167559559E-2</v>
      </c>
      <c r="K32" s="93" t="s">
        <v>178</v>
      </c>
      <c r="L32" s="94">
        <v>7.01</v>
      </c>
      <c r="M32" s="95">
        <f t="shared" si="2"/>
        <v>1.0086455331411948E-2</v>
      </c>
      <c r="O32" s="80" t="s">
        <v>178</v>
      </c>
      <c r="P32" s="81">
        <v>4.08</v>
      </c>
      <c r="Q32" s="82">
        <f t="shared" si="3"/>
        <v>3.2911392405063244E-2</v>
      </c>
      <c r="S32" s="77" t="s">
        <v>178</v>
      </c>
      <c r="T32" s="106">
        <v>48.57</v>
      </c>
      <c r="U32" s="107">
        <f t="shared" si="4"/>
        <v>7.1712268314209959E-2</v>
      </c>
      <c r="W32" s="77" t="s">
        <v>178</v>
      </c>
      <c r="X32" s="106">
        <v>11.27</v>
      </c>
      <c r="Y32" s="107">
        <f t="shared" si="5"/>
        <v>7.231208372978104E-2</v>
      </c>
      <c r="AA32" s="77" t="s">
        <v>178</v>
      </c>
      <c r="AB32" s="110">
        <v>5634.61</v>
      </c>
      <c r="AC32" s="107">
        <f t="shared" si="6"/>
        <v>1.4468200027006217E-2</v>
      </c>
    </row>
    <row r="33" spans="3:29" x14ac:dyDescent="0.35">
      <c r="C33" s="78">
        <v>45604</v>
      </c>
      <c r="D33" s="75">
        <v>216.12</v>
      </c>
      <c r="E33" s="165">
        <f t="shared" si="0"/>
        <v>8.0600000000000005E-2</v>
      </c>
      <c r="G33" s="83">
        <v>45604</v>
      </c>
      <c r="H33" s="81">
        <v>20.53</v>
      </c>
      <c r="I33" s="82">
        <f t="shared" si="1"/>
        <v>3.2176973353444049E-2</v>
      </c>
      <c r="K33" s="96">
        <v>45604</v>
      </c>
      <c r="L33" s="94">
        <v>6.94</v>
      </c>
      <c r="M33" s="95">
        <f t="shared" si="2"/>
        <v>1.1661807580174877E-2</v>
      </c>
      <c r="O33" s="83">
        <v>45604</v>
      </c>
      <c r="P33" s="81">
        <v>3.95</v>
      </c>
      <c r="Q33" s="82">
        <f t="shared" si="3"/>
        <v>4.497354497354511E-2</v>
      </c>
      <c r="S33" s="78">
        <v>45604</v>
      </c>
      <c r="T33" s="106">
        <v>45.32</v>
      </c>
      <c r="U33" s="107">
        <f t="shared" si="4"/>
        <v>4.2318307267709354E-2</v>
      </c>
      <c r="W33" s="78">
        <v>45604</v>
      </c>
      <c r="X33" s="106">
        <v>10.51</v>
      </c>
      <c r="Y33" s="107">
        <f t="shared" si="5"/>
        <v>4.059405940594063E-2</v>
      </c>
      <c r="AA33" s="78">
        <v>45604</v>
      </c>
      <c r="AB33" s="110">
        <v>5554.25</v>
      </c>
      <c r="AC33" s="107">
        <f t="shared" si="6"/>
        <v>3.9312071494865375E-2</v>
      </c>
    </row>
    <row r="34" spans="3:29" x14ac:dyDescent="0.35">
      <c r="C34" s="78">
        <v>45390</v>
      </c>
      <c r="D34" s="75">
        <v>200</v>
      </c>
      <c r="E34" s="165">
        <f t="shared" si="0"/>
        <v>-3.693359657148354E-2</v>
      </c>
      <c r="G34" s="83">
        <v>45390</v>
      </c>
      <c r="H34" s="81">
        <v>19.89</v>
      </c>
      <c r="I34" s="82">
        <f t="shared" si="1"/>
        <v>3.5937500000000178E-2</v>
      </c>
      <c r="K34" s="96">
        <v>45390</v>
      </c>
      <c r="L34" s="94">
        <v>6.86</v>
      </c>
      <c r="M34" s="95">
        <f t="shared" si="2"/>
        <v>-9.2592592592592449E-2</v>
      </c>
      <c r="O34" s="83">
        <v>45390</v>
      </c>
      <c r="P34" s="81">
        <v>3.78</v>
      </c>
      <c r="Q34" s="82">
        <f t="shared" si="3"/>
        <v>-6.6666666666666652E-2</v>
      </c>
      <c r="S34" s="78">
        <v>45390</v>
      </c>
      <c r="T34" s="106">
        <v>43.48</v>
      </c>
      <c r="U34" s="107">
        <f t="shared" si="4"/>
        <v>5.6108817099829844E-2</v>
      </c>
      <c r="W34" s="78">
        <v>45390</v>
      </c>
      <c r="X34" s="106">
        <v>10.1</v>
      </c>
      <c r="Y34" s="107">
        <f t="shared" si="5"/>
        <v>6.9790628115653508E-3</v>
      </c>
      <c r="AA34" s="78">
        <v>45390</v>
      </c>
      <c r="AB34" s="110">
        <v>5344.16</v>
      </c>
      <c r="AC34" s="107">
        <f t="shared" si="6"/>
        <v>-4.4888676083321144E-4</v>
      </c>
    </row>
    <row r="35" spans="3:29" x14ac:dyDescent="0.35">
      <c r="C35" s="77" t="s">
        <v>179</v>
      </c>
      <c r="D35" s="75">
        <v>207.67</v>
      </c>
      <c r="E35" s="165">
        <f t="shared" si="0"/>
        <v>-5.5186533212011057E-2</v>
      </c>
      <c r="G35" s="80" t="s">
        <v>179</v>
      </c>
      <c r="H35" s="81">
        <v>19.2</v>
      </c>
      <c r="I35" s="82">
        <f t="shared" si="1"/>
        <v>3.1347962382444194E-3</v>
      </c>
      <c r="K35" s="93" t="s">
        <v>179</v>
      </c>
      <c r="L35" s="94">
        <v>7.56</v>
      </c>
      <c r="M35" s="95">
        <f t="shared" si="2"/>
        <v>-0.1116333725029377</v>
      </c>
      <c r="O35" s="80" t="s">
        <v>179</v>
      </c>
      <c r="P35" s="81">
        <v>4.05</v>
      </c>
      <c r="Q35" s="82">
        <f t="shared" si="3"/>
        <v>-8.5778781038374663E-2</v>
      </c>
      <c r="S35" s="77" t="s">
        <v>179</v>
      </c>
      <c r="T35" s="106">
        <v>41.17</v>
      </c>
      <c r="U35" s="107">
        <f t="shared" si="4"/>
        <v>-6.6863100634632744E-2</v>
      </c>
      <c r="W35" s="77" t="s">
        <v>179</v>
      </c>
      <c r="X35" s="106">
        <v>10.029999999999999</v>
      </c>
      <c r="Y35" s="107">
        <f t="shared" si="5"/>
        <v>-0.10366398570151925</v>
      </c>
      <c r="AA35" s="77" t="s">
        <v>179</v>
      </c>
      <c r="AB35" s="110">
        <v>5346.56</v>
      </c>
      <c r="AC35" s="107">
        <f t="shared" si="6"/>
        <v>-2.0615119708376817E-2</v>
      </c>
    </row>
    <row r="36" spans="3:29" x14ac:dyDescent="0.35">
      <c r="C36" s="77" t="s">
        <v>180</v>
      </c>
      <c r="D36" s="75">
        <v>219.8</v>
      </c>
      <c r="E36" s="165">
        <f t="shared" si="0"/>
        <v>-8.1103678929765777E-2</v>
      </c>
      <c r="G36" s="80" t="s">
        <v>180</v>
      </c>
      <c r="H36" s="81">
        <v>19.14</v>
      </c>
      <c r="I36" s="82">
        <f t="shared" si="1"/>
        <v>-2.5458248472505107E-2</v>
      </c>
      <c r="K36" s="93" t="s">
        <v>180</v>
      </c>
      <c r="L36" s="94">
        <v>8.51</v>
      </c>
      <c r="M36" s="95">
        <f t="shared" si="2"/>
        <v>7.1005917159763232E-3</v>
      </c>
      <c r="O36" s="80" t="s">
        <v>180</v>
      </c>
      <c r="P36" s="81">
        <v>4.43</v>
      </c>
      <c r="Q36" s="82">
        <f t="shared" si="3"/>
        <v>-6.7264573991031584E-3</v>
      </c>
      <c r="S36" s="77" t="s">
        <v>180</v>
      </c>
      <c r="T36" s="106">
        <v>44.12</v>
      </c>
      <c r="U36" s="107">
        <f t="shared" si="4"/>
        <v>-8.654244306418224E-2</v>
      </c>
      <c r="W36" s="77" t="s">
        <v>180</v>
      </c>
      <c r="X36" s="106">
        <v>11.19</v>
      </c>
      <c r="Y36" s="107">
        <f t="shared" si="5"/>
        <v>-0.19957081545064381</v>
      </c>
      <c r="AA36" s="77" t="s">
        <v>180</v>
      </c>
      <c r="AB36" s="110">
        <v>5459.1</v>
      </c>
      <c r="AC36" s="107">
        <f t="shared" si="6"/>
        <v>-8.3378746594005015E-3</v>
      </c>
    </row>
    <row r="37" spans="3:29" x14ac:dyDescent="0.35">
      <c r="C37" s="77" t="s">
        <v>181</v>
      </c>
      <c r="D37" s="75">
        <v>239.2</v>
      </c>
      <c r="E37" s="165">
        <f t="shared" si="0"/>
        <v>-3.6377553075776503E-2</v>
      </c>
      <c r="G37" s="80" t="s">
        <v>181</v>
      </c>
      <c r="H37" s="81">
        <v>19.64</v>
      </c>
      <c r="I37" s="82">
        <f t="shared" si="1"/>
        <v>-7.7067669172932396E-2</v>
      </c>
      <c r="K37" s="93" t="s">
        <v>181</v>
      </c>
      <c r="L37" s="94">
        <v>8.4499999999999993</v>
      </c>
      <c r="M37" s="95">
        <f t="shared" si="2"/>
        <v>-4.4117647058823595E-2</v>
      </c>
      <c r="O37" s="80" t="s">
        <v>181</v>
      </c>
      <c r="P37" s="81">
        <v>4.46</v>
      </c>
      <c r="Q37" s="82">
        <f t="shared" si="3"/>
        <v>-8.4188911704312197E-2</v>
      </c>
      <c r="S37" s="77" t="s">
        <v>181</v>
      </c>
      <c r="T37" s="106">
        <v>48.3</v>
      </c>
      <c r="U37" s="107">
        <f t="shared" si="4"/>
        <v>-1.4486839420526421E-2</v>
      </c>
      <c r="W37" s="77" t="s">
        <v>181</v>
      </c>
      <c r="X37" s="106">
        <v>13.98</v>
      </c>
      <c r="Y37" s="107">
        <f t="shared" si="5"/>
        <v>-3.5637918745544672E-3</v>
      </c>
      <c r="AA37" s="77" t="s">
        <v>181</v>
      </c>
      <c r="AB37" s="110">
        <v>5505</v>
      </c>
      <c r="AC37" s="107">
        <f t="shared" si="6"/>
        <v>-1.965149100234187E-2</v>
      </c>
    </row>
    <row r="38" spans="3:29" x14ac:dyDescent="0.35">
      <c r="C38" s="78">
        <v>45480</v>
      </c>
      <c r="D38" s="75">
        <v>248.23</v>
      </c>
      <c r="E38" s="165">
        <f t="shared" si="0"/>
        <v>-1.3080470737913519E-2</v>
      </c>
      <c r="G38" s="83">
        <v>45480</v>
      </c>
      <c r="H38" s="81">
        <v>21.28</v>
      </c>
      <c r="I38" s="82">
        <f t="shared" si="1"/>
        <v>4.0078201368523914E-2</v>
      </c>
      <c r="K38" s="96">
        <v>45480</v>
      </c>
      <c r="L38" s="94">
        <v>8.84</v>
      </c>
      <c r="M38" s="95">
        <f t="shared" si="2"/>
        <v>0.11616161616161613</v>
      </c>
      <c r="O38" s="83">
        <v>45480</v>
      </c>
      <c r="P38" s="81">
        <v>4.87</v>
      </c>
      <c r="Q38" s="82">
        <f t="shared" si="3"/>
        <v>5.4112554112554001E-2</v>
      </c>
      <c r="S38" s="78">
        <v>45480</v>
      </c>
      <c r="T38" s="106">
        <v>49.01</v>
      </c>
      <c r="U38" s="107">
        <f t="shared" si="4"/>
        <v>5.3525365434221817E-2</v>
      </c>
      <c r="W38" s="78">
        <v>45480</v>
      </c>
      <c r="X38" s="106">
        <v>14.03</v>
      </c>
      <c r="Y38" s="107">
        <f t="shared" si="5"/>
        <v>9.2679127725856736E-2</v>
      </c>
      <c r="AA38" s="78">
        <v>45480</v>
      </c>
      <c r="AB38" s="110">
        <v>5615.35</v>
      </c>
      <c r="AC38" s="107">
        <f t="shared" si="6"/>
        <v>8.6506837381157276E-3</v>
      </c>
    </row>
    <row r="39" spans="3:29" x14ac:dyDescent="0.35">
      <c r="C39" s="77" t="s">
        <v>182</v>
      </c>
      <c r="D39" s="75">
        <v>251.52</v>
      </c>
      <c r="E39" s="165">
        <f t="shared" si="0"/>
        <v>0.27107337780473029</v>
      </c>
      <c r="G39" s="80" t="s">
        <v>182</v>
      </c>
      <c r="H39" s="81">
        <v>20.46</v>
      </c>
      <c r="I39" s="82">
        <f t="shared" si="1"/>
        <v>0.144295302013423</v>
      </c>
      <c r="K39" s="93" t="s">
        <v>182</v>
      </c>
      <c r="L39" s="94">
        <v>7.92</v>
      </c>
      <c r="M39" s="95">
        <f t="shared" si="2"/>
        <v>8.0491132332878523E-2</v>
      </c>
      <c r="O39" s="80" t="s">
        <v>182</v>
      </c>
      <c r="P39" s="81">
        <v>4.62</v>
      </c>
      <c r="Q39" s="82">
        <f t="shared" si="3"/>
        <v>0.11057692307692313</v>
      </c>
      <c r="S39" s="77" t="s">
        <v>182</v>
      </c>
      <c r="T39" s="106">
        <v>46.52</v>
      </c>
      <c r="U39" s="107">
        <f t="shared" si="4"/>
        <v>1.2914334911753311E-3</v>
      </c>
      <c r="W39" s="77" t="s">
        <v>182</v>
      </c>
      <c r="X39" s="106">
        <v>12.84</v>
      </c>
      <c r="Y39" s="107">
        <f t="shared" si="5"/>
        <v>2.3923444976076569E-2</v>
      </c>
      <c r="AA39" s="77" t="s">
        <v>182</v>
      </c>
      <c r="AB39" s="110">
        <v>5567.19</v>
      </c>
      <c r="AC39" s="107">
        <f t="shared" si="6"/>
        <v>1.9542238045006988E-2</v>
      </c>
    </row>
    <row r="40" spans="3:29" x14ac:dyDescent="0.35">
      <c r="C40" s="77" t="s">
        <v>183</v>
      </c>
      <c r="D40" s="75">
        <v>197.88</v>
      </c>
      <c r="E40" s="165">
        <f t="shared" si="0"/>
        <v>8.1252390579749756E-2</v>
      </c>
      <c r="G40" s="80" t="s">
        <v>183</v>
      </c>
      <c r="H40" s="81">
        <v>17.88</v>
      </c>
      <c r="I40" s="82">
        <f t="shared" si="1"/>
        <v>5.5959709009512082E-4</v>
      </c>
      <c r="K40" s="93" t="s">
        <v>183</v>
      </c>
      <c r="L40" s="94">
        <v>7.33</v>
      </c>
      <c r="M40" s="95">
        <f t="shared" si="2"/>
        <v>-5.1746442432082818E-2</v>
      </c>
      <c r="O40" s="80" t="s">
        <v>183</v>
      </c>
      <c r="P40" s="81">
        <v>4.16</v>
      </c>
      <c r="Q40" s="82">
        <f t="shared" si="3"/>
        <v>-3.2558139534883623E-2</v>
      </c>
      <c r="S40" s="77" t="s">
        <v>183</v>
      </c>
      <c r="T40" s="106">
        <v>46.46</v>
      </c>
      <c r="U40" s="107">
        <f t="shared" si="4"/>
        <v>-2.6404023470243065E-2</v>
      </c>
      <c r="W40" s="77" t="s">
        <v>183</v>
      </c>
      <c r="X40" s="106">
        <v>12.54</v>
      </c>
      <c r="Y40" s="107">
        <f t="shared" si="5"/>
        <v>5.912162162162149E-2</v>
      </c>
      <c r="AA40" s="77" t="s">
        <v>183</v>
      </c>
      <c r="AB40" s="110">
        <v>5460.48</v>
      </c>
      <c r="AC40" s="107">
        <f t="shared" si="6"/>
        <v>-7.5760071148589514E-4</v>
      </c>
    </row>
    <row r="41" spans="3:29" x14ac:dyDescent="0.35">
      <c r="C41" s="77" t="s">
        <v>184</v>
      </c>
      <c r="D41" s="75">
        <v>183.01</v>
      </c>
      <c r="E41" s="165">
        <f t="shared" si="0"/>
        <v>2.8088309645525555E-2</v>
      </c>
      <c r="G41" s="80" t="s">
        <v>184</v>
      </c>
      <c r="H41" s="81">
        <v>17.87</v>
      </c>
      <c r="I41" s="82">
        <f t="shared" si="1"/>
        <v>-4.9468085106383008E-2</v>
      </c>
      <c r="K41" s="93" t="s">
        <v>184</v>
      </c>
      <c r="L41" s="94">
        <v>7.73</v>
      </c>
      <c r="M41" s="95">
        <f t="shared" si="2"/>
        <v>7.5104311543810809E-2</v>
      </c>
      <c r="O41" s="80" t="s">
        <v>184</v>
      </c>
      <c r="P41" s="81">
        <v>4.3</v>
      </c>
      <c r="Q41" s="82">
        <f t="shared" si="3"/>
        <v>-6.9284064665127154E-3</v>
      </c>
      <c r="S41" s="77" t="s">
        <v>184</v>
      </c>
      <c r="T41" s="106">
        <v>47.72</v>
      </c>
      <c r="U41" s="107">
        <f t="shared" si="4"/>
        <v>2.0312165918323632E-2</v>
      </c>
      <c r="W41" s="77" t="s">
        <v>184</v>
      </c>
      <c r="X41" s="106">
        <v>11.84</v>
      </c>
      <c r="Y41" s="107">
        <f t="shared" si="5"/>
        <v>1.1101622544833489E-2</v>
      </c>
      <c r="AA41" s="77" t="s">
        <v>184</v>
      </c>
      <c r="AB41" s="110">
        <v>5464.62</v>
      </c>
      <c r="AC41" s="107">
        <f t="shared" si="6"/>
        <v>6.079240002945685E-3</v>
      </c>
    </row>
    <row r="42" spans="3:29" x14ac:dyDescent="0.35">
      <c r="C42" s="78">
        <v>45541</v>
      </c>
      <c r="D42" s="75">
        <v>178.01</v>
      </c>
      <c r="E42" s="165">
        <f t="shared" si="0"/>
        <v>2.9862519720531555E-3</v>
      </c>
      <c r="G42" s="83">
        <v>45541</v>
      </c>
      <c r="H42" s="81">
        <v>18.8</v>
      </c>
      <c r="I42" s="82">
        <f t="shared" si="1"/>
        <v>-6.3745019920318557E-2</v>
      </c>
      <c r="K42" s="96">
        <v>45541</v>
      </c>
      <c r="L42" s="94">
        <v>7.19</v>
      </c>
      <c r="M42" s="95">
        <f t="shared" si="2"/>
        <v>-0.11779141104294477</v>
      </c>
      <c r="O42" s="83">
        <v>45541</v>
      </c>
      <c r="P42" s="81">
        <v>4.33</v>
      </c>
      <c r="Q42" s="82">
        <f t="shared" si="3"/>
        <v>-0.10351966873706009</v>
      </c>
      <c r="S42" s="78">
        <v>45541</v>
      </c>
      <c r="T42" s="106">
        <v>46.77</v>
      </c>
      <c r="U42" s="107">
        <f t="shared" si="4"/>
        <v>2.2965879265091971E-2</v>
      </c>
      <c r="W42" s="78">
        <v>45541</v>
      </c>
      <c r="X42" s="106">
        <v>11.71</v>
      </c>
      <c r="Y42" s="107">
        <f t="shared" si="5"/>
        <v>-3.6213991769547316E-2</v>
      </c>
      <c r="AA42" s="78">
        <v>45541</v>
      </c>
      <c r="AB42" s="110">
        <v>5431.6</v>
      </c>
      <c r="AC42" s="107">
        <f t="shared" si="6"/>
        <v>1.5823856038631234E-2</v>
      </c>
    </row>
    <row r="43" spans="3:29" x14ac:dyDescent="0.35">
      <c r="C43" s="78">
        <v>45328</v>
      </c>
      <c r="D43" s="75">
        <v>177.48</v>
      </c>
      <c r="E43" s="165">
        <f t="shared" si="0"/>
        <v>-3.369272237196852E-3</v>
      </c>
      <c r="G43" s="83">
        <v>45328</v>
      </c>
      <c r="H43" s="81">
        <v>20.079999999999998</v>
      </c>
      <c r="I43" s="82">
        <f t="shared" si="1"/>
        <v>-8.3950617283951035E-3</v>
      </c>
      <c r="K43" s="96">
        <v>45328</v>
      </c>
      <c r="L43" s="94">
        <v>8.15</v>
      </c>
      <c r="M43" s="95">
        <f t="shared" si="2"/>
        <v>-1.9253910950661868E-2</v>
      </c>
      <c r="O43" s="83">
        <v>45328</v>
      </c>
      <c r="P43" s="81">
        <v>4.83</v>
      </c>
      <c r="Q43" s="82">
        <f t="shared" si="3"/>
        <v>-0.10389610389610382</v>
      </c>
      <c r="S43" s="78">
        <v>45328</v>
      </c>
      <c r="T43" s="106">
        <v>45.72</v>
      </c>
      <c r="U43" s="107">
        <f t="shared" si="4"/>
        <v>1.6225827961769301E-2</v>
      </c>
      <c r="W43" s="78">
        <v>45328</v>
      </c>
      <c r="X43" s="106">
        <v>12.15</v>
      </c>
      <c r="Y43" s="107">
        <f t="shared" si="5"/>
        <v>1.6488046166529546E-3</v>
      </c>
      <c r="AA43" s="78">
        <v>45328</v>
      </c>
      <c r="AB43" s="110">
        <v>5346.99</v>
      </c>
      <c r="AC43" s="107">
        <f t="shared" si="6"/>
        <v>1.3165299544671605E-2</v>
      </c>
    </row>
    <row r="44" spans="3:29" x14ac:dyDescent="0.35">
      <c r="C44" s="77" t="s">
        <v>185</v>
      </c>
      <c r="D44" s="75">
        <v>178.08</v>
      </c>
      <c r="E44" s="165">
        <f t="shared" si="0"/>
        <v>-6.4717696942646619E-3</v>
      </c>
      <c r="G44" s="80" t="s">
        <v>185</v>
      </c>
      <c r="H44" s="81">
        <v>20.25</v>
      </c>
      <c r="I44" s="82">
        <f t="shared" si="1"/>
        <v>-2.9542097488921559E-3</v>
      </c>
      <c r="K44" s="93" t="s">
        <v>185</v>
      </c>
      <c r="L44" s="94">
        <v>8.31</v>
      </c>
      <c r="M44" s="95">
        <f t="shared" si="2"/>
        <v>1.3414634146341697E-2</v>
      </c>
      <c r="O44" s="80" t="s">
        <v>185</v>
      </c>
      <c r="P44" s="81">
        <v>5.39</v>
      </c>
      <c r="Q44" s="82">
        <f t="shared" si="3"/>
        <v>0.1159420289855071</v>
      </c>
      <c r="S44" s="77" t="s">
        <v>185</v>
      </c>
      <c r="T44" s="106">
        <v>44.99</v>
      </c>
      <c r="U44" s="107">
        <f t="shared" si="4"/>
        <v>1.9950124688279391E-2</v>
      </c>
      <c r="W44" s="77" t="s">
        <v>185</v>
      </c>
      <c r="X44" s="106">
        <v>12.13</v>
      </c>
      <c r="Y44" s="107">
        <f t="shared" si="5"/>
        <v>-2.4671052631578538E-3</v>
      </c>
      <c r="AA44" s="77" t="s">
        <v>185</v>
      </c>
      <c r="AB44" s="110">
        <v>5277.51</v>
      </c>
      <c r="AC44" s="107">
        <f t="shared" si="6"/>
        <v>-5.1293941998823422E-3</v>
      </c>
    </row>
    <row r="45" spans="3:29" x14ac:dyDescent="0.35">
      <c r="C45" s="77" t="s">
        <v>186</v>
      </c>
      <c r="D45" s="75">
        <v>179.24</v>
      </c>
      <c r="E45" s="165">
        <f t="shared" si="0"/>
        <v>1.0030429392539064E-2</v>
      </c>
      <c r="G45" s="80" t="s">
        <v>186</v>
      </c>
      <c r="H45" s="81">
        <v>20.309999999999999</v>
      </c>
      <c r="I45" s="82">
        <f t="shared" si="1"/>
        <v>-0.1840096424266775</v>
      </c>
      <c r="K45" s="93" t="s">
        <v>186</v>
      </c>
      <c r="L45" s="94">
        <v>8.1999999999999993</v>
      </c>
      <c r="M45" s="95">
        <f t="shared" si="2"/>
        <v>-1.2048192771084487E-2</v>
      </c>
      <c r="O45" s="80" t="s">
        <v>186</v>
      </c>
      <c r="P45" s="81">
        <v>4.83</v>
      </c>
      <c r="Q45" s="82">
        <f t="shared" si="3"/>
        <v>-8.5227272727272707E-2</v>
      </c>
      <c r="S45" s="77" t="s">
        <v>186</v>
      </c>
      <c r="T45" s="106">
        <v>44.11</v>
      </c>
      <c r="U45" s="107">
        <f t="shared" si="4"/>
        <v>-3.6057692307692291E-2</v>
      </c>
      <c r="W45" s="77" t="s">
        <v>186</v>
      </c>
      <c r="X45" s="106">
        <v>12.16</v>
      </c>
      <c r="Y45" s="107">
        <f t="shared" si="5"/>
        <v>-9.7719869706839324E-3</v>
      </c>
      <c r="AA45" s="77" t="s">
        <v>186</v>
      </c>
      <c r="AB45" s="110">
        <v>5304.72</v>
      </c>
      <c r="AC45" s="107">
        <f t="shared" si="6"/>
        <v>2.7341621301579799E-4</v>
      </c>
    </row>
    <row r="46" spans="3:29" x14ac:dyDescent="0.35">
      <c r="C46" s="78">
        <v>45631</v>
      </c>
      <c r="D46" s="75">
        <v>177.46</v>
      </c>
      <c r="E46" s="165">
        <f t="shared" si="0"/>
        <v>5.3362616489582848E-2</v>
      </c>
      <c r="G46" s="83">
        <v>45631</v>
      </c>
      <c r="H46" s="81">
        <v>24.89</v>
      </c>
      <c r="I46" s="82">
        <f t="shared" si="1"/>
        <v>-6.7440989134507356E-2</v>
      </c>
      <c r="K46" s="96">
        <v>45631</v>
      </c>
      <c r="L46" s="94">
        <v>8.3000000000000007</v>
      </c>
      <c r="M46" s="95">
        <f t="shared" si="2"/>
        <v>7.3738680465718076E-2</v>
      </c>
      <c r="O46" s="83">
        <v>45631</v>
      </c>
      <c r="P46" s="81">
        <v>5.28</v>
      </c>
      <c r="Q46" s="82">
        <f t="shared" si="3"/>
        <v>4.1420118343195256E-2</v>
      </c>
      <c r="S46" s="78">
        <v>45631</v>
      </c>
      <c r="T46" s="106">
        <v>45.76</v>
      </c>
      <c r="U46" s="107">
        <f t="shared" si="4"/>
        <v>1.2165450121654375E-2</v>
      </c>
      <c r="W46" s="78">
        <v>45631</v>
      </c>
      <c r="X46" s="106">
        <v>12.28</v>
      </c>
      <c r="Y46" s="107">
        <f t="shared" si="5"/>
        <v>2.4186822351959902E-2</v>
      </c>
      <c r="AA46" s="78">
        <v>45631</v>
      </c>
      <c r="AB46" s="110">
        <v>5303.27</v>
      </c>
      <c r="AC46" s="107">
        <f t="shared" si="6"/>
        <v>1.5430775004403818E-2</v>
      </c>
    </row>
    <row r="47" spans="3:29" x14ac:dyDescent="0.35">
      <c r="C47" s="78">
        <v>45417</v>
      </c>
      <c r="D47" s="75">
        <v>168.47</v>
      </c>
      <c r="E47" s="165">
        <f t="shared" si="0"/>
        <v>-7.0202549809592174E-2</v>
      </c>
      <c r="G47" s="83">
        <v>45417</v>
      </c>
      <c r="H47" s="81">
        <v>26.69</v>
      </c>
      <c r="I47" s="82">
        <f t="shared" si="1"/>
        <v>-4.6785714285714208E-2</v>
      </c>
      <c r="K47" s="96">
        <v>45417</v>
      </c>
      <c r="L47" s="94">
        <v>7.73</v>
      </c>
      <c r="M47" s="95">
        <f t="shared" si="2"/>
        <v>-0.14679911699779247</v>
      </c>
      <c r="O47" s="83">
        <v>45417</v>
      </c>
      <c r="P47" s="81">
        <v>5.07</v>
      </c>
      <c r="Q47" s="82">
        <f t="shared" si="3"/>
        <v>-8.9766606822262118E-2</v>
      </c>
      <c r="S47" s="78">
        <v>45417</v>
      </c>
      <c r="T47" s="106">
        <v>45.21</v>
      </c>
      <c r="U47" s="107">
        <f t="shared" si="4"/>
        <v>7.8020508247882425E-3</v>
      </c>
      <c r="W47" s="78">
        <v>45417</v>
      </c>
      <c r="X47" s="106">
        <v>11.99</v>
      </c>
      <c r="Y47" s="107">
        <f t="shared" si="5"/>
        <v>-3.5398230088495519E-2</v>
      </c>
      <c r="AA47" s="78">
        <v>45417</v>
      </c>
      <c r="AB47" s="110">
        <v>5222.68</v>
      </c>
      <c r="AC47" s="107">
        <f t="shared" si="6"/>
        <v>1.8505047983634393E-2</v>
      </c>
    </row>
    <row r="48" spans="3:29" x14ac:dyDescent="0.35">
      <c r="C48" s="77" t="s">
        <v>187</v>
      </c>
      <c r="D48" s="75">
        <v>181.19</v>
      </c>
      <c r="E48" s="165">
        <f t="shared" si="0"/>
        <v>7.6653395923703238E-2</v>
      </c>
      <c r="G48" s="80" t="s">
        <v>187</v>
      </c>
      <c r="H48" s="81">
        <v>28</v>
      </c>
      <c r="I48" s="82">
        <f t="shared" si="1"/>
        <v>0.1182108626198084</v>
      </c>
      <c r="K48" s="93" t="s">
        <v>187</v>
      </c>
      <c r="L48" s="94">
        <v>9.06</v>
      </c>
      <c r="M48" s="95">
        <f t="shared" si="2"/>
        <v>0.15561224489795933</v>
      </c>
      <c r="O48" s="80" t="s">
        <v>187</v>
      </c>
      <c r="P48" s="81">
        <v>5.57</v>
      </c>
      <c r="Q48" s="82">
        <f t="shared" si="3"/>
        <v>0.24053452115812912</v>
      </c>
      <c r="S48" s="77" t="s">
        <v>187</v>
      </c>
      <c r="T48" s="106">
        <v>44.86</v>
      </c>
      <c r="U48" s="107">
        <f t="shared" si="4"/>
        <v>-2.1378708551483494E-2</v>
      </c>
      <c r="W48" s="77" t="s">
        <v>187</v>
      </c>
      <c r="X48" s="106">
        <v>12.43</v>
      </c>
      <c r="Y48" s="107">
        <f t="shared" si="5"/>
        <v>-2.8146989835809211E-2</v>
      </c>
      <c r="AA48" s="77" t="s">
        <v>187</v>
      </c>
      <c r="AB48" s="110">
        <v>5127.79</v>
      </c>
      <c r="AC48" s="107">
        <f t="shared" si="6"/>
        <v>5.4569055443571823E-3</v>
      </c>
    </row>
    <row r="49" spans="3:29" x14ac:dyDescent="0.35">
      <c r="C49" s="77" t="s">
        <v>188</v>
      </c>
      <c r="D49" s="75">
        <v>168.29</v>
      </c>
      <c r="E49" s="165">
        <f t="shared" si="0"/>
        <v>0.14444066643998621</v>
      </c>
      <c r="G49" s="80" t="s">
        <v>188</v>
      </c>
      <c r="H49" s="81">
        <v>25.04</v>
      </c>
      <c r="I49" s="82">
        <f t="shared" si="1"/>
        <v>-5.0796057619408641E-2</v>
      </c>
      <c r="K49" s="93" t="s">
        <v>188</v>
      </c>
      <c r="L49" s="94">
        <v>7.84</v>
      </c>
      <c r="M49" s="95">
        <f t="shared" si="2"/>
        <v>0.13131313131313127</v>
      </c>
      <c r="O49" s="80" t="s">
        <v>188</v>
      </c>
      <c r="P49" s="81">
        <v>4.49</v>
      </c>
      <c r="Q49" s="82">
        <f t="shared" si="3"/>
        <v>0.18157894736842106</v>
      </c>
      <c r="S49" s="77" t="s">
        <v>188</v>
      </c>
      <c r="T49" s="106">
        <v>45.84</v>
      </c>
      <c r="U49" s="107">
        <f t="shared" si="4"/>
        <v>8.1897569034694584E-2</v>
      </c>
      <c r="W49" s="77" t="s">
        <v>188</v>
      </c>
      <c r="X49" s="106">
        <v>12.79</v>
      </c>
      <c r="Y49" s="107">
        <f t="shared" si="5"/>
        <v>5.354200988467861E-2</v>
      </c>
      <c r="AA49" s="77" t="s">
        <v>188</v>
      </c>
      <c r="AB49" s="110">
        <v>5099.96</v>
      </c>
      <c r="AC49" s="107">
        <f t="shared" si="6"/>
        <v>2.6721130287907124E-2</v>
      </c>
    </row>
    <row r="50" spans="3:29" x14ac:dyDescent="0.35">
      <c r="C50" s="77" t="s">
        <v>189</v>
      </c>
      <c r="D50" s="75">
        <v>147.05000000000001</v>
      </c>
      <c r="E50" s="165">
        <f t="shared" si="0"/>
        <v>-0.14030985092078341</v>
      </c>
      <c r="G50" s="80" t="s">
        <v>189</v>
      </c>
      <c r="H50" s="81">
        <v>26.38</v>
      </c>
      <c r="I50" s="82">
        <f t="shared" si="1"/>
        <v>-0.1024157876828854</v>
      </c>
      <c r="K50" s="93" t="s">
        <v>189</v>
      </c>
      <c r="L50" s="94">
        <v>6.93</v>
      </c>
      <c r="M50" s="95">
        <f t="shared" si="2"/>
        <v>-7.104557640750675E-2</v>
      </c>
      <c r="O50" s="80" t="s">
        <v>189</v>
      </c>
      <c r="P50" s="81">
        <v>3.8</v>
      </c>
      <c r="Q50" s="82">
        <f t="shared" si="3"/>
        <v>-7.5425790754258037E-2</v>
      </c>
      <c r="S50" s="77" t="s">
        <v>189</v>
      </c>
      <c r="T50" s="106">
        <v>42.37</v>
      </c>
      <c r="U50" s="107">
        <f t="shared" si="4"/>
        <v>-1.6480965645311096E-2</v>
      </c>
      <c r="W50" s="77" t="s">
        <v>189</v>
      </c>
      <c r="X50" s="106">
        <v>12.14</v>
      </c>
      <c r="Y50" s="107">
        <f t="shared" si="5"/>
        <v>-3.727200634417116E-2</v>
      </c>
      <c r="AA50" s="77" t="s">
        <v>189</v>
      </c>
      <c r="AB50" s="110">
        <v>4967.2299999999996</v>
      </c>
      <c r="AC50" s="107">
        <f t="shared" si="6"/>
        <v>-3.0483603693633787E-2</v>
      </c>
    </row>
    <row r="51" spans="3:29" x14ac:dyDescent="0.35">
      <c r="C51" s="78">
        <v>45477</v>
      </c>
      <c r="D51" s="75">
        <v>171.05</v>
      </c>
      <c r="E51" s="165">
        <f t="shared" si="0"/>
        <v>3.7295330503335444E-2</v>
      </c>
      <c r="G51" s="83">
        <v>45477</v>
      </c>
      <c r="H51" s="81">
        <v>29.39</v>
      </c>
      <c r="I51" s="82">
        <f t="shared" si="1"/>
        <v>-1.4750251424740068E-2</v>
      </c>
      <c r="K51" s="96">
        <v>45477</v>
      </c>
      <c r="L51" s="94">
        <v>7.46</v>
      </c>
      <c r="M51" s="95">
        <f t="shared" si="2"/>
        <v>9.4722598105547728E-3</v>
      </c>
      <c r="O51" s="83">
        <v>45477</v>
      </c>
      <c r="P51" s="81">
        <v>4.1100000000000003</v>
      </c>
      <c r="Q51" s="82">
        <f t="shared" si="3"/>
        <v>-6.3781321184510076E-2</v>
      </c>
      <c r="S51" s="78">
        <v>45477</v>
      </c>
      <c r="T51" s="106">
        <v>43.08</v>
      </c>
      <c r="U51" s="107">
        <f t="shared" si="4"/>
        <v>-2.6000452181777045E-2</v>
      </c>
      <c r="W51" s="78">
        <v>45477</v>
      </c>
      <c r="X51" s="106">
        <v>12.61</v>
      </c>
      <c r="Y51" s="107">
        <f t="shared" si="5"/>
        <v>-5.0451807228915624E-2</v>
      </c>
      <c r="AA51" s="78">
        <v>45477</v>
      </c>
      <c r="AB51" s="110">
        <v>5123.41</v>
      </c>
      <c r="AC51" s="107">
        <f t="shared" si="6"/>
        <v>-1.5550482866223292E-2</v>
      </c>
    </row>
    <row r="52" spans="3:29" x14ac:dyDescent="0.35">
      <c r="C52" s="77" t="s">
        <v>190</v>
      </c>
      <c r="D52" s="75">
        <v>164.9</v>
      </c>
      <c r="E52" s="165">
        <f t="shared" si="0"/>
        <v>-6.1948916320609726E-2</v>
      </c>
      <c r="G52" s="80" t="s">
        <v>190</v>
      </c>
      <c r="H52" s="81">
        <v>29.83</v>
      </c>
      <c r="I52" s="82">
        <f t="shared" si="1"/>
        <v>-1.4861294583883855E-2</v>
      </c>
      <c r="K52" s="93" t="s">
        <v>190</v>
      </c>
      <c r="L52" s="94">
        <v>7.39</v>
      </c>
      <c r="M52" s="95">
        <f t="shared" si="2"/>
        <v>-3.776041666666663E-2</v>
      </c>
      <c r="O52" s="80" t="s">
        <v>190</v>
      </c>
      <c r="P52" s="81">
        <v>4.3899999999999997</v>
      </c>
      <c r="Q52" s="82">
        <f t="shared" si="3"/>
        <v>-2.4444444444444491E-2</v>
      </c>
      <c r="S52" s="77" t="s">
        <v>190</v>
      </c>
      <c r="T52" s="106">
        <v>44.23</v>
      </c>
      <c r="U52" s="107">
        <f t="shared" si="4"/>
        <v>-2.4696802646086091E-2</v>
      </c>
      <c r="W52" s="77" t="s">
        <v>190</v>
      </c>
      <c r="X52" s="106">
        <v>13.28</v>
      </c>
      <c r="Y52" s="107">
        <f t="shared" si="5"/>
        <v>0</v>
      </c>
      <c r="AA52" s="77" t="s">
        <v>190</v>
      </c>
      <c r="AB52" s="110">
        <v>5204.34</v>
      </c>
      <c r="AC52" s="107">
        <f t="shared" si="6"/>
        <v>-9.5178280853007724E-3</v>
      </c>
    </row>
    <row r="53" spans="3:29" x14ac:dyDescent="0.35">
      <c r="C53" s="77" t="s">
        <v>191</v>
      </c>
      <c r="D53" s="75">
        <v>175.79</v>
      </c>
      <c r="E53" s="165">
        <f t="shared" si="0"/>
        <v>2.9034712872446189E-2</v>
      </c>
      <c r="G53" s="80" t="s">
        <v>191</v>
      </c>
      <c r="H53" s="81">
        <v>30.28</v>
      </c>
      <c r="I53" s="82">
        <f t="shared" si="1"/>
        <v>-7.2131147540983598E-3</v>
      </c>
      <c r="K53" s="93" t="s">
        <v>191</v>
      </c>
      <c r="L53" s="94">
        <v>7.68</v>
      </c>
      <c r="M53" s="95">
        <f t="shared" si="2"/>
        <v>-9.8591549295774628E-2</v>
      </c>
      <c r="O53" s="80" t="s">
        <v>191</v>
      </c>
      <c r="P53" s="81">
        <v>4.5</v>
      </c>
      <c r="Q53" s="82">
        <f t="shared" si="3"/>
        <v>-7.9754601226993849E-2</v>
      </c>
      <c r="S53" s="77" t="s">
        <v>191</v>
      </c>
      <c r="T53" s="106">
        <v>45.35</v>
      </c>
      <c r="U53" s="107">
        <f t="shared" si="4"/>
        <v>5.318160705991648E-2</v>
      </c>
      <c r="W53" s="77" t="s">
        <v>191</v>
      </c>
      <c r="X53" s="106">
        <v>13.28</v>
      </c>
      <c r="Y53" s="107">
        <f t="shared" si="5"/>
        <v>2.8659953524399651E-2</v>
      </c>
      <c r="AA53" s="77" t="s">
        <v>191</v>
      </c>
      <c r="AB53" s="110">
        <v>5254.35</v>
      </c>
      <c r="AC53" s="107">
        <f t="shared" si="6"/>
        <v>3.8535166922040176E-3</v>
      </c>
    </row>
    <row r="54" spans="3:29" x14ac:dyDescent="0.35">
      <c r="C54" s="77" t="s">
        <v>192</v>
      </c>
      <c r="D54" s="75">
        <v>170.83</v>
      </c>
      <c r="E54" s="165">
        <f t="shared" si="0"/>
        <v>4.4384667114996779E-2</v>
      </c>
      <c r="G54" s="80" t="s">
        <v>192</v>
      </c>
      <c r="H54" s="81">
        <v>30.5</v>
      </c>
      <c r="I54" s="82">
        <f t="shared" si="1"/>
        <v>-0.19248080487159125</v>
      </c>
      <c r="K54" s="93" t="s">
        <v>192</v>
      </c>
      <c r="L54" s="94">
        <v>8.52</v>
      </c>
      <c r="M54" s="95">
        <f t="shared" si="2"/>
        <v>-0.11618257261410803</v>
      </c>
      <c r="O54" s="80" t="s">
        <v>192</v>
      </c>
      <c r="P54" s="81">
        <v>4.8899999999999997</v>
      </c>
      <c r="Q54" s="82">
        <f t="shared" si="3"/>
        <v>-0.12365591397849474</v>
      </c>
      <c r="S54" s="77" t="s">
        <v>192</v>
      </c>
      <c r="T54" s="106">
        <v>43.06</v>
      </c>
      <c r="U54" s="107">
        <f t="shared" si="4"/>
        <v>5.8245269107888964E-2</v>
      </c>
      <c r="W54" s="77" t="s">
        <v>192</v>
      </c>
      <c r="X54" s="106">
        <v>12.91</v>
      </c>
      <c r="Y54" s="107">
        <f t="shared" si="5"/>
        <v>7.0480928689883982E-2</v>
      </c>
      <c r="AA54" s="77" t="s">
        <v>192</v>
      </c>
      <c r="AB54" s="110">
        <v>5234.18</v>
      </c>
      <c r="AC54" s="107">
        <f t="shared" si="6"/>
        <v>2.2882145907146434E-2</v>
      </c>
    </row>
    <row r="55" spans="3:29" x14ac:dyDescent="0.35">
      <c r="C55" s="78">
        <v>45568</v>
      </c>
      <c r="D55" s="75">
        <v>163.57</v>
      </c>
      <c r="E55" s="165">
        <f t="shared" si="0"/>
        <v>-6.7126725219573413E-2</v>
      </c>
      <c r="G55" s="83">
        <v>45568</v>
      </c>
      <c r="H55" s="81">
        <v>37.770000000000003</v>
      </c>
      <c r="I55" s="82">
        <f t="shared" si="1"/>
        <v>3.935057787561913E-2</v>
      </c>
      <c r="K55" s="96">
        <v>45568</v>
      </c>
      <c r="L55" s="94">
        <v>9.64</v>
      </c>
      <c r="M55" s="95">
        <f t="shared" si="2"/>
        <v>1.26050420168069E-2</v>
      </c>
      <c r="O55" s="83">
        <v>45568</v>
      </c>
      <c r="P55" s="81">
        <v>5.58</v>
      </c>
      <c r="Q55" s="82">
        <f t="shared" si="3"/>
        <v>-3.7931034482758585E-2</v>
      </c>
      <c r="S55" s="78">
        <v>45568</v>
      </c>
      <c r="T55" s="106">
        <v>40.69</v>
      </c>
      <c r="U55" s="107">
        <f t="shared" si="4"/>
        <v>3.0126582278480862E-2</v>
      </c>
      <c r="W55" s="78">
        <v>45568</v>
      </c>
      <c r="X55" s="106">
        <v>12.06</v>
      </c>
      <c r="Y55" s="107">
        <f t="shared" si="5"/>
        <v>-9.8522167487684609E-3</v>
      </c>
      <c r="AA55" s="78">
        <v>45568</v>
      </c>
      <c r="AB55" s="110">
        <v>5117.09</v>
      </c>
      <c r="AC55" s="107">
        <f t="shared" si="6"/>
        <v>-1.2881341377014577E-3</v>
      </c>
    </row>
    <row r="56" spans="3:29" x14ac:dyDescent="0.35">
      <c r="C56" s="78">
        <v>45354</v>
      </c>
      <c r="D56" s="75">
        <v>175.34</v>
      </c>
      <c r="E56" s="165">
        <f t="shared" si="0"/>
        <v>-0.13472167390446099</v>
      </c>
      <c r="G56" s="83">
        <v>45354</v>
      </c>
      <c r="H56" s="81">
        <v>36.340000000000003</v>
      </c>
      <c r="I56" s="82">
        <f t="shared" si="1"/>
        <v>-0.16536518144235179</v>
      </c>
      <c r="K56" s="96">
        <v>45354</v>
      </c>
      <c r="L56" s="94">
        <v>9.52</v>
      </c>
      <c r="M56" s="95">
        <f t="shared" si="2"/>
        <v>-4.3216080402009971E-2</v>
      </c>
      <c r="O56" s="83">
        <v>45354</v>
      </c>
      <c r="P56" s="81">
        <v>5.8</v>
      </c>
      <c r="Q56" s="82">
        <f t="shared" si="3"/>
        <v>3.4602076124565784E-3</v>
      </c>
      <c r="S56" s="78">
        <v>45354</v>
      </c>
      <c r="T56" s="106">
        <v>39.5</v>
      </c>
      <c r="U56" s="107">
        <f t="shared" si="4"/>
        <v>-3.6350329348621702E-2</v>
      </c>
      <c r="W56" s="78">
        <v>45354</v>
      </c>
      <c r="X56" s="106">
        <v>12.18</v>
      </c>
      <c r="Y56" s="107">
        <f t="shared" si="5"/>
        <v>-2.168674698795181E-2</v>
      </c>
      <c r="AA56" s="78">
        <v>45354</v>
      </c>
      <c r="AB56" s="110">
        <v>5123.6899999999996</v>
      </c>
      <c r="AC56" s="107">
        <f t="shared" si="6"/>
        <v>-2.6065391233931479E-3</v>
      </c>
    </row>
    <row r="57" spans="3:29" x14ac:dyDescent="0.35">
      <c r="C57" s="77" t="s">
        <v>193</v>
      </c>
      <c r="D57" s="75">
        <v>202.64</v>
      </c>
      <c r="E57" s="165">
        <f t="shared" si="0"/>
        <v>5.5581601291868399E-2</v>
      </c>
      <c r="G57" s="80" t="s">
        <v>193</v>
      </c>
      <c r="H57" s="81">
        <v>43.54</v>
      </c>
      <c r="I57" s="82">
        <f t="shared" si="1"/>
        <v>0.25114942528735651</v>
      </c>
      <c r="K57" s="93" t="s">
        <v>193</v>
      </c>
      <c r="L57" s="94">
        <v>9.9499999999999993</v>
      </c>
      <c r="M57" s="95">
        <f t="shared" si="2"/>
        <v>0.15295480880648871</v>
      </c>
      <c r="O57" s="80" t="s">
        <v>193</v>
      </c>
      <c r="P57" s="81">
        <v>5.78</v>
      </c>
      <c r="Q57" s="82">
        <f t="shared" si="3"/>
        <v>7.0370370370370416E-2</v>
      </c>
      <c r="S57" s="77" t="s">
        <v>193</v>
      </c>
      <c r="T57" s="106">
        <v>40.99</v>
      </c>
      <c r="U57" s="107">
        <f t="shared" si="4"/>
        <v>3.4317436285642211E-2</v>
      </c>
      <c r="W57" s="77" t="s">
        <v>193</v>
      </c>
      <c r="X57" s="106">
        <v>12.45</v>
      </c>
      <c r="Y57" s="107">
        <f t="shared" si="5"/>
        <v>2.5535420098846684E-2</v>
      </c>
      <c r="AA57" s="77" t="s">
        <v>193</v>
      </c>
      <c r="AB57" s="110">
        <v>5137.08</v>
      </c>
      <c r="AC57" s="107">
        <f t="shared" si="6"/>
        <v>9.4875019650997316E-3</v>
      </c>
    </row>
    <row r="58" spans="3:29" x14ac:dyDescent="0.35">
      <c r="C58" s="77" t="s">
        <v>194</v>
      </c>
      <c r="D58" s="75">
        <v>191.97</v>
      </c>
      <c r="E58" s="165">
        <f t="shared" si="0"/>
        <v>-3.9909977494373527E-2</v>
      </c>
      <c r="G58" s="80" t="s">
        <v>194</v>
      </c>
      <c r="H58" s="81">
        <v>34.799999999999997</v>
      </c>
      <c r="I58" s="82">
        <f t="shared" si="1"/>
        <v>9.9873577749683751E-2</v>
      </c>
      <c r="K58" s="93" t="s">
        <v>194</v>
      </c>
      <c r="L58" s="94">
        <v>8.6300000000000008</v>
      </c>
      <c r="M58" s="95">
        <f t="shared" si="2"/>
        <v>-9.3487394957983083E-2</v>
      </c>
      <c r="O58" s="80" t="s">
        <v>194</v>
      </c>
      <c r="P58" s="81">
        <v>5.4</v>
      </c>
      <c r="Q58" s="82">
        <f t="shared" si="3"/>
        <v>-0.12052117263843642</v>
      </c>
      <c r="S58" s="77" t="s">
        <v>194</v>
      </c>
      <c r="T58" s="106">
        <v>39.630000000000003</v>
      </c>
      <c r="U58" s="107">
        <f t="shared" si="4"/>
        <v>2.4031007751937894E-2</v>
      </c>
      <c r="W58" s="77" t="s">
        <v>194</v>
      </c>
      <c r="X58" s="106">
        <v>12.14</v>
      </c>
      <c r="Y58" s="107">
        <f t="shared" si="5"/>
        <v>-1.3008130081300862E-2</v>
      </c>
      <c r="AA58" s="77" t="s">
        <v>194</v>
      </c>
      <c r="AB58" s="110">
        <v>5088.8</v>
      </c>
      <c r="AC58" s="107">
        <f t="shared" si="6"/>
        <v>1.6627476990632495E-2</v>
      </c>
    </row>
    <row r="59" spans="3:29" x14ac:dyDescent="0.35">
      <c r="C59" s="78">
        <v>45598</v>
      </c>
      <c r="D59" s="75">
        <v>199.95</v>
      </c>
      <c r="E59" s="165">
        <f t="shared" si="0"/>
        <v>3.295965283876634E-2</v>
      </c>
      <c r="G59" s="83">
        <v>45598</v>
      </c>
      <c r="H59" s="81">
        <v>31.64</v>
      </c>
      <c r="I59" s="82">
        <f t="shared" si="1"/>
        <v>3.0283295343536354E-2</v>
      </c>
      <c r="K59" s="96">
        <v>45598</v>
      </c>
      <c r="L59" s="94">
        <v>9.52</v>
      </c>
      <c r="M59" s="95">
        <f t="shared" si="2"/>
        <v>0.12131919905771493</v>
      </c>
      <c r="O59" s="83">
        <v>45598</v>
      </c>
      <c r="P59" s="81">
        <v>6.14</v>
      </c>
      <c r="Q59" s="82">
        <f t="shared" si="3"/>
        <v>3.5413153456998359E-2</v>
      </c>
      <c r="S59" s="78">
        <v>45598</v>
      </c>
      <c r="T59" s="106">
        <v>38.700000000000003</v>
      </c>
      <c r="U59" s="107">
        <f t="shared" si="4"/>
        <v>3.6307053941908585E-3</v>
      </c>
      <c r="W59" s="78">
        <v>45598</v>
      </c>
      <c r="X59" s="106">
        <v>12.3</v>
      </c>
      <c r="Y59" s="107">
        <f t="shared" si="5"/>
        <v>-1.5999999999999903E-2</v>
      </c>
      <c r="AA59" s="78">
        <v>45598</v>
      </c>
      <c r="AB59" s="110">
        <v>5005.57</v>
      </c>
      <c r="AC59" s="107">
        <f t="shared" si="6"/>
        <v>-4.1857235791119551E-3</v>
      </c>
    </row>
    <row r="60" spans="3:29" x14ac:dyDescent="0.35">
      <c r="C60" s="78">
        <v>45384</v>
      </c>
      <c r="D60" s="75">
        <v>193.57</v>
      </c>
      <c r="E60" s="165">
        <f t="shared" si="0"/>
        <v>3.0120802511840683E-2</v>
      </c>
      <c r="G60" s="83">
        <v>45384</v>
      </c>
      <c r="H60" s="81">
        <v>30.71</v>
      </c>
      <c r="I60" s="82">
        <f t="shared" si="1"/>
        <v>8.3627381792519495E-2</v>
      </c>
      <c r="K60" s="96">
        <v>45384</v>
      </c>
      <c r="L60" s="94">
        <v>8.49</v>
      </c>
      <c r="M60" s="95">
        <f t="shared" si="2"/>
        <v>3.6630036630036722E-2</v>
      </c>
      <c r="O60" s="83">
        <v>45384</v>
      </c>
      <c r="P60" s="81">
        <v>5.93</v>
      </c>
      <c r="Q60" s="82">
        <f t="shared" si="3"/>
        <v>7.0397111913357291E-2</v>
      </c>
      <c r="S60" s="78">
        <v>45384</v>
      </c>
      <c r="T60" s="106">
        <v>38.56</v>
      </c>
      <c r="U60" s="107">
        <f t="shared" si="4"/>
        <v>-8.9951169365199979E-3</v>
      </c>
      <c r="W60" s="78">
        <v>45384</v>
      </c>
      <c r="X60" s="106">
        <v>12.5</v>
      </c>
      <c r="Y60" s="107">
        <f t="shared" si="5"/>
        <v>4.4277360066833804E-2</v>
      </c>
      <c r="AA60" s="78">
        <v>45384</v>
      </c>
      <c r="AB60" s="110">
        <v>5026.6099999999997</v>
      </c>
      <c r="AC60" s="107">
        <f t="shared" si="6"/>
        <v>1.3713520522888434E-2</v>
      </c>
    </row>
    <row r="61" spans="3:29" x14ac:dyDescent="0.35">
      <c r="C61" s="77" t="s">
        <v>195</v>
      </c>
      <c r="D61" s="75">
        <v>187.91</v>
      </c>
      <c r="E61" s="165">
        <f t="shared" si="0"/>
        <v>2.5429740791268696E-2</v>
      </c>
      <c r="G61" s="80" t="s">
        <v>195</v>
      </c>
      <c r="H61" s="81">
        <v>28.34</v>
      </c>
      <c r="I61" s="82">
        <f t="shared" si="1"/>
        <v>2.6068066618392338E-2</v>
      </c>
      <c r="K61" s="93" t="s">
        <v>195</v>
      </c>
      <c r="L61" s="94">
        <v>8.19</v>
      </c>
      <c r="M61" s="95">
        <f t="shared" si="2"/>
        <v>-8.6956521739130599E-2</v>
      </c>
      <c r="O61" s="80" t="s">
        <v>195</v>
      </c>
      <c r="P61" s="81">
        <v>5.54</v>
      </c>
      <c r="Q61" s="82">
        <f t="shared" si="3"/>
        <v>-9.7719869706840323E-2</v>
      </c>
      <c r="S61" s="77" t="s">
        <v>195</v>
      </c>
      <c r="T61" s="106">
        <v>38.909999999999997</v>
      </c>
      <c r="U61" s="107">
        <f t="shared" si="4"/>
        <v>0.10602615122228531</v>
      </c>
      <c r="W61" s="77" t="s">
        <v>195</v>
      </c>
      <c r="X61" s="106">
        <v>11.97</v>
      </c>
      <c r="Y61" s="107">
        <f t="shared" si="5"/>
        <v>6.5894924309884306E-2</v>
      </c>
      <c r="AA61" s="77" t="s">
        <v>195</v>
      </c>
      <c r="AB61" s="110">
        <v>4958.6099999999997</v>
      </c>
      <c r="AC61" s="107">
        <f t="shared" si="6"/>
        <v>1.3829567549995092E-2</v>
      </c>
    </row>
    <row r="62" spans="3:29" x14ac:dyDescent="0.35">
      <c r="C62" s="77" t="s">
        <v>196</v>
      </c>
      <c r="D62" s="75">
        <v>183.25</v>
      </c>
      <c r="E62" s="165">
        <f t="shared" si="0"/>
        <v>-0.13638720015080819</v>
      </c>
      <c r="G62" s="80" t="s">
        <v>196</v>
      </c>
      <c r="H62" s="81">
        <v>27.62</v>
      </c>
      <c r="I62" s="82">
        <f t="shared" si="1"/>
        <v>-2.1954674220963089E-2</v>
      </c>
      <c r="K62" s="93" t="s">
        <v>196</v>
      </c>
      <c r="L62" s="94">
        <v>8.9700000000000006</v>
      </c>
      <c r="M62" s="95">
        <f t="shared" si="2"/>
        <v>-6.9502074688796656E-2</v>
      </c>
      <c r="O62" s="80" t="s">
        <v>196</v>
      </c>
      <c r="P62" s="81">
        <v>6.14</v>
      </c>
      <c r="Q62" s="82">
        <f t="shared" si="3"/>
        <v>1.3201320132013139E-2</v>
      </c>
      <c r="S62" s="77" t="s">
        <v>196</v>
      </c>
      <c r="T62" s="106">
        <v>35.18</v>
      </c>
      <c r="U62" s="107">
        <f t="shared" si="4"/>
        <v>-9.293156857223317E-3</v>
      </c>
      <c r="W62" s="77" t="s">
        <v>196</v>
      </c>
      <c r="X62" s="106">
        <v>11.23</v>
      </c>
      <c r="Y62" s="107">
        <f t="shared" si="5"/>
        <v>1.7210144927536364E-2</v>
      </c>
      <c r="AA62" s="77" t="s">
        <v>196</v>
      </c>
      <c r="AB62" s="110">
        <v>4890.97</v>
      </c>
      <c r="AC62" s="107">
        <f t="shared" si="6"/>
        <v>1.0570662897923633E-2</v>
      </c>
    </row>
    <row r="63" spans="3:29" x14ac:dyDescent="0.35">
      <c r="C63" s="77" t="s">
        <v>197</v>
      </c>
      <c r="D63" s="75">
        <v>212.19</v>
      </c>
      <c r="E63" s="165">
        <f t="shared" si="0"/>
        <v>-3.0608981680296021E-2</v>
      </c>
      <c r="G63" s="80" t="s">
        <v>197</v>
      </c>
      <c r="H63" s="81">
        <v>28.24</v>
      </c>
      <c r="I63" s="82">
        <f t="shared" si="1"/>
        <v>-0.107740916271722</v>
      </c>
      <c r="K63" s="93" t="s">
        <v>197</v>
      </c>
      <c r="L63" s="94">
        <v>9.64</v>
      </c>
      <c r="M63" s="95">
        <f t="shared" si="2"/>
        <v>-0.18096856414613416</v>
      </c>
      <c r="O63" s="80" t="s">
        <v>197</v>
      </c>
      <c r="P63" s="81">
        <v>6.06</v>
      </c>
      <c r="Q63" s="82">
        <f t="shared" si="3"/>
        <v>-0.15481171548117156</v>
      </c>
      <c r="S63" s="77" t="s">
        <v>197</v>
      </c>
      <c r="T63" s="106">
        <v>35.51</v>
      </c>
      <c r="U63" s="107">
        <f t="shared" si="4"/>
        <v>7.0901871809416761E-3</v>
      </c>
      <c r="W63" s="77" t="s">
        <v>197</v>
      </c>
      <c r="X63" s="106">
        <v>11.04</v>
      </c>
      <c r="Y63" s="107">
        <f t="shared" si="5"/>
        <v>-2.3008849557522248E-2</v>
      </c>
      <c r="AA63" s="77" t="s">
        <v>197</v>
      </c>
      <c r="AB63" s="110">
        <v>4839.8100000000004</v>
      </c>
      <c r="AC63" s="107">
        <f t="shared" si="6"/>
        <v>1.1701920845849534E-2</v>
      </c>
    </row>
    <row r="64" spans="3:29" x14ac:dyDescent="0.35">
      <c r="C64" s="78">
        <v>45474</v>
      </c>
      <c r="D64" s="75">
        <v>218.89</v>
      </c>
      <c r="E64" s="165">
        <f t="shared" si="0"/>
        <v>-7.8319087119457786E-2</v>
      </c>
      <c r="G64" s="83">
        <v>45474</v>
      </c>
      <c r="H64" s="81">
        <v>31.65</v>
      </c>
      <c r="I64" s="82">
        <f t="shared" si="1"/>
        <v>-7.3477751756440224E-2</v>
      </c>
      <c r="K64" s="96">
        <v>45474</v>
      </c>
      <c r="L64" s="94">
        <v>11.77</v>
      </c>
      <c r="M64" s="95">
        <f t="shared" si="2"/>
        <v>-0.10084033613445376</v>
      </c>
      <c r="O64" s="83">
        <v>45474</v>
      </c>
      <c r="P64" s="81">
        <v>7.17</v>
      </c>
      <c r="Q64" s="82">
        <f t="shared" si="3"/>
        <v>-0.11042183622828794</v>
      </c>
      <c r="S64" s="78">
        <v>45474</v>
      </c>
      <c r="T64" s="106">
        <v>35.26</v>
      </c>
      <c r="U64" s="107">
        <f t="shared" si="4"/>
        <v>-2.0283412058905381E-2</v>
      </c>
      <c r="W64" s="78">
        <v>45474</v>
      </c>
      <c r="X64" s="106">
        <v>11.3</v>
      </c>
      <c r="Y64" s="107">
        <f t="shared" si="5"/>
        <v>-3.2534246575342429E-2</v>
      </c>
      <c r="AA64" s="78">
        <v>45474</v>
      </c>
      <c r="AB64" s="110">
        <v>4783.83</v>
      </c>
      <c r="AC64" s="107">
        <f t="shared" si="6"/>
        <v>1.8434229462407803E-2</v>
      </c>
    </row>
    <row r="65" spans="3:29" x14ac:dyDescent="0.35">
      <c r="C65" s="77" t="s">
        <v>198</v>
      </c>
      <c r="D65" s="75">
        <v>237.49</v>
      </c>
      <c r="E65" s="165">
        <f t="shared" si="0"/>
        <v>-4.422891178364452E-2</v>
      </c>
      <c r="G65" s="80" t="s">
        <v>198</v>
      </c>
      <c r="H65" s="81">
        <v>34.159999999999997</v>
      </c>
      <c r="I65" s="82">
        <f t="shared" si="1"/>
        <v>-8.7363077745124307E-2</v>
      </c>
      <c r="K65" s="93" t="s">
        <v>198</v>
      </c>
      <c r="L65" s="94">
        <v>13.09</v>
      </c>
      <c r="M65" s="95">
        <f t="shared" si="2"/>
        <v>-0.10281014393420151</v>
      </c>
      <c r="O65" s="80" t="s">
        <v>198</v>
      </c>
      <c r="P65" s="81">
        <v>8.06</v>
      </c>
      <c r="Q65" s="82">
        <f t="shared" si="3"/>
        <v>-0.11135611907386989</v>
      </c>
      <c r="S65" s="77" t="s">
        <v>198</v>
      </c>
      <c r="T65" s="106">
        <v>35.99</v>
      </c>
      <c r="U65" s="107">
        <f t="shared" si="4"/>
        <v>1.9487750556792527E-3</v>
      </c>
      <c r="W65" s="77" t="s">
        <v>198</v>
      </c>
      <c r="X65" s="106">
        <v>11.68</v>
      </c>
      <c r="Y65" s="107">
        <f t="shared" si="5"/>
        <v>-2.8286189683860208E-2</v>
      </c>
      <c r="AA65" s="77" t="s">
        <v>198</v>
      </c>
      <c r="AB65" s="110">
        <v>4697.24</v>
      </c>
      <c r="AC65" s="107">
        <f t="shared" si="6"/>
        <v>-1.5218571731067998E-2</v>
      </c>
    </row>
    <row r="66" spans="3:29" x14ac:dyDescent="0.35">
      <c r="C66" s="77" t="s">
        <v>199</v>
      </c>
      <c r="D66" s="75">
        <v>248.48</v>
      </c>
      <c r="E66" s="165">
        <f t="shared" si="0"/>
        <v>-1.6076661122990443E-2</v>
      </c>
      <c r="G66" s="80" t="s">
        <v>199</v>
      </c>
      <c r="H66" s="81">
        <v>37.43</v>
      </c>
      <c r="I66" s="82">
        <f t="shared" si="1"/>
        <v>0.12740963855421672</v>
      </c>
      <c r="K66" s="93" t="s">
        <v>199</v>
      </c>
      <c r="L66" s="94">
        <v>14.59</v>
      </c>
      <c r="M66" s="95">
        <f t="shared" si="2"/>
        <v>5.6480811006516918E-2</v>
      </c>
      <c r="O66" s="80" t="s">
        <v>199</v>
      </c>
      <c r="P66" s="81">
        <v>9.07</v>
      </c>
      <c r="Q66" s="82">
        <f t="shared" si="3"/>
        <v>7.7197149643705609E-2</v>
      </c>
      <c r="S66" s="77" t="s">
        <v>199</v>
      </c>
      <c r="T66" s="106">
        <v>35.92</v>
      </c>
      <c r="U66" s="107">
        <f t="shared" si="4"/>
        <v>-2.7762354247640175E-3</v>
      </c>
      <c r="W66" s="77" t="s">
        <v>199</v>
      </c>
      <c r="X66" s="106">
        <v>12.02</v>
      </c>
      <c r="Y66" s="107">
        <f t="shared" si="5"/>
        <v>-1.2325390304026351E-2</v>
      </c>
      <c r="AA66" s="77" t="s">
        <v>199</v>
      </c>
      <c r="AB66" s="110">
        <v>4769.83</v>
      </c>
      <c r="AC66" s="107">
        <f t="shared" si="6"/>
        <v>3.1968838795026766E-3</v>
      </c>
    </row>
    <row r="67" spans="3:29" x14ac:dyDescent="0.35">
      <c r="C67" s="77" t="s">
        <v>200</v>
      </c>
      <c r="D67" s="75">
        <v>252.54</v>
      </c>
      <c r="E67" s="165">
        <f t="shared" si="0"/>
        <v>-3.7869822485206983E-3</v>
      </c>
      <c r="G67" s="80" t="s">
        <v>200</v>
      </c>
      <c r="H67" s="81">
        <v>33.200000000000003</v>
      </c>
      <c r="I67" s="82">
        <f t="shared" si="1"/>
        <v>-6.0022650056625104E-2</v>
      </c>
      <c r="K67" s="93" t="s">
        <v>200</v>
      </c>
      <c r="L67" s="94">
        <v>13.81</v>
      </c>
      <c r="M67" s="95">
        <f t="shared" si="2"/>
        <v>-4.5611610228058042E-2</v>
      </c>
      <c r="O67" s="80" t="s">
        <v>200</v>
      </c>
      <c r="P67" s="81">
        <v>8.42</v>
      </c>
      <c r="Q67" s="82">
        <f t="shared" si="3"/>
        <v>5.5137844611528708E-2</v>
      </c>
      <c r="S67" s="77" t="s">
        <v>200</v>
      </c>
      <c r="T67" s="106">
        <v>36.020000000000003</v>
      </c>
      <c r="U67" s="107">
        <f t="shared" si="4"/>
        <v>8.1164287713408889E-3</v>
      </c>
      <c r="W67" s="77" t="s">
        <v>200</v>
      </c>
      <c r="X67" s="106">
        <v>12.17</v>
      </c>
      <c r="Y67" s="107">
        <f t="shared" si="5"/>
        <v>2.700421940928277E-2</v>
      </c>
      <c r="AA67" s="77" t="s">
        <v>200</v>
      </c>
      <c r="AB67" s="110">
        <v>4754.63</v>
      </c>
      <c r="AC67" s="107">
        <f t="shared" si="6"/>
        <v>7.5097633280287734E-3</v>
      </c>
    </row>
    <row r="68" spans="3:29" x14ac:dyDescent="0.35">
      <c r="C68" s="78">
        <v>45211</v>
      </c>
      <c r="D68" s="75">
        <v>253.5</v>
      </c>
      <c r="E68" s="165">
        <f t="shared" si="0"/>
        <v>3.9616141732283561E-2</v>
      </c>
      <c r="G68" s="83">
        <v>45211</v>
      </c>
      <c r="H68" s="81">
        <v>35.32</v>
      </c>
      <c r="I68" s="82">
        <f t="shared" si="1"/>
        <v>1.2905075996558768E-2</v>
      </c>
      <c r="K68" s="96">
        <v>45211</v>
      </c>
      <c r="L68" s="94">
        <v>14.47</v>
      </c>
      <c r="M68" s="95">
        <f t="shared" si="2"/>
        <v>-4.488448844884485E-2</v>
      </c>
      <c r="O68" s="83">
        <v>45211</v>
      </c>
      <c r="P68" s="81">
        <v>7.98</v>
      </c>
      <c r="Q68" s="82">
        <f t="shared" si="3"/>
        <v>8.1300813008130079E-2</v>
      </c>
      <c r="S68" s="78">
        <v>45211</v>
      </c>
      <c r="T68" s="106">
        <v>35.729999999999997</v>
      </c>
      <c r="U68" s="107">
        <f t="shared" si="4"/>
        <v>5.8666666666666645E-2</v>
      </c>
      <c r="W68" s="78">
        <v>45211</v>
      </c>
      <c r="X68" s="106">
        <v>11.85</v>
      </c>
      <c r="Y68" s="107">
        <f t="shared" si="5"/>
        <v>9.2165898617511566E-2</v>
      </c>
      <c r="AA68" s="78">
        <v>45211</v>
      </c>
      <c r="AB68" s="110">
        <v>4719.1899999999996</v>
      </c>
      <c r="AC68" s="107">
        <f t="shared" si="6"/>
        <v>2.493717924493466E-2</v>
      </c>
    </row>
    <row r="69" spans="3:29" x14ac:dyDescent="0.35">
      <c r="C69" s="78">
        <v>44997</v>
      </c>
      <c r="D69" s="75">
        <v>243.84</v>
      </c>
      <c r="E69" s="165">
        <f t="shared" si="0"/>
        <v>2.0977264162793663E-2</v>
      </c>
      <c r="G69" s="83">
        <v>44997</v>
      </c>
      <c r="H69" s="81">
        <v>34.869999999999997</v>
      </c>
      <c r="I69" s="82">
        <f t="shared" si="1"/>
        <v>-3.9393939393939426E-2</v>
      </c>
      <c r="K69" s="96">
        <v>44997</v>
      </c>
      <c r="L69" s="94">
        <v>15.15</v>
      </c>
      <c r="M69" s="95">
        <f t="shared" si="2"/>
        <v>-3.7484116899618836E-2</v>
      </c>
      <c r="O69" s="83">
        <v>44997</v>
      </c>
      <c r="P69" s="81">
        <v>7.38</v>
      </c>
      <c r="Q69" s="82">
        <f t="shared" si="3"/>
        <v>3.2167832167832033E-2</v>
      </c>
      <c r="S69" s="78">
        <v>44997</v>
      </c>
      <c r="T69" s="106">
        <v>33.75</v>
      </c>
      <c r="U69" s="107">
        <f t="shared" si="4"/>
        <v>4.2954264524103891E-2</v>
      </c>
      <c r="W69" s="78">
        <v>44997</v>
      </c>
      <c r="X69" s="106">
        <v>10.85</v>
      </c>
      <c r="Y69" s="107">
        <f t="shared" si="5"/>
        <v>4.0268456375838868E-2</v>
      </c>
      <c r="AA69" s="78">
        <v>44997</v>
      </c>
      <c r="AB69" s="110">
        <v>4604.37</v>
      </c>
      <c r="AC69" s="107">
        <f t="shared" si="6"/>
        <v>2.1198660175030248E-3</v>
      </c>
    </row>
    <row r="70" spans="3:29" x14ac:dyDescent="0.35">
      <c r="C70" s="77" t="s">
        <v>201</v>
      </c>
      <c r="D70" s="75">
        <v>238.83</v>
      </c>
      <c r="E70" s="165">
        <f t="shared" si="0"/>
        <v>1.4355489488214079E-2</v>
      </c>
      <c r="G70" s="80" t="s">
        <v>201</v>
      </c>
      <c r="H70" s="81">
        <v>36.299999999999997</v>
      </c>
      <c r="I70" s="82">
        <f t="shared" si="1"/>
        <v>-0.12042645989823131</v>
      </c>
      <c r="K70" s="93" t="s">
        <v>201</v>
      </c>
      <c r="L70" s="94">
        <v>15.74</v>
      </c>
      <c r="M70" s="95">
        <f t="shared" si="2"/>
        <v>-0.14826839826839833</v>
      </c>
      <c r="O70" s="80" t="s">
        <v>201</v>
      </c>
      <c r="P70" s="81">
        <v>7.15</v>
      </c>
      <c r="Q70" s="82">
        <f t="shared" si="3"/>
        <v>-3.3783783783783772E-2</v>
      </c>
      <c r="S70" s="77" t="s">
        <v>201</v>
      </c>
      <c r="T70" s="106">
        <v>32.36</v>
      </c>
      <c r="U70" s="107">
        <f t="shared" si="4"/>
        <v>0.14833215046131998</v>
      </c>
      <c r="W70" s="77" t="s">
        <v>201</v>
      </c>
      <c r="X70" s="106">
        <v>10.43</v>
      </c>
      <c r="Y70" s="107">
        <f t="shared" si="5"/>
        <v>1.7560975609756113E-2</v>
      </c>
      <c r="AA70" s="77" t="s">
        <v>201</v>
      </c>
      <c r="AB70" s="110">
        <v>4594.63</v>
      </c>
      <c r="AC70" s="107">
        <f t="shared" si="6"/>
        <v>7.740155373365365E-3</v>
      </c>
    </row>
    <row r="71" spans="3:29" x14ac:dyDescent="0.35">
      <c r="C71" s="77" t="s">
        <v>202</v>
      </c>
      <c r="D71" s="75">
        <v>235.45</v>
      </c>
      <c r="E71" s="165">
        <f t="shared" si="0"/>
        <v>4.9082373026034798E-3</v>
      </c>
      <c r="G71" s="80" t="s">
        <v>202</v>
      </c>
      <c r="H71" s="81">
        <v>41.27</v>
      </c>
      <c r="I71" s="82">
        <f t="shared" si="1"/>
        <v>1.1519607843137436E-2</v>
      </c>
      <c r="K71" s="93" t="s">
        <v>202</v>
      </c>
      <c r="L71" s="94">
        <v>18.48</v>
      </c>
      <c r="M71" s="95">
        <f t="shared" si="2"/>
        <v>0.10065515187611673</v>
      </c>
      <c r="O71" s="80" t="s">
        <v>202</v>
      </c>
      <c r="P71" s="81">
        <v>7.4</v>
      </c>
      <c r="Q71" s="82">
        <f t="shared" si="3"/>
        <v>1.3531799729364913E-3</v>
      </c>
      <c r="S71" s="77" t="s">
        <v>202</v>
      </c>
      <c r="T71" s="106">
        <v>28.18</v>
      </c>
      <c r="U71" s="107">
        <f t="shared" si="4"/>
        <v>5.3514092044237849E-3</v>
      </c>
      <c r="W71" s="77" t="s">
        <v>202</v>
      </c>
      <c r="X71" s="106">
        <v>10.25</v>
      </c>
      <c r="Y71" s="107">
        <f t="shared" si="5"/>
        <v>1.2845849802371578E-2</v>
      </c>
      <c r="AA71" s="77" t="s">
        <v>202</v>
      </c>
      <c r="AB71" s="110">
        <v>4559.34</v>
      </c>
      <c r="AC71" s="107">
        <f t="shared" si="6"/>
        <v>1.003983145843379E-2</v>
      </c>
    </row>
    <row r="72" spans="3:29" x14ac:dyDescent="0.35">
      <c r="C72" s="78">
        <v>45271</v>
      </c>
      <c r="D72" s="75">
        <v>234.3</v>
      </c>
      <c r="E72" s="165">
        <f t="shared" si="0"/>
        <v>9.1544374563242492E-2</v>
      </c>
      <c r="G72" s="83">
        <v>45271</v>
      </c>
      <c r="H72" s="81">
        <v>40.799999999999997</v>
      </c>
      <c r="I72" s="82">
        <f t="shared" si="1"/>
        <v>0.10389610389610371</v>
      </c>
      <c r="K72" s="96">
        <v>45271</v>
      </c>
      <c r="L72" s="94">
        <v>16.79</v>
      </c>
      <c r="M72" s="95">
        <f t="shared" si="2"/>
        <v>0.10026212319790306</v>
      </c>
      <c r="O72" s="83">
        <v>45271</v>
      </c>
      <c r="P72" s="81">
        <v>7.39</v>
      </c>
      <c r="Q72" s="82">
        <f t="shared" si="3"/>
        <v>2.0718232044198759E-2</v>
      </c>
      <c r="S72" s="78">
        <v>45271</v>
      </c>
      <c r="T72" s="106">
        <v>28.03</v>
      </c>
      <c r="U72" s="107">
        <f t="shared" si="4"/>
        <v>4.3947858472998202E-2</v>
      </c>
      <c r="W72" s="78">
        <v>45271</v>
      </c>
      <c r="X72" s="106">
        <v>10.119999999999999</v>
      </c>
      <c r="Y72" s="107">
        <f t="shared" si="5"/>
        <v>4.1152263374485409E-2</v>
      </c>
      <c r="AA72" s="78">
        <v>45271</v>
      </c>
      <c r="AB72" s="110">
        <v>4514.0200000000004</v>
      </c>
      <c r="AC72" s="107">
        <f t="shared" si="6"/>
        <v>2.2372509761643844E-2</v>
      </c>
    </row>
    <row r="73" spans="3:29" x14ac:dyDescent="0.35">
      <c r="C73" s="78">
        <v>45057</v>
      </c>
      <c r="D73" s="75">
        <v>214.65</v>
      </c>
      <c r="E73" s="165">
        <f t="shared" si="0"/>
        <v>-2.4140752864157178E-2</v>
      </c>
      <c r="G73" s="83">
        <v>45057</v>
      </c>
      <c r="H73" s="81">
        <v>36.96</v>
      </c>
      <c r="I73" s="82">
        <f t="shared" si="1"/>
        <v>1.650165016501659E-2</v>
      </c>
      <c r="K73" s="96">
        <v>45057</v>
      </c>
      <c r="L73" s="94">
        <v>15.26</v>
      </c>
      <c r="M73" s="95">
        <f t="shared" si="2"/>
        <v>-0.10968494749124857</v>
      </c>
      <c r="O73" s="83">
        <v>45057</v>
      </c>
      <c r="P73" s="81">
        <v>7.24</v>
      </c>
      <c r="Q73" s="82">
        <f t="shared" si="3"/>
        <v>-0.12029161603888217</v>
      </c>
      <c r="S73" s="78">
        <v>45057</v>
      </c>
      <c r="T73" s="106">
        <v>26.85</v>
      </c>
      <c r="U73" s="107">
        <f t="shared" si="4"/>
        <v>-9.8085320792744346E-2</v>
      </c>
      <c r="W73" s="78">
        <v>45057</v>
      </c>
      <c r="X73" s="106">
        <v>9.7200000000000006</v>
      </c>
      <c r="Y73" s="107">
        <f t="shared" si="5"/>
        <v>-6.628242074927948E-2</v>
      </c>
      <c r="AA73" s="78">
        <v>45057</v>
      </c>
      <c r="AB73" s="110">
        <v>4415.24</v>
      </c>
      <c r="AC73" s="107">
        <f t="shared" si="6"/>
        <v>1.3055429360719906E-2</v>
      </c>
    </row>
    <row r="74" spans="3:29" x14ac:dyDescent="0.35">
      <c r="C74" s="77" t="s">
        <v>203</v>
      </c>
      <c r="D74" s="75">
        <v>219.96</v>
      </c>
      <c r="E74" s="165">
        <f t="shared" si="0"/>
        <v>6.1070911722141741E-2</v>
      </c>
      <c r="G74" s="80" t="s">
        <v>203</v>
      </c>
      <c r="H74" s="81">
        <v>36.36</v>
      </c>
      <c r="I74" s="82">
        <f t="shared" si="1"/>
        <v>3.9154044012575051E-2</v>
      </c>
      <c r="K74" s="93" t="s">
        <v>203</v>
      </c>
      <c r="L74" s="94">
        <v>17.14</v>
      </c>
      <c r="M74" s="95">
        <f t="shared" si="2"/>
        <v>0.16598639455782327</v>
      </c>
      <c r="O74" s="80" t="s">
        <v>203</v>
      </c>
      <c r="P74" s="81">
        <v>8.23</v>
      </c>
      <c r="Q74" s="82">
        <f t="shared" si="3"/>
        <v>0.10618279569892475</v>
      </c>
      <c r="S74" s="77" t="s">
        <v>203</v>
      </c>
      <c r="T74" s="106">
        <v>29.77</v>
      </c>
      <c r="U74" s="107">
        <f t="shared" si="4"/>
        <v>9.3681116825863331E-2</v>
      </c>
      <c r="W74" s="77" t="s">
        <v>203</v>
      </c>
      <c r="X74" s="106">
        <v>10.41</v>
      </c>
      <c r="Y74" s="107">
        <f t="shared" si="5"/>
        <v>6.0081466395111915E-2</v>
      </c>
      <c r="AA74" s="77" t="s">
        <v>203</v>
      </c>
      <c r="AB74" s="110">
        <v>4358.34</v>
      </c>
      <c r="AC74" s="107">
        <f t="shared" si="6"/>
        <v>5.852522362576118E-2</v>
      </c>
    </row>
    <row r="75" spans="3:29" x14ac:dyDescent="0.35">
      <c r="C75" s="77" t="s">
        <v>204</v>
      </c>
      <c r="D75" s="75">
        <v>207.3</v>
      </c>
      <c r="E75" s="165">
        <f t="shared" si="0"/>
        <v>-2.2123685079484923E-2</v>
      </c>
      <c r="G75" s="80" t="s">
        <v>204</v>
      </c>
      <c r="H75" s="81">
        <v>34.99</v>
      </c>
      <c r="I75" s="82">
        <f t="shared" si="1"/>
        <v>9.7209156475384084E-2</v>
      </c>
      <c r="K75" s="93" t="s">
        <v>204</v>
      </c>
      <c r="L75" s="94">
        <v>14.7</v>
      </c>
      <c r="M75" s="95">
        <f t="shared" si="2"/>
        <v>9.5380029806259259E-2</v>
      </c>
      <c r="O75" s="80" t="s">
        <v>204</v>
      </c>
      <c r="P75" s="81">
        <v>7.44</v>
      </c>
      <c r="Q75" s="82">
        <f t="shared" si="3"/>
        <v>-1.846965699208436E-2</v>
      </c>
      <c r="S75" s="77" t="s">
        <v>204</v>
      </c>
      <c r="T75" s="106">
        <v>27.22</v>
      </c>
      <c r="U75" s="107">
        <f t="shared" si="4"/>
        <v>-8.2265677680377625E-2</v>
      </c>
      <c r="W75" s="77" t="s">
        <v>204</v>
      </c>
      <c r="X75" s="106">
        <v>9.82</v>
      </c>
      <c r="Y75" s="107">
        <f t="shared" si="5"/>
        <v>-0.14385353095030518</v>
      </c>
      <c r="AA75" s="77" t="s">
        <v>204</v>
      </c>
      <c r="AB75" s="110">
        <v>4117.37</v>
      </c>
      <c r="AC75" s="107">
        <f t="shared" si="6"/>
        <v>-2.5280765880080325E-2</v>
      </c>
    </row>
    <row r="76" spans="3:29" x14ac:dyDescent="0.35">
      <c r="C76" s="77" t="s">
        <v>205</v>
      </c>
      <c r="D76" s="75">
        <v>211.99</v>
      </c>
      <c r="E76" s="165">
        <f t="shared" si="0"/>
        <v>-0.15582191780821919</v>
      </c>
      <c r="G76" s="80" t="s">
        <v>205</v>
      </c>
      <c r="H76" s="81">
        <v>31.89</v>
      </c>
      <c r="I76" s="82">
        <f t="shared" si="1"/>
        <v>-7.0262390670553843E-2</v>
      </c>
      <c r="K76" s="93" t="s">
        <v>205</v>
      </c>
      <c r="L76" s="94">
        <v>13.42</v>
      </c>
      <c r="M76" s="95">
        <f t="shared" si="2"/>
        <v>-0.16852540272614625</v>
      </c>
      <c r="O76" s="80" t="s">
        <v>205</v>
      </c>
      <c r="P76" s="81">
        <v>7.58</v>
      </c>
      <c r="Q76" s="82">
        <f t="shared" si="3"/>
        <v>-0.10507674144037782</v>
      </c>
      <c r="S76" s="77" t="s">
        <v>205</v>
      </c>
      <c r="T76" s="106">
        <v>29.66</v>
      </c>
      <c r="U76" s="107">
        <f t="shared" si="4"/>
        <v>0</v>
      </c>
      <c r="W76" s="77" t="s">
        <v>205</v>
      </c>
      <c r="X76" s="106">
        <v>11.47</v>
      </c>
      <c r="Y76" s="107">
        <f t="shared" si="5"/>
        <v>-1.4604810996563522E-2</v>
      </c>
      <c r="AA76" s="77" t="s">
        <v>205</v>
      </c>
      <c r="AB76" s="110">
        <v>4224.16</v>
      </c>
      <c r="AC76" s="107">
        <f t="shared" si="6"/>
        <v>-2.3942991556872073E-2</v>
      </c>
    </row>
    <row r="77" spans="3:29" x14ac:dyDescent="0.35">
      <c r="C77" s="78">
        <v>45148</v>
      </c>
      <c r="D77" s="75">
        <v>251.12</v>
      </c>
      <c r="E77" s="165">
        <f t="shared" si="0"/>
        <v>-3.6118681149963416E-2</v>
      </c>
      <c r="G77" s="83">
        <v>45148</v>
      </c>
      <c r="H77" s="81">
        <v>34.299999999999997</v>
      </c>
      <c r="I77" s="82">
        <f t="shared" si="1"/>
        <v>-2.0279920022850617E-2</v>
      </c>
      <c r="K77" s="96">
        <v>45148</v>
      </c>
      <c r="L77" s="94">
        <v>16.14</v>
      </c>
      <c r="M77" s="95">
        <f t="shared" si="2"/>
        <v>-0.11123348017621137</v>
      </c>
      <c r="O77" s="83">
        <v>45148</v>
      </c>
      <c r="P77" s="81">
        <v>8.4700000000000006</v>
      </c>
      <c r="Q77" s="82">
        <f t="shared" si="3"/>
        <v>-2.8669724770642224E-2</v>
      </c>
      <c r="S77" s="78">
        <v>45148</v>
      </c>
      <c r="T77" s="106">
        <v>29.66</v>
      </c>
      <c r="U77" s="107">
        <f t="shared" si="4"/>
        <v>-4.012944983818767E-2</v>
      </c>
      <c r="W77" s="78">
        <v>45148</v>
      </c>
      <c r="X77" s="106">
        <v>11.64</v>
      </c>
      <c r="Y77" s="107">
        <f t="shared" si="5"/>
        <v>-1.6060862214708371E-2</v>
      </c>
      <c r="AA77" s="78">
        <v>45148</v>
      </c>
      <c r="AB77" s="110">
        <v>4327.78</v>
      </c>
      <c r="AC77" s="107">
        <f t="shared" si="6"/>
        <v>4.4748752466055031E-3</v>
      </c>
    </row>
    <row r="78" spans="3:29" x14ac:dyDescent="0.35">
      <c r="C78" s="78">
        <v>44936</v>
      </c>
      <c r="D78" s="75">
        <v>260.52999999999997</v>
      </c>
      <c r="E78" s="165">
        <f t="shared" ref="E78:E141" si="7">D78/D79-1</f>
        <v>4.1203740708176673E-2</v>
      </c>
      <c r="G78" s="83">
        <v>44936</v>
      </c>
      <c r="H78" s="81">
        <v>35.01</v>
      </c>
      <c r="I78" s="82">
        <f t="shared" ref="I78:I141" si="8">H78/H79-1</f>
        <v>-1.7952314165497918E-2</v>
      </c>
      <c r="K78" s="96">
        <v>44936</v>
      </c>
      <c r="L78" s="94">
        <v>18.16</v>
      </c>
      <c r="M78" s="95">
        <f t="shared" ref="M78:M141" si="9">L78/L79-1</f>
        <v>-1.0893246187363759E-2</v>
      </c>
      <c r="O78" s="83">
        <v>44936</v>
      </c>
      <c r="P78" s="81">
        <v>8.7200000000000006</v>
      </c>
      <c r="Q78" s="82">
        <f t="shared" ref="Q78:Q141" si="10">P78/P79-1</f>
        <v>-3.5398230088495408E-2</v>
      </c>
      <c r="S78" s="78">
        <v>44936</v>
      </c>
      <c r="T78" s="106">
        <v>30.9</v>
      </c>
      <c r="U78" s="107">
        <f t="shared" ref="U78:U141" si="11">T78/T79-1</f>
        <v>-6.2784349408553264E-2</v>
      </c>
      <c r="W78" s="78">
        <v>44936</v>
      </c>
      <c r="X78" s="106">
        <v>11.83</v>
      </c>
      <c r="Y78" s="107">
        <f t="shared" ref="Y78:Y141" si="12">X78/X79-1</f>
        <v>-3.3496732026143783E-2</v>
      </c>
      <c r="AA78" s="78">
        <v>44936</v>
      </c>
      <c r="AB78" s="110">
        <v>4308.5</v>
      </c>
      <c r="AC78" s="107">
        <f t="shared" ref="AC78:AC141" si="13">AB78/AB79-1</f>
        <v>4.7690675248655001E-3</v>
      </c>
    </row>
    <row r="79" spans="3:29" x14ac:dyDescent="0.35">
      <c r="C79" s="77" t="s">
        <v>206</v>
      </c>
      <c r="D79" s="75">
        <v>250.22</v>
      </c>
      <c r="E79" s="165">
        <f t="shared" si="7"/>
        <v>2.1806599150604455E-2</v>
      </c>
      <c r="G79" s="80" t="s">
        <v>206</v>
      </c>
      <c r="H79" s="81">
        <v>35.65</v>
      </c>
      <c r="I79" s="82">
        <f t="shared" si="8"/>
        <v>-9.241344195519352E-2</v>
      </c>
      <c r="K79" s="93" t="s">
        <v>206</v>
      </c>
      <c r="L79" s="94">
        <v>18.36</v>
      </c>
      <c r="M79" s="95">
        <f t="shared" si="9"/>
        <v>0.11678832116788307</v>
      </c>
      <c r="O79" s="80" t="s">
        <v>206</v>
      </c>
      <c r="P79" s="81">
        <v>9.0399999999999991</v>
      </c>
      <c r="Q79" s="82">
        <f t="shared" si="10"/>
        <v>5.9788980070339948E-2</v>
      </c>
      <c r="S79" s="77" t="s">
        <v>206</v>
      </c>
      <c r="T79" s="106">
        <v>32.97</v>
      </c>
      <c r="U79" s="107">
        <f t="shared" si="11"/>
        <v>1.1970534069981609E-2</v>
      </c>
      <c r="W79" s="77" t="s">
        <v>206</v>
      </c>
      <c r="X79" s="106">
        <v>12.24</v>
      </c>
      <c r="Y79" s="107">
        <f t="shared" si="12"/>
        <v>-8.1632653061225469E-4</v>
      </c>
      <c r="AA79" s="77" t="s">
        <v>206</v>
      </c>
      <c r="AB79" s="110">
        <v>4288.05</v>
      </c>
      <c r="AC79" s="107">
        <f t="shared" si="13"/>
        <v>-7.4096193108429409E-3</v>
      </c>
    </row>
    <row r="80" spans="3:29" x14ac:dyDescent="0.35">
      <c r="C80" s="77" t="s">
        <v>207</v>
      </c>
      <c r="D80" s="75">
        <v>244.88</v>
      </c>
      <c r="E80" s="165">
        <f t="shared" si="7"/>
        <v>-0.10754765115346765</v>
      </c>
      <c r="G80" s="80" t="s">
        <v>207</v>
      </c>
      <c r="H80" s="81">
        <v>39.28</v>
      </c>
      <c r="I80" s="82">
        <f t="shared" si="8"/>
        <v>-3.3702337023370221E-2</v>
      </c>
      <c r="K80" s="93" t="s">
        <v>207</v>
      </c>
      <c r="L80" s="94">
        <v>16.440000000000001</v>
      </c>
      <c r="M80" s="95">
        <f t="shared" si="9"/>
        <v>-0.10163934426229504</v>
      </c>
      <c r="O80" s="80" t="s">
        <v>207</v>
      </c>
      <c r="P80" s="81">
        <v>8.5299999999999994</v>
      </c>
      <c r="Q80" s="82">
        <f t="shared" si="10"/>
        <v>-0.18216682646212856</v>
      </c>
      <c r="S80" s="77" t="s">
        <v>207</v>
      </c>
      <c r="T80" s="106">
        <v>32.58</v>
      </c>
      <c r="U80" s="107">
        <f t="shared" si="11"/>
        <v>-4.0353460972017752E-2</v>
      </c>
      <c r="W80" s="77" t="s">
        <v>207</v>
      </c>
      <c r="X80" s="106">
        <v>12.25</v>
      </c>
      <c r="Y80" s="107">
        <f t="shared" si="12"/>
        <v>-1.4481094127111849E-2</v>
      </c>
      <c r="AA80" s="77" t="s">
        <v>207</v>
      </c>
      <c r="AB80" s="110">
        <v>4320.0600000000004</v>
      </c>
      <c r="AC80" s="107">
        <f t="shared" si="13"/>
        <v>-2.9269805317370334E-2</v>
      </c>
    </row>
    <row r="81" spans="3:29" x14ac:dyDescent="0.35">
      <c r="C81" s="78">
        <v>45208</v>
      </c>
      <c r="D81" s="75">
        <v>274.39</v>
      </c>
      <c r="E81" s="165">
        <f t="shared" si="7"/>
        <v>0.10418511066398395</v>
      </c>
      <c r="G81" s="83">
        <v>45208</v>
      </c>
      <c r="H81" s="81">
        <v>40.65</v>
      </c>
      <c r="I81" s="82">
        <f t="shared" si="8"/>
        <v>5.859375E-2</v>
      </c>
      <c r="K81" s="96">
        <v>45208</v>
      </c>
      <c r="L81" s="94">
        <v>18.3</v>
      </c>
      <c r="M81" s="95">
        <f t="shared" si="9"/>
        <v>5.4755043227665556E-2</v>
      </c>
      <c r="O81" s="83">
        <v>45208</v>
      </c>
      <c r="P81" s="81">
        <v>10.43</v>
      </c>
      <c r="Q81" s="82">
        <f t="shared" si="10"/>
        <v>3.8844621513944189E-2</v>
      </c>
      <c r="S81" s="78">
        <v>45208</v>
      </c>
      <c r="T81" s="106">
        <v>33.950000000000003</v>
      </c>
      <c r="U81" s="107">
        <f t="shared" si="11"/>
        <v>3.0349013657056112E-2</v>
      </c>
      <c r="W81" s="78">
        <v>45208</v>
      </c>
      <c r="X81" s="106">
        <v>12.43</v>
      </c>
      <c r="Y81" s="107">
        <f t="shared" si="12"/>
        <v>2.5577557755775526E-2</v>
      </c>
      <c r="AA81" s="78">
        <v>45208</v>
      </c>
      <c r="AB81" s="110">
        <v>4450.32</v>
      </c>
      <c r="AC81" s="107">
        <f t="shared" si="13"/>
        <v>-1.6085285665251581E-3</v>
      </c>
    </row>
    <row r="82" spans="3:29" x14ac:dyDescent="0.35">
      <c r="C82" s="78">
        <v>44994</v>
      </c>
      <c r="D82" s="75">
        <v>248.5</v>
      </c>
      <c r="E82" s="165">
        <f t="shared" si="7"/>
        <v>1.4244316558507775E-2</v>
      </c>
      <c r="G82" s="83">
        <v>44994</v>
      </c>
      <c r="H82" s="81">
        <v>38.4</v>
      </c>
      <c r="I82" s="82">
        <f t="shared" si="8"/>
        <v>-9.2841956059532271E-2</v>
      </c>
      <c r="K82" s="96">
        <v>44994</v>
      </c>
      <c r="L82" s="94">
        <v>17.350000000000001</v>
      </c>
      <c r="M82" s="95">
        <f t="shared" si="9"/>
        <v>-7.2688401924104751E-2</v>
      </c>
      <c r="O82" s="83">
        <v>44994</v>
      </c>
      <c r="P82" s="81">
        <v>10.039999999999999</v>
      </c>
      <c r="Q82" s="82">
        <f t="shared" si="10"/>
        <v>-8.7272727272727391E-2</v>
      </c>
      <c r="S82" s="78">
        <v>44994</v>
      </c>
      <c r="T82" s="106">
        <v>32.950000000000003</v>
      </c>
      <c r="U82" s="107">
        <f t="shared" si="11"/>
        <v>-1.759093619558727E-2</v>
      </c>
      <c r="W82" s="78">
        <v>44994</v>
      </c>
      <c r="X82" s="106">
        <v>12.12</v>
      </c>
      <c r="Y82" s="107">
        <f t="shared" si="12"/>
        <v>1.2531328320801949E-2</v>
      </c>
      <c r="AA82" s="78">
        <v>44994</v>
      </c>
      <c r="AB82" s="110">
        <v>4457.49</v>
      </c>
      <c r="AC82" s="107">
        <f t="shared" si="13"/>
        <v>-1.290588316056851E-2</v>
      </c>
    </row>
    <row r="83" spans="3:29" x14ac:dyDescent="0.35">
      <c r="C83" s="77" t="s">
        <v>208</v>
      </c>
      <c r="D83" s="75">
        <v>245.01</v>
      </c>
      <c r="E83" s="165">
        <f t="shared" si="7"/>
        <v>2.6908084999371251E-2</v>
      </c>
      <c r="G83" s="80" t="s">
        <v>208</v>
      </c>
      <c r="H83" s="81">
        <v>42.33</v>
      </c>
      <c r="I83" s="82">
        <f t="shared" si="8"/>
        <v>7.8196637799286872E-2</v>
      </c>
      <c r="K83" s="93" t="s">
        <v>208</v>
      </c>
      <c r="L83" s="94">
        <v>18.71</v>
      </c>
      <c r="M83" s="95">
        <f t="shared" si="9"/>
        <v>6.7313177410154079E-2</v>
      </c>
      <c r="O83" s="80" t="s">
        <v>208</v>
      </c>
      <c r="P83" s="81">
        <v>11</v>
      </c>
      <c r="Q83" s="82">
        <f t="shared" si="10"/>
        <v>1.5697137580794163E-2</v>
      </c>
      <c r="S83" s="77" t="s">
        <v>208</v>
      </c>
      <c r="T83" s="106">
        <v>33.54</v>
      </c>
      <c r="U83" s="107">
        <f t="shared" si="11"/>
        <v>1.7905918057663062E-2</v>
      </c>
      <c r="W83" s="77" t="s">
        <v>208</v>
      </c>
      <c r="X83" s="106">
        <v>11.97</v>
      </c>
      <c r="Y83" s="107">
        <f t="shared" si="12"/>
        <v>1.9591141396933631E-2</v>
      </c>
      <c r="AA83" s="77" t="s">
        <v>208</v>
      </c>
      <c r="AB83" s="110">
        <v>4515.7700000000004</v>
      </c>
      <c r="AC83" s="107">
        <f t="shared" si="13"/>
        <v>2.4981217556307778E-2</v>
      </c>
    </row>
    <row r="84" spans="3:29" x14ac:dyDescent="0.35">
      <c r="C84" s="77" t="s">
        <v>209</v>
      </c>
      <c r="D84" s="75">
        <v>238.59</v>
      </c>
      <c r="E84" s="165">
        <f t="shared" si="7"/>
        <v>0.10719754977029083</v>
      </c>
      <c r="G84" s="80" t="s">
        <v>209</v>
      </c>
      <c r="H84" s="81">
        <v>39.26</v>
      </c>
      <c r="I84" s="82">
        <f t="shared" si="8"/>
        <v>1.1073911923770163E-2</v>
      </c>
      <c r="K84" s="93" t="s">
        <v>209</v>
      </c>
      <c r="L84" s="94">
        <v>17.53</v>
      </c>
      <c r="M84" s="95">
        <f t="shared" si="9"/>
        <v>0.1702269692923899</v>
      </c>
      <c r="O84" s="80" t="s">
        <v>209</v>
      </c>
      <c r="P84" s="81">
        <v>10.83</v>
      </c>
      <c r="Q84" s="82">
        <f t="shared" si="10"/>
        <v>1.4995313964386137E-2</v>
      </c>
      <c r="S84" s="77" t="s">
        <v>209</v>
      </c>
      <c r="T84" s="106">
        <v>32.950000000000003</v>
      </c>
      <c r="U84" s="107">
        <f t="shared" si="11"/>
        <v>-5.13285024154575E-3</v>
      </c>
      <c r="W84" s="77" t="s">
        <v>209</v>
      </c>
      <c r="X84" s="106">
        <v>11.74</v>
      </c>
      <c r="Y84" s="107">
        <f t="shared" si="12"/>
        <v>-4.2408821034773947E-3</v>
      </c>
      <c r="AA84" s="77" t="s">
        <v>209</v>
      </c>
      <c r="AB84" s="110">
        <v>4405.71</v>
      </c>
      <c r="AC84" s="107">
        <f t="shared" si="13"/>
        <v>8.2385329918919226E-3</v>
      </c>
    </row>
    <row r="85" spans="3:29" x14ac:dyDescent="0.35">
      <c r="C85" s="77" t="s">
        <v>210</v>
      </c>
      <c r="D85" s="75">
        <v>215.49</v>
      </c>
      <c r="E85" s="165">
        <f t="shared" si="7"/>
        <v>-0.11193076447558215</v>
      </c>
      <c r="G85" s="80" t="s">
        <v>210</v>
      </c>
      <c r="H85" s="81">
        <v>38.83</v>
      </c>
      <c r="I85" s="82">
        <f t="shared" si="8"/>
        <v>-4.0523844823325939E-2</v>
      </c>
      <c r="K85" s="93" t="s">
        <v>210</v>
      </c>
      <c r="L85" s="94">
        <v>14.98</v>
      </c>
      <c r="M85" s="95">
        <f t="shared" si="9"/>
        <v>-7.9852579852579875E-2</v>
      </c>
      <c r="O85" s="80" t="s">
        <v>210</v>
      </c>
      <c r="P85" s="81">
        <v>10.67</v>
      </c>
      <c r="Q85" s="82">
        <f t="shared" si="10"/>
        <v>-0.17286821705426358</v>
      </c>
      <c r="S85" s="77" t="s">
        <v>210</v>
      </c>
      <c r="T85" s="106">
        <v>33.119999999999997</v>
      </c>
      <c r="U85" s="107">
        <f t="shared" si="11"/>
        <v>-2.2720566538802056E-2</v>
      </c>
      <c r="W85" s="77" t="s">
        <v>210</v>
      </c>
      <c r="X85" s="106">
        <v>11.79</v>
      </c>
      <c r="Y85" s="107">
        <f t="shared" si="12"/>
        <v>-1.5037593984962516E-2</v>
      </c>
      <c r="AA85" s="77" t="s">
        <v>210</v>
      </c>
      <c r="AB85" s="110">
        <v>4369.71</v>
      </c>
      <c r="AC85" s="107">
        <f t="shared" si="13"/>
        <v>-2.1133275836964227E-2</v>
      </c>
    </row>
    <row r="86" spans="3:29" x14ac:dyDescent="0.35">
      <c r="C86" s="78">
        <v>45085</v>
      </c>
      <c r="D86" s="75">
        <v>242.65</v>
      </c>
      <c r="E86" s="165">
        <f t="shared" si="7"/>
        <v>-4.4158197431655277E-2</v>
      </c>
      <c r="G86" s="83">
        <v>45085</v>
      </c>
      <c r="H86" s="81">
        <v>40.47</v>
      </c>
      <c r="I86" s="82">
        <f t="shared" si="8"/>
        <v>-0.11714659685863882</v>
      </c>
      <c r="K86" s="96">
        <v>45085</v>
      </c>
      <c r="L86" s="94">
        <v>16.28</v>
      </c>
      <c r="M86" s="95">
        <f t="shared" si="9"/>
        <v>-0.111353711790393</v>
      </c>
      <c r="O86" s="83">
        <v>45085</v>
      </c>
      <c r="P86" s="81">
        <v>12.9</v>
      </c>
      <c r="Q86" s="82">
        <f t="shared" si="10"/>
        <v>-0.12364130434782605</v>
      </c>
      <c r="S86" s="78">
        <v>45085</v>
      </c>
      <c r="T86" s="106">
        <v>33.89</v>
      </c>
      <c r="U86" s="107">
        <f t="shared" si="11"/>
        <v>-7.3284112660650824E-2</v>
      </c>
      <c r="W86" s="78">
        <v>45085</v>
      </c>
      <c r="X86" s="106">
        <v>11.97</v>
      </c>
      <c r="Y86" s="107">
        <f t="shared" si="12"/>
        <v>-5.8221872541306063E-2</v>
      </c>
      <c r="AA86" s="78">
        <v>45085</v>
      </c>
      <c r="AB86" s="110">
        <v>4464.05</v>
      </c>
      <c r="AC86" s="107">
        <f t="shared" si="13"/>
        <v>-3.1219085178079142E-3</v>
      </c>
    </row>
    <row r="87" spans="3:29" x14ac:dyDescent="0.35">
      <c r="C87" s="77" t="s">
        <v>211</v>
      </c>
      <c r="D87" s="75">
        <v>253.86</v>
      </c>
      <c r="E87" s="165">
        <f t="shared" si="7"/>
        <v>-4.721513286293344E-2</v>
      </c>
      <c r="G87" s="80" t="s">
        <v>211</v>
      </c>
      <c r="H87" s="81">
        <v>45.84</v>
      </c>
      <c r="I87" s="82">
        <f t="shared" si="8"/>
        <v>7.3033707865168607E-2</v>
      </c>
      <c r="K87" s="93" t="s">
        <v>211</v>
      </c>
      <c r="L87" s="94">
        <v>18.32</v>
      </c>
      <c r="M87" s="95">
        <f t="shared" si="9"/>
        <v>-0.21675929884566059</v>
      </c>
      <c r="O87" s="80" t="s">
        <v>211</v>
      </c>
      <c r="P87" s="81">
        <v>14.72</v>
      </c>
      <c r="Q87" s="82">
        <f t="shared" si="10"/>
        <v>-1.3568521031207537E-3</v>
      </c>
      <c r="S87" s="77" t="s">
        <v>211</v>
      </c>
      <c r="T87" s="106">
        <v>36.57</v>
      </c>
      <c r="U87" s="107">
        <f t="shared" si="11"/>
        <v>-3.8896189224704281E-2</v>
      </c>
      <c r="W87" s="77" t="s">
        <v>211</v>
      </c>
      <c r="X87" s="106">
        <v>12.71</v>
      </c>
      <c r="Y87" s="107">
        <f t="shared" si="12"/>
        <v>-2.7543993879112438E-2</v>
      </c>
      <c r="AA87" s="77" t="s">
        <v>211</v>
      </c>
      <c r="AB87" s="110">
        <v>4478.03</v>
      </c>
      <c r="AC87" s="107">
        <f t="shared" si="13"/>
        <v>-2.2740019597444872E-2</v>
      </c>
    </row>
    <row r="88" spans="3:29" x14ac:dyDescent="0.35">
      <c r="C88" s="77" t="s">
        <v>212</v>
      </c>
      <c r="D88" s="75">
        <v>266.44</v>
      </c>
      <c r="E88" s="165">
        <f t="shared" si="7"/>
        <v>2.4690408430120714E-2</v>
      </c>
      <c r="G88" s="80" t="s">
        <v>212</v>
      </c>
      <c r="H88" s="81">
        <v>42.72</v>
      </c>
      <c r="I88" s="82">
        <f t="shared" si="8"/>
        <v>0.15553151203678661</v>
      </c>
      <c r="K88" s="93" t="s">
        <v>212</v>
      </c>
      <c r="L88" s="94">
        <v>23.39</v>
      </c>
      <c r="M88" s="95">
        <f t="shared" si="9"/>
        <v>0.60645604395604402</v>
      </c>
      <c r="O88" s="80" t="s">
        <v>212</v>
      </c>
      <c r="P88" s="81">
        <v>14.74</v>
      </c>
      <c r="Q88" s="82">
        <f t="shared" si="10"/>
        <v>0.3931947069943289</v>
      </c>
      <c r="S88" s="77" t="s">
        <v>212</v>
      </c>
      <c r="T88" s="106">
        <v>38.049999999999997</v>
      </c>
      <c r="U88" s="107">
        <f t="shared" si="11"/>
        <v>-1.2970168612191912E-2</v>
      </c>
      <c r="W88" s="77" t="s">
        <v>212</v>
      </c>
      <c r="X88" s="106">
        <v>13.07</v>
      </c>
      <c r="Y88" s="107">
        <f t="shared" si="12"/>
        <v>-4.8069919883466872E-2</v>
      </c>
      <c r="AA88" s="77" t="s">
        <v>212</v>
      </c>
      <c r="AB88" s="110">
        <v>4582.2299999999996</v>
      </c>
      <c r="AC88" s="107">
        <f t="shared" si="13"/>
        <v>1.0116084773187151E-2</v>
      </c>
    </row>
    <row r="89" spans="3:29" x14ac:dyDescent="0.35">
      <c r="C89" s="77" t="s">
        <v>213</v>
      </c>
      <c r="D89" s="75">
        <v>260.02</v>
      </c>
      <c r="E89" s="165">
        <f t="shared" si="7"/>
        <v>-7.5911578648091615E-2</v>
      </c>
      <c r="G89" s="80" t="s">
        <v>213</v>
      </c>
      <c r="H89" s="81">
        <v>36.97</v>
      </c>
      <c r="I89" s="82">
        <f t="shared" si="8"/>
        <v>-8.1081081081080253E-4</v>
      </c>
      <c r="K89" s="93" t="s">
        <v>213</v>
      </c>
      <c r="L89" s="94">
        <v>14.56</v>
      </c>
      <c r="M89" s="95">
        <f t="shared" si="9"/>
        <v>3.8516405135520682E-2</v>
      </c>
      <c r="O89" s="80" t="s">
        <v>213</v>
      </c>
      <c r="P89" s="81">
        <v>10.58</v>
      </c>
      <c r="Q89" s="82">
        <f t="shared" si="10"/>
        <v>3.7950664136623402E-3</v>
      </c>
      <c r="S89" s="77" t="s">
        <v>213</v>
      </c>
      <c r="T89" s="106">
        <v>38.549999999999997</v>
      </c>
      <c r="U89" s="107">
        <f t="shared" si="11"/>
        <v>-3.6250000000000115E-2</v>
      </c>
      <c r="W89" s="77" t="s">
        <v>213</v>
      </c>
      <c r="X89" s="106">
        <v>13.73</v>
      </c>
      <c r="Y89" s="107">
        <f t="shared" si="12"/>
        <v>-7.0412999322951864E-2</v>
      </c>
      <c r="AA89" s="77" t="s">
        <v>213</v>
      </c>
      <c r="AB89" s="110">
        <v>4536.34</v>
      </c>
      <c r="AC89" s="107">
        <f t="shared" si="13"/>
        <v>6.8628451953425262E-3</v>
      </c>
    </row>
    <row r="90" spans="3:29" x14ac:dyDescent="0.35">
      <c r="C90" s="78">
        <v>45176</v>
      </c>
      <c r="D90" s="75">
        <v>281.38</v>
      </c>
      <c r="E90" s="165">
        <f t="shared" si="7"/>
        <v>2.5325219545967892E-2</v>
      </c>
      <c r="G90" s="83">
        <v>45176</v>
      </c>
      <c r="H90" s="81">
        <v>37</v>
      </c>
      <c r="I90" s="82">
        <f t="shared" si="8"/>
        <v>3.0927835051546282E-2</v>
      </c>
      <c r="K90" s="96">
        <v>45176</v>
      </c>
      <c r="L90" s="94">
        <v>14.02</v>
      </c>
      <c r="M90" s="95">
        <f t="shared" si="9"/>
        <v>-9.8870056497175618E-3</v>
      </c>
      <c r="O90" s="83">
        <v>45176</v>
      </c>
      <c r="P90" s="81">
        <v>10.54</v>
      </c>
      <c r="Q90" s="82">
        <f t="shared" si="10"/>
        <v>5.5055055055055035E-2</v>
      </c>
      <c r="S90" s="78">
        <v>45176</v>
      </c>
      <c r="T90" s="106">
        <v>40</v>
      </c>
      <c r="U90" s="107">
        <f t="shared" si="11"/>
        <v>9.8459984852310445E-3</v>
      </c>
      <c r="W90" s="78">
        <v>45176</v>
      </c>
      <c r="X90" s="106">
        <v>14.77</v>
      </c>
      <c r="Y90" s="107">
        <f t="shared" si="12"/>
        <v>0</v>
      </c>
      <c r="AA90" s="78">
        <v>45176</v>
      </c>
      <c r="AB90" s="110">
        <v>4505.42</v>
      </c>
      <c r="AC90" s="107">
        <f t="shared" si="13"/>
        <v>2.4203503108696456E-2</v>
      </c>
    </row>
    <row r="91" spans="3:29" x14ac:dyDescent="0.35">
      <c r="C91" s="78">
        <v>44964</v>
      </c>
      <c r="D91" s="75">
        <v>274.43</v>
      </c>
      <c r="E91" s="165">
        <f t="shared" si="7"/>
        <v>4.8363066814379074E-2</v>
      </c>
      <c r="G91" s="83">
        <v>44964</v>
      </c>
      <c r="H91" s="81">
        <v>35.89</v>
      </c>
      <c r="I91" s="82">
        <f t="shared" si="8"/>
        <v>2.2507122507122501E-2</v>
      </c>
      <c r="K91" s="96">
        <v>44964</v>
      </c>
      <c r="L91" s="94">
        <v>14.16</v>
      </c>
      <c r="M91" s="95">
        <f t="shared" si="9"/>
        <v>5.5141579731743606E-2</v>
      </c>
      <c r="O91" s="83">
        <v>44964</v>
      </c>
      <c r="P91" s="81">
        <v>9.99</v>
      </c>
      <c r="Q91" s="82">
        <f t="shared" si="10"/>
        <v>3.095975232198156E-2</v>
      </c>
      <c r="S91" s="78">
        <v>44964</v>
      </c>
      <c r="T91" s="106">
        <v>39.61</v>
      </c>
      <c r="U91" s="107">
        <f t="shared" si="11"/>
        <v>2.7230290456431439E-2</v>
      </c>
      <c r="W91" s="78">
        <v>44964</v>
      </c>
      <c r="X91" s="106">
        <v>14.77</v>
      </c>
      <c r="Y91" s="107">
        <f t="shared" si="12"/>
        <v>-9.3896713615023719E-3</v>
      </c>
      <c r="AA91" s="78">
        <v>44964</v>
      </c>
      <c r="AB91" s="110">
        <v>4398.95</v>
      </c>
      <c r="AC91" s="107">
        <f t="shared" si="13"/>
        <v>-1.1556316539261924E-2</v>
      </c>
    </row>
    <row r="92" spans="3:29" x14ac:dyDescent="0.35">
      <c r="C92" s="77" t="s">
        <v>214</v>
      </c>
      <c r="D92" s="75">
        <v>261.77</v>
      </c>
      <c r="E92" s="165">
        <f t="shared" si="7"/>
        <v>2.0148090413094177E-2</v>
      </c>
      <c r="G92" s="80" t="s">
        <v>214</v>
      </c>
      <c r="H92" s="81">
        <v>35.1</v>
      </c>
      <c r="I92" s="82">
        <f t="shared" si="8"/>
        <v>5.6592414208308295E-2</v>
      </c>
      <c r="K92" s="93" t="s">
        <v>214</v>
      </c>
      <c r="L92" s="94">
        <v>13.42</v>
      </c>
      <c r="M92" s="95">
        <f t="shared" si="9"/>
        <v>0.3555555555555554</v>
      </c>
      <c r="O92" s="80" t="s">
        <v>214</v>
      </c>
      <c r="P92" s="81">
        <v>9.69</v>
      </c>
      <c r="Q92" s="82">
        <f t="shared" si="10"/>
        <v>0.14946619217081847</v>
      </c>
      <c r="S92" s="77" t="s">
        <v>214</v>
      </c>
      <c r="T92" s="106">
        <v>38.56</v>
      </c>
      <c r="U92" s="107">
        <f t="shared" si="11"/>
        <v>6.5782200110558353E-2</v>
      </c>
      <c r="W92" s="77" t="s">
        <v>214</v>
      </c>
      <c r="X92" s="106">
        <v>14.91</v>
      </c>
      <c r="Y92" s="107">
        <f t="shared" si="12"/>
        <v>7.8871201157742377E-2</v>
      </c>
      <c r="AA92" s="77" t="s">
        <v>214</v>
      </c>
      <c r="AB92" s="110">
        <v>4450.38</v>
      </c>
      <c r="AC92" s="107">
        <f t="shared" si="13"/>
        <v>2.3468779968401687E-2</v>
      </c>
    </row>
    <row r="93" spans="3:29" x14ac:dyDescent="0.35">
      <c r="C93" s="77" t="s">
        <v>215</v>
      </c>
      <c r="D93" s="75">
        <v>256.60000000000002</v>
      </c>
      <c r="E93" s="165">
        <f t="shared" si="7"/>
        <v>-1.5122438013356887E-2</v>
      </c>
      <c r="G93" s="80" t="s">
        <v>215</v>
      </c>
      <c r="H93" s="81">
        <v>33.22</v>
      </c>
      <c r="I93" s="82">
        <f t="shared" si="8"/>
        <v>-3.4582970066840968E-2</v>
      </c>
      <c r="K93" s="93" t="s">
        <v>215</v>
      </c>
      <c r="L93" s="94">
        <v>9.9</v>
      </c>
      <c r="M93" s="95">
        <f t="shared" si="9"/>
        <v>-0.13005272407732871</v>
      </c>
      <c r="O93" s="80" t="s">
        <v>215</v>
      </c>
      <c r="P93" s="81">
        <v>8.43</v>
      </c>
      <c r="Q93" s="82">
        <f t="shared" si="10"/>
        <v>-0.10319148936170219</v>
      </c>
      <c r="S93" s="77" t="s">
        <v>215</v>
      </c>
      <c r="T93" s="106">
        <v>36.18</v>
      </c>
      <c r="U93" s="107">
        <f t="shared" si="11"/>
        <v>-4.689146469968386E-2</v>
      </c>
      <c r="W93" s="77" t="s">
        <v>215</v>
      </c>
      <c r="X93" s="106">
        <v>13.82</v>
      </c>
      <c r="Y93" s="107">
        <f t="shared" si="12"/>
        <v>-2.7445460942997935E-2</v>
      </c>
      <c r="AA93" s="77" t="s">
        <v>215</v>
      </c>
      <c r="AB93" s="110">
        <v>4348.33</v>
      </c>
      <c r="AC93" s="107">
        <f t="shared" si="13"/>
        <v>-1.389244805072587E-2</v>
      </c>
    </row>
    <row r="94" spans="3:29" x14ac:dyDescent="0.35">
      <c r="C94" s="78">
        <v>45236</v>
      </c>
      <c r="D94" s="75">
        <v>260.54000000000002</v>
      </c>
      <c r="E94" s="165">
        <f t="shared" si="7"/>
        <v>6.6039279869067213E-2</v>
      </c>
      <c r="G94" s="83">
        <v>45236</v>
      </c>
      <c r="H94" s="81">
        <v>34.409999999999997</v>
      </c>
      <c r="I94" s="82">
        <f t="shared" si="8"/>
        <v>8.2756450597860187E-2</v>
      </c>
      <c r="K94" s="96">
        <v>45236</v>
      </c>
      <c r="L94" s="94">
        <v>11.38</v>
      </c>
      <c r="M94" s="95">
        <f t="shared" si="9"/>
        <v>0.28297632468996636</v>
      </c>
      <c r="O94" s="83">
        <v>45236</v>
      </c>
      <c r="P94" s="81">
        <v>9.4</v>
      </c>
      <c r="Q94" s="82">
        <f t="shared" si="10"/>
        <v>0.21604139715394566</v>
      </c>
      <c r="S94" s="78">
        <v>45236</v>
      </c>
      <c r="T94" s="106">
        <v>37.96</v>
      </c>
      <c r="U94" s="107">
        <f t="shared" si="11"/>
        <v>4.7750483025117418E-2</v>
      </c>
      <c r="W94" s="78">
        <v>45236</v>
      </c>
      <c r="X94" s="106">
        <v>14.21</v>
      </c>
      <c r="Y94" s="107">
        <f t="shared" si="12"/>
        <v>4.9483013293943889E-2</v>
      </c>
      <c r="AA94" s="78">
        <v>45236</v>
      </c>
      <c r="AB94" s="110">
        <v>4409.59</v>
      </c>
      <c r="AC94" s="107">
        <f t="shared" si="13"/>
        <v>2.5757991653601264E-2</v>
      </c>
    </row>
    <row r="95" spans="3:29" x14ac:dyDescent="0.35">
      <c r="C95" s="78">
        <v>45022</v>
      </c>
      <c r="D95" s="75">
        <v>244.4</v>
      </c>
      <c r="E95" s="165">
        <f t="shared" si="7"/>
        <v>0.14221619853250456</v>
      </c>
      <c r="G95" s="83">
        <v>45022</v>
      </c>
      <c r="H95" s="81">
        <v>31.78</v>
      </c>
      <c r="I95" s="82">
        <f t="shared" si="8"/>
        <v>7.9483695652173836E-2</v>
      </c>
      <c r="K95" s="96">
        <v>45022</v>
      </c>
      <c r="L95" s="94">
        <v>8.8699999999999992</v>
      </c>
      <c r="M95" s="95">
        <f t="shared" si="9"/>
        <v>5.0947867298578142E-2</v>
      </c>
      <c r="O95" s="83">
        <v>45022</v>
      </c>
      <c r="P95" s="81">
        <v>7.73</v>
      </c>
      <c r="Q95" s="82">
        <f t="shared" si="10"/>
        <v>2.2486772486772555E-2</v>
      </c>
      <c r="S95" s="78">
        <v>45022</v>
      </c>
      <c r="T95" s="106">
        <v>36.229999999999997</v>
      </c>
      <c r="U95" s="107">
        <f t="shared" si="11"/>
        <v>5.6884480746790977E-2</v>
      </c>
      <c r="W95" s="78">
        <v>45022</v>
      </c>
      <c r="X95" s="106">
        <v>13.54</v>
      </c>
      <c r="Y95" s="107">
        <f t="shared" si="12"/>
        <v>0.10892710892710888</v>
      </c>
      <c r="AA95" s="78">
        <v>45022</v>
      </c>
      <c r="AB95" s="110">
        <v>4298.8599999999997</v>
      </c>
      <c r="AC95" s="107">
        <f t="shared" si="13"/>
        <v>3.8506714739734438E-3</v>
      </c>
    </row>
    <row r="96" spans="3:29" x14ac:dyDescent="0.35">
      <c r="C96" s="77" t="s">
        <v>216</v>
      </c>
      <c r="D96" s="75">
        <v>213.97</v>
      </c>
      <c r="E96" s="165">
        <f t="shared" si="7"/>
        <v>0.1076771755448569</v>
      </c>
      <c r="G96" s="80" t="s">
        <v>216</v>
      </c>
      <c r="H96" s="81">
        <v>29.44</v>
      </c>
      <c r="I96" s="82">
        <f t="shared" si="8"/>
        <v>4.5454545454545414E-2</v>
      </c>
      <c r="K96" s="93" t="s">
        <v>216</v>
      </c>
      <c r="L96" s="94">
        <v>8.44</v>
      </c>
      <c r="M96" s="95">
        <f t="shared" si="9"/>
        <v>2.9268292682926855E-2</v>
      </c>
      <c r="O96" s="80" t="s">
        <v>216</v>
      </c>
      <c r="P96" s="81">
        <v>7.56</v>
      </c>
      <c r="Q96" s="82">
        <f t="shared" si="10"/>
        <v>-1.8181818181818299E-2</v>
      </c>
      <c r="S96" s="77" t="s">
        <v>216</v>
      </c>
      <c r="T96" s="106">
        <v>34.28</v>
      </c>
      <c r="U96" s="107">
        <f t="shared" si="11"/>
        <v>2.9738660258335825E-2</v>
      </c>
      <c r="W96" s="77" t="s">
        <v>216</v>
      </c>
      <c r="X96" s="106">
        <v>12.21</v>
      </c>
      <c r="Y96" s="107">
        <f t="shared" si="12"/>
        <v>2.4328859060402719E-2</v>
      </c>
      <c r="AA96" s="77" t="s">
        <v>216</v>
      </c>
      <c r="AB96" s="110">
        <v>4282.37</v>
      </c>
      <c r="AC96" s="107">
        <f t="shared" si="13"/>
        <v>1.8290551546207956E-2</v>
      </c>
    </row>
    <row r="97" spans="3:29" x14ac:dyDescent="0.35">
      <c r="C97" s="77" t="s">
        <v>217</v>
      </c>
      <c r="D97" s="75">
        <v>193.17</v>
      </c>
      <c r="E97" s="165">
        <f t="shared" si="7"/>
        <v>7.2332630176529467E-2</v>
      </c>
      <c r="G97" s="80" t="s">
        <v>217</v>
      </c>
      <c r="H97" s="81">
        <v>28.16</v>
      </c>
      <c r="I97" s="82">
        <f t="shared" si="8"/>
        <v>-3.2302405498281783E-2</v>
      </c>
      <c r="K97" s="93" t="s">
        <v>217</v>
      </c>
      <c r="L97" s="94">
        <v>8.1999999999999993</v>
      </c>
      <c r="M97" s="95">
        <f t="shared" si="9"/>
        <v>-9.0909090909090939E-2</v>
      </c>
      <c r="O97" s="80" t="s">
        <v>217</v>
      </c>
      <c r="P97" s="81">
        <v>7.7</v>
      </c>
      <c r="Q97" s="82">
        <f t="shared" si="10"/>
        <v>-4.5848822800495626E-2</v>
      </c>
      <c r="S97" s="77" t="s">
        <v>217</v>
      </c>
      <c r="T97" s="106">
        <v>33.29</v>
      </c>
      <c r="U97" s="107">
        <f t="shared" si="11"/>
        <v>1.9289650949173343E-2</v>
      </c>
      <c r="W97" s="77" t="s">
        <v>217</v>
      </c>
      <c r="X97" s="106">
        <v>11.92</v>
      </c>
      <c r="Y97" s="107">
        <f t="shared" si="12"/>
        <v>3.8327526132404088E-2</v>
      </c>
      <c r="AA97" s="77" t="s">
        <v>217</v>
      </c>
      <c r="AB97" s="110">
        <v>4205.45</v>
      </c>
      <c r="AC97" s="107">
        <f t="shared" si="13"/>
        <v>3.2132786893068754E-3</v>
      </c>
    </row>
    <row r="98" spans="3:29" x14ac:dyDescent="0.35">
      <c r="C98" s="77" t="s">
        <v>218</v>
      </c>
      <c r="D98" s="75">
        <v>180.14</v>
      </c>
      <c r="E98" s="165">
        <f t="shared" si="7"/>
        <v>7.2389570186927044E-2</v>
      </c>
      <c r="G98" s="80" t="s">
        <v>218</v>
      </c>
      <c r="H98" s="81">
        <v>29.1</v>
      </c>
      <c r="I98" s="82">
        <f t="shared" si="8"/>
        <v>-1.1548913043478271E-2</v>
      </c>
      <c r="K98" s="93" t="s">
        <v>218</v>
      </c>
      <c r="L98" s="94">
        <v>9.02</v>
      </c>
      <c r="M98" s="95">
        <f t="shared" si="9"/>
        <v>-8.1466395112016365E-2</v>
      </c>
      <c r="O98" s="80" t="s">
        <v>218</v>
      </c>
      <c r="P98" s="81">
        <v>8.07</v>
      </c>
      <c r="Q98" s="82">
        <f t="shared" si="10"/>
        <v>1.5094339622641506E-2</v>
      </c>
      <c r="S98" s="77" t="s">
        <v>218</v>
      </c>
      <c r="T98" s="106">
        <v>32.659999999999997</v>
      </c>
      <c r="U98" s="107">
        <f t="shared" si="11"/>
        <v>8.0246913580246382E-3</v>
      </c>
      <c r="W98" s="77" t="s">
        <v>218</v>
      </c>
      <c r="X98" s="106">
        <v>11.48</v>
      </c>
      <c r="Y98" s="107">
        <f t="shared" si="12"/>
        <v>-1.7391304347825765E-3</v>
      </c>
      <c r="AA98" s="77" t="s">
        <v>218</v>
      </c>
      <c r="AB98" s="110">
        <v>4191.9799999999996</v>
      </c>
      <c r="AC98" s="107">
        <f t="shared" si="13"/>
        <v>1.6464278093538454E-2</v>
      </c>
    </row>
    <row r="99" spans="3:29" x14ac:dyDescent="0.35">
      <c r="C99" s="78">
        <v>45112</v>
      </c>
      <c r="D99" s="75">
        <v>167.98</v>
      </c>
      <c r="E99" s="165">
        <f t="shared" si="7"/>
        <v>-1.2230977302128743E-2</v>
      </c>
      <c r="G99" s="83">
        <v>45112</v>
      </c>
      <c r="H99" s="81">
        <v>29.44</v>
      </c>
      <c r="I99" s="82">
        <f t="shared" si="8"/>
        <v>0.23025491015461763</v>
      </c>
      <c r="K99" s="96">
        <v>45112</v>
      </c>
      <c r="L99" s="94">
        <v>9.82</v>
      </c>
      <c r="M99" s="95">
        <f t="shared" si="9"/>
        <v>-5.5769230769230793E-2</v>
      </c>
      <c r="O99" s="83">
        <v>45112</v>
      </c>
      <c r="P99" s="81">
        <v>7.95</v>
      </c>
      <c r="Q99" s="82">
        <f t="shared" si="10"/>
        <v>-2.4539877300613466E-2</v>
      </c>
      <c r="S99" s="78">
        <v>45112</v>
      </c>
      <c r="T99" s="106">
        <v>32.4</v>
      </c>
      <c r="U99" s="107">
        <f t="shared" si="11"/>
        <v>-2.5856885147324093E-2</v>
      </c>
      <c r="W99" s="78">
        <v>45112</v>
      </c>
      <c r="X99" s="106">
        <v>11.5</v>
      </c>
      <c r="Y99" s="107">
        <f t="shared" si="12"/>
        <v>-2.7072758037225086E-2</v>
      </c>
      <c r="AA99" s="78">
        <v>45112</v>
      </c>
      <c r="AB99" s="110">
        <v>4124.08</v>
      </c>
      <c r="AC99" s="107">
        <f t="shared" si="13"/>
        <v>-2.9422786340284057E-3</v>
      </c>
    </row>
    <row r="100" spans="3:29" x14ac:dyDescent="0.35">
      <c r="C100" s="77" t="s">
        <v>219</v>
      </c>
      <c r="D100" s="75">
        <v>170.06</v>
      </c>
      <c r="E100" s="165">
        <f t="shared" si="7"/>
        <v>3.499482685168287E-2</v>
      </c>
      <c r="G100" s="80" t="s">
        <v>219</v>
      </c>
      <c r="H100" s="81">
        <v>23.93</v>
      </c>
      <c r="I100" s="82">
        <f t="shared" si="8"/>
        <v>1.8297872340425458E-2</v>
      </c>
      <c r="K100" s="93" t="s">
        <v>219</v>
      </c>
      <c r="L100" s="94">
        <v>10.4</v>
      </c>
      <c r="M100" s="95">
        <f t="shared" si="9"/>
        <v>9.473684210526323E-2</v>
      </c>
      <c r="O100" s="80" t="s">
        <v>219</v>
      </c>
      <c r="P100" s="81">
        <v>8.15</v>
      </c>
      <c r="Q100" s="82">
        <f t="shared" si="10"/>
        <v>3.5578144853875449E-2</v>
      </c>
      <c r="S100" s="77" t="s">
        <v>219</v>
      </c>
      <c r="T100" s="106">
        <v>33.26</v>
      </c>
      <c r="U100" s="107">
        <f t="shared" si="11"/>
        <v>6.6585956416465031E-3</v>
      </c>
      <c r="W100" s="77" t="s">
        <v>219</v>
      </c>
      <c r="X100" s="106">
        <v>11.82</v>
      </c>
      <c r="Y100" s="107">
        <f t="shared" si="12"/>
        <v>9.3936806148591234E-3</v>
      </c>
      <c r="AA100" s="77" t="s">
        <v>219</v>
      </c>
      <c r="AB100" s="110">
        <v>4136.25</v>
      </c>
      <c r="AC100" s="107">
        <f t="shared" si="13"/>
        <v>-7.9698187783607821E-3</v>
      </c>
    </row>
    <row r="101" spans="3:29" x14ac:dyDescent="0.35">
      <c r="C101" s="77" t="s">
        <v>220</v>
      </c>
      <c r="D101" s="75">
        <v>164.31</v>
      </c>
      <c r="E101" s="165">
        <f t="shared" si="7"/>
        <v>-4.6644051369033601E-3</v>
      </c>
      <c r="G101" s="80" t="s">
        <v>220</v>
      </c>
      <c r="H101" s="81">
        <v>23.5</v>
      </c>
      <c r="I101" s="82">
        <f t="shared" si="8"/>
        <v>2.4858264282599185E-2</v>
      </c>
      <c r="K101" s="93" t="s">
        <v>220</v>
      </c>
      <c r="L101" s="94">
        <v>9.5</v>
      </c>
      <c r="M101" s="95">
        <f t="shared" si="9"/>
        <v>2.7027027027026973E-2</v>
      </c>
      <c r="O101" s="80" t="s">
        <v>220</v>
      </c>
      <c r="P101" s="81">
        <v>7.87</v>
      </c>
      <c r="Q101" s="82">
        <f t="shared" si="10"/>
        <v>-5.5222088835534255E-2</v>
      </c>
      <c r="S101" s="77" t="s">
        <v>220</v>
      </c>
      <c r="T101" s="106">
        <v>33.04</v>
      </c>
      <c r="U101" s="107">
        <f t="shared" si="11"/>
        <v>-1.5201192250372531E-2</v>
      </c>
      <c r="W101" s="77" t="s">
        <v>220</v>
      </c>
      <c r="X101" s="106">
        <v>11.71</v>
      </c>
      <c r="Y101" s="107">
        <f t="shared" si="12"/>
        <v>6.0137457044673326E-3</v>
      </c>
      <c r="AA101" s="77" t="s">
        <v>220</v>
      </c>
      <c r="AB101" s="110">
        <v>4169.4799999999996</v>
      </c>
      <c r="AC101" s="107">
        <f t="shared" si="13"/>
        <v>8.6996071145171161E-3</v>
      </c>
    </row>
    <row r="102" spans="3:29" x14ac:dyDescent="0.35">
      <c r="C102" s="77" t="s">
        <v>221</v>
      </c>
      <c r="D102" s="75">
        <v>165.08</v>
      </c>
      <c r="E102" s="165">
        <f t="shared" si="7"/>
        <v>-0.1076756756756756</v>
      </c>
      <c r="G102" s="80" t="s">
        <v>221</v>
      </c>
      <c r="H102" s="81">
        <v>22.93</v>
      </c>
      <c r="I102" s="82">
        <f t="shared" si="8"/>
        <v>-6.6368078175895739E-2</v>
      </c>
      <c r="K102" s="93" t="s">
        <v>221</v>
      </c>
      <c r="L102" s="94">
        <v>9.25</v>
      </c>
      <c r="M102" s="95">
        <f t="shared" si="9"/>
        <v>-6.7540322580645129E-2</v>
      </c>
      <c r="O102" s="80" t="s">
        <v>221</v>
      </c>
      <c r="P102" s="81">
        <v>8.33</v>
      </c>
      <c r="Q102" s="82">
        <f t="shared" si="10"/>
        <v>-0.10140237324703338</v>
      </c>
      <c r="S102" s="77" t="s">
        <v>221</v>
      </c>
      <c r="T102" s="106">
        <v>33.549999999999997</v>
      </c>
      <c r="U102" s="107">
        <f t="shared" si="11"/>
        <v>-2.7254276601913707E-2</v>
      </c>
      <c r="W102" s="77" t="s">
        <v>221</v>
      </c>
      <c r="X102" s="106">
        <v>11.64</v>
      </c>
      <c r="Y102" s="107">
        <f t="shared" si="12"/>
        <v>-5.6726094003241467E-2</v>
      </c>
      <c r="AA102" s="77" t="s">
        <v>221</v>
      </c>
      <c r="AB102" s="110">
        <v>4133.5200000000004</v>
      </c>
      <c r="AC102" s="107">
        <f t="shared" si="13"/>
        <v>-9.9573670014785343E-4</v>
      </c>
    </row>
    <row r="103" spans="3:29" x14ac:dyDescent="0.35">
      <c r="C103" s="78">
        <v>45173</v>
      </c>
      <c r="D103" s="75">
        <v>185</v>
      </c>
      <c r="E103" s="165">
        <f t="shared" si="7"/>
        <v>-3.2421917216041152E-4</v>
      </c>
      <c r="G103" s="83">
        <v>45173</v>
      </c>
      <c r="H103" s="81">
        <v>24.56</v>
      </c>
      <c r="I103" s="82">
        <f t="shared" si="8"/>
        <v>3.7600337980566056E-2</v>
      </c>
      <c r="K103" s="96">
        <v>45173</v>
      </c>
      <c r="L103" s="94">
        <v>9.92</v>
      </c>
      <c r="M103" s="95">
        <f t="shared" si="9"/>
        <v>-3.3138401559454134E-2</v>
      </c>
      <c r="O103" s="83">
        <v>45173</v>
      </c>
      <c r="P103" s="81">
        <v>9.27</v>
      </c>
      <c r="Q103" s="82">
        <f t="shared" si="10"/>
        <v>2.8856825749167481E-2</v>
      </c>
      <c r="S103" s="78">
        <v>45173</v>
      </c>
      <c r="T103" s="106">
        <v>34.49</v>
      </c>
      <c r="U103" s="107">
        <f t="shared" si="11"/>
        <v>-2.8910089621277946E-3</v>
      </c>
      <c r="W103" s="78">
        <v>45173</v>
      </c>
      <c r="X103" s="106">
        <v>12.34</v>
      </c>
      <c r="Y103" s="107">
        <f t="shared" si="12"/>
        <v>1.5637860082304389E-2</v>
      </c>
      <c r="AA103" s="78">
        <v>45173</v>
      </c>
      <c r="AB103" s="110">
        <v>4137.6400000000003</v>
      </c>
      <c r="AC103" s="107">
        <f t="shared" si="13"/>
        <v>7.9463681053928426E-3</v>
      </c>
    </row>
    <row r="104" spans="3:29" x14ac:dyDescent="0.35">
      <c r="C104" s="78">
        <v>44961</v>
      </c>
      <c r="D104" s="75">
        <v>185.06</v>
      </c>
      <c r="E104" s="165">
        <f t="shared" si="7"/>
        <v>-0.10797262122818863</v>
      </c>
      <c r="G104" s="83">
        <v>44961</v>
      </c>
      <c r="H104" s="81">
        <v>23.67</v>
      </c>
      <c r="I104" s="82">
        <f t="shared" si="8"/>
        <v>-5.1302605210420738E-2</v>
      </c>
      <c r="K104" s="96">
        <v>44961</v>
      </c>
      <c r="L104" s="94">
        <v>10.26</v>
      </c>
      <c r="M104" s="95">
        <f t="shared" si="9"/>
        <v>-7.6507650765076485E-2</v>
      </c>
      <c r="O104" s="83">
        <v>44961</v>
      </c>
      <c r="P104" s="81">
        <v>9.01</v>
      </c>
      <c r="Q104" s="82">
        <f t="shared" si="10"/>
        <v>-0.14272121788772596</v>
      </c>
      <c r="S104" s="78">
        <v>44961</v>
      </c>
      <c r="T104" s="106">
        <v>34.590000000000003</v>
      </c>
      <c r="U104" s="107">
        <f t="shared" si="11"/>
        <v>-5.6979280261722942E-2</v>
      </c>
      <c r="W104" s="78">
        <v>44961</v>
      </c>
      <c r="X104" s="106">
        <v>12.15</v>
      </c>
      <c r="Y104" s="107">
        <f t="shared" si="12"/>
        <v>-2.1739130434782594E-2</v>
      </c>
      <c r="AA104" s="78">
        <v>44961</v>
      </c>
      <c r="AB104" s="110">
        <v>4105.0200000000004</v>
      </c>
      <c r="AC104" s="107">
        <f t="shared" si="13"/>
        <v>-1.0439708856231356E-3</v>
      </c>
    </row>
    <row r="105" spans="3:29" x14ac:dyDescent="0.35">
      <c r="C105" s="77" t="s">
        <v>222</v>
      </c>
      <c r="D105" s="75">
        <v>207.46</v>
      </c>
      <c r="E105" s="165">
        <f t="shared" si="7"/>
        <v>8.9543616406701387E-2</v>
      </c>
      <c r="G105" s="80" t="s">
        <v>222</v>
      </c>
      <c r="H105" s="81">
        <v>24.95</v>
      </c>
      <c r="I105" s="82">
        <f t="shared" si="8"/>
        <v>6.715141146278869E-2</v>
      </c>
      <c r="K105" s="93" t="s">
        <v>222</v>
      </c>
      <c r="L105" s="94">
        <v>11.11</v>
      </c>
      <c r="M105" s="95">
        <f t="shared" si="9"/>
        <v>0.15488565488565498</v>
      </c>
      <c r="O105" s="80" t="s">
        <v>222</v>
      </c>
      <c r="P105" s="81">
        <v>10.51</v>
      </c>
      <c r="Q105" s="82">
        <f t="shared" si="10"/>
        <v>0.15876515986769557</v>
      </c>
      <c r="S105" s="77" t="s">
        <v>222</v>
      </c>
      <c r="T105" s="106">
        <v>36.68</v>
      </c>
      <c r="U105" s="107">
        <f t="shared" si="11"/>
        <v>8.8104420053396693E-2</v>
      </c>
      <c r="W105" s="77" t="s">
        <v>222</v>
      </c>
      <c r="X105" s="106">
        <v>12.42</v>
      </c>
      <c r="Y105" s="107">
        <f t="shared" si="12"/>
        <v>9.4273127753303987E-2</v>
      </c>
      <c r="AA105" s="77" t="s">
        <v>222</v>
      </c>
      <c r="AB105" s="110">
        <v>4109.3100000000004</v>
      </c>
      <c r="AC105" s="107">
        <f t="shared" si="13"/>
        <v>3.4832623602678581E-2</v>
      </c>
    </row>
    <row r="106" spans="3:29" x14ac:dyDescent="0.35">
      <c r="C106" s="77" t="s">
        <v>223</v>
      </c>
      <c r="D106" s="75">
        <v>190.41</v>
      </c>
      <c r="E106" s="165">
        <f t="shared" si="7"/>
        <v>5.7069893965469465E-2</v>
      </c>
      <c r="G106" s="80" t="s">
        <v>223</v>
      </c>
      <c r="H106" s="81">
        <v>23.38</v>
      </c>
      <c r="I106" s="82">
        <f t="shared" si="8"/>
        <v>3.497122620628601E-2</v>
      </c>
      <c r="K106" s="93" t="s">
        <v>223</v>
      </c>
      <c r="L106" s="94">
        <v>9.6199999999999992</v>
      </c>
      <c r="M106" s="95">
        <f t="shared" si="9"/>
        <v>8.8235294117646967E-2</v>
      </c>
      <c r="O106" s="80" t="s">
        <v>223</v>
      </c>
      <c r="P106" s="81">
        <v>9.07</v>
      </c>
      <c r="Q106" s="82">
        <f t="shared" si="10"/>
        <v>9.8062953995157409E-2</v>
      </c>
      <c r="S106" s="77" t="s">
        <v>223</v>
      </c>
      <c r="T106" s="106">
        <v>33.71</v>
      </c>
      <c r="U106" s="107">
        <f t="shared" si="11"/>
        <v>9.8861593768724276E-3</v>
      </c>
      <c r="W106" s="77" t="s">
        <v>223</v>
      </c>
      <c r="X106" s="106">
        <v>11.35</v>
      </c>
      <c r="Y106" s="107">
        <f t="shared" si="12"/>
        <v>1.8850987432674993E-2</v>
      </c>
      <c r="AA106" s="77" t="s">
        <v>223</v>
      </c>
      <c r="AB106" s="110">
        <v>3970.99</v>
      </c>
      <c r="AC106" s="107">
        <f t="shared" si="13"/>
        <v>1.3876690224273736E-2</v>
      </c>
    </row>
    <row r="107" spans="3:29" x14ac:dyDescent="0.35">
      <c r="C107" s="78">
        <v>45263</v>
      </c>
      <c r="D107" s="75">
        <v>180.13</v>
      </c>
      <c r="E107" s="165">
        <f t="shared" si="7"/>
        <v>3.8572416974169688E-2</v>
      </c>
      <c r="G107" s="83">
        <v>45263</v>
      </c>
      <c r="H107" s="81">
        <v>22.59</v>
      </c>
      <c r="I107" s="82">
        <f t="shared" si="8"/>
        <v>5.7089377632194571E-2</v>
      </c>
      <c r="K107" s="96">
        <v>45263</v>
      </c>
      <c r="L107" s="94">
        <v>8.84</v>
      </c>
      <c r="M107" s="95">
        <f t="shared" si="9"/>
        <v>8.0684596577017098E-2</v>
      </c>
      <c r="O107" s="83">
        <v>45263</v>
      </c>
      <c r="P107" s="81">
        <v>8.26</v>
      </c>
      <c r="Q107" s="82">
        <f t="shared" si="10"/>
        <v>-2.9377203290246734E-2</v>
      </c>
      <c r="S107" s="78">
        <v>45263</v>
      </c>
      <c r="T107" s="106">
        <v>33.380000000000003</v>
      </c>
      <c r="U107" s="107">
        <f t="shared" si="11"/>
        <v>-8.5980284775465488E-2</v>
      </c>
      <c r="W107" s="78">
        <v>45263</v>
      </c>
      <c r="X107" s="106">
        <v>11.14</v>
      </c>
      <c r="Y107" s="107">
        <f t="shared" si="12"/>
        <v>-6.6219614417434958E-2</v>
      </c>
      <c r="AA107" s="78">
        <v>45263</v>
      </c>
      <c r="AB107" s="110">
        <v>3916.64</v>
      </c>
      <c r="AC107" s="107">
        <f t="shared" si="13"/>
        <v>1.4255785829153211E-2</v>
      </c>
    </row>
    <row r="108" spans="3:29" x14ac:dyDescent="0.35">
      <c r="C108" s="78">
        <v>45049</v>
      </c>
      <c r="D108" s="75">
        <v>173.44</v>
      </c>
      <c r="E108" s="165">
        <f t="shared" si="7"/>
        <v>-0.12311036958390209</v>
      </c>
      <c r="G108" s="83">
        <v>45049</v>
      </c>
      <c r="H108" s="81">
        <v>21.37</v>
      </c>
      <c r="I108" s="82">
        <f t="shared" si="8"/>
        <v>-0.14860557768924298</v>
      </c>
      <c r="K108" s="96">
        <v>45049</v>
      </c>
      <c r="L108" s="94">
        <v>8.18</v>
      </c>
      <c r="M108" s="95">
        <f t="shared" si="9"/>
        <v>-0.1496881496881497</v>
      </c>
      <c r="O108" s="83">
        <v>45049</v>
      </c>
      <c r="P108" s="81">
        <v>8.51</v>
      </c>
      <c r="Q108" s="82">
        <f t="shared" si="10"/>
        <v>-0.11076280041797293</v>
      </c>
      <c r="S108" s="78">
        <v>45049</v>
      </c>
      <c r="T108" s="106">
        <v>36.520000000000003</v>
      </c>
      <c r="U108" s="107">
        <f t="shared" si="11"/>
        <v>-0.10948549134357466</v>
      </c>
      <c r="W108" s="78">
        <v>45049</v>
      </c>
      <c r="X108" s="106">
        <v>11.93</v>
      </c>
      <c r="Y108" s="107">
        <f t="shared" si="12"/>
        <v>-7.4476338246702967E-2</v>
      </c>
      <c r="AA108" s="78">
        <v>45049</v>
      </c>
      <c r="AB108" s="110">
        <v>3861.59</v>
      </c>
      <c r="AC108" s="107">
        <f t="shared" si="13"/>
        <v>-4.5493420076922253E-2</v>
      </c>
    </row>
    <row r="109" spans="3:29" x14ac:dyDescent="0.35">
      <c r="C109" s="77" t="s">
        <v>224</v>
      </c>
      <c r="D109" s="75">
        <v>197.79</v>
      </c>
      <c r="E109" s="165">
        <f t="shared" si="7"/>
        <v>4.6221048354326832E-3</v>
      </c>
      <c r="G109" s="80" t="s">
        <v>224</v>
      </c>
      <c r="H109" s="81">
        <v>25.1</v>
      </c>
      <c r="I109" s="82">
        <f t="shared" si="8"/>
        <v>8.0499354283254387E-2</v>
      </c>
      <c r="K109" s="93" t="s">
        <v>224</v>
      </c>
      <c r="L109" s="94">
        <v>9.6199999999999992</v>
      </c>
      <c r="M109" s="95">
        <f t="shared" si="9"/>
        <v>0.14523809523809517</v>
      </c>
      <c r="O109" s="80" t="s">
        <v>224</v>
      </c>
      <c r="P109" s="81">
        <v>9.57</v>
      </c>
      <c r="Q109" s="82">
        <f t="shared" si="10"/>
        <v>2.9032258064516148E-2</v>
      </c>
      <c r="S109" s="77" t="s">
        <v>224</v>
      </c>
      <c r="T109" s="106">
        <v>41.01</v>
      </c>
      <c r="U109" s="107">
        <f t="shared" si="11"/>
        <v>4.6707503828483876E-2</v>
      </c>
      <c r="W109" s="77" t="s">
        <v>224</v>
      </c>
      <c r="X109" s="106">
        <v>12.89</v>
      </c>
      <c r="Y109" s="107">
        <f t="shared" si="12"/>
        <v>0.10076857386848848</v>
      </c>
      <c r="AA109" s="77" t="s">
        <v>224</v>
      </c>
      <c r="AB109" s="110">
        <v>4045.64</v>
      </c>
      <c r="AC109" s="107">
        <f t="shared" si="13"/>
        <v>1.9042629293407609E-2</v>
      </c>
    </row>
    <row r="110" spans="3:29" x14ac:dyDescent="0.35">
      <c r="C110" s="77" t="s">
        <v>225</v>
      </c>
      <c r="D110" s="75">
        <v>196.88</v>
      </c>
      <c r="E110" s="165">
        <f t="shared" si="7"/>
        <v>-5.4870145456291097E-2</v>
      </c>
      <c r="G110" s="80" t="s">
        <v>225</v>
      </c>
      <c r="H110" s="81">
        <v>23.23</v>
      </c>
      <c r="I110" s="82">
        <f t="shared" si="8"/>
        <v>-3.3693843594009953E-2</v>
      </c>
      <c r="K110" s="93" t="s">
        <v>225</v>
      </c>
      <c r="L110" s="94">
        <v>8.4</v>
      </c>
      <c r="M110" s="95">
        <f t="shared" si="9"/>
        <v>-0.11857292759706184</v>
      </c>
      <c r="O110" s="80" t="s">
        <v>225</v>
      </c>
      <c r="P110" s="81">
        <v>9.3000000000000007</v>
      </c>
      <c r="Q110" s="82">
        <f t="shared" si="10"/>
        <v>-8.7340529931305033E-2</v>
      </c>
      <c r="S110" s="77" t="s">
        <v>225</v>
      </c>
      <c r="T110" s="106">
        <v>39.18</v>
      </c>
      <c r="U110" s="107">
        <f t="shared" si="11"/>
        <v>-9.2425295343988911E-2</v>
      </c>
      <c r="W110" s="77" t="s">
        <v>225</v>
      </c>
      <c r="X110" s="106">
        <v>11.71</v>
      </c>
      <c r="Y110" s="107">
        <f t="shared" si="12"/>
        <v>-7.867820613690002E-2</v>
      </c>
      <c r="AA110" s="77" t="s">
        <v>225</v>
      </c>
      <c r="AB110" s="110">
        <v>3970.04</v>
      </c>
      <c r="AC110" s="107">
        <f t="shared" si="13"/>
        <v>-2.6733903885425514E-2</v>
      </c>
    </row>
    <row r="111" spans="3:29" x14ac:dyDescent="0.35">
      <c r="C111" s="78">
        <v>45262</v>
      </c>
      <c r="D111" s="75">
        <v>208.31</v>
      </c>
      <c r="E111" s="165">
        <f t="shared" si="7"/>
        <v>5.8001930011681635E-2</v>
      </c>
      <c r="G111" s="83">
        <v>45262</v>
      </c>
      <c r="H111" s="81">
        <v>24.04</v>
      </c>
      <c r="I111" s="82">
        <f t="shared" si="8"/>
        <v>7.9664570230606468E-3</v>
      </c>
      <c r="K111" s="96">
        <v>45262</v>
      </c>
      <c r="L111" s="94">
        <v>9.5299999999999994</v>
      </c>
      <c r="M111" s="95">
        <f t="shared" si="9"/>
        <v>2.5834230355220589E-2</v>
      </c>
      <c r="O111" s="83">
        <v>45262</v>
      </c>
      <c r="P111" s="81">
        <v>10.19</v>
      </c>
      <c r="Q111" s="82">
        <f t="shared" si="10"/>
        <v>-1.1639185257032114E-2</v>
      </c>
      <c r="S111" s="78">
        <v>45262</v>
      </c>
      <c r="T111" s="106">
        <v>43.17</v>
      </c>
      <c r="U111" s="107">
        <f t="shared" si="11"/>
        <v>4.4014510278113761E-2</v>
      </c>
      <c r="W111" s="78">
        <v>45262</v>
      </c>
      <c r="X111" s="106">
        <v>12.71</v>
      </c>
      <c r="Y111" s="107">
        <f t="shared" si="12"/>
        <v>1.2749003984063645E-2</v>
      </c>
      <c r="AA111" s="78">
        <v>45262</v>
      </c>
      <c r="AB111" s="110">
        <v>4079.09</v>
      </c>
      <c r="AC111" s="107">
        <f t="shared" si="13"/>
        <v>-2.7796384758682624E-3</v>
      </c>
    </row>
    <row r="112" spans="3:29" x14ac:dyDescent="0.35">
      <c r="C112" s="78">
        <v>45048</v>
      </c>
      <c r="D112" s="75">
        <v>196.89</v>
      </c>
      <c r="E112" s="165">
        <f t="shared" si="7"/>
        <v>3.6372249710495907E-2</v>
      </c>
      <c r="G112" s="83">
        <v>45048</v>
      </c>
      <c r="H112" s="81">
        <v>23.85</v>
      </c>
      <c r="I112" s="82">
        <f t="shared" si="8"/>
        <v>-4.9043062200956777E-2</v>
      </c>
      <c r="K112" s="96">
        <v>45048</v>
      </c>
      <c r="L112" s="94">
        <v>9.2899999999999991</v>
      </c>
      <c r="M112" s="95">
        <f t="shared" si="9"/>
        <v>-0.11523809523809536</v>
      </c>
      <c r="O112" s="83">
        <v>45048</v>
      </c>
      <c r="P112" s="81">
        <v>10.31</v>
      </c>
      <c r="Q112" s="82">
        <f t="shared" si="10"/>
        <v>-7.8641644325290305E-2</v>
      </c>
      <c r="S112" s="78">
        <v>45048</v>
      </c>
      <c r="T112" s="106">
        <v>41.35</v>
      </c>
      <c r="U112" s="107">
        <f t="shared" si="11"/>
        <v>5.34889375151959E-3</v>
      </c>
      <c r="W112" s="78">
        <v>45048</v>
      </c>
      <c r="X112" s="106">
        <v>12.55</v>
      </c>
      <c r="Y112" s="107">
        <f t="shared" si="12"/>
        <v>1.1281224818694646E-2</v>
      </c>
      <c r="AA112" s="78">
        <v>45048</v>
      </c>
      <c r="AB112" s="110">
        <v>4090.46</v>
      </c>
      <c r="AC112" s="107">
        <f t="shared" si="13"/>
        <v>-1.1125401307391702E-2</v>
      </c>
    </row>
    <row r="113" spans="3:29" x14ac:dyDescent="0.35">
      <c r="C113" s="77" t="s">
        <v>226</v>
      </c>
      <c r="D113" s="75">
        <v>189.98</v>
      </c>
      <c r="E113" s="165">
        <f t="shared" si="7"/>
        <v>6.7903316469926756E-2</v>
      </c>
      <c r="G113" s="80" t="s">
        <v>226</v>
      </c>
      <c r="H113" s="81">
        <v>25.08</v>
      </c>
      <c r="I113" s="82">
        <f t="shared" si="8"/>
        <v>4.405286343612369E-3</v>
      </c>
      <c r="K113" s="93" t="s">
        <v>226</v>
      </c>
      <c r="L113" s="94">
        <v>10.5</v>
      </c>
      <c r="M113" s="95">
        <f t="shared" si="9"/>
        <v>-1.7773620205799756E-2</v>
      </c>
      <c r="O113" s="80" t="s">
        <v>226</v>
      </c>
      <c r="P113" s="81">
        <v>11.19</v>
      </c>
      <c r="Q113" s="82">
        <f t="shared" si="10"/>
        <v>-0.11959087332808827</v>
      </c>
      <c r="S113" s="77" t="s">
        <v>226</v>
      </c>
      <c r="T113" s="106">
        <v>41.13</v>
      </c>
      <c r="U113" s="107">
        <f t="shared" si="11"/>
        <v>8.3794466403162016E-2</v>
      </c>
      <c r="W113" s="77" t="s">
        <v>226</v>
      </c>
      <c r="X113" s="106">
        <v>12.41</v>
      </c>
      <c r="Y113" s="107">
        <f t="shared" si="12"/>
        <v>-3.2128514056224411E-3</v>
      </c>
      <c r="AA113" s="77" t="s">
        <v>226</v>
      </c>
      <c r="AB113" s="110">
        <v>4136.4799999999996</v>
      </c>
      <c r="AC113" s="107">
        <f t="shared" si="13"/>
        <v>1.6194331983805599E-2</v>
      </c>
    </row>
    <row r="114" spans="3:29" x14ac:dyDescent="0.35">
      <c r="C114" s="77" t="s">
        <v>227</v>
      </c>
      <c r="D114" s="75">
        <v>177.9</v>
      </c>
      <c r="E114" s="165">
        <f t="shared" si="7"/>
        <v>0.33338330085444468</v>
      </c>
      <c r="G114" s="80" t="s">
        <v>227</v>
      </c>
      <c r="H114" s="81">
        <v>24.97</v>
      </c>
      <c r="I114" s="82">
        <f t="shared" si="8"/>
        <v>0.13191296464188573</v>
      </c>
      <c r="K114" s="93" t="s">
        <v>227</v>
      </c>
      <c r="L114" s="94">
        <v>10.69</v>
      </c>
      <c r="M114" s="95">
        <f t="shared" si="9"/>
        <v>0.13723404255319149</v>
      </c>
      <c r="O114" s="80" t="s">
        <v>227</v>
      </c>
      <c r="P114" s="81">
        <v>12.71</v>
      </c>
      <c r="Q114" s="82">
        <f t="shared" si="10"/>
        <v>0.14814814814814814</v>
      </c>
      <c r="S114" s="77" t="s">
        <v>227</v>
      </c>
      <c r="T114" s="106">
        <v>37.950000000000003</v>
      </c>
      <c r="U114" s="107">
        <f t="shared" si="11"/>
        <v>7.3550212164073647E-2</v>
      </c>
      <c r="W114" s="77" t="s">
        <v>227</v>
      </c>
      <c r="X114" s="106">
        <v>12.45</v>
      </c>
      <c r="Y114" s="107">
        <f t="shared" si="12"/>
        <v>7.0507308684436776E-2</v>
      </c>
      <c r="AA114" s="77" t="s">
        <v>227</v>
      </c>
      <c r="AB114" s="110">
        <v>4070.56</v>
      </c>
      <c r="AC114" s="107">
        <f t="shared" si="13"/>
        <v>2.4656334248768452E-2</v>
      </c>
    </row>
    <row r="115" spans="3:29" x14ac:dyDescent="0.35">
      <c r="C115" s="77" t="s">
        <v>228</v>
      </c>
      <c r="D115" s="75">
        <v>133.41999999999999</v>
      </c>
      <c r="E115" s="165">
        <f t="shared" si="7"/>
        <v>9.0032679738561994E-2</v>
      </c>
      <c r="G115" s="80" t="s">
        <v>228</v>
      </c>
      <c r="H115" s="81">
        <v>22.06</v>
      </c>
      <c r="I115" s="82">
        <f t="shared" si="8"/>
        <v>-1.9119608714984415E-2</v>
      </c>
      <c r="K115" s="93" t="s">
        <v>228</v>
      </c>
      <c r="L115" s="94">
        <v>9.4</v>
      </c>
      <c r="M115" s="95">
        <f t="shared" si="9"/>
        <v>-5.905905905905906E-2</v>
      </c>
      <c r="O115" s="80" t="s">
        <v>228</v>
      </c>
      <c r="P115" s="81">
        <v>11.07</v>
      </c>
      <c r="Q115" s="82">
        <f t="shared" si="10"/>
        <v>-6.1864406779661096E-2</v>
      </c>
      <c r="S115" s="77" t="s">
        <v>228</v>
      </c>
      <c r="T115" s="106">
        <v>35.35</v>
      </c>
      <c r="U115" s="107">
        <f t="shared" si="11"/>
        <v>-3.1772117228156538E-2</v>
      </c>
      <c r="W115" s="77" t="s">
        <v>228</v>
      </c>
      <c r="X115" s="106">
        <v>11.63</v>
      </c>
      <c r="Y115" s="107">
        <f t="shared" si="12"/>
        <v>-2.5146689019279078E-2</v>
      </c>
      <c r="AA115" s="77" t="s">
        <v>228</v>
      </c>
      <c r="AB115" s="110">
        <v>3972.61</v>
      </c>
      <c r="AC115" s="107">
        <f t="shared" si="13"/>
        <v>-6.6215063927043127E-3</v>
      </c>
    </row>
    <row r="116" spans="3:29" x14ac:dyDescent="0.35">
      <c r="C116" s="78">
        <v>45139</v>
      </c>
      <c r="D116" s="75">
        <v>122.4</v>
      </c>
      <c r="E116" s="165">
        <f t="shared" si="7"/>
        <v>8.2611003007252881E-2</v>
      </c>
      <c r="G116" s="83">
        <v>45139</v>
      </c>
      <c r="H116" s="81">
        <v>22.49</v>
      </c>
      <c r="I116" s="82">
        <f t="shared" si="8"/>
        <v>7.4534161490683148E-2</v>
      </c>
      <c r="K116" s="96">
        <v>45139</v>
      </c>
      <c r="L116" s="94">
        <v>9.99</v>
      </c>
      <c r="M116" s="95">
        <f t="shared" si="9"/>
        <v>-1.1869436201780381E-2</v>
      </c>
      <c r="O116" s="83">
        <v>45139</v>
      </c>
      <c r="P116" s="81">
        <v>11.8</v>
      </c>
      <c r="Q116" s="82">
        <f t="shared" si="10"/>
        <v>0.13789778206364534</v>
      </c>
      <c r="S116" s="78">
        <v>45139</v>
      </c>
      <c r="T116" s="106">
        <v>36.51</v>
      </c>
      <c r="U116" s="107">
        <f t="shared" si="11"/>
        <v>1.6708437761069339E-2</v>
      </c>
      <c r="W116" s="78">
        <v>45139</v>
      </c>
      <c r="X116" s="106">
        <v>11.93</v>
      </c>
      <c r="Y116" s="107">
        <f t="shared" si="12"/>
        <v>1.1016949152542255E-2</v>
      </c>
      <c r="AA116" s="78">
        <v>45139</v>
      </c>
      <c r="AB116" s="110">
        <v>3999.09</v>
      </c>
      <c r="AC116" s="107">
        <f t="shared" si="13"/>
        <v>2.6702917526726155E-2</v>
      </c>
    </row>
    <row r="117" spans="3:29" x14ac:dyDescent="0.35">
      <c r="C117" s="78">
        <v>44927</v>
      </c>
      <c r="D117" s="75">
        <v>113.06</v>
      </c>
      <c r="E117" s="165">
        <f t="shared" si="7"/>
        <v>-8.2156194187368081E-2</v>
      </c>
      <c r="G117" s="83">
        <v>44927</v>
      </c>
      <c r="H117" s="81">
        <v>20.93</v>
      </c>
      <c r="I117" s="82">
        <f t="shared" si="8"/>
        <v>2.5980392156862875E-2</v>
      </c>
      <c r="K117" s="96">
        <v>44927</v>
      </c>
      <c r="L117" s="94">
        <v>10.11</v>
      </c>
      <c r="M117" s="95">
        <f t="shared" si="9"/>
        <v>1.7102615694164935E-2</v>
      </c>
      <c r="O117" s="83">
        <v>44927</v>
      </c>
      <c r="P117" s="81">
        <v>10.37</v>
      </c>
      <c r="Q117" s="82">
        <f t="shared" si="10"/>
        <v>6.3589743589743453E-2</v>
      </c>
      <c r="S117" s="78">
        <v>44927</v>
      </c>
      <c r="T117" s="106">
        <v>35.909999999999997</v>
      </c>
      <c r="U117" s="107">
        <f t="shared" si="11"/>
        <v>6.7479191438763353E-2</v>
      </c>
      <c r="W117" s="78">
        <v>44927</v>
      </c>
      <c r="X117" s="106">
        <v>11.8</v>
      </c>
      <c r="Y117" s="107">
        <f t="shared" si="12"/>
        <v>8.1576535288725882E-2</v>
      </c>
      <c r="AA117" s="78">
        <v>44927</v>
      </c>
      <c r="AB117" s="110">
        <v>3895.08</v>
      </c>
      <c r="AC117" s="107">
        <f t="shared" si="13"/>
        <v>1.447584320875106E-2</v>
      </c>
    </row>
    <row r="118" spans="3:29" x14ac:dyDescent="0.35">
      <c r="C118" s="77" t="s">
        <v>229</v>
      </c>
      <c r="D118" s="75">
        <v>123.18</v>
      </c>
      <c r="E118" s="165">
        <f t="shared" si="7"/>
        <v>2.4360535931799987E-4</v>
      </c>
      <c r="G118" s="80" t="s">
        <v>229</v>
      </c>
      <c r="H118" s="81">
        <v>20.399999999999999</v>
      </c>
      <c r="I118" s="82">
        <f t="shared" si="8"/>
        <v>8.6840703249866813E-2</v>
      </c>
      <c r="K118" s="93" t="s">
        <v>229</v>
      </c>
      <c r="L118" s="94">
        <v>9.94</v>
      </c>
      <c r="M118" s="95">
        <f t="shared" si="9"/>
        <v>-1.1928429423459397E-2</v>
      </c>
      <c r="O118" s="80" t="s">
        <v>229</v>
      </c>
      <c r="P118" s="81">
        <v>9.75</v>
      </c>
      <c r="Q118" s="82">
        <f t="shared" si="10"/>
        <v>-0.11121239744758438</v>
      </c>
      <c r="S118" s="77" t="s">
        <v>229</v>
      </c>
      <c r="T118" s="106">
        <v>33.64</v>
      </c>
      <c r="U118" s="107">
        <f t="shared" si="11"/>
        <v>-5.6163168785101636E-3</v>
      </c>
      <c r="W118" s="77" t="s">
        <v>229</v>
      </c>
      <c r="X118" s="106">
        <v>10.91</v>
      </c>
      <c r="Y118" s="107">
        <f t="shared" si="12"/>
        <v>2.3452157598499168E-2</v>
      </c>
      <c r="AA118" s="77" t="s">
        <v>229</v>
      </c>
      <c r="AB118" s="110">
        <v>3839.5</v>
      </c>
      <c r="AC118" s="107">
        <f t="shared" si="13"/>
        <v>-1.3836798601755129E-3</v>
      </c>
    </row>
    <row r="119" spans="3:29" x14ac:dyDescent="0.35">
      <c r="C119" s="77" t="s">
        <v>230</v>
      </c>
      <c r="D119" s="75">
        <v>123.15</v>
      </c>
      <c r="E119" s="165">
        <f t="shared" si="7"/>
        <v>-0.18025693935964848</v>
      </c>
      <c r="G119" s="80" t="s">
        <v>230</v>
      </c>
      <c r="H119" s="81">
        <v>18.77</v>
      </c>
      <c r="I119" s="82">
        <f t="shared" si="8"/>
        <v>-8.2151589242053791E-2</v>
      </c>
      <c r="K119" s="93" t="s">
        <v>230</v>
      </c>
      <c r="L119" s="94">
        <v>10.06</v>
      </c>
      <c r="M119" s="95">
        <f t="shared" si="9"/>
        <v>-2.3300970873786464E-2</v>
      </c>
      <c r="O119" s="80" t="s">
        <v>230</v>
      </c>
      <c r="P119" s="81">
        <v>10.97</v>
      </c>
      <c r="Q119" s="82">
        <f t="shared" si="10"/>
        <v>-5.4310344827586121E-2</v>
      </c>
      <c r="S119" s="77" t="s">
        <v>230</v>
      </c>
      <c r="T119" s="106">
        <v>33.83</v>
      </c>
      <c r="U119" s="107">
        <f t="shared" si="11"/>
        <v>-6.4177040110650063E-2</v>
      </c>
      <c r="W119" s="77" t="s">
        <v>230</v>
      </c>
      <c r="X119" s="106">
        <v>10.66</v>
      </c>
      <c r="Y119" s="107">
        <f t="shared" si="12"/>
        <v>-6.2445030782761535E-2</v>
      </c>
      <c r="AA119" s="77" t="s">
        <v>230</v>
      </c>
      <c r="AB119" s="110">
        <v>3844.82</v>
      </c>
      <c r="AC119" s="107">
        <f t="shared" si="13"/>
        <v>-1.9572417946401854E-3</v>
      </c>
    </row>
    <row r="120" spans="3:29" x14ac:dyDescent="0.35">
      <c r="C120" s="78">
        <v>44877</v>
      </c>
      <c r="D120" s="75">
        <v>150.22999999999999</v>
      </c>
      <c r="E120" s="165">
        <f t="shared" si="7"/>
        <v>-0.16096062552359691</v>
      </c>
      <c r="G120" s="83">
        <v>44877</v>
      </c>
      <c r="H120" s="81">
        <v>20.45</v>
      </c>
      <c r="I120" s="82">
        <f t="shared" si="8"/>
        <v>-3.1723484848484973E-2</v>
      </c>
      <c r="K120" s="96">
        <v>44877</v>
      </c>
      <c r="L120" s="94">
        <v>10.3</v>
      </c>
      <c r="M120" s="95">
        <f t="shared" si="9"/>
        <v>-5.8500914076782373E-2</v>
      </c>
      <c r="O120" s="83">
        <v>44877</v>
      </c>
      <c r="P120" s="81">
        <v>11.6</v>
      </c>
      <c r="Q120" s="82">
        <f t="shared" si="10"/>
        <v>-8.1551860649247909E-2</v>
      </c>
      <c r="S120" s="78">
        <v>44877</v>
      </c>
      <c r="T120" s="106">
        <v>36.15</v>
      </c>
      <c r="U120" s="107">
        <f t="shared" si="11"/>
        <v>-5.5642633228840221E-2</v>
      </c>
      <c r="W120" s="78">
        <v>44877</v>
      </c>
      <c r="X120" s="106">
        <v>11.37</v>
      </c>
      <c r="Y120" s="107">
        <f t="shared" si="12"/>
        <v>-8.0840743734842402E-2</v>
      </c>
      <c r="AA120" s="78">
        <v>44877</v>
      </c>
      <c r="AB120" s="110">
        <v>3852.36</v>
      </c>
      <c r="AC120" s="107">
        <f t="shared" si="13"/>
        <v>-2.0846994952190667E-2</v>
      </c>
    </row>
    <row r="121" spans="3:29" x14ac:dyDescent="0.35">
      <c r="C121" s="78">
        <v>44663</v>
      </c>
      <c r="D121" s="75">
        <v>179.05</v>
      </c>
      <c r="E121" s="165">
        <f t="shared" si="7"/>
        <v>-8.1135173971056185E-2</v>
      </c>
      <c r="G121" s="83">
        <v>44663</v>
      </c>
      <c r="H121" s="81">
        <v>21.12</v>
      </c>
      <c r="I121" s="82">
        <f t="shared" si="8"/>
        <v>-7.2870939420544345E-2</v>
      </c>
      <c r="K121" s="96">
        <v>44663</v>
      </c>
      <c r="L121" s="94">
        <v>10.94</v>
      </c>
      <c r="M121" s="95">
        <f t="shared" si="9"/>
        <v>-4.4541484716157154E-2</v>
      </c>
      <c r="O121" s="83">
        <v>44663</v>
      </c>
      <c r="P121" s="81">
        <v>12.63</v>
      </c>
      <c r="Q121" s="82">
        <f t="shared" si="10"/>
        <v>-3.8080731150038072E-2</v>
      </c>
      <c r="S121" s="78">
        <v>44663</v>
      </c>
      <c r="T121" s="106">
        <v>38.28</v>
      </c>
      <c r="U121" s="107">
        <f t="shared" si="11"/>
        <v>-4.0601503759398416E-2</v>
      </c>
      <c r="W121" s="78">
        <v>44663</v>
      </c>
      <c r="X121" s="106">
        <v>12.37</v>
      </c>
      <c r="Y121" s="107">
        <f t="shared" si="12"/>
        <v>-4.8461538461538556E-2</v>
      </c>
      <c r="AA121" s="78">
        <v>44663</v>
      </c>
      <c r="AB121" s="110">
        <v>3934.38</v>
      </c>
      <c r="AC121" s="107">
        <f t="shared" si="13"/>
        <v>-3.3725470933516632E-2</v>
      </c>
    </row>
    <row r="122" spans="3:29" x14ac:dyDescent="0.35">
      <c r="C122" s="77" t="s">
        <v>231</v>
      </c>
      <c r="D122" s="75">
        <v>194.86</v>
      </c>
      <c r="E122" s="165">
        <f t="shared" si="7"/>
        <v>6.5623974625396375E-2</v>
      </c>
      <c r="G122" s="80" t="s">
        <v>231</v>
      </c>
      <c r="H122" s="81">
        <v>22.78</v>
      </c>
      <c r="I122" s="82">
        <f t="shared" si="8"/>
        <v>0.35514574657941722</v>
      </c>
      <c r="K122" s="93" t="s">
        <v>231</v>
      </c>
      <c r="L122" s="94">
        <v>11.45</v>
      </c>
      <c r="M122" s="95">
        <f t="shared" si="9"/>
        <v>0.61951909476661937</v>
      </c>
      <c r="O122" s="80" t="s">
        <v>231</v>
      </c>
      <c r="P122" s="81">
        <v>13.13</v>
      </c>
      <c r="Q122" s="82">
        <f t="shared" si="10"/>
        <v>0.29105211406096365</v>
      </c>
      <c r="S122" s="77" t="s">
        <v>231</v>
      </c>
      <c r="T122" s="106">
        <v>39.9</v>
      </c>
      <c r="U122" s="107">
        <f t="shared" si="11"/>
        <v>-1.3840830449827091E-2</v>
      </c>
      <c r="W122" s="77" t="s">
        <v>231</v>
      </c>
      <c r="X122" s="106">
        <v>13</v>
      </c>
      <c r="Y122" s="107">
        <f t="shared" si="12"/>
        <v>-1.5897047691143085E-2</v>
      </c>
      <c r="AA122" s="77" t="s">
        <v>231</v>
      </c>
      <c r="AB122" s="110">
        <v>4071.7</v>
      </c>
      <c r="AC122" s="107">
        <f t="shared" si="13"/>
        <v>1.1321073390758274E-2</v>
      </c>
    </row>
    <row r="123" spans="3:29" x14ac:dyDescent="0.35">
      <c r="C123" s="77" t="s">
        <v>232</v>
      </c>
      <c r="D123" s="75">
        <v>182.86</v>
      </c>
      <c r="E123" s="165">
        <f t="shared" si="7"/>
        <v>1.4817692435762364E-2</v>
      </c>
      <c r="G123" s="80" t="s">
        <v>232</v>
      </c>
      <c r="H123" s="81">
        <v>16.809999999999999</v>
      </c>
      <c r="I123" s="82">
        <f t="shared" si="8"/>
        <v>-5.9843400447427308E-2</v>
      </c>
      <c r="K123" s="93" t="s">
        <v>232</v>
      </c>
      <c r="L123" s="94">
        <v>7.07</v>
      </c>
      <c r="M123" s="95">
        <f t="shared" si="9"/>
        <v>-8.8917525773195782E-2</v>
      </c>
      <c r="O123" s="80" t="s">
        <v>232</v>
      </c>
      <c r="P123" s="81">
        <v>10.17</v>
      </c>
      <c r="Q123" s="82">
        <f t="shared" si="10"/>
        <v>-2.8653295128939882E-2</v>
      </c>
      <c r="S123" s="77" t="s">
        <v>232</v>
      </c>
      <c r="T123" s="106">
        <v>40.46</v>
      </c>
      <c r="U123" s="107">
        <f t="shared" si="11"/>
        <v>1.7349761126477237E-2</v>
      </c>
      <c r="W123" s="77" t="s">
        <v>232</v>
      </c>
      <c r="X123" s="106">
        <v>13.21</v>
      </c>
      <c r="Y123" s="107">
        <f t="shared" si="12"/>
        <v>6.0929169840060471E-3</v>
      </c>
      <c r="AA123" s="77" t="s">
        <v>232</v>
      </c>
      <c r="AB123" s="110">
        <v>4026.12</v>
      </c>
      <c r="AC123" s="107">
        <f t="shared" si="13"/>
        <v>1.5327815521493759E-2</v>
      </c>
    </row>
    <row r="124" spans="3:29" x14ac:dyDescent="0.35">
      <c r="C124" s="77" t="s">
        <v>233</v>
      </c>
      <c r="D124" s="75">
        <v>180.19</v>
      </c>
      <c r="E124" s="165">
        <f t="shared" si="7"/>
        <v>-8.0522528958514084E-2</v>
      </c>
      <c r="G124" s="80" t="s">
        <v>233</v>
      </c>
      <c r="H124" s="81">
        <v>17.88</v>
      </c>
      <c r="I124" s="82">
        <f t="shared" si="8"/>
        <v>-5.7459146020031659E-2</v>
      </c>
      <c r="K124" s="93" t="s">
        <v>233</v>
      </c>
      <c r="L124" s="94">
        <v>7.76</v>
      </c>
      <c r="M124" s="95">
        <f t="shared" si="9"/>
        <v>-8.5983510011778619E-2</v>
      </c>
      <c r="O124" s="80" t="s">
        <v>233</v>
      </c>
      <c r="P124" s="81">
        <v>10.47</v>
      </c>
      <c r="Q124" s="82">
        <f t="shared" si="10"/>
        <v>-9.4290657439446313E-2</v>
      </c>
      <c r="S124" s="77" t="s">
        <v>233</v>
      </c>
      <c r="T124" s="106">
        <v>39.770000000000003</v>
      </c>
      <c r="U124" s="107">
        <f t="shared" si="11"/>
        <v>-3.2830739299610778E-2</v>
      </c>
      <c r="W124" s="77" t="s">
        <v>233</v>
      </c>
      <c r="X124" s="106">
        <v>13.13</v>
      </c>
      <c r="Y124" s="107">
        <f t="shared" si="12"/>
        <v>-3.4558823529411642E-2</v>
      </c>
      <c r="AA124" s="77" t="s">
        <v>233</v>
      </c>
      <c r="AB124" s="110">
        <v>3965.34</v>
      </c>
      <c r="AC124" s="107">
        <f t="shared" si="13"/>
        <v>-6.9097129175818006E-3</v>
      </c>
    </row>
    <row r="125" spans="3:29" x14ac:dyDescent="0.35">
      <c r="C125" s="78">
        <v>44723</v>
      </c>
      <c r="D125" s="75">
        <v>195.97</v>
      </c>
      <c r="E125" s="165">
        <f t="shared" si="7"/>
        <v>-5.5429700679616278E-2</v>
      </c>
      <c r="G125" s="83">
        <v>44723</v>
      </c>
      <c r="H125" s="81">
        <v>18.97</v>
      </c>
      <c r="I125" s="82">
        <f t="shared" si="8"/>
        <v>3.6045876570180324E-2</v>
      </c>
      <c r="K125" s="96">
        <v>44723</v>
      </c>
      <c r="L125" s="94">
        <v>8.49</v>
      </c>
      <c r="M125" s="95">
        <f t="shared" si="9"/>
        <v>7.7411167512690504E-2</v>
      </c>
      <c r="O125" s="83">
        <v>44723</v>
      </c>
      <c r="P125" s="81">
        <v>11.56</v>
      </c>
      <c r="Q125" s="82">
        <f t="shared" si="10"/>
        <v>-1.0273972602739656E-2</v>
      </c>
      <c r="S125" s="78">
        <v>44723</v>
      </c>
      <c r="T125" s="106">
        <v>41.12</v>
      </c>
      <c r="U125" s="107">
        <f t="shared" si="11"/>
        <v>5.4358974358974299E-2</v>
      </c>
      <c r="W125" s="78">
        <v>44723</v>
      </c>
      <c r="X125" s="106">
        <v>13.6</v>
      </c>
      <c r="Y125" s="107">
        <f t="shared" si="12"/>
        <v>7.3401736385161787E-2</v>
      </c>
      <c r="AA125" s="78">
        <v>44723</v>
      </c>
      <c r="AB125" s="110">
        <v>3992.93</v>
      </c>
      <c r="AC125" s="107">
        <f t="shared" si="13"/>
        <v>5.8978133163596791E-2</v>
      </c>
    </row>
    <row r="126" spans="3:29" x14ac:dyDescent="0.35">
      <c r="C126" s="77" t="s">
        <v>234</v>
      </c>
      <c r="D126" s="75">
        <v>207.47</v>
      </c>
      <c r="E126" s="165">
        <f t="shared" si="7"/>
        <v>-9.2114475757045344E-2</v>
      </c>
      <c r="G126" s="80" t="s">
        <v>234</v>
      </c>
      <c r="H126" s="81">
        <v>18.309999999999999</v>
      </c>
      <c r="I126" s="82">
        <f t="shared" si="8"/>
        <v>0.28401122019635339</v>
      </c>
      <c r="K126" s="93" t="s">
        <v>234</v>
      </c>
      <c r="L126" s="94">
        <v>7.88</v>
      </c>
      <c r="M126" s="95">
        <f t="shared" si="9"/>
        <v>0.14368650217706835</v>
      </c>
      <c r="O126" s="80" t="s">
        <v>234</v>
      </c>
      <c r="P126" s="81">
        <v>11.68</v>
      </c>
      <c r="Q126" s="82">
        <f t="shared" si="10"/>
        <v>0.20536635706914352</v>
      </c>
      <c r="S126" s="77" t="s">
        <v>234</v>
      </c>
      <c r="T126" s="106">
        <v>39</v>
      </c>
      <c r="U126" s="107">
        <f t="shared" si="11"/>
        <v>3.8610038610038533E-3</v>
      </c>
      <c r="W126" s="77" t="s">
        <v>234</v>
      </c>
      <c r="X126" s="106">
        <v>12.67</v>
      </c>
      <c r="Y126" s="107">
        <f t="shared" si="12"/>
        <v>1.8488745980707488E-2</v>
      </c>
      <c r="AA126" s="77" t="s">
        <v>234</v>
      </c>
      <c r="AB126" s="110">
        <v>3770.55</v>
      </c>
      <c r="AC126" s="107">
        <f t="shared" si="13"/>
        <v>-3.3455009664040025E-2</v>
      </c>
    </row>
    <row r="127" spans="3:29" x14ac:dyDescent="0.35">
      <c r="C127" s="77" t="s">
        <v>235</v>
      </c>
      <c r="D127" s="75">
        <v>228.52</v>
      </c>
      <c r="E127" s="165">
        <f t="shared" si="7"/>
        <v>6.5659391904495434E-2</v>
      </c>
      <c r="G127" s="80" t="s">
        <v>235</v>
      </c>
      <c r="H127" s="81">
        <v>14.26</v>
      </c>
      <c r="I127" s="82">
        <f t="shared" si="8"/>
        <v>-0.19752391671356218</v>
      </c>
      <c r="K127" s="93" t="s">
        <v>235</v>
      </c>
      <c r="L127" s="94">
        <v>6.89</v>
      </c>
      <c r="M127" s="95">
        <f t="shared" si="9"/>
        <v>-0.15252152521525231</v>
      </c>
      <c r="O127" s="80" t="s">
        <v>235</v>
      </c>
      <c r="P127" s="81">
        <v>9.69</v>
      </c>
      <c r="Q127" s="82">
        <f t="shared" si="10"/>
        <v>-0.13559322033898313</v>
      </c>
      <c r="S127" s="77" t="s">
        <v>235</v>
      </c>
      <c r="T127" s="106">
        <v>38.85</v>
      </c>
      <c r="U127" s="107">
        <f t="shared" si="11"/>
        <v>0.1100000000000001</v>
      </c>
      <c r="W127" s="77" t="s">
        <v>235</v>
      </c>
      <c r="X127" s="106">
        <v>12.44</v>
      </c>
      <c r="Y127" s="107">
        <f t="shared" si="12"/>
        <v>8.7412587412587506E-2</v>
      </c>
      <c r="AA127" s="77" t="s">
        <v>235</v>
      </c>
      <c r="AB127" s="110">
        <v>3901.06</v>
      </c>
      <c r="AC127" s="107">
        <f t="shared" si="13"/>
        <v>3.9520351742055704E-2</v>
      </c>
    </row>
    <row r="128" spans="3:29" x14ac:dyDescent="0.35">
      <c r="C128" s="77" t="s">
        <v>236</v>
      </c>
      <c r="D128" s="75">
        <v>214.44</v>
      </c>
      <c r="E128" s="165">
        <f t="shared" si="7"/>
        <v>4.6099809746816822E-2</v>
      </c>
      <c r="G128" s="80" t="s">
        <v>236</v>
      </c>
      <c r="H128" s="81">
        <v>17.77</v>
      </c>
      <c r="I128" s="82">
        <f t="shared" si="8"/>
        <v>-5.0747863247863179E-2</v>
      </c>
      <c r="K128" s="93" t="s">
        <v>236</v>
      </c>
      <c r="L128" s="94">
        <v>8.1300000000000008</v>
      </c>
      <c r="M128" s="95">
        <f t="shared" si="9"/>
        <v>-2.9832935560859197E-2</v>
      </c>
      <c r="O128" s="80" t="s">
        <v>236</v>
      </c>
      <c r="P128" s="81">
        <v>11.21</v>
      </c>
      <c r="Q128" s="82">
        <f t="shared" si="10"/>
        <v>-4.5957446808510549E-2</v>
      </c>
      <c r="S128" s="77" t="s">
        <v>236</v>
      </c>
      <c r="T128" s="106">
        <v>35</v>
      </c>
      <c r="U128" s="107">
        <f t="shared" si="11"/>
        <v>6.4153238066281482E-2</v>
      </c>
      <c r="W128" s="77" t="s">
        <v>236</v>
      </c>
      <c r="X128" s="106">
        <v>11.44</v>
      </c>
      <c r="Y128" s="107">
        <f t="shared" si="12"/>
        <v>4.474885844748866E-2</v>
      </c>
      <c r="AA128" s="77" t="s">
        <v>236</v>
      </c>
      <c r="AB128" s="110">
        <v>3752.75</v>
      </c>
      <c r="AC128" s="107">
        <f t="shared" si="13"/>
        <v>4.7356038257695188E-2</v>
      </c>
    </row>
    <row r="129" spans="3:29" x14ac:dyDescent="0.35">
      <c r="C129" s="78">
        <v>44814</v>
      </c>
      <c r="D129" s="75">
        <v>204.99</v>
      </c>
      <c r="E129" s="165">
        <f t="shared" si="7"/>
        <v>-8.105079123145198E-2</v>
      </c>
      <c r="G129" s="83">
        <v>44814</v>
      </c>
      <c r="H129" s="81">
        <v>18.72</v>
      </c>
      <c r="I129" s="82">
        <f t="shared" si="8"/>
        <v>-4.343382728666334E-2</v>
      </c>
      <c r="K129" s="96">
        <v>44814</v>
      </c>
      <c r="L129" s="94">
        <v>8.3800000000000008</v>
      </c>
      <c r="M129" s="95">
        <f t="shared" si="9"/>
        <v>-0.15267947421638017</v>
      </c>
      <c r="O129" s="83">
        <v>44814</v>
      </c>
      <c r="P129" s="81">
        <v>11.75</v>
      </c>
      <c r="Q129" s="82">
        <f t="shared" si="10"/>
        <v>-0.14607558139534882</v>
      </c>
      <c r="S129" s="78">
        <v>44814</v>
      </c>
      <c r="T129" s="106">
        <v>32.89</v>
      </c>
      <c r="U129" s="107">
        <f t="shared" si="11"/>
        <v>-2.1713265913146818E-2</v>
      </c>
      <c r="W129" s="78">
        <v>44814</v>
      </c>
      <c r="X129" s="106">
        <v>10.95</v>
      </c>
      <c r="Y129" s="107">
        <f t="shared" si="12"/>
        <v>-4.3668122270742349E-2</v>
      </c>
      <c r="AA129" s="78">
        <v>44814</v>
      </c>
      <c r="AB129" s="110">
        <v>3583.07</v>
      </c>
      <c r="AC129" s="107">
        <f t="shared" si="13"/>
        <v>-1.554815559695133E-2</v>
      </c>
    </row>
    <row r="130" spans="3:29" x14ac:dyDescent="0.35">
      <c r="C130" s="78">
        <v>44602</v>
      </c>
      <c r="D130" s="75">
        <v>223.07</v>
      </c>
      <c r="E130" s="165">
        <f t="shared" si="7"/>
        <v>-0.1590197926484449</v>
      </c>
      <c r="G130" s="83">
        <v>44602</v>
      </c>
      <c r="H130" s="81">
        <v>19.57</v>
      </c>
      <c r="I130" s="82">
        <f t="shared" si="8"/>
        <v>-0.1495002172968275</v>
      </c>
      <c r="K130" s="96">
        <v>44602</v>
      </c>
      <c r="L130" s="94">
        <v>9.89</v>
      </c>
      <c r="M130" s="95">
        <f t="shared" si="9"/>
        <v>-0.17238493723849357</v>
      </c>
      <c r="O130" s="83">
        <v>44602</v>
      </c>
      <c r="P130" s="81">
        <v>13.76</v>
      </c>
      <c r="Q130" s="82">
        <f t="shared" si="10"/>
        <v>-0.12745719720989224</v>
      </c>
      <c r="S130" s="78">
        <v>44602</v>
      </c>
      <c r="T130" s="106">
        <v>33.619999999999997</v>
      </c>
      <c r="U130" s="107">
        <f t="shared" si="11"/>
        <v>4.7678404487379034E-2</v>
      </c>
      <c r="W130" s="78">
        <v>44602</v>
      </c>
      <c r="X130" s="106">
        <v>11.45</v>
      </c>
      <c r="Y130" s="107">
        <f t="shared" si="12"/>
        <v>8.9438629876308129E-2</v>
      </c>
      <c r="AA130" s="78">
        <v>44602</v>
      </c>
      <c r="AB130" s="110">
        <v>3639.66</v>
      </c>
      <c r="AC130" s="107">
        <f t="shared" si="13"/>
        <v>1.5071312632124911E-2</v>
      </c>
    </row>
    <row r="131" spans="3:29" x14ac:dyDescent="0.35">
      <c r="C131" s="77" t="s">
        <v>237</v>
      </c>
      <c r="D131" s="75">
        <v>265.25</v>
      </c>
      <c r="E131" s="165">
        <f t="shared" si="7"/>
        <v>-3.6610612719282232E-2</v>
      </c>
      <c r="G131" s="80" t="s">
        <v>237</v>
      </c>
      <c r="H131" s="81">
        <v>23.01</v>
      </c>
      <c r="I131" s="82">
        <f t="shared" si="8"/>
        <v>-7.9599999999999893E-2</v>
      </c>
      <c r="K131" s="93" t="s">
        <v>237</v>
      </c>
      <c r="L131" s="94">
        <v>11.95</v>
      </c>
      <c r="M131" s="95">
        <f t="shared" si="9"/>
        <v>-0.12837345003646983</v>
      </c>
      <c r="O131" s="80" t="s">
        <v>237</v>
      </c>
      <c r="P131" s="81">
        <v>15.77</v>
      </c>
      <c r="Q131" s="82">
        <f t="shared" si="10"/>
        <v>-0.10600907029478468</v>
      </c>
      <c r="S131" s="77" t="s">
        <v>237</v>
      </c>
      <c r="T131" s="106">
        <v>32.090000000000003</v>
      </c>
      <c r="U131" s="107">
        <f t="shared" si="11"/>
        <v>-9.5546786922209526E-2</v>
      </c>
      <c r="W131" s="77" t="s">
        <v>237</v>
      </c>
      <c r="X131" s="106">
        <v>10.51</v>
      </c>
      <c r="Y131" s="107">
        <f t="shared" si="12"/>
        <v>-9.0043290043290147E-2</v>
      </c>
      <c r="AA131" s="77" t="s">
        <v>237</v>
      </c>
      <c r="AB131" s="110">
        <v>3585.62</v>
      </c>
      <c r="AC131" s="107">
        <f t="shared" si="13"/>
        <v>-2.9137096796029494E-2</v>
      </c>
    </row>
    <row r="132" spans="3:29" x14ac:dyDescent="0.35">
      <c r="C132" s="77" t="s">
        <v>238</v>
      </c>
      <c r="D132" s="75">
        <v>275.33</v>
      </c>
      <c r="E132" s="165">
        <f t="shared" si="7"/>
        <v>-9.2368551178506841E-2</v>
      </c>
      <c r="G132" s="80" t="s">
        <v>238</v>
      </c>
      <c r="H132" s="81">
        <v>25</v>
      </c>
      <c r="I132" s="82">
        <f t="shared" si="8"/>
        <v>3.7775010377750107E-2</v>
      </c>
      <c r="K132" s="93" t="s">
        <v>238</v>
      </c>
      <c r="L132" s="94">
        <v>13.71</v>
      </c>
      <c r="M132" s="95">
        <f t="shared" si="9"/>
        <v>-5.8379120879120894E-2</v>
      </c>
      <c r="O132" s="80" t="s">
        <v>238</v>
      </c>
      <c r="P132" s="81">
        <v>17.64</v>
      </c>
      <c r="Q132" s="82">
        <f t="shared" si="10"/>
        <v>-0.12456575682382121</v>
      </c>
      <c r="S132" s="77" t="s">
        <v>238</v>
      </c>
      <c r="T132" s="106">
        <v>35.479999999999997</v>
      </c>
      <c r="U132" s="107">
        <f t="shared" si="11"/>
        <v>-0.11233425068801606</v>
      </c>
      <c r="W132" s="77" t="s">
        <v>238</v>
      </c>
      <c r="X132" s="106">
        <v>11.55</v>
      </c>
      <c r="Y132" s="107">
        <f t="shared" si="12"/>
        <v>-0.16364952932657495</v>
      </c>
      <c r="AA132" s="77" t="s">
        <v>238</v>
      </c>
      <c r="AB132" s="110">
        <v>3693.23</v>
      </c>
      <c r="AC132" s="107">
        <f t="shared" si="13"/>
        <v>-4.6497458259430524E-2</v>
      </c>
    </row>
    <row r="133" spans="3:29" x14ac:dyDescent="0.35">
      <c r="C133" s="78">
        <v>44874</v>
      </c>
      <c r="D133" s="75">
        <v>303.35000000000002</v>
      </c>
      <c r="E133" s="165">
        <f t="shared" si="7"/>
        <v>1.2246396155899619E-2</v>
      </c>
      <c r="G133" s="83">
        <v>44874</v>
      </c>
      <c r="H133" s="81">
        <v>24.09</v>
      </c>
      <c r="I133" s="82">
        <f t="shared" si="8"/>
        <v>-8.5074060007595875E-2</v>
      </c>
      <c r="K133" s="96">
        <v>44874</v>
      </c>
      <c r="L133" s="94">
        <v>14.56</v>
      </c>
      <c r="M133" s="95">
        <f t="shared" si="9"/>
        <v>-9.1703056768558944E-2</v>
      </c>
      <c r="O133" s="83">
        <v>44874</v>
      </c>
      <c r="P133" s="81">
        <v>20.149999999999999</v>
      </c>
      <c r="Q133" s="82">
        <f t="shared" si="10"/>
        <v>5.1670146137786865E-2</v>
      </c>
      <c r="S133" s="78">
        <v>44874</v>
      </c>
      <c r="T133" s="106">
        <v>39.97</v>
      </c>
      <c r="U133" s="107">
        <f t="shared" si="11"/>
        <v>-3.1968999757810646E-2</v>
      </c>
      <c r="W133" s="78">
        <v>44874</v>
      </c>
      <c r="X133" s="106">
        <v>13.81</v>
      </c>
      <c r="Y133" s="107">
        <f t="shared" si="12"/>
        <v>-4.5611610228058042E-2</v>
      </c>
      <c r="AA133" s="78">
        <v>44874</v>
      </c>
      <c r="AB133" s="110">
        <v>3873.33</v>
      </c>
      <c r="AC133" s="107">
        <f t="shared" si="13"/>
        <v>-4.7704161913378784E-2</v>
      </c>
    </row>
    <row r="134" spans="3:29" x14ac:dyDescent="0.35">
      <c r="C134" s="78">
        <v>44660</v>
      </c>
      <c r="D134" s="75">
        <v>299.68</v>
      </c>
      <c r="E134" s="165">
        <f t="shared" si="7"/>
        <v>0.10906332112061001</v>
      </c>
      <c r="G134" s="83">
        <v>44660</v>
      </c>
      <c r="H134" s="81">
        <v>26.33</v>
      </c>
      <c r="I134" s="82">
        <f t="shared" si="8"/>
        <v>-9.4055680963129884E-3</v>
      </c>
      <c r="K134" s="96">
        <v>44660</v>
      </c>
      <c r="L134" s="94">
        <v>16.03</v>
      </c>
      <c r="M134" s="95">
        <f t="shared" si="9"/>
        <v>-4.2413381123058369E-2</v>
      </c>
      <c r="O134" s="83">
        <v>44660</v>
      </c>
      <c r="P134" s="81">
        <v>19.16</v>
      </c>
      <c r="Q134" s="82">
        <f t="shared" si="10"/>
        <v>8.0654258319232897E-2</v>
      </c>
      <c r="S134" s="78">
        <v>44660</v>
      </c>
      <c r="T134" s="106">
        <v>41.29</v>
      </c>
      <c r="U134" s="107">
        <f t="shared" si="11"/>
        <v>7.3303873147907428E-2</v>
      </c>
      <c r="W134" s="78">
        <v>44660</v>
      </c>
      <c r="X134" s="106">
        <v>14.47</v>
      </c>
      <c r="Y134" s="107">
        <f t="shared" si="12"/>
        <v>1.7580872011251802E-2</v>
      </c>
      <c r="AA134" s="78">
        <v>44660</v>
      </c>
      <c r="AB134" s="110">
        <v>4067.36</v>
      </c>
      <c r="AC134" s="107">
        <f t="shared" si="13"/>
        <v>3.646547374536846E-2</v>
      </c>
    </row>
    <row r="135" spans="3:29" x14ac:dyDescent="0.35">
      <c r="C135" s="77" t="s">
        <v>239</v>
      </c>
      <c r="D135" s="75">
        <v>270.20999999999998</v>
      </c>
      <c r="E135" s="165">
        <f t="shared" si="7"/>
        <v>-6.2063938352598158E-2</v>
      </c>
      <c r="G135" s="80" t="s">
        <v>239</v>
      </c>
      <c r="H135" s="81">
        <v>26.58</v>
      </c>
      <c r="I135" s="82">
        <f t="shared" si="8"/>
        <v>-0.12277227722772288</v>
      </c>
      <c r="K135" s="93" t="s">
        <v>239</v>
      </c>
      <c r="L135" s="94">
        <v>16.739999999999998</v>
      </c>
      <c r="M135" s="95">
        <f t="shared" si="9"/>
        <v>-0.11522198731501077</v>
      </c>
      <c r="O135" s="80" t="s">
        <v>239</v>
      </c>
      <c r="P135" s="81">
        <v>17.73</v>
      </c>
      <c r="Q135" s="82">
        <f t="shared" si="10"/>
        <v>-0.10993975903614461</v>
      </c>
      <c r="S135" s="77" t="s">
        <v>239</v>
      </c>
      <c r="T135" s="106">
        <v>38.47</v>
      </c>
      <c r="U135" s="107">
        <f t="shared" si="11"/>
        <v>-1.9372928880958429E-2</v>
      </c>
      <c r="W135" s="77" t="s">
        <v>239</v>
      </c>
      <c r="X135" s="106">
        <v>14.22</v>
      </c>
      <c r="Y135" s="107">
        <f t="shared" si="12"/>
        <v>-1.6597510373444035E-2</v>
      </c>
      <c r="AA135" s="77" t="s">
        <v>239</v>
      </c>
      <c r="AB135" s="110">
        <v>3924.26</v>
      </c>
      <c r="AC135" s="107">
        <f t="shared" si="13"/>
        <v>-3.2876091146128439E-2</v>
      </c>
    </row>
    <row r="136" spans="3:29" x14ac:dyDescent="0.35">
      <c r="C136" s="77" t="s">
        <v>240</v>
      </c>
      <c r="D136" s="75">
        <v>288.08999999999997</v>
      </c>
      <c r="E136" s="165">
        <f t="shared" si="7"/>
        <v>-2.8921023359288256E-2</v>
      </c>
      <c r="G136" s="80" t="s">
        <v>240</v>
      </c>
      <c r="H136" s="81">
        <v>30.3</v>
      </c>
      <c r="I136" s="82">
        <f t="shared" si="8"/>
        <v>1.2024048096192397E-2</v>
      </c>
      <c r="K136" s="93" t="s">
        <v>240</v>
      </c>
      <c r="L136" s="94">
        <v>18.920000000000002</v>
      </c>
      <c r="M136" s="95">
        <f t="shared" si="9"/>
        <v>-0.10922787193973615</v>
      </c>
      <c r="O136" s="80" t="s">
        <v>240</v>
      </c>
      <c r="P136" s="81">
        <v>19.920000000000002</v>
      </c>
      <c r="Q136" s="82">
        <f t="shared" si="10"/>
        <v>4.5669291338582774E-2</v>
      </c>
      <c r="S136" s="77" t="s">
        <v>240</v>
      </c>
      <c r="T136" s="106">
        <v>39.229999999999997</v>
      </c>
      <c r="U136" s="107">
        <f t="shared" si="11"/>
        <v>-1.1838790931990029E-2</v>
      </c>
      <c r="W136" s="77" t="s">
        <v>240</v>
      </c>
      <c r="X136" s="106">
        <v>14.46</v>
      </c>
      <c r="Y136" s="107">
        <f t="shared" si="12"/>
        <v>-2.9530201342281792E-2</v>
      </c>
      <c r="AA136" s="77" t="s">
        <v>240</v>
      </c>
      <c r="AB136" s="110">
        <v>4057.66</v>
      </c>
      <c r="AC136" s="107">
        <f t="shared" si="13"/>
        <v>-4.0397495080974677E-2</v>
      </c>
    </row>
    <row r="137" spans="3:29" x14ac:dyDescent="0.35">
      <c r="C137" s="77" t="s">
        <v>241</v>
      </c>
      <c r="D137" s="75">
        <v>296.67</v>
      </c>
      <c r="E137" s="165">
        <f t="shared" si="7"/>
        <v>-1.1198880111988663E-2</v>
      </c>
      <c r="G137" s="80" t="s">
        <v>241</v>
      </c>
      <c r="H137" s="81">
        <v>29.94</v>
      </c>
      <c r="I137" s="82">
        <f t="shared" si="8"/>
        <v>-7.848568790397048E-2</v>
      </c>
      <c r="K137" s="93" t="s">
        <v>241</v>
      </c>
      <c r="L137" s="94">
        <v>21.24</v>
      </c>
      <c r="M137" s="95">
        <f t="shared" si="9"/>
        <v>-0.12986480950430157</v>
      </c>
      <c r="O137" s="80" t="s">
        <v>241</v>
      </c>
      <c r="P137" s="81">
        <v>19.05</v>
      </c>
      <c r="Q137" s="82">
        <f t="shared" si="10"/>
        <v>-9.7584083372808994E-2</v>
      </c>
      <c r="S137" s="77" t="s">
        <v>241</v>
      </c>
      <c r="T137" s="106">
        <v>39.700000000000003</v>
      </c>
      <c r="U137" s="107">
        <f t="shared" si="11"/>
        <v>5.572441742654588E-3</v>
      </c>
      <c r="W137" s="77" t="s">
        <v>241</v>
      </c>
      <c r="X137" s="106">
        <v>14.9</v>
      </c>
      <c r="Y137" s="107">
        <f t="shared" si="12"/>
        <v>-1.8445322793148811E-2</v>
      </c>
      <c r="AA137" s="77" t="s">
        <v>241</v>
      </c>
      <c r="AB137" s="110">
        <v>4228.4799999999996</v>
      </c>
      <c r="AC137" s="107">
        <f t="shared" si="13"/>
        <v>-1.2072006822190784E-2</v>
      </c>
    </row>
    <row r="138" spans="3:29" x14ac:dyDescent="0.35">
      <c r="C138" s="78">
        <v>44750</v>
      </c>
      <c r="D138" s="75">
        <v>300.02999999999997</v>
      </c>
      <c r="E138" s="165">
        <f t="shared" si="7"/>
        <v>4.115626192872246E-2</v>
      </c>
      <c r="G138" s="83">
        <v>44750</v>
      </c>
      <c r="H138" s="81">
        <v>32.49</v>
      </c>
      <c r="I138" s="82">
        <f t="shared" si="8"/>
        <v>-3.3898305084745783E-2</v>
      </c>
      <c r="K138" s="96">
        <v>44750</v>
      </c>
      <c r="L138" s="94">
        <v>24.41</v>
      </c>
      <c r="M138" s="95">
        <f t="shared" si="9"/>
        <v>4.6292327475353723E-2</v>
      </c>
      <c r="O138" s="83">
        <v>44750</v>
      </c>
      <c r="P138" s="81">
        <v>21.11</v>
      </c>
      <c r="Q138" s="82">
        <f t="shared" si="10"/>
        <v>4.4015825914935691E-2</v>
      </c>
      <c r="S138" s="78">
        <v>44750</v>
      </c>
      <c r="T138" s="106">
        <v>39.479999999999997</v>
      </c>
      <c r="U138" s="107">
        <f t="shared" si="11"/>
        <v>9.4841930116472462E-2</v>
      </c>
      <c r="W138" s="78">
        <v>44750</v>
      </c>
      <c r="X138" s="106">
        <v>15.18</v>
      </c>
      <c r="Y138" s="107">
        <f t="shared" si="12"/>
        <v>5.7839721254355325E-2</v>
      </c>
      <c r="AA138" s="78">
        <v>44750</v>
      </c>
      <c r="AB138" s="110">
        <v>4280.1499999999996</v>
      </c>
      <c r="AC138" s="107">
        <f t="shared" si="13"/>
        <v>3.2558218079267842E-2</v>
      </c>
    </row>
    <row r="139" spans="3:29" x14ac:dyDescent="0.35">
      <c r="C139" s="77" t="s">
        <v>242</v>
      </c>
      <c r="D139" s="75">
        <v>288.17</v>
      </c>
      <c r="E139" s="165">
        <f t="shared" si="7"/>
        <v>-3.0220427393572113E-2</v>
      </c>
      <c r="G139" s="80" t="s">
        <v>242</v>
      </c>
      <c r="H139" s="81">
        <v>33.630000000000003</v>
      </c>
      <c r="I139" s="82">
        <f t="shared" si="8"/>
        <v>2.405602923264305E-2</v>
      </c>
      <c r="K139" s="93" t="s">
        <v>242</v>
      </c>
      <c r="L139" s="94">
        <v>23.33</v>
      </c>
      <c r="M139" s="95">
        <f t="shared" si="9"/>
        <v>-4.5026606631191179E-2</v>
      </c>
      <c r="O139" s="80" t="s">
        <v>242</v>
      </c>
      <c r="P139" s="81">
        <v>20.22</v>
      </c>
      <c r="Q139" s="82">
        <f t="shared" si="10"/>
        <v>2.4835276229092651E-2</v>
      </c>
      <c r="S139" s="77" t="s">
        <v>242</v>
      </c>
      <c r="T139" s="106">
        <v>36.06</v>
      </c>
      <c r="U139" s="107">
        <f t="shared" si="11"/>
        <v>-5.5157198014339492E-3</v>
      </c>
      <c r="W139" s="77" t="s">
        <v>242</v>
      </c>
      <c r="X139" s="106">
        <v>14.35</v>
      </c>
      <c r="Y139" s="107">
        <f t="shared" si="12"/>
        <v>4.136429608127723E-2</v>
      </c>
      <c r="AA139" s="77" t="s">
        <v>242</v>
      </c>
      <c r="AB139" s="110">
        <v>4145.1899999999996</v>
      </c>
      <c r="AC139" s="107">
        <f t="shared" si="13"/>
        <v>3.6074948732411904E-3</v>
      </c>
    </row>
    <row r="140" spans="3:29" x14ac:dyDescent="0.35">
      <c r="C140" s="77" t="s">
        <v>243</v>
      </c>
      <c r="D140" s="75">
        <v>297.14999999999998</v>
      </c>
      <c r="E140" s="165">
        <f t="shared" si="7"/>
        <v>9.1500146929180071E-2</v>
      </c>
      <c r="G140" s="80" t="s">
        <v>243</v>
      </c>
      <c r="H140" s="81">
        <v>32.840000000000003</v>
      </c>
      <c r="I140" s="82">
        <f t="shared" si="8"/>
        <v>-4.4237485448195502E-2</v>
      </c>
      <c r="K140" s="93" t="s">
        <v>243</v>
      </c>
      <c r="L140" s="94">
        <v>24.43</v>
      </c>
      <c r="M140" s="95">
        <f t="shared" si="9"/>
        <v>-1.966292134831471E-2</v>
      </c>
      <c r="O140" s="80" t="s">
        <v>243</v>
      </c>
      <c r="P140" s="81">
        <v>19.73</v>
      </c>
      <c r="Q140" s="82">
        <f t="shared" si="10"/>
        <v>2.5467775467775677E-2</v>
      </c>
      <c r="S140" s="77" t="s">
        <v>243</v>
      </c>
      <c r="T140" s="106">
        <v>36.26</v>
      </c>
      <c r="U140" s="107">
        <f t="shared" si="11"/>
        <v>4.5860974906258845E-2</v>
      </c>
      <c r="W140" s="77" t="s">
        <v>243</v>
      </c>
      <c r="X140" s="106">
        <v>13.78</v>
      </c>
      <c r="Y140" s="107">
        <f t="shared" si="12"/>
        <v>0.14546965918536992</v>
      </c>
      <c r="AA140" s="77" t="s">
        <v>243</v>
      </c>
      <c r="AB140" s="110">
        <v>4130.29</v>
      </c>
      <c r="AC140" s="107">
        <f t="shared" si="13"/>
        <v>4.2573385197506974E-2</v>
      </c>
    </row>
    <row r="141" spans="3:29" x14ac:dyDescent="0.35">
      <c r="C141" s="77" t="s">
        <v>244</v>
      </c>
      <c r="D141" s="75">
        <v>272.24</v>
      </c>
      <c r="E141" s="165">
        <f t="shared" si="7"/>
        <v>0.1340025825800808</v>
      </c>
      <c r="G141" s="80" t="s">
        <v>244</v>
      </c>
      <c r="H141" s="81">
        <v>34.36</v>
      </c>
      <c r="I141" s="82">
        <f t="shared" si="8"/>
        <v>-0.10637191157347214</v>
      </c>
      <c r="K141" s="93" t="s">
        <v>244</v>
      </c>
      <c r="L141" s="94">
        <v>24.92</v>
      </c>
      <c r="M141" s="95">
        <f t="shared" si="9"/>
        <v>-0.15639810426540279</v>
      </c>
      <c r="O141" s="80" t="s">
        <v>244</v>
      </c>
      <c r="P141" s="81">
        <v>19.239999999999998</v>
      </c>
      <c r="Q141" s="82">
        <f t="shared" si="10"/>
        <v>-7.1428571428571508E-2</v>
      </c>
      <c r="S141" s="77" t="s">
        <v>244</v>
      </c>
      <c r="T141" s="106">
        <v>34.67</v>
      </c>
      <c r="U141" s="107">
        <f t="shared" si="11"/>
        <v>5.4761180407666643E-2</v>
      </c>
      <c r="W141" s="77" t="s">
        <v>244</v>
      </c>
      <c r="X141" s="106">
        <v>12.03</v>
      </c>
      <c r="Y141" s="107">
        <f t="shared" si="12"/>
        <v>7.8923766816143326E-2</v>
      </c>
      <c r="AA141" s="77" t="s">
        <v>244</v>
      </c>
      <c r="AB141" s="110">
        <v>3961.63</v>
      </c>
      <c r="AC141" s="107">
        <f t="shared" si="13"/>
        <v>2.5489495646051408E-2</v>
      </c>
    </row>
    <row r="142" spans="3:29" x14ac:dyDescent="0.35">
      <c r="C142" s="78">
        <v>44841</v>
      </c>
      <c r="D142" s="75">
        <v>240.07</v>
      </c>
      <c r="E142" s="165">
        <f t="shared" ref="E142:E205" si="14">D142/D143-1</f>
        <v>-4.2630403573137632E-2</v>
      </c>
      <c r="G142" s="83">
        <v>44841</v>
      </c>
      <c r="H142" s="81">
        <v>38.450000000000003</v>
      </c>
      <c r="I142" s="82">
        <f t="shared" ref="I142:I205" si="15">H142/H143-1</f>
        <v>-1.1568123393316032E-2</v>
      </c>
      <c r="K142" s="96">
        <v>44841</v>
      </c>
      <c r="L142" s="94">
        <v>29.54</v>
      </c>
      <c r="M142" s="95">
        <f t="shared" ref="M142:M205" si="16">L142/L143-1</f>
        <v>-8.0610021786492458E-2</v>
      </c>
      <c r="O142" s="83">
        <v>44841</v>
      </c>
      <c r="P142" s="81">
        <v>20.72</v>
      </c>
      <c r="Q142" s="82">
        <f t="shared" ref="Q142:Q205" si="17">P142/P143-1</f>
        <v>-8.3185840707964753E-2</v>
      </c>
      <c r="S142" s="78">
        <v>44841</v>
      </c>
      <c r="T142" s="106">
        <v>32.869999999999997</v>
      </c>
      <c r="U142" s="107">
        <f t="shared" ref="U142:U205" si="18">T142/T143-1</f>
        <v>1.7332095326524133E-2</v>
      </c>
      <c r="W142" s="78">
        <v>44841</v>
      </c>
      <c r="X142" s="106">
        <v>11.15</v>
      </c>
      <c r="Y142" s="107">
        <f t="shared" ref="Y142:Y205" si="19">X142/X143-1</f>
        <v>2.2935779816513735E-2</v>
      </c>
      <c r="AA142" s="78">
        <v>44841</v>
      </c>
      <c r="AB142" s="110">
        <v>3863.16</v>
      </c>
      <c r="AC142" s="107">
        <f t="shared" ref="AC142:AC205" si="20">AB142/AB143-1</f>
        <v>-9.2886561453360272E-3</v>
      </c>
    </row>
    <row r="143" spans="3:29" x14ac:dyDescent="0.35">
      <c r="C143" s="78">
        <v>44627</v>
      </c>
      <c r="D143" s="75">
        <v>250.76</v>
      </c>
      <c r="E143" s="165">
        <f t="shared" si="14"/>
        <v>0.10340579072428047</v>
      </c>
      <c r="G143" s="83">
        <v>44627</v>
      </c>
      <c r="H143" s="81">
        <v>38.9</v>
      </c>
      <c r="I143" s="82">
        <f t="shared" si="15"/>
        <v>3.1830238726790361E-2</v>
      </c>
      <c r="K143" s="96">
        <v>44627</v>
      </c>
      <c r="L143" s="94">
        <v>32.130000000000003</v>
      </c>
      <c r="M143" s="95">
        <f t="shared" si="16"/>
        <v>6.1096433289299812E-2</v>
      </c>
      <c r="O143" s="83">
        <v>44627</v>
      </c>
      <c r="P143" s="81">
        <v>22.6</v>
      </c>
      <c r="Q143" s="82">
        <f t="shared" si="17"/>
        <v>5.805243445692887E-2</v>
      </c>
      <c r="S143" s="78">
        <v>44627</v>
      </c>
      <c r="T143" s="106">
        <v>32.31</v>
      </c>
      <c r="U143" s="107">
        <f t="shared" si="18"/>
        <v>3.7278657968313755E-3</v>
      </c>
      <c r="W143" s="78">
        <v>44627</v>
      </c>
      <c r="X143" s="106">
        <v>10.9</v>
      </c>
      <c r="Y143" s="107">
        <f t="shared" si="19"/>
        <v>2.6365348399246757E-2</v>
      </c>
      <c r="AA143" s="78">
        <v>44627</v>
      </c>
      <c r="AB143" s="110">
        <v>3899.38</v>
      </c>
      <c r="AC143" s="107">
        <f t="shared" si="20"/>
        <v>1.9357807038869801E-2</v>
      </c>
    </row>
    <row r="144" spans="3:29" x14ac:dyDescent="0.35">
      <c r="C144" s="77" t="s">
        <v>245</v>
      </c>
      <c r="D144" s="75">
        <v>227.26</v>
      </c>
      <c r="E144" s="165">
        <f t="shared" si="14"/>
        <v>-7.5088518985796382E-2</v>
      </c>
      <c r="G144" s="80" t="s">
        <v>245</v>
      </c>
      <c r="H144" s="81">
        <v>37.700000000000003</v>
      </c>
      <c r="I144" s="82">
        <f t="shared" si="15"/>
        <v>-7.5753861240499987E-2</v>
      </c>
      <c r="K144" s="93" t="s">
        <v>245</v>
      </c>
      <c r="L144" s="94">
        <v>30.28</v>
      </c>
      <c r="M144" s="95">
        <f t="shared" si="16"/>
        <v>-0.14196656276565589</v>
      </c>
      <c r="O144" s="80" t="s">
        <v>245</v>
      </c>
      <c r="P144" s="81">
        <v>21.36</v>
      </c>
      <c r="Q144" s="82">
        <f t="shared" si="17"/>
        <v>-0.1129568106312292</v>
      </c>
      <c r="S144" s="77" t="s">
        <v>245</v>
      </c>
      <c r="T144" s="106">
        <v>32.19</v>
      </c>
      <c r="U144" s="107">
        <f t="shared" si="18"/>
        <v>-7.5531303848363041E-2</v>
      </c>
      <c r="W144" s="77" t="s">
        <v>245</v>
      </c>
      <c r="X144" s="106">
        <v>10.62</v>
      </c>
      <c r="Y144" s="107">
        <f t="shared" si="19"/>
        <v>-5.7675244010647719E-2</v>
      </c>
      <c r="AA144" s="77" t="s">
        <v>245</v>
      </c>
      <c r="AB144" s="110">
        <v>3825.33</v>
      </c>
      <c r="AC144" s="107">
        <f t="shared" si="20"/>
        <v>-2.2089913951336193E-2</v>
      </c>
    </row>
    <row r="145" spans="3:29" x14ac:dyDescent="0.35">
      <c r="C145" s="77" t="s">
        <v>246</v>
      </c>
      <c r="D145" s="75">
        <v>245.71</v>
      </c>
      <c r="E145" s="165">
        <f t="shared" si="14"/>
        <v>0.13355785200221448</v>
      </c>
      <c r="G145" s="80" t="s">
        <v>246</v>
      </c>
      <c r="H145" s="81">
        <v>40.79</v>
      </c>
      <c r="I145" s="82">
        <f t="shared" si="15"/>
        <v>0.2304675716440423</v>
      </c>
      <c r="K145" s="93" t="s">
        <v>246</v>
      </c>
      <c r="L145" s="94">
        <v>35.29</v>
      </c>
      <c r="M145" s="95">
        <f t="shared" si="16"/>
        <v>0.25275115370962009</v>
      </c>
      <c r="O145" s="80" t="s">
        <v>246</v>
      </c>
      <c r="P145" s="81">
        <v>24.08</v>
      </c>
      <c r="Q145" s="82">
        <f t="shared" si="17"/>
        <v>0.15936446798266735</v>
      </c>
      <c r="S145" s="77" t="s">
        <v>246</v>
      </c>
      <c r="T145" s="106">
        <v>34.82</v>
      </c>
      <c r="U145" s="107">
        <f t="shared" si="18"/>
        <v>9.2220828105395336E-2</v>
      </c>
      <c r="W145" s="77" t="s">
        <v>246</v>
      </c>
      <c r="X145" s="106">
        <v>11.27</v>
      </c>
      <c r="Y145" s="107">
        <f t="shared" si="19"/>
        <v>6.9259962049335932E-2</v>
      </c>
      <c r="AA145" s="77" t="s">
        <v>246</v>
      </c>
      <c r="AB145" s="110">
        <v>3911.74</v>
      </c>
      <c r="AC145" s="107">
        <f t="shared" si="20"/>
        <v>6.4465391690522456E-2</v>
      </c>
    </row>
    <row r="146" spans="3:29" x14ac:dyDescent="0.35">
      <c r="C146" s="78">
        <v>44901</v>
      </c>
      <c r="D146" s="75">
        <v>216.76</v>
      </c>
      <c r="E146" s="165">
        <f t="shared" si="14"/>
        <v>-6.6614993756189955E-2</v>
      </c>
      <c r="G146" s="83">
        <v>44901</v>
      </c>
      <c r="H146" s="81">
        <v>33.15</v>
      </c>
      <c r="I146" s="82">
        <f t="shared" si="15"/>
        <v>0.10758436351486789</v>
      </c>
      <c r="K146" s="96">
        <v>44901</v>
      </c>
      <c r="L146" s="94">
        <v>28.17</v>
      </c>
      <c r="M146" s="95">
        <f t="shared" si="16"/>
        <v>9.1437427353739054E-2</v>
      </c>
      <c r="O146" s="83">
        <v>44901</v>
      </c>
      <c r="P146" s="81">
        <v>20.77</v>
      </c>
      <c r="Q146" s="82">
        <f t="shared" si="17"/>
        <v>0.14498346196251366</v>
      </c>
      <c r="S146" s="78">
        <v>44901</v>
      </c>
      <c r="T146" s="106">
        <v>31.88</v>
      </c>
      <c r="U146" s="107">
        <f t="shared" si="18"/>
        <v>-8.9403027706369542E-2</v>
      </c>
      <c r="W146" s="78">
        <v>44901</v>
      </c>
      <c r="X146" s="106">
        <v>10.54</v>
      </c>
      <c r="Y146" s="107">
        <f t="shared" si="19"/>
        <v>-0.1187290969899667</v>
      </c>
      <c r="AA146" s="78">
        <v>44901</v>
      </c>
      <c r="AB146" s="110">
        <v>3674.84</v>
      </c>
      <c r="AC146" s="107">
        <f t="shared" si="20"/>
        <v>-5.7941069405208045E-2</v>
      </c>
    </row>
    <row r="147" spans="3:29" x14ac:dyDescent="0.35">
      <c r="C147" s="78">
        <v>44687</v>
      </c>
      <c r="D147" s="75">
        <v>232.23</v>
      </c>
      <c r="E147" s="165">
        <f t="shared" si="14"/>
        <v>-9.7646256182842839E-3</v>
      </c>
      <c r="G147" s="83">
        <v>44687</v>
      </c>
      <c r="H147" s="81">
        <v>29.93</v>
      </c>
      <c r="I147" s="82">
        <f t="shared" si="15"/>
        <v>0.14193056085463551</v>
      </c>
      <c r="K147" s="96">
        <v>44687</v>
      </c>
      <c r="L147" s="94">
        <v>25.81</v>
      </c>
      <c r="M147" s="95">
        <f t="shared" si="16"/>
        <v>7.6762619941593613E-2</v>
      </c>
      <c r="O147" s="83">
        <v>44687</v>
      </c>
      <c r="P147" s="81">
        <v>18.14</v>
      </c>
      <c r="Q147" s="82">
        <f t="shared" si="17"/>
        <v>3.3185840707965486E-3</v>
      </c>
      <c r="S147" s="78">
        <v>44687</v>
      </c>
      <c r="T147" s="106">
        <v>35.01</v>
      </c>
      <c r="U147" s="107">
        <f t="shared" si="18"/>
        <v>-6.9130550385535838E-2</v>
      </c>
      <c r="W147" s="78">
        <v>44687</v>
      </c>
      <c r="X147" s="106">
        <v>11.96</v>
      </c>
      <c r="Y147" s="107">
        <f t="shared" si="19"/>
        <v>-5.6037884767166424E-2</v>
      </c>
      <c r="AA147" s="78">
        <v>44687</v>
      </c>
      <c r="AB147" s="110">
        <v>3900.86</v>
      </c>
      <c r="AC147" s="107">
        <f t="shared" si="20"/>
        <v>-5.054836998057699E-2</v>
      </c>
    </row>
    <row r="148" spans="3:29" x14ac:dyDescent="0.35">
      <c r="C148" s="77" t="s">
        <v>247</v>
      </c>
      <c r="D148" s="75">
        <v>234.52</v>
      </c>
      <c r="E148" s="165">
        <f t="shared" si="14"/>
        <v>-7.3812250700999171E-2</v>
      </c>
      <c r="G148" s="80" t="s">
        <v>247</v>
      </c>
      <c r="H148" s="81">
        <v>26.21</v>
      </c>
      <c r="I148" s="82">
        <f t="shared" si="15"/>
        <v>7.9489291598022982E-2</v>
      </c>
      <c r="K148" s="93" t="s">
        <v>247</v>
      </c>
      <c r="L148" s="94">
        <v>23.97</v>
      </c>
      <c r="M148" s="95">
        <f t="shared" si="16"/>
        <v>6.5333333333333243E-2</v>
      </c>
      <c r="O148" s="80" t="s">
        <v>247</v>
      </c>
      <c r="P148" s="81">
        <v>18.079999999999998</v>
      </c>
      <c r="Q148" s="82">
        <f t="shared" si="17"/>
        <v>9.1128545564272745E-2</v>
      </c>
      <c r="S148" s="77" t="s">
        <v>247</v>
      </c>
      <c r="T148" s="106">
        <v>37.61</v>
      </c>
      <c r="U148" s="107">
        <f t="shared" si="18"/>
        <v>-2.4889810733730866E-2</v>
      </c>
      <c r="W148" s="77" t="s">
        <v>247</v>
      </c>
      <c r="X148" s="106">
        <v>12.67</v>
      </c>
      <c r="Y148" s="107">
        <f t="shared" si="19"/>
        <v>-9.3823299452696629E-3</v>
      </c>
      <c r="AA148" s="77" t="s">
        <v>247</v>
      </c>
      <c r="AB148" s="110">
        <v>4108.54</v>
      </c>
      <c r="AC148" s="107">
        <f t="shared" si="20"/>
        <v>-1.1952172072799971E-2</v>
      </c>
    </row>
    <row r="149" spans="3:29" x14ac:dyDescent="0.35">
      <c r="C149" s="77" t="s">
        <v>248</v>
      </c>
      <c r="D149" s="75">
        <v>253.21</v>
      </c>
      <c r="E149" s="165">
        <f t="shared" si="14"/>
        <v>0.14419340262087665</v>
      </c>
      <c r="G149" s="80" t="s">
        <v>248</v>
      </c>
      <c r="H149" s="81">
        <v>24.28</v>
      </c>
      <c r="I149" s="82">
        <f t="shared" si="15"/>
        <v>1.1666666666666714E-2</v>
      </c>
      <c r="K149" s="93" t="s">
        <v>248</v>
      </c>
      <c r="L149" s="94">
        <v>22.5</v>
      </c>
      <c r="M149" s="95">
        <f t="shared" si="16"/>
        <v>-3.3089815212720253E-2</v>
      </c>
      <c r="O149" s="80" t="s">
        <v>248</v>
      </c>
      <c r="P149" s="81">
        <v>16.57</v>
      </c>
      <c r="Q149" s="82">
        <f t="shared" si="17"/>
        <v>7.9075425790753329E-3</v>
      </c>
      <c r="S149" s="77" t="s">
        <v>248</v>
      </c>
      <c r="T149" s="106">
        <v>38.57</v>
      </c>
      <c r="U149" s="107">
        <f t="shared" si="18"/>
        <v>8.954802259887007E-2</v>
      </c>
      <c r="W149" s="77" t="s">
        <v>248</v>
      </c>
      <c r="X149" s="106">
        <v>12.79</v>
      </c>
      <c r="Y149" s="107">
        <f t="shared" si="19"/>
        <v>9.0366581415174618E-2</v>
      </c>
      <c r="AA149" s="77" t="s">
        <v>248</v>
      </c>
      <c r="AB149" s="110">
        <v>4158.24</v>
      </c>
      <c r="AC149" s="107">
        <f t="shared" si="20"/>
        <v>6.5843705784649265E-2</v>
      </c>
    </row>
    <row r="150" spans="3:29" x14ac:dyDescent="0.35">
      <c r="C150" s="77" t="s">
        <v>249</v>
      </c>
      <c r="D150" s="75">
        <v>221.3</v>
      </c>
      <c r="E150" s="165">
        <f t="shared" si="14"/>
        <v>-0.13733286555178714</v>
      </c>
      <c r="G150" s="80" t="s">
        <v>249</v>
      </c>
      <c r="H150" s="81">
        <v>24</v>
      </c>
      <c r="I150" s="82">
        <f t="shared" si="15"/>
        <v>9.9908340971585741E-2</v>
      </c>
      <c r="K150" s="93" t="s">
        <v>249</v>
      </c>
      <c r="L150" s="94">
        <v>23.27</v>
      </c>
      <c r="M150" s="95">
        <f t="shared" si="16"/>
        <v>1.9719544259421573E-2</v>
      </c>
      <c r="O150" s="80" t="s">
        <v>249</v>
      </c>
      <c r="P150" s="81">
        <v>16.440000000000001</v>
      </c>
      <c r="Q150" s="82">
        <f t="shared" si="17"/>
        <v>0.14884696016771493</v>
      </c>
      <c r="S150" s="77" t="s">
        <v>249</v>
      </c>
      <c r="T150" s="106">
        <v>35.4</v>
      </c>
      <c r="U150" s="107">
        <f t="shared" si="18"/>
        <v>-7.3540957864433487E-2</v>
      </c>
      <c r="W150" s="77" t="s">
        <v>249</v>
      </c>
      <c r="X150" s="106">
        <v>11.73</v>
      </c>
      <c r="Y150" s="107">
        <f t="shared" si="19"/>
        <v>-7.4191002367797854E-2</v>
      </c>
      <c r="AA150" s="77" t="s">
        <v>249</v>
      </c>
      <c r="AB150" s="110">
        <v>3901.36</v>
      </c>
      <c r="AC150" s="107">
        <f t="shared" si="20"/>
        <v>-3.0450633590878406E-2</v>
      </c>
    </row>
    <row r="151" spans="3:29" x14ac:dyDescent="0.35">
      <c r="C151" s="78">
        <v>44778</v>
      </c>
      <c r="D151" s="75">
        <v>256.52999999999997</v>
      </c>
      <c r="E151" s="165">
        <f t="shared" si="14"/>
        <v>-0.11096863628487275</v>
      </c>
      <c r="G151" s="83">
        <v>44778</v>
      </c>
      <c r="H151" s="81">
        <v>21.82</v>
      </c>
      <c r="I151" s="82">
        <f t="shared" si="15"/>
        <v>4.3021032504779955E-2</v>
      </c>
      <c r="K151" s="96">
        <v>44778</v>
      </c>
      <c r="L151" s="94">
        <v>22.82</v>
      </c>
      <c r="M151" s="95">
        <f t="shared" si="16"/>
        <v>2.4236983842010673E-2</v>
      </c>
      <c r="O151" s="83">
        <v>44778</v>
      </c>
      <c r="P151" s="81">
        <v>14.31</v>
      </c>
      <c r="Q151" s="82">
        <f t="shared" si="17"/>
        <v>-4.0884718498659489E-2</v>
      </c>
      <c r="S151" s="78">
        <v>44778</v>
      </c>
      <c r="T151" s="106">
        <v>38.21</v>
      </c>
      <c r="U151" s="107">
        <f t="shared" si="18"/>
        <v>-3.4613441131884692E-2</v>
      </c>
      <c r="W151" s="78">
        <v>44778</v>
      </c>
      <c r="X151" s="106">
        <v>12.67</v>
      </c>
      <c r="Y151" s="107">
        <f t="shared" si="19"/>
        <v>-4.951237809452369E-2</v>
      </c>
      <c r="AA151" s="78">
        <v>44778</v>
      </c>
      <c r="AB151" s="110">
        <v>4023.89</v>
      </c>
      <c r="AC151" s="107">
        <f t="shared" si="20"/>
        <v>-2.4118796897660721E-2</v>
      </c>
    </row>
    <row r="152" spans="3:29" x14ac:dyDescent="0.35">
      <c r="C152" s="78">
        <v>44566</v>
      </c>
      <c r="D152" s="75">
        <v>288.55</v>
      </c>
      <c r="E152" s="165">
        <f t="shared" si="14"/>
        <v>-5.8570198105081239E-3</v>
      </c>
      <c r="G152" s="83">
        <v>44566</v>
      </c>
      <c r="H152" s="81">
        <v>20.92</v>
      </c>
      <c r="I152" s="82">
        <f t="shared" si="15"/>
        <v>-6.7320552831029778E-2</v>
      </c>
      <c r="K152" s="96">
        <v>44566</v>
      </c>
      <c r="L152" s="94">
        <v>22.28</v>
      </c>
      <c r="M152" s="95">
        <f t="shared" si="16"/>
        <v>-9.4676960585127978E-2</v>
      </c>
      <c r="O152" s="83">
        <v>44566</v>
      </c>
      <c r="P152" s="81">
        <v>14.92</v>
      </c>
      <c r="Q152" s="82">
        <f t="shared" si="17"/>
        <v>-0.10658682634730532</v>
      </c>
      <c r="S152" s="78">
        <v>44566</v>
      </c>
      <c r="T152" s="106">
        <v>39.58</v>
      </c>
      <c r="U152" s="107">
        <f t="shared" si="18"/>
        <v>4.4051701398048149E-2</v>
      </c>
      <c r="W152" s="78">
        <v>44566</v>
      </c>
      <c r="X152" s="106">
        <v>13.33</v>
      </c>
      <c r="Y152" s="107">
        <f t="shared" si="19"/>
        <v>3.7650602409640133E-3</v>
      </c>
      <c r="AA152" s="78">
        <v>44566</v>
      </c>
      <c r="AB152" s="110">
        <v>4123.34</v>
      </c>
      <c r="AC152" s="107">
        <f t="shared" si="20"/>
        <v>-2.0789316372736844E-3</v>
      </c>
    </row>
    <row r="153" spans="3:29" x14ac:dyDescent="0.35">
      <c r="C153" s="77" t="s">
        <v>250</v>
      </c>
      <c r="D153" s="75">
        <v>290.25</v>
      </c>
      <c r="E153" s="165">
        <f t="shared" si="14"/>
        <v>-0.13363381290669207</v>
      </c>
      <c r="G153" s="80" t="s">
        <v>250</v>
      </c>
      <c r="H153" s="81">
        <v>22.43</v>
      </c>
      <c r="I153" s="82">
        <f t="shared" si="15"/>
        <v>4.478280340349361E-3</v>
      </c>
      <c r="K153" s="93" t="s">
        <v>250</v>
      </c>
      <c r="L153" s="94">
        <v>24.61</v>
      </c>
      <c r="M153" s="95">
        <f t="shared" si="16"/>
        <v>3.1001256807708266E-2</v>
      </c>
      <c r="O153" s="80" t="s">
        <v>250</v>
      </c>
      <c r="P153" s="81">
        <v>16.7</v>
      </c>
      <c r="Q153" s="82">
        <f t="shared" si="17"/>
        <v>-2.7939464493597188E-2</v>
      </c>
      <c r="S153" s="77" t="s">
        <v>250</v>
      </c>
      <c r="T153" s="106">
        <v>37.909999999999997</v>
      </c>
      <c r="U153" s="107">
        <f t="shared" si="18"/>
        <v>-4.8443775100401765E-2</v>
      </c>
      <c r="W153" s="77" t="s">
        <v>250</v>
      </c>
      <c r="X153" s="106">
        <v>13.28</v>
      </c>
      <c r="Y153" s="107">
        <f t="shared" si="19"/>
        <v>-6.4129668780831595E-2</v>
      </c>
      <c r="AA153" s="77" t="s">
        <v>250</v>
      </c>
      <c r="AB153" s="110">
        <v>4131.93</v>
      </c>
      <c r="AC153" s="107">
        <f t="shared" si="20"/>
        <v>-3.2738109172288699E-2</v>
      </c>
    </row>
    <row r="154" spans="3:29" x14ac:dyDescent="0.35">
      <c r="C154" s="77" t="s">
        <v>251</v>
      </c>
      <c r="D154" s="75">
        <v>335.02</v>
      </c>
      <c r="E154" s="165">
        <f t="shared" si="14"/>
        <v>2.0375841379100201E-2</v>
      </c>
      <c r="G154" s="80" t="s">
        <v>251</v>
      </c>
      <c r="H154" s="81">
        <v>22.33</v>
      </c>
      <c r="I154" s="82">
        <f t="shared" si="15"/>
        <v>-0.13146635550369512</v>
      </c>
      <c r="K154" s="93" t="s">
        <v>251</v>
      </c>
      <c r="L154" s="94">
        <v>23.87</v>
      </c>
      <c r="M154" s="95">
        <f t="shared" si="16"/>
        <v>-0.11362792424805046</v>
      </c>
      <c r="O154" s="80" t="s">
        <v>251</v>
      </c>
      <c r="P154" s="81">
        <v>17.18</v>
      </c>
      <c r="Q154" s="82">
        <f t="shared" si="17"/>
        <v>-0.12569974554707375</v>
      </c>
      <c r="S154" s="77" t="s">
        <v>251</v>
      </c>
      <c r="T154" s="106">
        <v>39.840000000000003</v>
      </c>
      <c r="U154" s="107">
        <f t="shared" si="18"/>
        <v>-7.2265138300523502E-3</v>
      </c>
      <c r="W154" s="77" t="s">
        <v>251</v>
      </c>
      <c r="X154" s="106">
        <v>14.19</v>
      </c>
      <c r="Y154" s="107">
        <f t="shared" si="19"/>
        <v>-2.2727272727272707E-2</v>
      </c>
      <c r="AA154" s="77" t="s">
        <v>251</v>
      </c>
      <c r="AB154" s="110">
        <v>4271.78</v>
      </c>
      <c r="AC154" s="107">
        <f t="shared" si="20"/>
        <v>-2.7503135963065195E-2</v>
      </c>
    </row>
    <row r="155" spans="3:29" x14ac:dyDescent="0.35">
      <c r="C155" s="78">
        <v>44838</v>
      </c>
      <c r="D155" s="75">
        <v>328.33</v>
      </c>
      <c r="E155" s="165">
        <f t="shared" si="14"/>
        <v>-3.949331539069123E-2</v>
      </c>
      <c r="G155" s="83">
        <v>44838</v>
      </c>
      <c r="H155" s="81">
        <v>25.71</v>
      </c>
      <c r="I155" s="82">
        <f t="shared" si="15"/>
        <v>-5.8004640371228655E-3</v>
      </c>
      <c r="K155" s="96">
        <v>44838</v>
      </c>
      <c r="L155" s="94">
        <v>26.93</v>
      </c>
      <c r="M155" s="95">
        <f t="shared" si="16"/>
        <v>-9.562339095255612E-3</v>
      </c>
      <c r="O155" s="83">
        <v>44838</v>
      </c>
      <c r="P155" s="81">
        <v>19.649999999999999</v>
      </c>
      <c r="Q155" s="82">
        <f t="shared" si="17"/>
        <v>-1.7500000000000071E-2</v>
      </c>
      <c r="S155" s="78">
        <v>44838</v>
      </c>
      <c r="T155" s="106">
        <v>40.130000000000003</v>
      </c>
      <c r="U155" s="107">
        <f t="shared" si="18"/>
        <v>1.9822109275730693E-2</v>
      </c>
      <c r="W155" s="78">
        <v>44838</v>
      </c>
      <c r="X155" s="106">
        <v>14.52</v>
      </c>
      <c r="Y155" s="107">
        <f t="shared" si="19"/>
        <v>2.8328611898017053E-2</v>
      </c>
      <c r="AA155" s="78">
        <v>44838</v>
      </c>
      <c r="AB155" s="110">
        <v>4392.59</v>
      </c>
      <c r="AC155" s="107">
        <f t="shared" si="20"/>
        <v>-2.1319971124796E-2</v>
      </c>
    </row>
    <row r="156" spans="3:29" x14ac:dyDescent="0.35">
      <c r="C156" s="78">
        <v>44624</v>
      </c>
      <c r="D156" s="75">
        <v>341.83</v>
      </c>
      <c r="E156" s="165">
        <f t="shared" si="14"/>
        <v>-5.449063701490886E-2</v>
      </c>
      <c r="G156" s="83">
        <v>44624</v>
      </c>
      <c r="H156" s="81">
        <v>25.86</v>
      </c>
      <c r="I156" s="82">
        <f t="shared" si="15"/>
        <v>-5.06607929515418E-2</v>
      </c>
      <c r="K156" s="96">
        <v>44624</v>
      </c>
      <c r="L156" s="94">
        <v>27.19</v>
      </c>
      <c r="M156" s="95">
        <f t="shared" si="16"/>
        <v>-6.8516615279205162E-2</v>
      </c>
      <c r="O156" s="83">
        <v>44624</v>
      </c>
      <c r="P156" s="81">
        <v>20</v>
      </c>
      <c r="Q156" s="82">
        <f t="shared" si="17"/>
        <v>-8.800729594163248E-2</v>
      </c>
      <c r="S156" s="78">
        <v>44624</v>
      </c>
      <c r="T156" s="106">
        <v>39.35</v>
      </c>
      <c r="U156" s="107">
        <f t="shared" si="18"/>
        <v>-8.4031657355679634E-2</v>
      </c>
      <c r="W156" s="78">
        <v>44624</v>
      </c>
      <c r="X156" s="106">
        <v>14.12</v>
      </c>
      <c r="Y156" s="107">
        <f t="shared" si="19"/>
        <v>-9.6030729833546769E-2</v>
      </c>
      <c r="AA156" s="78">
        <v>44624</v>
      </c>
      <c r="AB156" s="110">
        <v>4488.28</v>
      </c>
      <c r="AC156" s="107">
        <f t="shared" si="20"/>
        <v>-1.266647015086253E-2</v>
      </c>
    </row>
    <row r="157" spans="3:29" x14ac:dyDescent="0.35">
      <c r="C157" s="77" t="s">
        <v>252</v>
      </c>
      <c r="D157" s="75">
        <v>361.53</v>
      </c>
      <c r="E157" s="165">
        <f t="shared" si="14"/>
        <v>7.3171455711232403E-2</v>
      </c>
      <c r="G157" s="80" t="s">
        <v>252</v>
      </c>
      <c r="H157" s="81">
        <v>27.24</v>
      </c>
      <c r="I157" s="82">
        <f t="shared" si="15"/>
        <v>3.1818181818181746E-2</v>
      </c>
      <c r="K157" s="93" t="s">
        <v>252</v>
      </c>
      <c r="L157" s="94">
        <v>29.19</v>
      </c>
      <c r="M157" s="95">
        <f t="shared" si="16"/>
        <v>7.9112754158964904E-2</v>
      </c>
      <c r="O157" s="80" t="s">
        <v>252</v>
      </c>
      <c r="P157" s="81">
        <v>21.93</v>
      </c>
      <c r="Q157" s="82">
        <f t="shared" si="17"/>
        <v>0.10145655449522861</v>
      </c>
      <c r="S157" s="77" t="s">
        <v>252</v>
      </c>
      <c r="T157" s="106">
        <v>42.96</v>
      </c>
      <c r="U157" s="107">
        <f t="shared" si="18"/>
        <v>-1.5807560137456989E-2</v>
      </c>
      <c r="W157" s="77" t="s">
        <v>252</v>
      </c>
      <c r="X157" s="106">
        <v>15.62</v>
      </c>
      <c r="Y157" s="107">
        <f t="shared" si="19"/>
        <v>1.1003236245954673E-2</v>
      </c>
      <c r="AA157" s="77" t="s">
        <v>252</v>
      </c>
      <c r="AB157" s="110">
        <v>4545.8599999999997</v>
      </c>
      <c r="AC157" s="107">
        <f t="shared" si="20"/>
        <v>6.1632467984118477E-4</v>
      </c>
    </row>
    <row r="158" spans="3:29" x14ac:dyDescent="0.35">
      <c r="C158" s="77" t="s">
        <v>253</v>
      </c>
      <c r="D158" s="75">
        <v>336.88</v>
      </c>
      <c r="E158" s="165">
        <f t="shared" si="14"/>
        <v>0.11623591782637499</v>
      </c>
      <c r="G158" s="80" t="s">
        <v>253</v>
      </c>
      <c r="H158" s="81">
        <v>26.4</v>
      </c>
      <c r="I158" s="82">
        <f t="shared" si="15"/>
        <v>-6.3497694217807821E-2</v>
      </c>
      <c r="K158" s="93" t="s">
        <v>253</v>
      </c>
      <c r="L158" s="94">
        <v>27.05</v>
      </c>
      <c r="M158" s="95">
        <f t="shared" si="16"/>
        <v>-5.9784497740702047E-2</v>
      </c>
      <c r="O158" s="80" t="s">
        <v>253</v>
      </c>
      <c r="P158" s="81">
        <v>19.91</v>
      </c>
      <c r="Q158" s="82">
        <f t="shared" si="17"/>
        <v>-4.554170661553214E-2</v>
      </c>
      <c r="S158" s="77" t="s">
        <v>253</v>
      </c>
      <c r="T158" s="106">
        <v>43.65</v>
      </c>
      <c r="U158" s="107">
        <f t="shared" si="18"/>
        <v>-2.6104417670682722E-2</v>
      </c>
      <c r="W158" s="77" t="s">
        <v>253</v>
      </c>
      <c r="X158" s="106">
        <v>15.45</v>
      </c>
      <c r="Y158" s="107">
        <f t="shared" si="19"/>
        <v>-2.3388116308470375E-2</v>
      </c>
      <c r="AA158" s="77" t="s">
        <v>253</v>
      </c>
      <c r="AB158" s="110">
        <v>4543.0600000000004</v>
      </c>
      <c r="AC158" s="107">
        <f t="shared" si="20"/>
        <v>1.7911236982200984E-2</v>
      </c>
    </row>
    <row r="159" spans="3:29" x14ac:dyDescent="0.35">
      <c r="C159" s="77" t="s">
        <v>254</v>
      </c>
      <c r="D159" s="75">
        <v>301.8</v>
      </c>
      <c r="E159" s="165">
        <f t="shared" si="14"/>
        <v>0.13835244417622206</v>
      </c>
      <c r="G159" s="80" t="s">
        <v>254</v>
      </c>
      <c r="H159" s="81">
        <v>28.19</v>
      </c>
      <c r="I159" s="82">
        <f t="shared" si="15"/>
        <v>0.27153811456923771</v>
      </c>
      <c r="K159" s="93" t="s">
        <v>254</v>
      </c>
      <c r="L159" s="94">
        <v>28.77</v>
      </c>
      <c r="M159" s="95">
        <f t="shared" si="16"/>
        <v>0.25578350065473598</v>
      </c>
      <c r="O159" s="80" t="s">
        <v>254</v>
      </c>
      <c r="P159" s="81">
        <v>20.86</v>
      </c>
      <c r="Q159" s="82">
        <f t="shared" si="17"/>
        <v>0.29807093963907905</v>
      </c>
      <c r="S159" s="77" t="s">
        <v>254</v>
      </c>
      <c r="T159" s="106">
        <v>44.82</v>
      </c>
      <c r="U159" s="107">
        <f t="shared" si="18"/>
        <v>7.9739821729703841E-2</v>
      </c>
      <c r="W159" s="77" t="s">
        <v>254</v>
      </c>
      <c r="X159" s="106">
        <v>15.82</v>
      </c>
      <c r="Y159" s="107">
        <f t="shared" si="19"/>
        <v>5.1162790697674376E-2</v>
      </c>
      <c r="AA159" s="77" t="s">
        <v>254</v>
      </c>
      <c r="AB159" s="110">
        <v>4463.12</v>
      </c>
      <c r="AC159" s="107">
        <f t="shared" si="20"/>
        <v>6.1558258073262762E-2</v>
      </c>
    </row>
    <row r="160" spans="3:29" x14ac:dyDescent="0.35">
      <c r="C160" s="78">
        <v>44715</v>
      </c>
      <c r="D160" s="75">
        <v>265.12</v>
      </c>
      <c r="E160" s="165">
        <f t="shared" si="14"/>
        <v>-5.1211394624771867E-2</v>
      </c>
      <c r="G160" s="83">
        <v>44715</v>
      </c>
      <c r="H160" s="81">
        <v>22.17</v>
      </c>
      <c r="I160" s="82">
        <f t="shared" si="15"/>
        <v>-0.18582445831803152</v>
      </c>
      <c r="K160" s="96">
        <v>44715</v>
      </c>
      <c r="L160" s="94">
        <v>22.91</v>
      </c>
      <c r="M160" s="95">
        <f t="shared" si="16"/>
        <v>-0.22417880121909928</v>
      </c>
      <c r="O160" s="83">
        <v>44715</v>
      </c>
      <c r="P160" s="81">
        <v>16.07</v>
      </c>
      <c r="Q160" s="82">
        <f t="shared" si="17"/>
        <v>-0.13741277509393446</v>
      </c>
      <c r="S160" s="78">
        <v>44715</v>
      </c>
      <c r="T160" s="106">
        <v>41.51</v>
      </c>
      <c r="U160" s="107">
        <f t="shared" si="18"/>
        <v>-2.0990566037735858E-2</v>
      </c>
      <c r="W160" s="78">
        <v>44715</v>
      </c>
      <c r="X160" s="106">
        <v>15.05</v>
      </c>
      <c r="Y160" s="107">
        <f t="shared" si="19"/>
        <v>-4.8070841239721718E-2</v>
      </c>
      <c r="AA160" s="78">
        <v>44715</v>
      </c>
      <c r="AB160" s="110">
        <v>4204.3100000000004</v>
      </c>
      <c r="AC160" s="107">
        <f t="shared" si="20"/>
        <v>-2.8774252865066297E-2</v>
      </c>
    </row>
    <row r="161" spans="3:29" x14ac:dyDescent="0.35">
      <c r="C161" s="77" t="s">
        <v>255</v>
      </c>
      <c r="D161" s="75">
        <v>279.43</v>
      </c>
      <c r="E161" s="165">
        <f t="shared" si="14"/>
        <v>3.507927100311159E-2</v>
      </c>
      <c r="G161" s="80" t="s">
        <v>255</v>
      </c>
      <c r="H161" s="81">
        <v>27.23</v>
      </c>
      <c r="I161" s="82">
        <f t="shared" si="15"/>
        <v>-2.3664395840803154E-2</v>
      </c>
      <c r="K161" s="93" t="s">
        <v>255</v>
      </c>
      <c r="L161" s="94">
        <v>29.53</v>
      </c>
      <c r="M161" s="95">
        <f t="shared" si="16"/>
        <v>-0.15700827861832711</v>
      </c>
      <c r="O161" s="80" t="s">
        <v>255</v>
      </c>
      <c r="P161" s="81">
        <v>18.63</v>
      </c>
      <c r="Q161" s="82">
        <f t="shared" si="17"/>
        <v>-0.11031518624641845</v>
      </c>
      <c r="S161" s="77" t="s">
        <v>255</v>
      </c>
      <c r="T161" s="106">
        <v>42.4</v>
      </c>
      <c r="U161" s="107">
        <f t="shared" si="18"/>
        <v>-0.10605102255956145</v>
      </c>
      <c r="W161" s="77" t="s">
        <v>255</v>
      </c>
      <c r="X161" s="106">
        <v>15.81</v>
      </c>
      <c r="Y161" s="107">
        <f t="shared" si="19"/>
        <v>-5.4991034070531963E-2</v>
      </c>
      <c r="AA161" s="77" t="s">
        <v>255</v>
      </c>
      <c r="AB161" s="110">
        <v>4328.87</v>
      </c>
      <c r="AC161" s="107">
        <f t="shared" si="20"/>
        <v>-1.2721653951854761E-2</v>
      </c>
    </row>
    <row r="162" spans="3:29" x14ac:dyDescent="0.35">
      <c r="C162" s="77" t="s">
        <v>256</v>
      </c>
      <c r="D162" s="75">
        <v>269.95999999999998</v>
      </c>
      <c r="E162" s="165">
        <f t="shared" si="14"/>
        <v>-5.4960442484072169E-2</v>
      </c>
      <c r="G162" s="80" t="s">
        <v>256</v>
      </c>
      <c r="H162" s="81">
        <v>27.89</v>
      </c>
      <c r="I162" s="82">
        <f t="shared" si="15"/>
        <v>-2.3117338003502685E-2</v>
      </c>
      <c r="K162" s="93" t="s">
        <v>256</v>
      </c>
      <c r="L162" s="94">
        <v>35.03</v>
      </c>
      <c r="M162" s="95">
        <f t="shared" si="16"/>
        <v>-7.5481657429400828E-2</v>
      </c>
      <c r="O162" s="80" t="s">
        <v>256</v>
      </c>
      <c r="P162" s="81">
        <v>20.94</v>
      </c>
      <c r="Q162" s="82">
        <f t="shared" si="17"/>
        <v>-9.7802671262386842E-2</v>
      </c>
      <c r="S162" s="77" t="s">
        <v>256</v>
      </c>
      <c r="T162" s="106">
        <v>47.43</v>
      </c>
      <c r="U162" s="107">
        <f t="shared" si="18"/>
        <v>-2.4074074074074137E-2</v>
      </c>
      <c r="W162" s="77" t="s">
        <v>256</v>
      </c>
      <c r="X162" s="106">
        <v>16.73</v>
      </c>
      <c r="Y162" s="107">
        <f t="shared" si="19"/>
        <v>-1.1229314420803882E-2</v>
      </c>
      <c r="AA162" s="77" t="s">
        <v>256</v>
      </c>
      <c r="AB162" s="110">
        <v>4384.6499999999996</v>
      </c>
      <c r="AC162" s="107">
        <f t="shared" si="20"/>
        <v>8.2274245953546377E-3</v>
      </c>
    </row>
    <row r="163" spans="3:29" x14ac:dyDescent="0.35">
      <c r="C163" s="77" t="s">
        <v>257</v>
      </c>
      <c r="D163" s="75">
        <v>285.66000000000003</v>
      </c>
      <c r="E163" s="165">
        <f t="shared" si="14"/>
        <v>-3.5232148463389956E-3</v>
      </c>
      <c r="G163" s="80" t="s">
        <v>257</v>
      </c>
      <c r="H163" s="81">
        <v>28.55</v>
      </c>
      <c r="I163" s="82">
        <f t="shared" si="15"/>
        <v>1.4570007107320482E-2</v>
      </c>
      <c r="K163" s="93" t="s">
        <v>257</v>
      </c>
      <c r="L163" s="94">
        <v>37.89</v>
      </c>
      <c r="M163" s="95">
        <f t="shared" si="16"/>
        <v>1.6635363563187511E-2</v>
      </c>
      <c r="O163" s="80" t="s">
        <v>257</v>
      </c>
      <c r="P163" s="81">
        <v>23.21</v>
      </c>
      <c r="Q163" s="82">
        <f t="shared" si="17"/>
        <v>-3.6929460580912843E-2</v>
      </c>
      <c r="S163" s="77" t="s">
        <v>257</v>
      </c>
      <c r="T163" s="106">
        <v>48.6</v>
      </c>
      <c r="U163" s="107">
        <f t="shared" si="18"/>
        <v>-4.7102191275854022E-3</v>
      </c>
      <c r="W163" s="77" t="s">
        <v>257</v>
      </c>
      <c r="X163" s="106">
        <v>16.920000000000002</v>
      </c>
      <c r="Y163" s="107">
        <f t="shared" si="19"/>
        <v>2.7946537059538423E-2</v>
      </c>
      <c r="AA163" s="77" t="s">
        <v>257</v>
      </c>
      <c r="AB163" s="110">
        <v>4348.87</v>
      </c>
      <c r="AC163" s="107">
        <f t="shared" si="20"/>
        <v>-1.5789926312168578E-2</v>
      </c>
    </row>
    <row r="164" spans="3:29" x14ac:dyDescent="0.35">
      <c r="C164" s="78">
        <v>44714</v>
      </c>
      <c r="D164" s="75">
        <v>286.67</v>
      </c>
      <c r="E164" s="165">
        <f t="shared" si="14"/>
        <v>-6.8557689183481041E-2</v>
      </c>
      <c r="G164" s="83">
        <v>44714</v>
      </c>
      <c r="H164" s="81">
        <v>28.14</v>
      </c>
      <c r="I164" s="82">
        <f t="shared" si="15"/>
        <v>-1.9512195121951126E-2</v>
      </c>
      <c r="K164" s="96">
        <v>44714</v>
      </c>
      <c r="L164" s="94">
        <v>37.270000000000003</v>
      </c>
      <c r="M164" s="95">
        <f t="shared" si="16"/>
        <v>5.369127516778871E-4</v>
      </c>
      <c r="O164" s="83">
        <v>44714</v>
      </c>
      <c r="P164" s="81">
        <v>24.1</v>
      </c>
      <c r="Q164" s="82">
        <f t="shared" si="17"/>
        <v>5.8430717863104942E-3</v>
      </c>
      <c r="S164" s="78">
        <v>44714</v>
      </c>
      <c r="T164" s="106">
        <v>48.83</v>
      </c>
      <c r="U164" s="107">
        <f t="shared" si="18"/>
        <v>-4.7962565802300627E-2</v>
      </c>
      <c r="W164" s="78">
        <v>44714</v>
      </c>
      <c r="X164" s="106">
        <v>16.46</v>
      </c>
      <c r="Y164" s="107">
        <f t="shared" si="19"/>
        <v>-2.314540059347181E-2</v>
      </c>
      <c r="AA164" s="78">
        <v>44714</v>
      </c>
      <c r="AB164" s="110">
        <v>4418.6400000000003</v>
      </c>
      <c r="AC164" s="107">
        <f t="shared" si="20"/>
        <v>-1.8195634736353106E-2</v>
      </c>
    </row>
    <row r="165" spans="3:29" x14ac:dyDescent="0.35">
      <c r="C165" s="77" t="s">
        <v>258</v>
      </c>
      <c r="D165" s="75">
        <v>307.77</v>
      </c>
      <c r="E165" s="165">
        <f t="shared" si="14"/>
        <v>9.0918757975329667E-2</v>
      </c>
      <c r="G165" s="80" t="s">
        <v>258</v>
      </c>
      <c r="H165" s="81">
        <v>28.7</v>
      </c>
      <c r="I165" s="82">
        <f t="shared" si="15"/>
        <v>0.1973299958281185</v>
      </c>
      <c r="K165" s="93" t="s">
        <v>258</v>
      </c>
      <c r="L165" s="94">
        <v>37.25</v>
      </c>
      <c r="M165" s="95">
        <f t="shared" si="16"/>
        <v>0.15863141524105751</v>
      </c>
      <c r="O165" s="80" t="s">
        <v>258</v>
      </c>
      <c r="P165" s="81">
        <v>23.96</v>
      </c>
      <c r="Q165" s="82">
        <f t="shared" si="17"/>
        <v>0.14641148325358855</v>
      </c>
      <c r="S165" s="77" t="s">
        <v>258</v>
      </c>
      <c r="T165" s="106">
        <v>51.29</v>
      </c>
      <c r="U165" s="107">
        <f t="shared" si="18"/>
        <v>2.0899681528662395E-2</v>
      </c>
      <c r="W165" s="77" t="s">
        <v>258</v>
      </c>
      <c r="X165" s="106">
        <v>16.850000000000001</v>
      </c>
      <c r="Y165" s="107">
        <f t="shared" si="19"/>
        <v>-8.0741953082378415E-2</v>
      </c>
      <c r="AA165" s="77" t="s">
        <v>258</v>
      </c>
      <c r="AB165" s="110">
        <v>4500.53</v>
      </c>
      <c r="AC165" s="107">
        <f t="shared" si="20"/>
        <v>1.5496914381127436E-2</v>
      </c>
    </row>
    <row r="166" spans="3:29" x14ac:dyDescent="0.35">
      <c r="C166" s="77" t="s">
        <v>259</v>
      </c>
      <c r="D166" s="75">
        <v>282.12</v>
      </c>
      <c r="E166" s="165">
        <f t="shared" si="14"/>
        <v>-0.10332771827225629</v>
      </c>
      <c r="G166" s="80" t="s">
        <v>259</v>
      </c>
      <c r="H166" s="81">
        <v>23.97</v>
      </c>
      <c r="I166" s="82">
        <f t="shared" si="15"/>
        <v>-0.14086021505376345</v>
      </c>
      <c r="K166" s="93" t="s">
        <v>259</v>
      </c>
      <c r="L166" s="94">
        <v>32.15</v>
      </c>
      <c r="M166" s="95">
        <f t="shared" si="16"/>
        <v>-0.23104520449653199</v>
      </c>
      <c r="O166" s="80" t="s">
        <v>259</v>
      </c>
      <c r="P166" s="81">
        <v>20.9</v>
      </c>
      <c r="Q166" s="82">
        <f t="shared" si="17"/>
        <v>-0.23583180987202934</v>
      </c>
      <c r="S166" s="77" t="s">
        <v>259</v>
      </c>
      <c r="T166" s="106">
        <v>50.24</v>
      </c>
      <c r="U166" s="107">
        <f t="shared" si="18"/>
        <v>-5.7057057057056992E-2</v>
      </c>
      <c r="W166" s="77" t="s">
        <v>259</v>
      </c>
      <c r="X166" s="106">
        <v>18.329999999999998</v>
      </c>
      <c r="Y166" s="107">
        <f t="shared" si="19"/>
        <v>-5.3691275167785379E-2</v>
      </c>
      <c r="AA166" s="77" t="s">
        <v>259</v>
      </c>
      <c r="AB166" s="110">
        <v>4431.8500000000004</v>
      </c>
      <c r="AC166" s="107">
        <f t="shared" si="20"/>
        <v>7.7104280640483136E-3</v>
      </c>
    </row>
    <row r="167" spans="3:29" x14ac:dyDescent="0.35">
      <c r="C167" s="77" t="s">
        <v>260</v>
      </c>
      <c r="D167" s="75">
        <v>314.63</v>
      </c>
      <c r="E167" s="165">
        <f t="shared" si="14"/>
        <v>-0.10072312573241493</v>
      </c>
      <c r="G167" s="80" t="s">
        <v>260</v>
      </c>
      <c r="H167" s="81">
        <v>27.9</v>
      </c>
      <c r="I167" s="82">
        <f t="shared" si="15"/>
        <v>-0.10375843238034055</v>
      </c>
      <c r="K167" s="93" t="s">
        <v>260</v>
      </c>
      <c r="L167" s="94">
        <v>41.81</v>
      </c>
      <c r="M167" s="95">
        <f t="shared" si="16"/>
        <v>-0.15858321593882063</v>
      </c>
      <c r="O167" s="80" t="s">
        <v>260</v>
      </c>
      <c r="P167" s="81">
        <v>27.35</v>
      </c>
      <c r="Q167" s="82">
        <f t="shared" si="17"/>
        <v>-0.11631663974151851</v>
      </c>
      <c r="S167" s="77" t="s">
        <v>260</v>
      </c>
      <c r="T167" s="106">
        <v>53.28</v>
      </c>
      <c r="U167" s="107">
        <f t="shared" si="18"/>
        <v>-0.12798690671031099</v>
      </c>
      <c r="W167" s="77" t="s">
        <v>260</v>
      </c>
      <c r="X167" s="106">
        <v>19.37</v>
      </c>
      <c r="Y167" s="107">
        <f t="shared" si="19"/>
        <v>-0.18027930596699104</v>
      </c>
      <c r="AA167" s="77" t="s">
        <v>260</v>
      </c>
      <c r="AB167" s="110">
        <v>4397.9399999999996</v>
      </c>
      <c r="AC167" s="107">
        <f t="shared" si="20"/>
        <v>-5.6812893402104048E-2</v>
      </c>
    </row>
    <row r="168" spans="3:29" x14ac:dyDescent="0.35">
      <c r="C168" s="78">
        <v>44805</v>
      </c>
      <c r="D168" s="75">
        <v>349.87</v>
      </c>
      <c r="E168" s="165">
        <f t="shared" si="14"/>
        <v>2.2055386772610541E-2</v>
      </c>
      <c r="G168" s="83">
        <v>44805</v>
      </c>
      <c r="H168" s="81">
        <v>31.13</v>
      </c>
      <c r="I168" s="82">
        <f t="shared" si="15"/>
        <v>6.6826593557230973E-2</v>
      </c>
      <c r="K168" s="96">
        <v>44805</v>
      </c>
      <c r="L168" s="94">
        <v>49.69</v>
      </c>
      <c r="M168" s="95">
        <f t="shared" si="16"/>
        <v>0.1029966703662597</v>
      </c>
      <c r="O168" s="83">
        <v>44805</v>
      </c>
      <c r="P168" s="81">
        <v>30.95</v>
      </c>
      <c r="Q168" s="82">
        <f t="shared" si="17"/>
        <v>5.6313993174061494E-2</v>
      </c>
      <c r="S168" s="78">
        <v>44805</v>
      </c>
      <c r="T168" s="106">
        <v>61.1</v>
      </c>
      <c r="U168" s="107">
        <f t="shared" si="18"/>
        <v>-1.8789144050104456E-2</v>
      </c>
      <c r="W168" s="78">
        <v>44805</v>
      </c>
      <c r="X168" s="106">
        <v>23.63</v>
      </c>
      <c r="Y168" s="107">
        <f t="shared" si="19"/>
        <v>3.0527692978630672E-2</v>
      </c>
      <c r="AA168" s="78">
        <v>44805</v>
      </c>
      <c r="AB168" s="110">
        <v>4662.8500000000004</v>
      </c>
      <c r="AC168" s="107">
        <f t="shared" si="20"/>
        <v>-3.0318385813217219E-3</v>
      </c>
    </row>
    <row r="169" spans="3:29" x14ac:dyDescent="0.35">
      <c r="C169" s="78">
        <v>44593</v>
      </c>
      <c r="D169" s="75">
        <v>342.32</v>
      </c>
      <c r="E169" s="165">
        <f t="shared" si="14"/>
        <v>-2.8217793675126335E-2</v>
      </c>
      <c r="G169" s="83">
        <v>44593</v>
      </c>
      <c r="H169" s="81">
        <v>29.18</v>
      </c>
      <c r="I169" s="82">
        <f t="shared" si="15"/>
        <v>-9.0965732087227469E-2</v>
      </c>
      <c r="K169" s="96">
        <v>44593</v>
      </c>
      <c r="L169" s="94">
        <v>45.05</v>
      </c>
      <c r="M169" s="95">
        <f t="shared" si="16"/>
        <v>-0.10490760977548186</v>
      </c>
      <c r="O169" s="83">
        <v>44593</v>
      </c>
      <c r="P169" s="81">
        <v>29.3</v>
      </c>
      <c r="Q169" s="82">
        <f t="shared" si="17"/>
        <v>-7.5126262626262541E-2</v>
      </c>
      <c r="S169" s="78">
        <v>44593</v>
      </c>
      <c r="T169" s="106">
        <v>62.27</v>
      </c>
      <c r="U169" s="107">
        <f t="shared" si="18"/>
        <v>6.208425720620836E-2</v>
      </c>
      <c r="W169" s="78">
        <v>44593</v>
      </c>
      <c r="X169" s="106">
        <v>22.93</v>
      </c>
      <c r="Y169" s="107">
        <f t="shared" si="19"/>
        <v>0.17650076962544903</v>
      </c>
      <c r="AA169" s="78">
        <v>44593</v>
      </c>
      <c r="AB169" s="110">
        <v>4677.03</v>
      </c>
      <c r="AC169" s="107">
        <f t="shared" si="20"/>
        <v>-1.8704706914132618E-2</v>
      </c>
    </row>
    <row r="170" spans="3:29" x14ac:dyDescent="0.35">
      <c r="C170" s="77" t="s">
        <v>261</v>
      </c>
      <c r="D170" s="75">
        <v>352.26</v>
      </c>
      <c r="E170" s="165">
        <f t="shared" si="14"/>
        <v>-9.5875390108809411E-3</v>
      </c>
      <c r="G170" s="80" t="s">
        <v>261</v>
      </c>
      <c r="H170" s="81">
        <v>32.1</v>
      </c>
      <c r="I170" s="82">
        <f t="shared" si="15"/>
        <v>5.5226824457593748E-2</v>
      </c>
      <c r="K170" s="93" t="s">
        <v>261</v>
      </c>
      <c r="L170" s="94">
        <v>50.33</v>
      </c>
      <c r="M170" s="95">
        <f t="shared" si="16"/>
        <v>9.199392492948566E-2</v>
      </c>
      <c r="O170" s="80" t="s">
        <v>261</v>
      </c>
      <c r="P170" s="81">
        <v>31.68</v>
      </c>
      <c r="Q170" s="82">
        <f t="shared" si="17"/>
        <v>3.8007863695937116E-2</v>
      </c>
      <c r="S170" s="77" t="s">
        <v>261</v>
      </c>
      <c r="T170" s="106">
        <v>58.63</v>
      </c>
      <c r="U170" s="107">
        <f t="shared" si="18"/>
        <v>3.0223159374451081E-2</v>
      </c>
      <c r="W170" s="77" t="s">
        <v>261</v>
      </c>
      <c r="X170" s="106">
        <v>19.489999999999998</v>
      </c>
      <c r="Y170" s="107">
        <f t="shared" si="19"/>
        <v>2.5789473684210362E-2</v>
      </c>
      <c r="AA170" s="77" t="s">
        <v>261</v>
      </c>
      <c r="AB170" s="110">
        <v>4766.18</v>
      </c>
      <c r="AC170" s="107">
        <f t="shared" si="20"/>
        <v>8.5467191728791914E-3</v>
      </c>
    </row>
    <row r="171" spans="3:29" x14ac:dyDescent="0.35">
      <c r="C171" s="77" t="s">
        <v>262</v>
      </c>
      <c r="D171" s="75">
        <v>355.67</v>
      </c>
      <c r="E171" s="165">
        <f t="shared" si="14"/>
        <v>0.14414849128224927</v>
      </c>
      <c r="G171" s="80" t="s">
        <v>262</v>
      </c>
      <c r="H171" s="81">
        <v>30.42</v>
      </c>
      <c r="I171" s="82">
        <f t="shared" si="15"/>
        <v>1.6032064128256529E-2</v>
      </c>
      <c r="K171" s="93" t="s">
        <v>262</v>
      </c>
      <c r="L171" s="94">
        <v>46.09</v>
      </c>
      <c r="M171" s="95">
        <f t="shared" si="16"/>
        <v>0.10368773946360177</v>
      </c>
      <c r="O171" s="80" t="s">
        <v>262</v>
      </c>
      <c r="P171" s="81">
        <v>30.52</v>
      </c>
      <c r="Q171" s="82">
        <f t="shared" si="17"/>
        <v>1.7333333333333423E-2</v>
      </c>
      <c r="S171" s="77" t="s">
        <v>262</v>
      </c>
      <c r="T171" s="106">
        <v>56.91</v>
      </c>
      <c r="U171" s="107">
        <f t="shared" si="18"/>
        <v>3.1725888324872997E-2</v>
      </c>
      <c r="W171" s="77" t="s">
        <v>262</v>
      </c>
      <c r="X171" s="106">
        <v>19</v>
      </c>
      <c r="Y171" s="107">
        <f t="shared" si="19"/>
        <v>2.4258760107816579E-2</v>
      </c>
      <c r="AA171" s="77" t="s">
        <v>262</v>
      </c>
      <c r="AB171" s="110">
        <v>4725.79</v>
      </c>
      <c r="AC171" s="107">
        <f t="shared" si="20"/>
        <v>2.2756587831988639E-2</v>
      </c>
    </row>
    <row r="172" spans="3:29" x14ac:dyDescent="0.35">
      <c r="C172" s="78">
        <v>44542</v>
      </c>
      <c r="D172" s="75">
        <v>310.86</v>
      </c>
      <c r="E172" s="165">
        <f t="shared" si="14"/>
        <v>-8.3035898646057538E-2</v>
      </c>
      <c r="G172" s="83">
        <v>44542</v>
      </c>
      <c r="H172" s="81">
        <v>29.94</v>
      </c>
      <c r="I172" s="82">
        <f t="shared" si="15"/>
        <v>-7.7634011090572996E-2</v>
      </c>
      <c r="K172" s="96">
        <v>44542</v>
      </c>
      <c r="L172" s="94">
        <v>41.76</v>
      </c>
      <c r="M172" s="95">
        <f t="shared" si="16"/>
        <v>-0.10826393337604101</v>
      </c>
      <c r="O172" s="83">
        <v>44542</v>
      </c>
      <c r="P172" s="81">
        <v>30</v>
      </c>
      <c r="Q172" s="82">
        <f t="shared" si="17"/>
        <v>-0.12434325744308228</v>
      </c>
      <c r="S172" s="78">
        <v>44542</v>
      </c>
      <c r="T172" s="106">
        <v>55.16</v>
      </c>
      <c r="U172" s="107">
        <f t="shared" si="18"/>
        <v>-0.12735326688815063</v>
      </c>
      <c r="W172" s="78">
        <v>44542</v>
      </c>
      <c r="X172" s="106">
        <v>18.55</v>
      </c>
      <c r="Y172" s="107">
        <f t="shared" si="19"/>
        <v>-7.8031809145129194E-2</v>
      </c>
      <c r="AA172" s="78">
        <v>44542</v>
      </c>
      <c r="AB172" s="110">
        <v>4620.6400000000003</v>
      </c>
      <c r="AC172" s="107">
        <f t="shared" si="20"/>
        <v>-1.9392956736176914E-2</v>
      </c>
    </row>
    <row r="173" spans="3:29" x14ac:dyDescent="0.35">
      <c r="C173" s="78">
        <v>44328</v>
      </c>
      <c r="D173" s="75">
        <v>339.01</v>
      </c>
      <c r="E173" s="165">
        <f t="shared" si="14"/>
        <v>2.0394892409552057E-3</v>
      </c>
      <c r="G173" s="83">
        <v>44328</v>
      </c>
      <c r="H173" s="81">
        <v>32.46</v>
      </c>
      <c r="I173" s="82">
        <f t="shared" si="15"/>
        <v>0.13894736842105271</v>
      </c>
      <c r="K173" s="96">
        <v>44328</v>
      </c>
      <c r="L173" s="94">
        <v>46.83</v>
      </c>
      <c r="M173" s="95">
        <f t="shared" si="16"/>
        <v>6.9178082191780899E-2</v>
      </c>
      <c r="O173" s="83">
        <v>44328</v>
      </c>
      <c r="P173" s="81">
        <v>34.26</v>
      </c>
      <c r="Q173" s="82">
        <f t="shared" si="17"/>
        <v>6.562986003110427E-2</v>
      </c>
      <c r="S173" s="78">
        <v>44328</v>
      </c>
      <c r="T173" s="106">
        <v>63.21</v>
      </c>
      <c r="U173" s="107">
        <f t="shared" si="18"/>
        <v>5.8616647127784249E-2</v>
      </c>
      <c r="W173" s="78">
        <v>44328</v>
      </c>
      <c r="X173" s="106">
        <v>20.12</v>
      </c>
      <c r="Y173" s="107">
        <f t="shared" si="19"/>
        <v>0.12026726057906467</v>
      </c>
      <c r="AA173" s="78">
        <v>44328</v>
      </c>
      <c r="AB173" s="110">
        <v>4712.0200000000004</v>
      </c>
      <c r="AC173" s="107">
        <f t="shared" si="20"/>
        <v>3.8248909865305825E-2</v>
      </c>
    </row>
    <row r="174" spans="3:29" x14ac:dyDescent="0.35">
      <c r="C174" s="77" t="s">
        <v>263</v>
      </c>
      <c r="D174" s="75">
        <v>338.32</v>
      </c>
      <c r="E174" s="165">
        <f t="shared" si="14"/>
        <v>-6.1889973380656604E-2</v>
      </c>
      <c r="G174" s="80" t="s">
        <v>263</v>
      </c>
      <c r="H174" s="81">
        <v>28.5</v>
      </c>
      <c r="I174" s="82">
        <f t="shared" si="15"/>
        <v>-0.12037037037037035</v>
      </c>
      <c r="K174" s="93" t="s">
        <v>263</v>
      </c>
      <c r="L174" s="94">
        <v>43.8</v>
      </c>
      <c r="M174" s="95">
        <f t="shared" si="16"/>
        <v>-0.14302484836626883</v>
      </c>
      <c r="O174" s="80" t="s">
        <v>263</v>
      </c>
      <c r="P174" s="81">
        <v>32.15</v>
      </c>
      <c r="Q174" s="82">
        <f t="shared" si="17"/>
        <v>-0.19604901225306337</v>
      </c>
      <c r="S174" s="77" t="s">
        <v>263</v>
      </c>
      <c r="T174" s="106">
        <v>59.71</v>
      </c>
      <c r="U174" s="107">
        <f t="shared" si="18"/>
        <v>-7.645005816852235E-3</v>
      </c>
      <c r="W174" s="77" t="s">
        <v>263</v>
      </c>
      <c r="X174" s="106">
        <v>17.96</v>
      </c>
      <c r="Y174" s="107">
        <f t="shared" si="19"/>
        <v>-3.0760928224500828E-2</v>
      </c>
      <c r="AA174" s="77" t="s">
        <v>263</v>
      </c>
      <c r="AB174" s="110">
        <v>4538.43</v>
      </c>
      <c r="AC174" s="107">
        <f t="shared" si="20"/>
        <v>-1.2229520613238898E-2</v>
      </c>
    </row>
    <row r="175" spans="3:29" x14ac:dyDescent="0.35">
      <c r="C175" s="77" t="s">
        <v>264</v>
      </c>
      <c r="D175" s="75">
        <v>360.64</v>
      </c>
      <c r="E175" s="165">
        <f t="shared" si="14"/>
        <v>-4.8493483193498998E-2</v>
      </c>
      <c r="G175" s="80" t="s">
        <v>264</v>
      </c>
      <c r="H175" s="81">
        <v>32.4</v>
      </c>
      <c r="I175" s="82">
        <f t="shared" si="15"/>
        <v>5.8823529411764719E-2</v>
      </c>
      <c r="K175" s="93" t="s">
        <v>264</v>
      </c>
      <c r="L175" s="94">
        <v>51.11</v>
      </c>
      <c r="M175" s="95">
        <f t="shared" si="16"/>
        <v>8.9997867349114857E-2</v>
      </c>
      <c r="O175" s="80" t="s">
        <v>264</v>
      </c>
      <c r="P175" s="81">
        <v>39.99</v>
      </c>
      <c r="Q175" s="82">
        <f t="shared" si="17"/>
        <v>3.4402483186756427E-2</v>
      </c>
      <c r="S175" s="77" t="s">
        <v>264</v>
      </c>
      <c r="T175" s="106">
        <v>60.17</v>
      </c>
      <c r="U175" s="107">
        <f t="shared" si="18"/>
        <v>-2.6375404530744273E-2</v>
      </c>
      <c r="W175" s="77" t="s">
        <v>264</v>
      </c>
      <c r="X175" s="106">
        <v>18.53</v>
      </c>
      <c r="Y175" s="107">
        <f t="shared" si="19"/>
        <v>1.8691588785046731E-2</v>
      </c>
      <c r="AA175" s="77" t="s">
        <v>264</v>
      </c>
      <c r="AB175" s="110">
        <v>4594.62</v>
      </c>
      <c r="AC175" s="107">
        <f t="shared" si="20"/>
        <v>-2.1996781581792968E-2</v>
      </c>
    </row>
    <row r="176" spans="3:29" x14ac:dyDescent="0.35">
      <c r="C176" s="77" t="s">
        <v>265</v>
      </c>
      <c r="D176" s="75">
        <v>379.02</v>
      </c>
      <c r="E176" s="165">
        <f t="shared" si="14"/>
        <v>0.10029901007344599</v>
      </c>
      <c r="G176" s="80" t="s">
        <v>265</v>
      </c>
      <c r="H176" s="81">
        <v>30.6</v>
      </c>
      <c r="I176" s="82">
        <f t="shared" si="15"/>
        <v>6.5789473684212396E-3</v>
      </c>
      <c r="K176" s="93" t="s">
        <v>265</v>
      </c>
      <c r="L176" s="94">
        <v>46.89</v>
      </c>
      <c r="M176" s="95">
        <f t="shared" si="16"/>
        <v>-3.3793529775396625E-2</v>
      </c>
      <c r="O176" s="80" t="s">
        <v>265</v>
      </c>
      <c r="P176" s="81">
        <v>38.659999999999997</v>
      </c>
      <c r="Q176" s="82">
        <f t="shared" si="17"/>
        <v>-9.3977033044293501E-2</v>
      </c>
      <c r="S176" s="77" t="s">
        <v>265</v>
      </c>
      <c r="T176" s="106">
        <v>61.8</v>
      </c>
      <c r="U176" s="107">
        <f t="shared" si="18"/>
        <v>-2.5236593059936974E-2</v>
      </c>
      <c r="W176" s="77" t="s">
        <v>265</v>
      </c>
      <c r="X176" s="106">
        <v>18.190000000000001</v>
      </c>
      <c r="Y176" s="107">
        <f t="shared" si="19"/>
        <v>-5.4674685620555996E-3</v>
      </c>
      <c r="AA176" s="77" t="s">
        <v>265</v>
      </c>
      <c r="AB176" s="110">
        <v>4697.96</v>
      </c>
      <c r="AC176" s="107">
        <f t="shared" si="20"/>
        <v>3.2266675208472151E-3</v>
      </c>
    </row>
    <row r="177" spans="3:29" x14ac:dyDescent="0.35">
      <c r="C177" s="78">
        <v>44388</v>
      </c>
      <c r="D177" s="75">
        <v>344.47</v>
      </c>
      <c r="E177" s="165">
        <f t="shared" si="14"/>
        <v>-0.15438432835820892</v>
      </c>
      <c r="G177" s="83">
        <v>44388</v>
      </c>
      <c r="H177" s="81">
        <v>30.4</v>
      </c>
      <c r="I177" s="82">
        <f t="shared" si="15"/>
        <v>-1.9354838709677469E-2</v>
      </c>
      <c r="K177" s="96">
        <v>44388</v>
      </c>
      <c r="L177" s="94">
        <v>48.53</v>
      </c>
      <c r="M177" s="95">
        <f t="shared" si="16"/>
        <v>4.6130631601638328E-2</v>
      </c>
      <c r="O177" s="83">
        <v>44388</v>
      </c>
      <c r="P177" s="81">
        <v>42.67</v>
      </c>
      <c r="Q177" s="82">
        <f t="shared" si="17"/>
        <v>8.9855757862380425E-3</v>
      </c>
      <c r="S177" s="78">
        <v>44388</v>
      </c>
      <c r="T177" s="106">
        <v>63.4</v>
      </c>
      <c r="U177" s="107">
        <f t="shared" si="18"/>
        <v>8.339029391660957E-2</v>
      </c>
      <c r="W177" s="78">
        <v>44388</v>
      </c>
      <c r="X177" s="106">
        <v>18.29</v>
      </c>
      <c r="Y177" s="107">
        <f t="shared" si="19"/>
        <v>1.0497237569060625E-2</v>
      </c>
      <c r="AA177" s="78">
        <v>44388</v>
      </c>
      <c r="AB177" s="110">
        <v>4682.8500000000004</v>
      </c>
      <c r="AC177" s="107">
        <f t="shared" si="20"/>
        <v>-3.1250465670255023E-3</v>
      </c>
    </row>
    <row r="178" spans="3:29" x14ac:dyDescent="0.35">
      <c r="C178" s="77" t="s">
        <v>266</v>
      </c>
      <c r="D178" s="75">
        <v>407.36</v>
      </c>
      <c r="E178" s="165">
        <f t="shared" si="14"/>
        <v>9.7029596315945543E-2</v>
      </c>
      <c r="G178" s="80" t="s">
        <v>266</v>
      </c>
      <c r="H178" s="81">
        <v>31</v>
      </c>
      <c r="I178" s="82">
        <f t="shared" si="15"/>
        <v>-4.995403003371135E-2</v>
      </c>
      <c r="K178" s="93" t="s">
        <v>266</v>
      </c>
      <c r="L178" s="94">
        <v>46.39</v>
      </c>
      <c r="M178" s="95">
        <f t="shared" si="16"/>
        <v>-5.1469011366074291E-3</v>
      </c>
      <c r="O178" s="80" t="s">
        <v>266</v>
      </c>
      <c r="P178" s="81">
        <v>42.29</v>
      </c>
      <c r="Q178" s="82">
        <f t="shared" si="17"/>
        <v>7.3077899010403513E-2</v>
      </c>
      <c r="S178" s="77" t="s">
        <v>266</v>
      </c>
      <c r="T178" s="106">
        <v>58.52</v>
      </c>
      <c r="U178" s="107">
        <f t="shared" si="18"/>
        <v>7.5142384714312005E-2</v>
      </c>
      <c r="W178" s="77" t="s">
        <v>266</v>
      </c>
      <c r="X178" s="106">
        <v>18.100000000000001</v>
      </c>
      <c r="Y178" s="107">
        <f t="shared" si="19"/>
        <v>0.12983770287141083</v>
      </c>
      <c r="AA178" s="77" t="s">
        <v>266</v>
      </c>
      <c r="AB178" s="110">
        <v>4697.53</v>
      </c>
      <c r="AC178" s="107">
        <f t="shared" si="20"/>
        <v>2.0009206623557541E-2</v>
      </c>
    </row>
    <row r="179" spans="3:29" x14ac:dyDescent="0.35">
      <c r="C179" s="77" t="s">
        <v>267</v>
      </c>
      <c r="D179" s="75">
        <v>371.33</v>
      </c>
      <c r="E179" s="165">
        <f t="shared" si="14"/>
        <v>0.22458200046169563</v>
      </c>
      <c r="G179" s="80" t="s">
        <v>267</v>
      </c>
      <c r="H179" s="81">
        <v>32.630000000000003</v>
      </c>
      <c r="I179" s="82">
        <f t="shared" si="15"/>
        <v>1.052957572003721E-2</v>
      </c>
      <c r="K179" s="93" t="s">
        <v>267</v>
      </c>
      <c r="L179" s="94">
        <v>46.63</v>
      </c>
      <c r="M179" s="95">
        <f t="shared" si="16"/>
        <v>8.0899397311080312E-2</v>
      </c>
      <c r="O179" s="80" t="s">
        <v>267</v>
      </c>
      <c r="P179" s="81">
        <v>39.409999999999997</v>
      </c>
      <c r="Q179" s="82">
        <f t="shared" si="17"/>
        <v>1.3631687242798174E-2</v>
      </c>
      <c r="S179" s="77" t="s">
        <v>267</v>
      </c>
      <c r="T179" s="106">
        <v>54.43</v>
      </c>
      <c r="U179" s="107">
        <f t="shared" si="18"/>
        <v>-5.7815475160117757E-2</v>
      </c>
      <c r="W179" s="77" t="s">
        <v>267</v>
      </c>
      <c r="X179" s="106">
        <v>16.02</v>
      </c>
      <c r="Y179" s="107">
        <f t="shared" si="19"/>
        <v>4.9115913555992208E-2</v>
      </c>
      <c r="AA179" s="77" t="s">
        <v>267</v>
      </c>
      <c r="AB179" s="110">
        <v>4605.38</v>
      </c>
      <c r="AC179" s="107">
        <f t="shared" si="20"/>
        <v>1.3307223481264785E-2</v>
      </c>
    </row>
    <row r="180" spans="3:29" x14ac:dyDescent="0.35">
      <c r="C180" s="77" t="s">
        <v>268</v>
      </c>
      <c r="D180" s="75">
        <v>303.23</v>
      </c>
      <c r="E180" s="165">
        <f t="shared" si="14"/>
        <v>7.9071919148784753E-2</v>
      </c>
      <c r="G180" s="80" t="s">
        <v>268</v>
      </c>
      <c r="H180" s="81">
        <v>32.29</v>
      </c>
      <c r="I180" s="82">
        <f t="shared" si="15"/>
        <v>5.3851174934725909E-2</v>
      </c>
      <c r="K180" s="93" t="s">
        <v>268</v>
      </c>
      <c r="L180" s="94">
        <v>43.14</v>
      </c>
      <c r="M180" s="95">
        <f t="shared" si="16"/>
        <v>8.1794811871933604E-3</v>
      </c>
      <c r="O180" s="80" t="s">
        <v>268</v>
      </c>
      <c r="P180" s="81">
        <v>38.880000000000003</v>
      </c>
      <c r="Q180" s="82">
        <f t="shared" si="17"/>
        <v>3.1026252983293645E-2</v>
      </c>
      <c r="S180" s="77" t="s">
        <v>268</v>
      </c>
      <c r="T180" s="106">
        <v>57.77</v>
      </c>
      <c r="U180" s="107">
        <f t="shared" si="18"/>
        <v>-3.9655172413792794E-3</v>
      </c>
      <c r="W180" s="77" t="s">
        <v>268</v>
      </c>
      <c r="X180" s="106">
        <v>15.27</v>
      </c>
      <c r="Y180" s="107">
        <f t="shared" si="19"/>
        <v>3.6659877800407248E-2</v>
      </c>
      <c r="AA180" s="77" t="s">
        <v>268</v>
      </c>
      <c r="AB180" s="110">
        <v>4544.8999999999996</v>
      </c>
      <c r="AC180" s="107">
        <f t="shared" si="20"/>
        <v>1.6444624354504223E-2</v>
      </c>
    </row>
    <row r="181" spans="3:29" x14ac:dyDescent="0.35">
      <c r="C181" s="78">
        <v>44479</v>
      </c>
      <c r="D181" s="75">
        <v>281.01</v>
      </c>
      <c r="E181" s="165">
        <f t="shared" si="14"/>
        <v>7.3253637856624643E-2</v>
      </c>
      <c r="G181" s="83">
        <v>44479</v>
      </c>
      <c r="H181" s="81">
        <v>30.64</v>
      </c>
      <c r="I181" s="82">
        <f t="shared" si="15"/>
        <v>7.5465075465075637E-2</v>
      </c>
      <c r="K181" s="96">
        <v>44479</v>
      </c>
      <c r="L181" s="94">
        <v>42.79</v>
      </c>
      <c r="M181" s="95">
        <f t="shared" si="16"/>
        <v>0.13621879978757301</v>
      </c>
      <c r="O181" s="83">
        <v>44479</v>
      </c>
      <c r="P181" s="81">
        <v>37.71</v>
      </c>
      <c r="Q181" s="82">
        <f t="shared" si="17"/>
        <v>5.2469997209042774E-2</v>
      </c>
      <c r="S181" s="78">
        <v>44479</v>
      </c>
      <c r="T181" s="106">
        <v>58</v>
      </c>
      <c r="U181" s="107">
        <f t="shared" si="18"/>
        <v>-9.7319446815775645E-3</v>
      </c>
      <c r="W181" s="78">
        <v>44479</v>
      </c>
      <c r="X181" s="106">
        <v>14.73</v>
      </c>
      <c r="Y181" s="107">
        <f t="shared" si="19"/>
        <v>3.8054968287526414E-2</v>
      </c>
      <c r="AA181" s="78">
        <v>44479</v>
      </c>
      <c r="AB181" s="110">
        <v>4471.37</v>
      </c>
      <c r="AC181" s="107">
        <f t="shared" si="20"/>
        <v>1.8224505504014665E-2</v>
      </c>
    </row>
    <row r="182" spans="3:29" x14ac:dyDescent="0.35">
      <c r="C182" s="78">
        <v>44265</v>
      </c>
      <c r="D182" s="75">
        <v>261.83</v>
      </c>
      <c r="E182" s="165">
        <f t="shared" si="14"/>
        <v>1.3234781935683504E-2</v>
      </c>
      <c r="G182" s="83">
        <v>44265</v>
      </c>
      <c r="H182" s="81">
        <v>28.49</v>
      </c>
      <c r="I182" s="82">
        <f t="shared" si="15"/>
        <v>8.3682008368200833E-2</v>
      </c>
      <c r="K182" s="96">
        <v>44265</v>
      </c>
      <c r="L182" s="94">
        <v>37.659999999999997</v>
      </c>
      <c r="M182" s="95">
        <f t="shared" si="16"/>
        <v>6.2041737168640587E-2</v>
      </c>
      <c r="O182" s="83">
        <v>44265</v>
      </c>
      <c r="P182" s="81">
        <v>35.83</v>
      </c>
      <c r="Q182" s="82">
        <f t="shared" si="17"/>
        <v>1.2719050310910029E-2</v>
      </c>
      <c r="S182" s="78">
        <v>44265</v>
      </c>
      <c r="T182" s="106">
        <v>58.57</v>
      </c>
      <c r="U182" s="107">
        <f t="shared" si="18"/>
        <v>0.10239036325992834</v>
      </c>
      <c r="W182" s="78">
        <v>44265</v>
      </c>
      <c r="X182" s="106">
        <v>14.19</v>
      </c>
      <c r="Y182" s="107">
        <f t="shared" si="19"/>
        <v>6.8524096385542244E-2</v>
      </c>
      <c r="AA182" s="78">
        <v>44265</v>
      </c>
      <c r="AB182" s="110">
        <v>4391.34</v>
      </c>
      <c r="AC182" s="107">
        <f t="shared" si="20"/>
        <v>7.8723169858436748E-3</v>
      </c>
    </row>
    <row r="183" spans="3:29" x14ac:dyDescent="0.35">
      <c r="C183" s="77" t="s">
        <v>269</v>
      </c>
      <c r="D183" s="75">
        <v>258.41000000000003</v>
      </c>
      <c r="E183" s="165">
        <f t="shared" si="14"/>
        <v>1.0847247510945568E-3</v>
      </c>
      <c r="G183" s="80" t="s">
        <v>269</v>
      </c>
      <c r="H183" s="81">
        <v>26.29</v>
      </c>
      <c r="I183" s="82">
        <f t="shared" si="15"/>
        <v>6.8939103791649803E-3</v>
      </c>
      <c r="K183" s="93" t="s">
        <v>269</v>
      </c>
      <c r="L183" s="94">
        <v>35.46</v>
      </c>
      <c r="M183" s="95">
        <f t="shared" si="16"/>
        <v>3.3955857385399302E-3</v>
      </c>
      <c r="O183" s="80" t="s">
        <v>269</v>
      </c>
      <c r="P183" s="81">
        <v>35.380000000000003</v>
      </c>
      <c r="Q183" s="82">
        <f t="shared" si="17"/>
        <v>0</v>
      </c>
      <c r="S183" s="77" t="s">
        <v>269</v>
      </c>
      <c r="T183" s="106">
        <v>53.13</v>
      </c>
      <c r="U183" s="107">
        <f t="shared" si="18"/>
        <v>1.7231476163124704E-2</v>
      </c>
      <c r="W183" s="77" t="s">
        <v>269</v>
      </c>
      <c r="X183" s="106">
        <v>13.28</v>
      </c>
      <c r="Y183" s="107">
        <f t="shared" si="19"/>
        <v>2.7068832173240409E-2</v>
      </c>
      <c r="AA183" s="77" t="s">
        <v>269</v>
      </c>
      <c r="AB183" s="110">
        <v>4357.04</v>
      </c>
      <c r="AC183" s="107">
        <f t="shared" si="20"/>
        <v>-2.2094140249759753E-2</v>
      </c>
    </row>
    <row r="184" spans="3:29" x14ac:dyDescent="0.35">
      <c r="C184" s="77" t="s">
        <v>270</v>
      </c>
      <c r="D184" s="75">
        <v>258.13</v>
      </c>
      <c r="E184" s="165">
        <f t="shared" si="14"/>
        <v>1.9631853373360819E-2</v>
      </c>
      <c r="G184" s="80" t="s">
        <v>270</v>
      </c>
      <c r="H184" s="81">
        <v>26.11</v>
      </c>
      <c r="I184" s="82">
        <f t="shared" si="15"/>
        <v>-0.10244070127191474</v>
      </c>
      <c r="K184" s="93" t="s">
        <v>270</v>
      </c>
      <c r="L184" s="94">
        <v>35.340000000000003</v>
      </c>
      <c r="M184" s="95">
        <f t="shared" si="16"/>
        <v>-9.4078441425275439E-2</v>
      </c>
      <c r="O184" s="80" t="s">
        <v>270</v>
      </c>
      <c r="P184" s="81">
        <v>35.380000000000003</v>
      </c>
      <c r="Q184" s="82">
        <f t="shared" si="17"/>
        <v>-5.6784857371367514E-2</v>
      </c>
      <c r="S184" s="77" t="s">
        <v>270</v>
      </c>
      <c r="T184" s="106">
        <v>52.23</v>
      </c>
      <c r="U184" s="107">
        <f t="shared" si="18"/>
        <v>1.7533606078316666E-2</v>
      </c>
      <c r="W184" s="77" t="s">
        <v>270</v>
      </c>
      <c r="X184" s="106">
        <v>12.93</v>
      </c>
      <c r="Y184" s="107">
        <f t="shared" si="19"/>
        <v>1.7309205350117818E-2</v>
      </c>
      <c r="AA184" s="77" t="s">
        <v>270</v>
      </c>
      <c r="AB184" s="110">
        <v>4455.4799999999996</v>
      </c>
      <c r="AC184" s="107">
        <f t="shared" si="20"/>
        <v>5.0733252274424157E-3</v>
      </c>
    </row>
    <row r="185" spans="3:29" x14ac:dyDescent="0.35">
      <c r="C185" s="78">
        <v>44539</v>
      </c>
      <c r="D185" s="75">
        <v>253.16</v>
      </c>
      <c r="E185" s="165">
        <f t="shared" si="14"/>
        <v>3.153777198272345E-2</v>
      </c>
      <c r="G185" s="83">
        <v>44539</v>
      </c>
      <c r="H185" s="81">
        <v>29.09</v>
      </c>
      <c r="I185" s="82">
        <f t="shared" si="15"/>
        <v>-3.6435905929115608E-2</v>
      </c>
      <c r="K185" s="96">
        <v>44539</v>
      </c>
      <c r="L185" s="94">
        <v>39.01</v>
      </c>
      <c r="M185" s="95">
        <f t="shared" si="16"/>
        <v>1.2195121951219523E-2</v>
      </c>
      <c r="O185" s="83">
        <v>44539</v>
      </c>
      <c r="P185" s="81">
        <v>37.51</v>
      </c>
      <c r="Q185" s="82">
        <f t="shared" si="17"/>
        <v>-1.237493417588198E-2</v>
      </c>
      <c r="S185" s="78">
        <v>44539</v>
      </c>
      <c r="T185" s="106">
        <v>51.33</v>
      </c>
      <c r="U185" s="107">
        <f t="shared" si="18"/>
        <v>3.7179228126894337E-2</v>
      </c>
      <c r="W185" s="78">
        <v>44539</v>
      </c>
      <c r="X185" s="106">
        <v>12.71</v>
      </c>
      <c r="Y185" s="107">
        <f t="shared" si="19"/>
        <v>6.8067226890756283E-2</v>
      </c>
      <c r="AA185" s="78">
        <v>44539</v>
      </c>
      <c r="AB185" s="110">
        <v>4432.99</v>
      </c>
      <c r="AC185" s="107">
        <f t="shared" si="20"/>
        <v>-5.7394955344527432E-3</v>
      </c>
    </row>
    <row r="186" spans="3:29" x14ac:dyDescent="0.35">
      <c r="C186" s="78">
        <v>44325</v>
      </c>
      <c r="D186" s="75">
        <v>245.42</v>
      </c>
      <c r="E186" s="165">
        <f t="shared" si="14"/>
        <v>3.6806805169309342E-3</v>
      </c>
      <c r="G186" s="83">
        <v>44325</v>
      </c>
      <c r="H186" s="81">
        <v>30.19</v>
      </c>
      <c r="I186" s="82">
        <f t="shared" si="15"/>
        <v>-2.972258916776771E-3</v>
      </c>
      <c r="K186" s="96">
        <v>44325</v>
      </c>
      <c r="L186" s="94">
        <v>38.54</v>
      </c>
      <c r="M186" s="95">
        <f t="shared" si="16"/>
        <v>-3.0440251572327104E-2</v>
      </c>
      <c r="O186" s="83">
        <v>44325</v>
      </c>
      <c r="P186" s="81">
        <v>37.979999999999997</v>
      </c>
      <c r="Q186" s="82">
        <f t="shared" si="17"/>
        <v>-5.9202378003467948E-2</v>
      </c>
      <c r="S186" s="78">
        <v>44325</v>
      </c>
      <c r="T186" s="106">
        <v>49.49</v>
      </c>
      <c r="U186" s="107">
        <f t="shared" si="18"/>
        <v>1.3723883654240154E-2</v>
      </c>
      <c r="W186" s="78">
        <v>44325</v>
      </c>
      <c r="X186" s="106">
        <v>11.9</v>
      </c>
      <c r="Y186" s="107">
        <f t="shared" si="19"/>
        <v>-1.571546732837048E-2</v>
      </c>
      <c r="AA186" s="78">
        <v>44325</v>
      </c>
      <c r="AB186" s="110">
        <v>4458.58</v>
      </c>
      <c r="AC186" s="107">
        <f t="shared" si="20"/>
        <v>-1.6944369111638879E-2</v>
      </c>
    </row>
    <row r="187" spans="3:29" x14ac:dyDescent="0.35">
      <c r="C187" s="77" t="s">
        <v>271</v>
      </c>
      <c r="D187" s="75">
        <v>244.52</v>
      </c>
      <c r="E187" s="165">
        <f t="shared" si="14"/>
        <v>3.0382200497239831E-2</v>
      </c>
      <c r="G187" s="80" t="s">
        <v>271</v>
      </c>
      <c r="H187" s="81">
        <v>30.28</v>
      </c>
      <c r="I187" s="82">
        <f t="shared" si="15"/>
        <v>3.2038173142467707E-2</v>
      </c>
      <c r="K187" s="93" t="s">
        <v>271</v>
      </c>
      <c r="L187" s="94">
        <v>39.75</v>
      </c>
      <c r="M187" s="95">
        <f t="shared" si="16"/>
        <v>-1.3157894736842146E-2</v>
      </c>
      <c r="O187" s="80" t="s">
        <v>271</v>
      </c>
      <c r="P187" s="81">
        <v>40.369999999999997</v>
      </c>
      <c r="Q187" s="82">
        <f t="shared" si="17"/>
        <v>6.0972404730617713E-2</v>
      </c>
      <c r="S187" s="77" t="s">
        <v>271</v>
      </c>
      <c r="T187" s="106">
        <v>48.82</v>
      </c>
      <c r="U187" s="107">
        <f t="shared" si="18"/>
        <v>-1.9678714859437729E-2</v>
      </c>
      <c r="W187" s="77" t="s">
        <v>271</v>
      </c>
      <c r="X187" s="106">
        <v>12.09</v>
      </c>
      <c r="Y187" s="107">
        <f t="shared" si="19"/>
        <v>-3.2025620496397122E-2</v>
      </c>
      <c r="AA187" s="77" t="s">
        <v>271</v>
      </c>
      <c r="AB187" s="110">
        <v>4535.43</v>
      </c>
      <c r="AC187" s="107">
        <f t="shared" si="20"/>
        <v>5.7790777869193288E-3</v>
      </c>
    </row>
    <row r="188" spans="3:29" x14ac:dyDescent="0.35">
      <c r="C188" s="77" t="s">
        <v>272</v>
      </c>
      <c r="D188" s="75">
        <v>237.31</v>
      </c>
      <c r="E188" s="165">
        <f t="shared" si="14"/>
        <v>4.6571113561190813E-2</v>
      </c>
      <c r="G188" s="80" t="s">
        <v>272</v>
      </c>
      <c r="H188" s="81">
        <v>29.34</v>
      </c>
      <c r="I188" s="82">
        <f t="shared" si="15"/>
        <v>2.7310924369748024E-2</v>
      </c>
      <c r="K188" s="93" t="s">
        <v>272</v>
      </c>
      <c r="L188" s="94">
        <v>40.28</v>
      </c>
      <c r="M188" s="95">
        <f t="shared" si="16"/>
        <v>4.1095890410959068E-2</v>
      </c>
      <c r="O188" s="80" t="s">
        <v>272</v>
      </c>
      <c r="P188" s="81">
        <v>38.049999999999997</v>
      </c>
      <c r="Q188" s="82">
        <f t="shared" si="17"/>
        <v>3.0606717226435487E-2</v>
      </c>
      <c r="S188" s="77" t="s">
        <v>272</v>
      </c>
      <c r="T188" s="106">
        <v>49.8</v>
      </c>
      <c r="U188" s="107">
        <f t="shared" si="18"/>
        <v>2.0491803278688492E-2</v>
      </c>
      <c r="W188" s="77" t="s">
        <v>272</v>
      </c>
      <c r="X188" s="106">
        <v>12.49</v>
      </c>
      <c r="Y188" s="107">
        <f t="shared" si="19"/>
        <v>5.9372349448685524E-2</v>
      </c>
      <c r="AA188" s="77" t="s">
        <v>272</v>
      </c>
      <c r="AB188" s="110">
        <v>4509.37</v>
      </c>
      <c r="AC188" s="107">
        <f t="shared" si="20"/>
        <v>1.5242014827756112E-2</v>
      </c>
    </row>
    <row r="189" spans="3:29" x14ac:dyDescent="0.35">
      <c r="C189" s="77" t="s">
        <v>273</v>
      </c>
      <c r="D189" s="75">
        <v>226.75</v>
      </c>
      <c r="E189" s="165">
        <f t="shared" si="14"/>
        <v>-5.1493348950054418E-2</v>
      </c>
      <c r="G189" s="80" t="s">
        <v>273</v>
      </c>
      <c r="H189" s="81">
        <v>28.56</v>
      </c>
      <c r="I189" s="82">
        <f t="shared" si="15"/>
        <v>-3.4891835310537633E-3</v>
      </c>
      <c r="K189" s="93" t="s">
        <v>273</v>
      </c>
      <c r="L189" s="94">
        <v>38.69</v>
      </c>
      <c r="M189" s="95">
        <f t="shared" si="16"/>
        <v>-3.6363636363636376E-2</v>
      </c>
      <c r="O189" s="80" t="s">
        <v>273</v>
      </c>
      <c r="P189" s="81">
        <v>36.92</v>
      </c>
      <c r="Q189" s="82">
        <f t="shared" si="17"/>
        <v>-0.10017060687301971</v>
      </c>
      <c r="S189" s="77" t="s">
        <v>273</v>
      </c>
      <c r="T189" s="106">
        <v>48.8</v>
      </c>
      <c r="U189" s="107">
        <f t="shared" si="18"/>
        <v>-9.0400745573159358E-2</v>
      </c>
      <c r="W189" s="77" t="s">
        <v>273</v>
      </c>
      <c r="X189" s="106">
        <v>11.79</v>
      </c>
      <c r="Y189" s="107">
        <f t="shared" si="19"/>
        <v>-7.5294117647058845E-2</v>
      </c>
      <c r="AA189" s="77" t="s">
        <v>273</v>
      </c>
      <c r="AB189" s="110">
        <v>4441.67</v>
      </c>
      <c r="AC189" s="107">
        <f t="shared" si="20"/>
        <v>-5.8930170098477896E-3</v>
      </c>
    </row>
    <row r="190" spans="3:29" x14ac:dyDescent="0.35">
      <c r="C190" s="78">
        <v>44416</v>
      </c>
      <c r="D190" s="75">
        <v>239.06</v>
      </c>
      <c r="E190" s="165">
        <f t="shared" si="14"/>
        <v>2.5876496588422171E-2</v>
      </c>
      <c r="G190" s="83">
        <v>44416</v>
      </c>
      <c r="H190" s="81">
        <v>28.66</v>
      </c>
      <c r="I190" s="82">
        <f t="shared" si="15"/>
        <v>-5.5683690280065923E-2</v>
      </c>
      <c r="K190" s="96">
        <v>44416</v>
      </c>
      <c r="L190" s="94">
        <v>40.15</v>
      </c>
      <c r="M190" s="95">
        <f t="shared" si="16"/>
        <v>-2.595827268316353E-2</v>
      </c>
      <c r="O190" s="83">
        <v>44416</v>
      </c>
      <c r="P190" s="81">
        <v>41.03</v>
      </c>
      <c r="Q190" s="82">
        <f t="shared" si="17"/>
        <v>-6.4096715328467169E-2</v>
      </c>
      <c r="S190" s="78">
        <v>44416</v>
      </c>
      <c r="T190" s="106">
        <v>53.65</v>
      </c>
      <c r="U190" s="107">
        <f t="shared" si="18"/>
        <v>-2.5431425976385036E-2</v>
      </c>
      <c r="W190" s="78">
        <v>44416</v>
      </c>
      <c r="X190" s="106">
        <v>12.75</v>
      </c>
      <c r="Y190" s="107">
        <f t="shared" si="19"/>
        <v>-1.5444015444015413E-2</v>
      </c>
      <c r="AA190" s="78">
        <v>44416</v>
      </c>
      <c r="AB190" s="110">
        <v>4468</v>
      </c>
      <c r="AC190" s="107">
        <f t="shared" si="20"/>
        <v>7.0956515467077708E-3</v>
      </c>
    </row>
    <row r="191" spans="3:29" x14ac:dyDescent="0.35">
      <c r="C191" s="78">
        <v>44204</v>
      </c>
      <c r="D191" s="75">
        <v>233.03</v>
      </c>
      <c r="E191" s="165">
        <f t="shared" si="14"/>
        <v>1.7287292094119833E-2</v>
      </c>
      <c r="G191" s="83">
        <v>44204</v>
      </c>
      <c r="H191" s="81">
        <v>30.35</v>
      </c>
      <c r="I191" s="82">
        <f t="shared" si="15"/>
        <v>-9.104522312069474E-2</v>
      </c>
      <c r="K191" s="96">
        <v>44204</v>
      </c>
      <c r="L191" s="94">
        <v>41.22</v>
      </c>
      <c r="M191" s="95">
        <f t="shared" si="16"/>
        <v>1.7024426350851218E-2</v>
      </c>
      <c r="O191" s="83">
        <v>44204</v>
      </c>
      <c r="P191" s="81">
        <v>43.84</v>
      </c>
      <c r="Q191" s="82">
        <f t="shared" si="17"/>
        <v>-1.8800358102059045E-2</v>
      </c>
      <c r="S191" s="78">
        <v>44204</v>
      </c>
      <c r="T191" s="106">
        <v>55.05</v>
      </c>
      <c r="U191" s="107">
        <f t="shared" si="18"/>
        <v>-3.1491907107670802E-2</v>
      </c>
      <c r="W191" s="78">
        <v>44204</v>
      </c>
      <c r="X191" s="106">
        <v>12.95</v>
      </c>
      <c r="Y191" s="107">
        <f t="shared" si="19"/>
        <v>-1.0695187165775444E-2</v>
      </c>
      <c r="AA191" s="78">
        <v>44204</v>
      </c>
      <c r="AB191" s="110">
        <v>4436.5200000000004</v>
      </c>
      <c r="AC191" s="107">
        <f t="shared" si="20"/>
        <v>9.3873855016541885E-3</v>
      </c>
    </row>
    <row r="192" spans="3:29" x14ac:dyDescent="0.35">
      <c r="C192" s="77" t="s">
        <v>274</v>
      </c>
      <c r="D192" s="75">
        <v>229.07</v>
      </c>
      <c r="E192" s="165">
        <f t="shared" si="14"/>
        <v>6.8124591998507844E-2</v>
      </c>
      <c r="G192" s="80" t="s">
        <v>274</v>
      </c>
      <c r="H192" s="81">
        <v>33.39</v>
      </c>
      <c r="I192" s="82">
        <f t="shared" si="15"/>
        <v>0.10270805812417438</v>
      </c>
      <c r="K192" s="93" t="s">
        <v>274</v>
      </c>
      <c r="L192" s="94">
        <v>40.53</v>
      </c>
      <c r="M192" s="95">
        <f t="shared" si="16"/>
        <v>-1.1463414634146352E-2</v>
      </c>
      <c r="O192" s="80" t="s">
        <v>274</v>
      </c>
      <c r="P192" s="81">
        <v>44.68</v>
      </c>
      <c r="Q192" s="82">
        <f t="shared" si="17"/>
        <v>1.5685383041600387E-2</v>
      </c>
      <c r="S192" s="77" t="s">
        <v>274</v>
      </c>
      <c r="T192" s="106">
        <v>56.84</v>
      </c>
      <c r="U192" s="107">
        <f t="shared" si="18"/>
        <v>3.4583181652712236E-2</v>
      </c>
      <c r="W192" s="77" t="s">
        <v>274</v>
      </c>
      <c r="X192" s="106">
        <v>13.09</v>
      </c>
      <c r="Y192" s="107">
        <f t="shared" si="19"/>
        <v>9.2521202775635025E-3</v>
      </c>
      <c r="AA192" s="77" t="s">
        <v>274</v>
      </c>
      <c r="AB192" s="110">
        <v>4395.26</v>
      </c>
      <c r="AC192" s="107">
        <f t="shared" si="20"/>
        <v>-3.7467785184697178E-3</v>
      </c>
    </row>
    <row r="193" spans="3:29" x14ac:dyDescent="0.35">
      <c r="C193" s="77" t="s">
        <v>275</v>
      </c>
      <c r="D193" s="75">
        <v>214.46</v>
      </c>
      <c r="E193" s="165">
        <f t="shared" si="14"/>
        <v>-1.3039023935922378E-3</v>
      </c>
      <c r="G193" s="80" t="s">
        <v>275</v>
      </c>
      <c r="H193" s="81">
        <v>30.28</v>
      </c>
      <c r="I193" s="82">
        <f t="shared" si="15"/>
        <v>-1.3192612137202797E-3</v>
      </c>
      <c r="K193" s="93" t="s">
        <v>275</v>
      </c>
      <c r="L193" s="94">
        <v>41</v>
      </c>
      <c r="M193" s="95">
        <f t="shared" si="16"/>
        <v>5.0473994363310348E-2</v>
      </c>
      <c r="O193" s="80" t="s">
        <v>275</v>
      </c>
      <c r="P193" s="81">
        <v>43.99</v>
      </c>
      <c r="Q193" s="82">
        <f t="shared" si="17"/>
        <v>2.7803738317757176E-2</v>
      </c>
      <c r="S193" s="77" t="s">
        <v>275</v>
      </c>
      <c r="T193" s="106">
        <v>54.94</v>
      </c>
      <c r="U193" s="107">
        <f t="shared" si="18"/>
        <v>-9.3761269383340062E-3</v>
      </c>
      <c r="W193" s="77" t="s">
        <v>275</v>
      </c>
      <c r="X193" s="106">
        <v>12.97</v>
      </c>
      <c r="Y193" s="107">
        <f t="shared" si="19"/>
        <v>1.5661707126076729E-2</v>
      </c>
      <c r="AA193" s="77" t="s">
        <v>275</v>
      </c>
      <c r="AB193" s="110">
        <v>4411.79</v>
      </c>
      <c r="AC193" s="107">
        <f t="shared" si="20"/>
        <v>1.9557862431710538E-2</v>
      </c>
    </row>
    <row r="194" spans="3:29" x14ac:dyDescent="0.35">
      <c r="C194" s="78">
        <v>44507</v>
      </c>
      <c r="D194" s="75">
        <v>214.74</v>
      </c>
      <c r="E194" s="165">
        <f t="shared" si="14"/>
        <v>-1.936249885834318E-2</v>
      </c>
      <c r="G194" s="83">
        <v>44507</v>
      </c>
      <c r="H194" s="81">
        <v>30.32</v>
      </c>
      <c r="I194" s="82">
        <f t="shared" si="15"/>
        <v>-4.7140163419233216E-2</v>
      </c>
      <c r="K194" s="96">
        <v>44507</v>
      </c>
      <c r="L194" s="94">
        <v>39.03</v>
      </c>
      <c r="M194" s="95">
        <f t="shared" si="16"/>
        <v>-2.2294589178356694E-2</v>
      </c>
      <c r="O194" s="83">
        <v>44507</v>
      </c>
      <c r="P194" s="81">
        <v>42.8</v>
      </c>
      <c r="Q194" s="82">
        <f t="shared" si="17"/>
        <v>-5.9960465627059145E-2</v>
      </c>
      <c r="S194" s="78">
        <v>44507</v>
      </c>
      <c r="T194" s="106">
        <v>55.46</v>
      </c>
      <c r="U194" s="107">
        <f t="shared" si="18"/>
        <v>-5.6160653505786251E-2</v>
      </c>
      <c r="W194" s="78">
        <v>44507</v>
      </c>
      <c r="X194" s="106">
        <v>12.77</v>
      </c>
      <c r="Y194" s="107">
        <f t="shared" si="19"/>
        <v>-5.9646539027982337E-2</v>
      </c>
      <c r="AA194" s="78">
        <v>44507</v>
      </c>
      <c r="AB194" s="110">
        <v>4327.16</v>
      </c>
      <c r="AC194" s="107">
        <f t="shared" si="20"/>
        <v>-9.7012278152213138E-3</v>
      </c>
    </row>
    <row r="195" spans="3:29" x14ac:dyDescent="0.35">
      <c r="C195" s="78">
        <v>44293</v>
      </c>
      <c r="D195" s="75">
        <v>218.98</v>
      </c>
      <c r="E195" s="165">
        <f t="shared" si="14"/>
        <v>-3.2346442775077477E-2</v>
      </c>
      <c r="G195" s="83">
        <v>44293</v>
      </c>
      <c r="H195" s="81">
        <v>31.82</v>
      </c>
      <c r="I195" s="82">
        <f t="shared" si="15"/>
        <v>-2.6017753290480616E-2</v>
      </c>
      <c r="K195" s="96">
        <v>44293</v>
      </c>
      <c r="L195" s="94">
        <v>39.92</v>
      </c>
      <c r="M195" s="95">
        <f t="shared" si="16"/>
        <v>-8.7334247828074973E-2</v>
      </c>
      <c r="O195" s="83">
        <v>44293</v>
      </c>
      <c r="P195" s="81">
        <v>45.53</v>
      </c>
      <c r="Q195" s="82">
        <f t="shared" si="17"/>
        <v>-9.6626984126984117E-2</v>
      </c>
      <c r="S195" s="78">
        <v>44293</v>
      </c>
      <c r="T195" s="106">
        <v>58.76</v>
      </c>
      <c r="U195" s="107">
        <f t="shared" si="18"/>
        <v>-3.3921302578019397E-3</v>
      </c>
      <c r="W195" s="78">
        <v>44293</v>
      </c>
      <c r="X195" s="106">
        <v>13.58</v>
      </c>
      <c r="Y195" s="107">
        <f t="shared" si="19"/>
        <v>-3.0692362598144118E-2</v>
      </c>
      <c r="AA195" s="78">
        <v>44293</v>
      </c>
      <c r="AB195" s="110">
        <v>4369.55</v>
      </c>
      <c r="AC195" s="107">
        <f t="shared" si="20"/>
        <v>3.954194755005469E-3</v>
      </c>
    </row>
    <row r="196" spans="3:29" x14ac:dyDescent="0.35">
      <c r="C196" s="77" t="s">
        <v>276</v>
      </c>
      <c r="D196" s="75">
        <v>226.3</v>
      </c>
      <c r="E196" s="165">
        <f t="shared" si="14"/>
        <v>1.0448294338274655E-2</v>
      </c>
      <c r="G196" s="80" t="s">
        <v>276</v>
      </c>
      <c r="H196" s="81">
        <v>32.67</v>
      </c>
      <c r="I196" s="82">
        <f t="shared" si="15"/>
        <v>3.125E-2</v>
      </c>
      <c r="K196" s="93" t="s">
        <v>276</v>
      </c>
      <c r="L196" s="94">
        <v>43.74</v>
      </c>
      <c r="M196" s="95">
        <f t="shared" si="16"/>
        <v>3.7476280834914721E-2</v>
      </c>
      <c r="O196" s="80" t="s">
        <v>276</v>
      </c>
      <c r="P196" s="81">
        <v>50.4</v>
      </c>
      <c r="Q196" s="82">
        <f t="shared" si="17"/>
        <v>0.11826048369203468</v>
      </c>
      <c r="S196" s="77" t="s">
        <v>276</v>
      </c>
      <c r="T196" s="106">
        <v>58.96</v>
      </c>
      <c r="U196" s="107">
        <f t="shared" si="18"/>
        <v>-2.2222222222222143E-2</v>
      </c>
      <c r="W196" s="77" t="s">
        <v>276</v>
      </c>
      <c r="X196" s="106">
        <v>14.01</v>
      </c>
      <c r="Y196" s="107">
        <f t="shared" si="19"/>
        <v>-1.684210526315788E-2</v>
      </c>
      <c r="AA196" s="77" t="s">
        <v>276</v>
      </c>
      <c r="AB196" s="110">
        <v>4352.34</v>
      </c>
      <c r="AC196" s="107">
        <f t="shared" si="20"/>
        <v>1.6735580629336333E-2</v>
      </c>
    </row>
    <row r="197" spans="3:29" x14ac:dyDescent="0.35">
      <c r="C197" s="77" t="s">
        <v>277</v>
      </c>
      <c r="D197" s="75">
        <v>223.96</v>
      </c>
      <c r="E197" s="165">
        <f t="shared" si="14"/>
        <v>7.792270298888182E-2</v>
      </c>
      <c r="G197" s="80" t="s">
        <v>277</v>
      </c>
      <c r="H197" s="81">
        <v>31.68</v>
      </c>
      <c r="I197" s="82">
        <f t="shared" si="15"/>
        <v>5.2142145466622436E-2</v>
      </c>
      <c r="K197" s="93" t="s">
        <v>277</v>
      </c>
      <c r="L197" s="94">
        <v>42.16</v>
      </c>
      <c r="M197" s="95">
        <f t="shared" si="16"/>
        <v>-6.7875304001768777E-2</v>
      </c>
      <c r="O197" s="80" t="s">
        <v>277</v>
      </c>
      <c r="P197" s="81">
        <v>45.07</v>
      </c>
      <c r="Q197" s="82">
        <f t="shared" si="17"/>
        <v>-3.9224046045619243E-2</v>
      </c>
      <c r="S197" s="77" t="s">
        <v>277</v>
      </c>
      <c r="T197" s="106">
        <v>60.3</v>
      </c>
      <c r="U197" s="107">
        <f t="shared" si="18"/>
        <v>2.620830496936688E-2</v>
      </c>
      <c r="W197" s="77" t="s">
        <v>277</v>
      </c>
      <c r="X197" s="106">
        <v>14.25</v>
      </c>
      <c r="Y197" s="107">
        <f t="shared" si="19"/>
        <v>4.6255506607929542E-2</v>
      </c>
      <c r="AA197" s="77" t="s">
        <v>277</v>
      </c>
      <c r="AB197" s="110">
        <v>4280.7</v>
      </c>
      <c r="AC197" s="107">
        <f t="shared" si="20"/>
        <v>2.7421425914147646E-2</v>
      </c>
    </row>
    <row r="198" spans="3:29" x14ac:dyDescent="0.35">
      <c r="C198" s="77" t="s">
        <v>278</v>
      </c>
      <c r="D198" s="75">
        <v>207.77</v>
      </c>
      <c r="E198" s="165">
        <f t="shared" si="14"/>
        <v>2.1987211018199782E-2</v>
      </c>
      <c r="G198" s="80" t="s">
        <v>278</v>
      </c>
      <c r="H198" s="81">
        <v>30.11</v>
      </c>
      <c r="I198" s="82">
        <f t="shared" si="15"/>
        <v>7.1149057274991101E-2</v>
      </c>
      <c r="K198" s="93" t="s">
        <v>278</v>
      </c>
      <c r="L198" s="94">
        <v>45.23</v>
      </c>
      <c r="M198" s="95">
        <f t="shared" si="16"/>
        <v>8.9879518072289111E-2</v>
      </c>
      <c r="O198" s="80" t="s">
        <v>278</v>
      </c>
      <c r="P198" s="81">
        <v>46.91</v>
      </c>
      <c r="Q198" s="82">
        <f t="shared" si="17"/>
        <v>2.6926444833625052E-2</v>
      </c>
      <c r="S198" s="77" t="s">
        <v>278</v>
      </c>
      <c r="T198" s="106">
        <v>58.76</v>
      </c>
      <c r="U198" s="107">
        <f t="shared" si="18"/>
        <v>-4.4397463002114224E-2</v>
      </c>
      <c r="W198" s="77" t="s">
        <v>278</v>
      </c>
      <c r="X198" s="106">
        <v>13.62</v>
      </c>
      <c r="Y198" s="107">
        <f t="shared" si="19"/>
        <v>-5.0209205020920522E-2</v>
      </c>
      <c r="AA198" s="77" t="s">
        <v>278</v>
      </c>
      <c r="AB198" s="110">
        <v>4166.45</v>
      </c>
      <c r="AC198" s="107">
        <f t="shared" si="20"/>
        <v>-1.9067956227751259E-2</v>
      </c>
    </row>
    <row r="199" spans="3:29" x14ac:dyDescent="0.35">
      <c r="C199" s="78">
        <v>44353</v>
      </c>
      <c r="D199" s="75">
        <v>203.3</v>
      </c>
      <c r="E199" s="165">
        <f t="shared" si="14"/>
        <v>1.8129006410256387E-2</v>
      </c>
      <c r="G199" s="83">
        <v>44353</v>
      </c>
      <c r="H199" s="81">
        <v>28.11</v>
      </c>
      <c r="I199" s="82">
        <f t="shared" si="15"/>
        <v>9.6333853354134025E-2</v>
      </c>
      <c r="K199" s="96">
        <v>44353</v>
      </c>
      <c r="L199" s="94">
        <v>41.5</v>
      </c>
      <c r="M199" s="95">
        <f t="shared" si="16"/>
        <v>0.11829695499865278</v>
      </c>
      <c r="O199" s="83">
        <v>44353</v>
      </c>
      <c r="P199" s="81">
        <v>45.68</v>
      </c>
      <c r="Q199" s="82">
        <f t="shared" si="17"/>
        <v>8.9175011921793113E-2</v>
      </c>
      <c r="S199" s="78">
        <v>44353</v>
      </c>
      <c r="T199" s="106">
        <v>61.49</v>
      </c>
      <c r="U199" s="107">
        <f t="shared" si="18"/>
        <v>-2.966703487454625E-2</v>
      </c>
      <c r="W199" s="78">
        <v>44353</v>
      </c>
      <c r="X199" s="106">
        <v>14.34</v>
      </c>
      <c r="Y199" s="107">
        <f t="shared" si="19"/>
        <v>-4.2723631508678306E-2</v>
      </c>
      <c r="AA199" s="78">
        <v>44353</v>
      </c>
      <c r="AB199" s="110">
        <v>4247.4399999999996</v>
      </c>
      <c r="AC199" s="107">
        <f t="shared" si="20"/>
        <v>4.1490440649754046E-3</v>
      </c>
    </row>
    <row r="200" spans="3:29" x14ac:dyDescent="0.35">
      <c r="C200" s="77" t="s">
        <v>279</v>
      </c>
      <c r="D200" s="75">
        <v>199.68</v>
      </c>
      <c r="E200" s="165">
        <f t="shared" si="14"/>
        <v>-4.188858500071968E-2</v>
      </c>
      <c r="G200" s="80" t="s">
        <v>279</v>
      </c>
      <c r="H200" s="81">
        <v>25.64</v>
      </c>
      <c r="I200" s="82">
        <f t="shared" si="15"/>
        <v>0.10042918454935612</v>
      </c>
      <c r="K200" s="93" t="s">
        <v>279</v>
      </c>
      <c r="L200" s="94">
        <v>37.11</v>
      </c>
      <c r="M200" s="95">
        <f t="shared" si="16"/>
        <v>0.15499533146591959</v>
      </c>
      <c r="O200" s="80" t="s">
        <v>279</v>
      </c>
      <c r="P200" s="81">
        <v>41.94</v>
      </c>
      <c r="Q200" s="82">
        <f t="shared" si="17"/>
        <v>8.5965820818229011E-2</v>
      </c>
      <c r="S200" s="77" t="s">
        <v>279</v>
      </c>
      <c r="T200" s="106">
        <v>63.37</v>
      </c>
      <c r="U200" s="107">
        <f t="shared" si="18"/>
        <v>6.8453886359804317E-2</v>
      </c>
      <c r="W200" s="77" t="s">
        <v>279</v>
      </c>
      <c r="X200" s="106">
        <v>14.98</v>
      </c>
      <c r="Y200" s="107">
        <f t="shared" si="19"/>
        <v>9.904622157006604E-2</v>
      </c>
      <c r="AA200" s="77" t="s">
        <v>279</v>
      </c>
      <c r="AB200" s="110">
        <v>4229.8900000000003</v>
      </c>
      <c r="AC200" s="107">
        <f t="shared" si="20"/>
        <v>6.1320945455758391E-3</v>
      </c>
    </row>
    <row r="201" spans="3:29" x14ac:dyDescent="0.35">
      <c r="C201" s="77" t="s">
        <v>280</v>
      </c>
      <c r="D201" s="75">
        <v>208.41</v>
      </c>
      <c r="E201" s="165">
        <f t="shared" si="14"/>
        <v>7.6331147033001034E-2</v>
      </c>
      <c r="G201" s="80" t="s">
        <v>280</v>
      </c>
      <c r="H201" s="81">
        <v>23.3</v>
      </c>
      <c r="I201" s="82">
        <f t="shared" si="15"/>
        <v>0.13714006832601289</v>
      </c>
      <c r="K201" s="93" t="s">
        <v>280</v>
      </c>
      <c r="L201" s="94">
        <v>32.130000000000003</v>
      </c>
      <c r="M201" s="95">
        <f t="shared" si="16"/>
        <v>0.12421273617914652</v>
      </c>
      <c r="O201" s="80" t="s">
        <v>280</v>
      </c>
      <c r="P201" s="81">
        <v>38.619999999999997</v>
      </c>
      <c r="Q201" s="82">
        <f t="shared" si="17"/>
        <v>0.13388138578978248</v>
      </c>
      <c r="S201" s="77" t="s">
        <v>280</v>
      </c>
      <c r="T201" s="106">
        <v>59.31</v>
      </c>
      <c r="U201" s="107">
        <f t="shared" si="18"/>
        <v>4.5662905500705175E-2</v>
      </c>
      <c r="W201" s="77" t="s">
        <v>280</v>
      </c>
      <c r="X201" s="106">
        <v>13.63</v>
      </c>
      <c r="Y201" s="107">
        <f t="shared" si="19"/>
        <v>8.9528377298161654E-2</v>
      </c>
      <c r="AA201" s="77" t="s">
        <v>280</v>
      </c>
      <c r="AB201" s="110">
        <v>4204.1099999999997</v>
      </c>
      <c r="AC201" s="107">
        <f t="shared" si="20"/>
        <v>1.1610111986448013E-2</v>
      </c>
    </row>
    <row r="202" spans="3:29" x14ac:dyDescent="0.35">
      <c r="C202" s="77" t="s">
        <v>281</v>
      </c>
      <c r="D202" s="75">
        <v>193.63</v>
      </c>
      <c r="E202" s="165">
        <f t="shared" si="14"/>
        <v>-1.5006613083731857E-2</v>
      </c>
      <c r="G202" s="80" t="s">
        <v>281</v>
      </c>
      <c r="H202" s="81">
        <v>20.49</v>
      </c>
      <c r="I202" s="82">
        <f t="shared" si="15"/>
        <v>0.11662125340599427</v>
      </c>
      <c r="K202" s="93" t="s">
        <v>281</v>
      </c>
      <c r="L202" s="94">
        <v>28.58</v>
      </c>
      <c r="M202" s="95">
        <f t="shared" si="16"/>
        <v>0.11206225680933857</v>
      </c>
      <c r="O202" s="80" t="s">
        <v>281</v>
      </c>
      <c r="P202" s="81">
        <v>34.06</v>
      </c>
      <c r="Q202" s="82">
        <f t="shared" si="17"/>
        <v>1.9150209455415901E-2</v>
      </c>
      <c r="S202" s="77" t="s">
        <v>281</v>
      </c>
      <c r="T202" s="106">
        <v>56.72</v>
      </c>
      <c r="U202" s="107">
        <f t="shared" si="18"/>
        <v>1.28571428571429E-2</v>
      </c>
      <c r="W202" s="77" t="s">
        <v>281</v>
      </c>
      <c r="X202" s="106">
        <v>12.51</v>
      </c>
      <c r="Y202" s="107">
        <f t="shared" si="19"/>
        <v>0.12601260126012614</v>
      </c>
      <c r="AA202" s="77" t="s">
        <v>281</v>
      </c>
      <c r="AB202" s="110">
        <v>4155.8599999999997</v>
      </c>
      <c r="AC202" s="107">
        <f t="shared" si="20"/>
        <v>-4.3101692681818404E-3</v>
      </c>
    </row>
    <row r="203" spans="3:29" x14ac:dyDescent="0.35">
      <c r="C203" s="78">
        <v>44444</v>
      </c>
      <c r="D203" s="75">
        <v>196.58</v>
      </c>
      <c r="E203" s="165">
        <f t="shared" si="14"/>
        <v>-0.12288059967874354</v>
      </c>
      <c r="G203" s="83">
        <v>44444</v>
      </c>
      <c r="H203" s="81">
        <v>18.350000000000001</v>
      </c>
      <c r="I203" s="82">
        <f t="shared" si="15"/>
        <v>4.9288061336254518E-3</v>
      </c>
      <c r="K203" s="96">
        <v>44444</v>
      </c>
      <c r="L203" s="94">
        <v>25.7</v>
      </c>
      <c r="M203" s="95">
        <f t="shared" si="16"/>
        <v>-3.7092544023979102E-2</v>
      </c>
      <c r="O203" s="83">
        <v>44444</v>
      </c>
      <c r="P203" s="81">
        <v>33.42</v>
      </c>
      <c r="Q203" s="82">
        <f t="shared" si="17"/>
        <v>-9.5289658906334451E-2</v>
      </c>
      <c r="S203" s="78">
        <v>44444</v>
      </c>
      <c r="T203" s="106">
        <v>56</v>
      </c>
      <c r="U203" s="107">
        <f t="shared" si="18"/>
        <v>-5.0686557043566727E-2</v>
      </c>
      <c r="W203" s="78">
        <v>44444</v>
      </c>
      <c r="X203" s="106">
        <v>11.11</v>
      </c>
      <c r="Y203" s="107">
        <f t="shared" si="19"/>
        <v>1.8034265103696878E-3</v>
      </c>
      <c r="AA203" s="78">
        <v>44444</v>
      </c>
      <c r="AB203" s="110">
        <v>4173.8500000000004</v>
      </c>
      <c r="AC203" s="107">
        <f t="shared" si="20"/>
        <v>-1.388035722723624E-2</v>
      </c>
    </row>
    <row r="204" spans="3:29" x14ac:dyDescent="0.35">
      <c r="C204" s="78">
        <v>44232</v>
      </c>
      <c r="D204" s="75">
        <v>224.12</v>
      </c>
      <c r="E204" s="165">
        <f t="shared" si="14"/>
        <v>-5.2266576454668368E-2</v>
      </c>
      <c r="G204" s="83">
        <v>44232</v>
      </c>
      <c r="H204" s="81">
        <v>18.260000000000002</v>
      </c>
      <c r="I204" s="82">
        <f t="shared" si="15"/>
        <v>-7.4974670719351377E-2</v>
      </c>
      <c r="K204" s="96">
        <v>44232</v>
      </c>
      <c r="L204" s="94">
        <v>26.69</v>
      </c>
      <c r="M204" s="95">
        <f t="shared" si="16"/>
        <v>-0.1076563022400534</v>
      </c>
      <c r="O204" s="83">
        <v>44232</v>
      </c>
      <c r="P204" s="81">
        <v>36.94</v>
      </c>
      <c r="Q204" s="82">
        <f t="shared" si="17"/>
        <v>-7.2791164658634666E-2</v>
      </c>
      <c r="S204" s="78">
        <v>44232</v>
      </c>
      <c r="T204" s="106">
        <v>58.99</v>
      </c>
      <c r="U204" s="107">
        <f t="shared" si="18"/>
        <v>3.0933240125830208E-2</v>
      </c>
      <c r="W204" s="78">
        <v>44232</v>
      </c>
      <c r="X204" s="106">
        <v>11.09</v>
      </c>
      <c r="Y204" s="107">
        <f t="shared" si="19"/>
        <v>2.4007386888273308E-2</v>
      </c>
      <c r="AA204" s="78">
        <v>44232</v>
      </c>
      <c r="AB204" s="110">
        <v>4232.6000000000004</v>
      </c>
      <c r="AC204" s="107">
        <f t="shared" si="20"/>
        <v>1.2300384820516763E-2</v>
      </c>
    </row>
    <row r="205" spans="3:29" x14ac:dyDescent="0.35">
      <c r="C205" s="77" t="s">
        <v>282</v>
      </c>
      <c r="D205" s="75">
        <v>236.48</v>
      </c>
      <c r="E205" s="165">
        <f t="shared" si="14"/>
        <v>-2.7351622588738578E-2</v>
      </c>
      <c r="G205" s="80" t="s">
        <v>282</v>
      </c>
      <c r="H205" s="81">
        <v>19.739999999999998</v>
      </c>
      <c r="I205" s="82">
        <f t="shared" si="15"/>
        <v>-4.1747572815534095E-2</v>
      </c>
      <c r="K205" s="93" t="s">
        <v>282</v>
      </c>
      <c r="L205" s="94">
        <v>29.91</v>
      </c>
      <c r="M205" s="95">
        <f t="shared" si="16"/>
        <v>-0.10180180180180176</v>
      </c>
      <c r="O205" s="80" t="s">
        <v>282</v>
      </c>
      <c r="P205" s="81">
        <v>39.840000000000003</v>
      </c>
      <c r="Q205" s="82">
        <f t="shared" si="17"/>
        <v>-3.0185004868549026E-2</v>
      </c>
      <c r="S205" s="77" t="s">
        <v>282</v>
      </c>
      <c r="T205" s="106">
        <v>57.22</v>
      </c>
      <c r="U205" s="107">
        <f t="shared" si="18"/>
        <v>-5.388492960194724E-3</v>
      </c>
      <c r="W205" s="77" t="s">
        <v>282</v>
      </c>
      <c r="X205" s="106">
        <v>10.83</v>
      </c>
      <c r="Y205" s="107">
        <f t="shared" si="19"/>
        <v>-5.4973821989528826E-2</v>
      </c>
      <c r="AA205" s="77" t="s">
        <v>282</v>
      </c>
      <c r="AB205" s="110">
        <v>4181.17</v>
      </c>
      <c r="AC205" s="107">
        <f t="shared" si="20"/>
        <v>2.3922472052562149E-4</v>
      </c>
    </row>
    <row r="206" spans="3:29" x14ac:dyDescent="0.35">
      <c r="C206" s="77" t="s">
        <v>283</v>
      </c>
      <c r="D206" s="75">
        <v>243.13</v>
      </c>
      <c r="E206" s="165">
        <f t="shared" ref="E206:E220" si="21">D206/D207-1</f>
        <v>-1.4031388134149836E-2</v>
      </c>
      <c r="G206" s="80" t="s">
        <v>283</v>
      </c>
      <c r="H206" s="81">
        <v>20.6</v>
      </c>
      <c r="I206" s="82">
        <f t="shared" ref="I206:I220" si="22">H206/H207-1</f>
        <v>6.846473029045641E-2</v>
      </c>
      <c r="K206" s="93" t="s">
        <v>283</v>
      </c>
      <c r="L206" s="94">
        <v>33.299999999999997</v>
      </c>
      <c r="M206" s="95">
        <f t="shared" ref="M206:M220" si="23">L206/L207-1</f>
        <v>7.6972833117723072E-2</v>
      </c>
      <c r="O206" s="80" t="s">
        <v>283</v>
      </c>
      <c r="P206" s="81">
        <v>41.08</v>
      </c>
      <c r="Q206" s="82">
        <f t="shared" ref="Q206:Q220" si="24">P206/P207-1</f>
        <v>0.1382654474923799</v>
      </c>
      <c r="S206" s="77" t="s">
        <v>283</v>
      </c>
      <c r="T206" s="106">
        <v>57.53</v>
      </c>
      <c r="U206" s="107">
        <f t="shared" ref="U206:U220" si="25">T206/T207-1</f>
        <v>-2.00987906659853E-2</v>
      </c>
      <c r="W206" s="77" t="s">
        <v>283</v>
      </c>
      <c r="X206" s="106">
        <v>11.46</v>
      </c>
      <c r="Y206" s="107">
        <f t="shared" ref="Y206:Y220" si="26">X206/X207-1</f>
        <v>-8.7183958151693108E-4</v>
      </c>
      <c r="AA206" s="77" t="s">
        <v>283</v>
      </c>
      <c r="AB206" s="110">
        <v>4180.17</v>
      </c>
      <c r="AC206" s="107">
        <f t="shared" ref="AC206:AC220" si="27">AB206/AB207-1</f>
        <v>-1.266285506765108E-3</v>
      </c>
    </row>
    <row r="207" spans="3:29" x14ac:dyDescent="0.35">
      <c r="C207" s="78">
        <v>44504</v>
      </c>
      <c r="D207" s="75">
        <v>246.59</v>
      </c>
      <c r="E207" s="165">
        <f t="shared" si="21"/>
        <v>9.2701732618425181E-2</v>
      </c>
      <c r="G207" s="83">
        <v>44504</v>
      </c>
      <c r="H207" s="81">
        <v>19.28</v>
      </c>
      <c r="I207" s="82">
        <f t="shared" si="22"/>
        <v>-0.15289982425307558</v>
      </c>
      <c r="K207" s="96">
        <v>44504</v>
      </c>
      <c r="L207" s="94">
        <v>30.92</v>
      </c>
      <c r="M207" s="95">
        <f t="shared" si="23"/>
        <v>-0.10350826326471441</v>
      </c>
      <c r="O207" s="83">
        <v>44504</v>
      </c>
      <c r="P207" s="81">
        <v>36.090000000000003</v>
      </c>
      <c r="Q207" s="82">
        <f t="shared" si="24"/>
        <v>-5.3252885624344048E-2</v>
      </c>
      <c r="S207" s="78">
        <v>44504</v>
      </c>
      <c r="T207" s="106">
        <v>58.71</v>
      </c>
      <c r="U207" s="107">
        <f t="shared" si="25"/>
        <v>-2.4102393617021156E-2</v>
      </c>
      <c r="W207" s="78">
        <v>44504</v>
      </c>
      <c r="X207" s="106">
        <v>11.47</v>
      </c>
      <c r="Y207" s="107">
        <f t="shared" si="26"/>
        <v>-2.2998296422487186E-2</v>
      </c>
      <c r="AA207" s="78">
        <v>44504</v>
      </c>
      <c r="AB207" s="110">
        <v>4185.47</v>
      </c>
      <c r="AC207" s="107">
        <f t="shared" si="27"/>
        <v>1.3725537686494871E-2</v>
      </c>
    </row>
    <row r="208" spans="3:29" x14ac:dyDescent="0.35">
      <c r="C208" s="78">
        <v>44290</v>
      </c>
      <c r="D208" s="75">
        <v>225.67</v>
      </c>
      <c r="E208" s="165">
        <f t="shared" si="21"/>
        <v>2.3075528153051028E-2</v>
      </c>
      <c r="G208" s="83">
        <v>44290</v>
      </c>
      <c r="H208" s="81">
        <v>22.76</v>
      </c>
      <c r="I208" s="82">
        <f t="shared" si="22"/>
        <v>-9.861386138613859E-2</v>
      </c>
      <c r="K208" s="96">
        <v>44290</v>
      </c>
      <c r="L208" s="94">
        <v>34.49</v>
      </c>
      <c r="M208" s="95">
        <f t="shared" si="23"/>
        <v>-6.6576454668470952E-2</v>
      </c>
      <c r="O208" s="83">
        <v>44290</v>
      </c>
      <c r="P208" s="81">
        <v>38.119999999999997</v>
      </c>
      <c r="Q208" s="82">
        <f t="shared" si="24"/>
        <v>-3.8830055471507752E-2</v>
      </c>
      <c r="S208" s="78">
        <v>44290</v>
      </c>
      <c r="T208" s="106">
        <v>60.16</v>
      </c>
      <c r="U208" s="107">
        <f t="shared" si="25"/>
        <v>4.0830449826989579E-2</v>
      </c>
      <c r="W208" s="78">
        <v>44290</v>
      </c>
      <c r="X208" s="106">
        <v>11.74</v>
      </c>
      <c r="Y208" s="107">
        <f t="shared" si="26"/>
        <v>2.8021015761821477E-2</v>
      </c>
      <c r="AA208" s="78">
        <v>44290</v>
      </c>
      <c r="AB208" s="110">
        <v>4128.8</v>
      </c>
      <c r="AC208" s="107">
        <f t="shared" si="27"/>
        <v>2.7097891225338122E-2</v>
      </c>
    </row>
    <row r="209" spans="3:29" x14ac:dyDescent="0.35">
      <c r="C209" s="77" t="s">
        <v>284</v>
      </c>
      <c r="D209" s="75">
        <v>220.58</v>
      </c>
      <c r="E209" s="165">
        <f t="shared" si="21"/>
        <v>6.953064391000785E-2</v>
      </c>
      <c r="G209" s="80" t="s">
        <v>284</v>
      </c>
      <c r="H209" s="81">
        <v>25.25</v>
      </c>
      <c r="I209" s="82">
        <f t="shared" si="22"/>
        <v>6.5400843881856519E-2</v>
      </c>
      <c r="K209" s="93" t="s">
        <v>284</v>
      </c>
      <c r="L209" s="94">
        <v>36.950000000000003</v>
      </c>
      <c r="M209" s="95">
        <f t="shared" si="23"/>
        <v>0.14965774735532045</v>
      </c>
      <c r="O209" s="80" t="s">
        <v>284</v>
      </c>
      <c r="P209" s="81">
        <v>39.659999999999997</v>
      </c>
      <c r="Q209" s="82">
        <f t="shared" si="24"/>
        <v>9.7702740105175545E-2</v>
      </c>
      <c r="S209" s="77" t="s">
        <v>284</v>
      </c>
      <c r="T209" s="106">
        <v>57.8</v>
      </c>
      <c r="U209" s="107">
        <f t="shared" si="25"/>
        <v>2.26468506723283E-2</v>
      </c>
      <c r="W209" s="77" t="s">
        <v>284</v>
      </c>
      <c r="X209" s="106">
        <v>11.42</v>
      </c>
      <c r="Y209" s="107">
        <f t="shared" si="26"/>
        <v>-1.0398613518197486E-2</v>
      </c>
      <c r="AA209" s="77" t="s">
        <v>284</v>
      </c>
      <c r="AB209" s="110">
        <v>4019.87</v>
      </c>
      <c r="AC209" s="107">
        <f t="shared" si="27"/>
        <v>1.140509341961593E-2</v>
      </c>
    </row>
    <row r="210" spans="3:29" x14ac:dyDescent="0.35">
      <c r="C210" s="77" t="s">
        <v>285</v>
      </c>
      <c r="D210" s="75">
        <v>206.24</v>
      </c>
      <c r="E210" s="165">
        <f t="shared" si="21"/>
        <v>-5.5201795776260831E-2</v>
      </c>
      <c r="G210" s="80" t="s">
        <v>285</v>
      </c>
      <c r="H210" s="81">
        <v>23.7</v>
      </c>
      <c r="I210" s="82">
        <f t="shared" si="22"/>
        <v>-9.8173515981735182E-2</v>
      </c>
      <c r="K210" s="93" t="s">
        <v>285</v>
      </c>
      <c r="L210" s="94">
        <v>32.14</v>
      </c>
      <c r="M210" s="95">
        <f t="shared" si="23"/>
        <v>-0.14247598719316956</v>
      </c>
      <c r="O210" s="80" t="s">
        <v>285</v>
      </c>
      <c r="P210" s="81">
        <v>36.130000000000003</v>
      </c>
      <c r="Q210" s="82">
        <f t="shared" si="24"/>
        <v>-0.16655132641291803</v>
      </c>
      <c r="S210" s="77" t="s">
        <v>285</v>
      </c>
      <c r="T210" s="106">
        <v>56.52</v>
      </c>
      <c r="U210" s="107">
        <f t="shared" si="25"/>
        <v>-5.5165496489468335E-2</v>
      </c>
      <c r="W210" s="77" t="s">
        <v>285</v>
      </c>
      <c r="X210" s="106">
        <v>11.54</v>
      </c>
      <c r="Y210" s="107">
        <f t="shared" si="26"/>
        <v>-4.1528239202657802E-2</v>
      </c>
      <c r="AA210" s="77" t="s">
        <v>285</v>
      </c>
      <c r="AB210" s="110">
        <v>3974.54</v>
      </c>
      <c r="AC210" s="107">
        <f t="shared" si="27"/>
        <v>1.570110653957224E-2</v>
      </c>
    </row>
    <row r="211" spans="3:29" x14ac:dyDescent="0.35">
      <c r="C211" s="77" t="s">
        <v>286</v>
      </c>
      <c r="D211" s="75">
        <v>218.29</v>
      </c>
      <c r="E211" s="165">
        <f t="shared" si="21"/>
        <v>-5.6002421726344953E-2</v>
      </c>
      <c r="G211" s="80" t="s">
        <v>286</v>
      </c>
      <c r="H211" s="81">
        <v>26.28</v>
      </c>
      <c r="I211" s="82">
        <f t="shared" si="22"/>
        <v>2.2966134682755879E-2</v>
      </c>
      <c r="K211" s="93" t="s">
        <v>286</v>
      </c>
      <c r="L211" s="94">
        <v>37.479999999999997</v>
      </c>
      <c r="M211" s="95">
        <f t="shared" si="23"/>
        <v>6.6287339971550452E-2</v>
      </c>
      <c r="O211" s="80" t="s">
        <v>286</v>
      </c>
      <c r="P211" s="81">
        <v>43.35</v>
      </c>
      <c r="Q211" s="82">
        <f t="shared" si="24"/>
        <v>-4.7252747252747196E-2</v>
      </c>
      <c r="S211" s="77" t="s">
        <v>286</v>
      </c>
      <c r="T211" s="106">
        <v>59.82</v>
      </c>
      <c r="U211" s="107">
        <f t="shared" si="25"/>
        <v>9.4498818764765513E-3</v>
      </c>
      <c r="W211" s="77" t="s">
        <v>286</v>
      </c>
      <c r="X211" s="106">
        <v>12.04</v>
      </c>
      <c r="Y211" s="107">
        <f t="shared" si="26"/>
        <v>-3.9872408293460948E-2</v>
      </c>
      <c r="AA211" s="77" t="s">
        <v>286</v>
      </c>
      <c r="AB211" s="110">
        <v>3913.1</v>
      </c>
      <c r="AC211" s="107">
        <f t="shared" si="27"/>
        <v>-7.6686260885442392E-3</v>
      </c>
    </row>
    <row r="212" spans="3:29" x14ac:dyDescent="0.35">
      <c r="C212" s="78">
        <v>44380</v>
      </c>
      <c r="D212" s="75">
        <v>231.24</v>
      </c>
      <c r="E212" s="165">
        <f t="shared" si="21"/>
        <v>0.16014449127031916</v>
      </c>
      <c r="G212" s="83">
        <v>44380</v>
      </c>
      <c r="H212" s="81">
        <v>25.69</v>
      </c>
      <c r="I212" s="82">
        <f t="shared" si="22"/>
        <v>0.14381121994657176</v>
      </c>
      <c r="K212" s="96">
        <v>44380</v>
      </c>
      <c r="L212" s="94">
        <v>35.15</v>
      </c>
      <c r="M212" s="95">
        <f t="shared" si="23"/>
        <v>0.25401355690331773</v>
      </c>
      <c r="O212" s="83">
        <v>44380</v>
      </c>
      <c r="P212" s="81">
        <v>45.5</v>
      </c>
      <c r="Q212" s="82">
        <f t="shared" si="24"/>
        <v>0.19391235896090264</v>
      </c>
      <c r="S212" s="78">
        <v>44380</v>
      </c>
      <c r="T212" s="106">
        <v>59.26</v>
      </c>
      <c r="U212" s="107">
        <f t="shared" si="25"/>
        <v>0.10251162790697665</v>
      </c>
      <c r="W212" s="78">
        <v>44380</v>
      </c>
      <c r="X212" s="106">
        <v>12.54</v>
      </c>
      <c r="Y212" s="107">
        <f t="shared" si="26"/>
        <v>8.9487402258905169E-2</v>
      </c>
      <c r="AA212" s="78">
        <v>44380</v>
      </c>
      <c r="AB212" s="110">
        <v>3943.34</v>
      </c>
      <c r="AC212" s="107">
        <f t="shared" si="27"/>
        <v>2.6392916078856077E-2</v>
      </c>
    </row>
    <row r="213" spans="3:29" x14ac:dyDescent="0.35">
      <c r="C213" s="77" t="s">
        <v>287</v>
      </c>
      <c r="D213" s="75">
        <v>199.32</v>
      </c>
      <c r="E213" s="165">
        <f t="shared" si="21"/>
        <v>-0.11480214948705425</v>
      </c>
      <c r="G213" s="80" t="s">
        <v>287</v>
      </c>
      <c r="H213" s="81">
        <v>22.46</v>
      </c>
      <c r="I213" s="82">
        <f t="shared" si="22"/>
        <v>-0.11470240441466295</v>
      </c>
      <c r="K213" s="93" t="s">
        <v>287</v>
      </c>
      <c r="L213" s="94">
        <v>28.03</v>
      </c>
      <c r="M213" s="95">
        <f t="shared" si="23"/>
        <v>-0.17824684843154492</v>
      </c>
      <c r="O213" s="80" t="s">
        <v>287</v>
      </c>
      <c r="P213" s="81">
        <v>38.11</v>
      </c>
      <c r="Q213" s="82">
        <f t="shared" si="24"/>
        <v>-0.16754041065967673</v>
      </c>
      <c r="S213" s="77" t="s">
        <v>287</v>
      </c>
      <c r="T213" s="106">
        <v>53.75</v>
      </c>
      <c r="U213" s="107">
        <f t="shared" si="25"/>
        <v>4.7145918566140699E-2</v>
      </c>
      <c r="W213" s="77" t="s">
        <v>287</v>
      </c>
      <c r="X213" s="106">
        <v>11.51</v>
      </c>
      <c r="Y213" s="107">
        <f t="shared" si="26"/>
        <v>4.8269581056466171E-2</v>
      </c>
      <c r="AA213" s="77" t="s">
        <v>287</v>
      </c>
      <c r="AB213" s="110">
        <v>3841.94</v>
      </c>
      <c r="AC213" s="107">
        <f t="shared" si="27"/>
        <v>8.0789263083320684E-3</v>
      </c>
    </row>
    <row r="214" spans="3:29" x14ac:dyDescent="0.35">
      <c r="C214" s="77" t="s">
        <v>288</v>
      </c>
      <c r="D214" s="75">
        <v>225.17</v>
      </c>
      <c r="E214" s="165">
        <f t="shared" si="21"/>
        <v>-0.13539146795684065</v>
      </c>
      <c r="G214" s="80" t="s">
        <v>288</v>
      </c>
      <c r="H214" s="81">
        <v>25.37</v>
      </c>
      <c r="I214" s="82">
        <f t="shared" si="22"/>
        <v>-0.14979892761394098</v>
      </c>
      <c r="K214" s="93" t="s">
        <v>288</v>
      </c>
      <c r="L214" s="94">
        <v>34.11</v>
      </c>
      <c r="M214" s="95">
        <f t="shared" si="23"/>
        <v>-0.16560665362035232</v>
      </c>
      <c r="O214" s="80" t="s">
        <v>288</v>
      </c>
      <c r="P214" s="81">
        <v>45.78</v>
      </c>
      <c r="Q214" s="82">
        <f t="shared" si="24"/>
        <v>-0.16824127906976738</v>
      </c>
      <c r="S214" s="77" t="s">
        <v>288</v>
      </c>
      <c r="T214" s="106">
        <v>51.33</v>
      </c>
      <c r="U214" s="107">
        <f t="shared" si="25"/>
        <v>-2.3587597489062251E-2</v>
      </c>
      <c r="W214" s="77" t="s">
        <v>288</v>
      </c>
      <c r="X214" s="106">
        <v>10.98</v>
      </c>
      <c r="Y214" s="107">
        <f t="shared" si="26"/>
        <v>1.1049723756906271E-2</v>
      </c>
      <c r="AA214" s="77" t="s">
        <v>288</v>
      </c>
      <c r="AB214" s="110">
        <v>3811.15</v>
      </c>
      <c r="AC214" s="107">
        <f t="shared" si="27"/>
        <v>-2.4460479533930046E-2</v>
      </c>
    </row>
    <row r="215" spans="3:29" x14ac:dyDescent="0.35">
      <c r="C215" s="77" t="s">
        <v>289</v>
      </c>
      <c r="D215" s="75">
        <v>260.43</v>
      </c>
      <c r="E215" s="165">
        <f t="shared" si="21"/>
        <v>-4.2677547419497142E-2</v>
      </c>
      <c r="G215" s="80" t="s">
        <v>289</v>
      </c>
      <c r="H215" s="81">
        <v>29.84</v>
      </c>
      <c r="I215" s="82">
        <f t="shared" si="22"/>
        <v>-6.3108320251177408E-2</v>
      </c>
      <c r="K215" s="93" t="s">
        <v>289</v>
      </c>
      <c r="L215" s="94">
        <v>40.880000000000003</v>
      </c>
      <c r="M215" s="95">
        <f t="shared" si="23"/>
        <v>-0.12817231819151198</v>
      </c>
      <c r="O215" s="80" t="s">
        <v>289</v>
      </c>
      <c r="P215" s="81">
        <v>55.04</v>
      </c>
      <c r="Q215" s="82">
        <f t="shared" si="24"/>
        <v>-8.0367585630743532E-2</v>
      </c>
      <c r="S215" s="77" t="s">
        <v>289</v>
      </c>
      <c r="T215" s="106">
        <v>52.57</v>
      </c>
      <c r="U215" s="107">
        <f t="shared" si="25"/>
        <v>-1.9216417910447814E-2</v>
      </c>
      <c r="W215" s="77" t="s">
        <v>289</v>
      </c>
      <c r="X215" s="106">
        <v>10.86</v>
      </c>
      <c r="Y215" s="107">
        <f t="shared" si="26"/>
        <v>1.1173184357541777E-2</v>
      </c>
      <c r="AA215" s="77" t="s">
        <v>289</v>
      </c>
      <c r="AB215" s="110">
        <v>3906.71</v>
      </c>
      <c r="AC215" s="107">
        <f t="shared" si="27"/>
        <v>-7.1464332639529227E-3</v>
      </c>
    </row>
    <row r="216" spans="3:29" x14ac:dyDescent="0.35">
      <c r="C216" s="78">
        <v>44379</v>
      </c>
      <c r="D216" s="75">
        <v>272.04000000000002</v>
      </c>
      <c r="E216" s="165">
        <f t="shared" si="21"/>
        <v>-4.2382427485215257E-2</v>
      </c>
      <c r="G216" s="83">
        <v>44379</v>
      </c>
      <c r="H216" s="81">
        <v>31.85</v>
      </c>
      <c r="I216" s="82">
        <f t="shared" si="22"/>
        <v>4.7697368421052655E-2</v>
      </c>
      <c r="K216" s="96">
        <v>44379</v>
      </c>
      <c r="L216" s="94">
        <v>46.89</v>
      </c>
      <c r="M216" s="95">
        <f t="shared" si="23"/>
        <v>-8.5233326230549356E-4</v>
      </c>
      <c r="O216" s="83">
        <v>44379</v>
      </c>
      <c r="P216" s="81">
        <v>59.85</v>
      </c>
      <c r="Q216" s="82">
        <f t="shared" si="24"/>
        <v>5.6114346214928501E-2</v>
      </c>
      <c r="S216" s="78">
        <v>44379</v>
      </c>
      <c r="T216" s="106">
        <v>53.6</v>
      </c>
      <c r="U216" s="107">
        <f t="shared" si="25"/>
        <v>-1.488696930711253E-2</v>
      </c>
      <c r="W216" s="78">
        <v>44379</v>
      </c>
      <c r="X216" s="106">
        <v>10.74</v>
      </c>
      <c r="Y216" s="107">
        <f t="shared" si="26"/>
        <v>-5.5555555555556468E-3</v>
      </c>
      <c r="AA216" s="78">
        <v>44379</v>
      </c>
      <c r="AB216" s="110">
        <v>3934.83</v>
      </c>
      <c r="AC216" s="107">
        <f t="shared" si="27"/>
        <v>1.2349395265550678E-2</v>
      </c>
    </row>
    <row r="217" spans="3:29" x14ac:dyDescent="0.35">
      <c r="C217" s="77" t="s">
        <v>290</v>
      </c>
      <c r="D217" s="75">
        <v>284.08</v>
      </c>
      <c r="E217" s="165">
        <f t="shared" si="21"/>
        <v>7.398586064799062E-2</v>
      </c>
      <c r="G217" s="80" t="s">
        <v>290</v>
      </c>
      <c r="H217" s="81">
        <v>30.4</v>
      </c>
      <c r="I217" s="82">
        <f t="shared" si="22"/>
        <v>-5.7364341085271331E-2</v>
      </c>
      <c r="K217" s="93" t="s">
        <v>290</v>
      </c>
      <c r="L217" s="94">
        <v>46.93</v>
      </c>
      <c r="M217" s="95">
        <f t="shared" si="23"/>
        <v>-2.5944375259443708E-2</v>
      </c>
      <c r="O217" s="80" t="s">
        <v>290</v>
      </c>
      <c r="P217" s="81">
        <v>56.67</v>
      </c>
      <c r="Q217" s="82">
        <f t="shared" si="24"/>
        <v>-5.7894736842104555E-3</v>
      </c>
      <c r="S217" s="77" t="s">
        <v>290</v>
      </c>
      <c r="T217" s="106">
        <v>54.41</v>
      </c>
      <c r="U217" s="107">
        <f t="shared" si="25"/>
        <v>7.3599052880820803E-2</v>
      </c>
      <c r="W217" s="77" t="s">
        <v>290</v>
      </c>
      <c r="X217" s="106">
        <v>10.8</v>
      </c>
      <c r="Y217" s="107">
        <f t="shared" si="26"/>
        <v>9.3117408906882471E-2</v>
      </c>
      <c r="AA217" s="77" t="s">
        <v>290</v>
      </c>
      <c r="AB217" s="110">
        <v>3886.83</v>
      </c>
      <c r="AC217" s="107">
        <f t="shared" si="27"/>
        <v>4.6467110364435404E-2</v>
      </c>
    </row>
    <row r="218" spans="3:29" x14ac:dyDescent="0.35">
      <c r="C218" s="77" t="s">
        <v>291</v>
      </c>
      <c r="D218" s="75">
        <v>264.51</v>
      </c>
      <c r="E218" s="165">
        <f t="shared" si="21"/>
        <v>-6.2719251621133121E-2</v>
      </c>
      <c r="G218" s="80" t="s">
        <v>291</v>
      </c>
      <c r="H218" s="81">
        <v>32.25</v>
      </c>
      <c r="I218" s="82">
        <f t="shared" si="22"/>
        <v>-6.3588850174216005E-2</v>
      </c>
      <c r="K218" s="93" t="s">
        <v>291</v>
      </c>
      <c r="L218" s="94">
        <v>48.18</v>
      </c>
      <c r="M218" s="95">
        <f t="shared" si="23"/>
        <v>-0.14559319028196493</v>
      </c>
      <c r="O218" s="80" t="s">
        <v>291</v>
      </c>
      <c r="P218" s="81">
        <v>57</v>
      </c>
      <c r="Q218" s="82">
        <f t="shared" si="24"/>
        <v>-7.9903147699757926E-2</v>
      </c>
      <c r="S218" s="77" t="s">
        <v>291</v>
      </c>
      <c r="T218" s="106">
        <v>50.68</v>
      </c>
      <c r="U218" s="107">
        <f t="shared" si="25"/>
        <v>-8.519855595667869E-2</v>
      </c>
      <c r="W218" s="77" t="s">
        <v>291</v>
      </c>
      <c r="X218" s="106">
        <v>9.8800000000000008</v>
      </c>
      <c r="Y218" s="107">
        <f t="shared" si="26"/>
        <v>-8.6031452358926841E-2</v>
      </c>
      <c r="AA218" s="77" t="s">
        <v>291</v>
      </c>
      <c r="AB218" s="110">
        <v>3714.24</v>
      </c>
      <c r="AC218" s="107">
        <f t="shared" si="27"/>
        <v>-3.3120133698818388E-2</v>
      </c>
    </row>
    <row r="219" spans="3:29" x14ac:dyDescent="0.35">
      <c r="C219" s="77" t="s">
        <v>292</v>
      </c>
      <c r="D219" s="75">
        <v>282.20999999999998</v>
      </c>
      <c r="E219" s="165">
        <f t="shared" si="21"/>
        <v>2.4764878899016018E-2</v>
      </c>
      <c r="G219" s="80" t="s">
        <v>292</v>
      </c>
      <c r="H219" s="81">
        <v>34.44</v>
      </c>
      <c r="I219" s="82">
        <f t="shared" si="22"/>
        <v>5.6441717791410939E-2</v>
      </c>
      <c r="K219" s="93" t="s">
        <v>292</v>
      </c>
      <c r="L219" s="94">
        <v>56.39</v>
      </c>
      <c r="M219" s="95">
        <f t="shared" si="23"/>
        <v>0.17921371810957765</v>
      </c>
      <c r="O219" s="80" t="s">
        <v>292</v>
      </c>
      <c r="P219" s="81">
        <v>61.95</v>
      </c>
      <c r="Q219" s="82">
        <f t="shared" si="24"/>
        <v>0.1009418873289496</v>
      </c>
      <c r="S219" s="77" t="s">
        <v>292</v>
      </c>
      <c r="T219" s="106">
        <v>55.4</v>
      </c>
      <c r="U219" s="107">
        <f t="shared" si="25"/>
        <v>0.10866519911947159</v>
      </c>
      <c r="W219" s="77" t="s">
        <v>292</v>
      </c>
      <c r="X219" s="106">
        <v>10.81</v>
      </c>
      <c r="Y219" s="107">
        <f t="shared" si="26"/>
        <v>0.17245119305856837</v>
      </c>
      <c r="AA219" s="77" t="s">
        <v>292</v>
      </c>
      <c r="AB219" s="110">
        <v>3841.47</v>
      </c>
      <c r="AC219" s="107">
        <f t="shared" si="27"/>
        <v>1.9430770251442908E-2</v>
      </c>
    </row>
    <row r="220" spans="3:29" x14ac:dyDescent="0.35">
      <c r="C220" s="78">
        <v>44470</v>
      </c>
      <c r="D220" s="75">
        <v>275.39</v>
      </c>
      <c r="E220" s="165">
        <f t="shared" si="21"/>
        <v>-6.1191791095656867E-2</v>
      </c>
      <c r="G220" s="83">
        <v>44470</v>
      </c>
      <c r="H220" s="81">
        <v>32.6</v>
      </c>
      <c r="I220" s="82">
        <f t="shared" si="22"/>
        <v>-4.9562682215743337E-2</v>
      </c>
      <c r="K220" s="96">
        <v>44470</v>
      </c>
      <c r="L220" s="94">
        <v>47.82</v>
      </c>
      <c r="M220" s="95">
        <f t="shared" si="23"/>
        <v>5.2145214521452043E-2</v>
      </c>
      <c r="O220" s="83">
        <v>44470</v>
      </c>
      <c r="P220" s="81">
        <v>56.27</v>
      </c>
      <c r="Q220" s="82">
        <f t="shared" si="24"/>
        <v>-4.497623896809233E-2</v>
      </c>
      <c r="S220" s="78">
        <v>44470</v>
      </c>
      <c r="T220" s="106">
        <v>49.97</v>
      </c>
      <c r="U220" s="107">
        <f t="shared" si="25"/>
        <v>0.16047375754760784</v>
      </c>
      <c r="W220" s="78">
        <v>44470</v>
      </c>
      <c r="X220" s="106">
        <v>9.2200000000000006</v>
      </c>
      <c r="Y220" s="107">
        <f t="shared" si="26"/>
        <v>9.241706161137464E-2</v>
      </c>
      <c r="AA220" s="78">
        <v>44470</v>
      </c>
      <c r="AB220" s="110">
        <v>3768.25</v>
      </c>
      <c r="AC220" s="107">
        <f t="shared" si="27"/>
        <v>-1.4754175512722623E-2</v>
      </c>
    </row>
    <row r="221" spans="3:29" ht="15" thickBot="1" x14ac:dyDescent="0.4">
      <c r="C221" s="79">
        <v>44256</v>
      </c>
      <c r="D221" s="76">
        <v>293.33999999999997</v>
      </c>
      <c r="E221" s="166"/>
      <c r="G221" s="84">
        <v>44256</v>
      </c>
      <c r="H221" s="85">
        <v>34.299999999999997</v>
      </c>
      <c r="I221" s="86"/>
      <c r="K221" s="97">
        <v>44256</v>
      </c>
      <c r="L221" s="98">
        <v>45.45</v>
      </c>
      <c r="M221" s="99"/>
      <c r="O221" s="84">
        <v>44256</v>
      </c>
      <c r="P221" s="85">
        <v>58.92</v>
      </c>
      <c r="Q221" s="86"/>
      <c r="S221" s="79">
        <v>44256</v>
      </c>
      <c r="T221" s="108">
        <v>43.06</v>
      </c>
      <c r="U221" s="109"/>
      <c r="W221" s="79">
        <v>44256</v>
      </c>
      <c r="X221" s="108">
        <v>8.44</v>
      </c>
      <c r="Y221" s="109"/>
      <c r="AA221" s="79">
        <v>44256</v>
      </c>
      <c r="AB221" s="111">
        <v>3824.68</v>
      </c>
      <c r="AC221" s="109"/>
    </row>
    <row r="223" spans="3:29" x14ac:dyDescent="0.35">
      <c r="C223" s="30" t="s">
        <v>301</v>
      </c>
      <c r="D223" s="30">
        <f>SLOPE($E$13:$E$220,$AC$13:$AC$220)</f>
        <v>2.0515702784365284</v>
      </c>
      <c r="G223" s="30" t="s">
        <v>301</v>
      </c>
      <c r="H223" s="30">
        <f>SLOPE($I$13:$I$220,$AC$13:$AC$220)</f>
        <v>0.80192207779846159</v>
      </c>
      <c r="K223" s="30" t="s">
        <v>301</v>
      </c>
      <c r="L223" s="30">
        <f>SLOPE($M$13:$M$220,$AC$13:$AC$220)</f>
        <v>1.6934667437174102</v>
      </c>
      <c r="O223" s="30" t="s">
        <v>301</v>
      </c>
      <c r="P223" s="30">
        <f>SLOPE($Q$13:$Q$220,$AC$13:$AC$220)</f>
        <v>1.3302596756192784</v>
      </c>
      <c r="S223" s="30" t="s">
        <v>301</v>
      </c>
      <c r="T223" s="30">
        <f>SLOPE($U$13:$U$220,$AC$13:$AC$220)</f>
        <v>1.4274325545952884</v>
      </c>
      <c r="W223" s="30" t="s">
        <v>301</v>
      </c>
      <c r="X223" s="30">
        <f>SLOPE($Y$13:$Y$220,$AC$13:$AC$220)</f>
        <v>1.5344964436507265</v>
      </c>
      <c r="AA223" s="30" t="s">
        <v>301</v>
      </c>
      <c r="AB223" s="30">
        <f>SLOPE($AC$13:$AC$220,$AC$13:$AC$220)</f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590E-C923-41A8-A773-769F8D0589E9}">
  <dimension ref="A1:P16"/>
  <sheetViews>
    <sheetView showGridLines="0" workbookViewId="0">
      <selection activeCell="I17" sqref="I17"/>
    </sheetView>
  </sheetViews>
  <sheetFormatPr defaultRowHeight="14.5" x14ac:dyDescent="0.35"/>
  <cols>
    <col min="1" max="1" width="2.08984375" customWidth="1"/>
    <col min="3" max="3" width="23.36328125" customWidth="1"/>
    <col min="4" max="4" width="19" bestFit="1" customWidth="1"/>
    <col min="9" max="9" width="12.81640625" customWidth="1"/>
    <col min="10" max="10" width="20" bestFit="1" customWidth="1"/>
  </cols>
  <sheetData>
    <row r="1" spans="1:16" ht="16" customHeight="1" thickBot="1" x14ac:dyDescent="0.4"/>
    <row r="2" spans="1:16" ht="15.5" x14ac:dyDescent="0.35">
      <c r="B2" s="30" t="s">
        <v>164</v>
      </c>
      <c r="C2" s="30"/>
      <c r="D2" s="211">
        <f>D3+D4</f>
        <v>5.9699999999999996E-2</v>
      </c>
      <c r="I2" s="213" t="s">
        <v>143</v>
      </c>
      <c r="J2" s="214" t="s">
        <v>307</v>
      </c>
      <c r="K2" s="215"/>
      <c r="L2" s="124"/>
    </row>
    <row r="3" spans="1:16" ht="14.5" customHeight="1" x14ac:dyDescent="0.35">
      <c r="B3" t="s">
        <v>162</v>
      </c>
      <c r="D3" s="10">
        <v>4.4999999999999998E-2</v>
      </c>
      <c r="I3" s="216"/>
      <c r="J3" s="62"/>
      <c r="K3" s="217"/>
    </row>
    <row r="4" spans="1:16" ht="14.5" customHeight="1" x14ac:dyDescent="0.35">
      <c r="B4" t="s">
        <v>163</v>
      </c>
      <c r="D4" s="10">
        <v>1.47E-2</v>
      </c>
      <c r="I4" s="216" t="s">
        <v>136</v>
      </c>
      <c r="J4" s="218">
        <f>IS!J46</f>
        <v>0.26</v>
      </c>
      <c r="K4" s="217"/>
    </row>
    <row r="5" spans="1:16" ht="14.5" customHeight="1" x14ac:dyDescent="0.35">
      <c r="B5" s="30"/>
      <c r="C5" s="30"/>
      <c r="D5" s="211"/>
      <c r="I5" s="216" t="s">
        <v>308</v>
      </c>
      <c r="J5" s="219">
        <f>DCF!F30</f>
        <v>7.6457752842287547E-3</v>
      </c>
      <c r="K5" s="217"/>
    </row>
    <row r="6" spans="1:16" ht="14.5" customHeight="1" x14ac:dyDescent="0.35">
      <c r="I6" s="216" t="s">
        <v>309</v>
      </c>
      <c r="J6" s="219">
        <f>DCF!F31</f>
        <v>0.99235422471577128</v>
      </c>
      <c r="K6" s="217"/>
    </row>
    <row r="7" spans="1:16" ht="14.5" customHeight="1" x14ac:dyDescent="0.35">
      <c r="I7" s="220" t="s">
        <v>143</v>
      </c>
      <c r="J7" s="221">
        <f>J5*D2*(1-J4)+J6*D9</f>
        <v>7.2162952513276785E-2</v>
      </c>
      <c r="K7" s="217"/>
    </row>
    <row r="8" spans="1:16" ht="15" customHeight="1" thickBot="1" x14ac:dyDescent="0.4">
      <c r="I8" s="222"/>
      <c r="J8" s="223"/>
      <c r="K8" s="224"/>
    </row>
    <row r="9" spans="1:16" ht="14.5" customHeight="1" x14ac:dyDescent="0.35">
      <c r="B9" s="61" t="s">
        <v>303</v>
      </c>
      <c r="C9" s="61"/>
      <c r="D9" s="212">
        <f>(D10+D11)*D12</f>
        <v>7.2378567716928091E-2</v>
      </c>
    </row>
    <row r="10" spans="1:16" ht="14.5" customHeight="1" x14ac:dyDescent="0.35">
      <c r="B10" t="s">
        <v>304</v>
      </c>
      <c r="D10" s="10">
        <f>D3</f>
        <v>4.4999999999999998E-2</v>
      </c>
      <c r="M10" s="123"/>
      <c r="N10" s="123"/>
      <c r="O10" s="123"/>
      <c r="P10" s="123"/>
    </row>
    <row r="11" spans="1:16" ht="14.5" customHeight="1" x14ac:dyDescent="0.35">
      <c r="B11" t="s">
        <v>305</v>
      </c>
      <c r="D11" s="138">
        <f>'BETA 2'!F13</f>
        <v>1.5284471242810456</v>
      </c>
    </row>
    <row r="12" spans="1:16" ht="14.5" customHeight="1" x14ac:dyDescent="0.35">
      <c r="B12" t="s">
        <v>306</v>
      </c>
      <c r="D12" s="10">
        <v>4.5999999999999999E-2</v>
      </c>
    </row>
    <row r="13" spans="1:16" ht="15" customHeight="1" x14ac:dyDescent="0.35">
      <c r="B13" s="62"/>
      <c r="C13" s="62"/>
      <c r="D13" s="62"/>
    </row>
    <row r="16" spans="1:16" ht="15" customHeight="1" x14ac:dyDescent="0.35">
      <c r="A16" s="123"/>
      <c r="B16" s="123"/>
      <c r="C16" s="123"/>
      <c r="D16" s="1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4C1F-FDB0-41F8-A067-5E017186BD1D}">
  <dimension ref="B2:N53"/>
  <sheetViews>
    <sheetView showGridLines="0" workbookViewId="0">
      <selection activeCell="P47" sqref="P47"/>
    </sheetView>
  </sheetViews>
  <sheetFormatPr defaultRowHeight="14.5" x14ac:dyDescent="0.35"/>
  <cols>
    <col min="1" max="1" width="3.54296875" customWidth="1"/>
    <col min="7" max="7" width="8.81640625" customWidth="1"/>
    <col min="10" max="10" width="11" customWidth="1"/>
    <col min="11" max="11" width="17.1796875" customWidth="1"/>
    <col min="12" max="12" width="13.453125" bestFit="1" customWidth="1"/>
  </cols>
  <sheetData>
    <row r="2" spans="2:14" x14ac:dyDescent="0.35">
      <c r="B2" s="131" t="s">
        <v>311</v>
      </c>
      <c r="C2" s="132"/>
      <c r="D2" s="132"/>
      <c r="E2" s="132"/>
      <c r="F2" s="132"/>
      <c r="G2" s="132"/>
      <c r="H2" s="132"/>
      <c r="I2" s="132"/>
      <c r="J2" s="132"/>
      <c r="K2" s="132"/>
      <c r="L2" s="11" t="s">
        <v>324</v>
      </c>
      <c r="M2" s="11"/>
      <c r="N2" s="11"/>
    </row>
    <row r="3" spans="2:14" x14ac:dyDescent="0.35">
      <c r="B3" s="127" t="s">
        <v>312</v>
      </c>
      <c r="C3" s="128"/>
      <c r="D3" s="128" t="s">
        <v>313</v>
      </c>
      <c r="E3" s="128"/>
      <c r="F3" s="128" t="s">
        <v>314</v>
      </c>
      <c r="G3" s="129"/>
      <c r="H3" s="128" t="s">
        <v>315</v>
      </c>
      <c r="I3" s="128"/>
      <c r="J3" s="128" t="s">
        <v>316</v>
      </c>
      <c r="K3" s="128" t="s">
        <v>317</v>
      </c>
      <c r="L3" s="128" t="s">
        <v>318</v>
      </c>
      <c r="M3" s="130"/>
    </row>
    <row r="4" spans="2:14" x14ac:dyDescent="0.35">
      <c r="B4" s="21" t="s">
        <v>294</v>
      </c>
      <c r="D4" s="138">
        <f>BETA!D4</f>
        <v>0.80192207779846159</v>
      </c>
      <c r="E4" s="138"/>
      <c r="F4">
        <f>AVERAGE(F20:F23)</f>
        <v>4363</v>
      </c>
      <c r="H4">
        <f>AVERAGE(H20:H23)</f>
        <v>192651.5</v>
      </c>
      <c r="J4" s="10">
        <f>J20</f>
        <v>0.21</v>
      </c>
      <c r="K4" s="138">
        <f>D4*L4</f>
        <v>0.81626944057577389</v>
      </c>
      <c r="L4" s="138">
        <f>1+(1-J4)*(F4/H4)</f>
        <v>1.0178912180803159</v>
      </c>
    </row>
    <row r="5" spans="2:14" x14ac:dyDescent="0.35">
      <c r="B5" s="21" t="s">
        <v>295</v>
      </c>
      <c r="D5" s="138">
        <f>BETA!E4</f>
        <v>1.6934667437174102</v>
      </c>
      <c r="E5" s="138"/>
      <c r="F5">
        <f>AVERAGE(F26:F29)</f>
        <v>4582.5</v>
      </c>
      <c r="H5">
        <f>AVERAGE(H26:H29)</f>
        <v>160114</v>
      </c>
      <c r="J5" s="10">
        <f>J21</f>
        <v>0.21</v>
      </c>
      <c r="K5" s="138">
        <f>D5*L5</f>
        <v>1.7317559999282173</v>
      </c>
      <c r="L5" s="138">
        <f>1+(1-J5)*(F5/H5)</f>
        <v>1.0226099841363028</v>
      </c>
    </row>
    <row r="6" spans="2:14" x14ac:dyDescent="0.35">
      <c r="B6" s="21" t="s">
        <v>296</v>
      </c>
      <c r="D6" s="138">
        <f>BETA!F4</f>
        <v>1.3302596756192784</v>
      </c>
      <c r="E6" s="138"/>
      <c r="F6">
        <f>AVERAGE(F32:F35)</f>
        <v>9925</v>
      </c>
      <c r="H6">
        <f>AVERAGE(H32:H35)</f>
        <v>265559.5</v>
      </c>
      <c r="J6" s="10">
        <f>J22</f>
        <v>0.21</v>
      </c>
      <c r="K6" s="138">
        <f>D6*L6</f>
        <v>1.3695361223350309</v>
      </c>
      <c r="L6" s="138">
        <f>1+(1-J6)*(F6/H6)</f>
        <v>1.0295253982629129</v>
      </c>
    </row>
    <row r="7" spans="2:14" x14ac:dyDescent="0.35">
      <c r="B7" s="21" t="s">
        <v>297</v>
      </c>
      <c r="D7" s="138">
        <f>BETA!G4</f>
        <v>1.4274325545952884</v>
      </c>
      <c r="E7" s="138"/>
      <c r="F7">
        <f>AVERAGE(F38:F41)</f>
        <v>15755</v>
      </c>
      <c r="H7">
        <f>AVERAGE(H38:H41)</f>
        <v>60426.75</v>
      </c>
      <c r="J7" s="10">
        <f>J23</f>
        <v>0.21</v>
      </c>
      <c r="K7" s="138">
        <f>D7*L7</f>
        <v>1.7214491601407218</v>
      </c>
      <c r="L7" s="138">
        <f>1+(1-J7)*(F7/H7)</f>
        <v>1.2059758302407459</v>
      </c>
    </row>
    <row r="8" spans="2:14" x14ac:dyDescent="0.35">
      <c r="B8" s="21" t="s">
        <v>298</v>
      </c>
      <c r="D8" s="138">
        <f>BETA!H4</f>
        <v>1.5344964436507265</v>
      </c>
      <c r="E8" s="138"/>
      <c r="F8">
        <f>AVERAGE(F44:F47)</f>
        <v>19135</v>
      </c>
      <c r="H8">
        <f>AVERAGE(H44:H47)</f>
        <v>53381.5</v>
      </c>
      <c r="J8" s="10">
        <f>J7</f>
        <v>0.21</v>
      </c>
      <c r="K8" s="138">
        <f>D8*L8</f>
        <v>1.9690373551071816</v>
      </c>
      <c r="L8" s="138">
        <f>1+(1-J8)*(F8/H8)</f>
        <v>1.2831814392626659</v>
      </c>
    </row>
    <row r="9" spans="2:14" ht="15" thickBot="1" x14ac:dyDescent="0.4">
      <c r="B9" s="137" t="s">
        <v>319</v>
      </c>
      <c r="C9" s="16"/>
      <c r="D9" s="16"/>
      <c r="E9" s="16"/>
      <c r="F9" s="16"/>
      <c r="G9" s="16"/>
      <c r="H9" s="16"/>
      <c r="I9" s="16"/>
      <c r="J9" s="16"/>
      <c r="K9" s="139">
        <f>AVERAGE(K4:K8)</f>
        <v>1.5216096156173851</v>
      </c>
      <c r="L9" s="16"/>
      <c r="M9" s="16"/>
    </row>
    <row r="11" spans="2:14" s="136" customFormat="1" x14ac:dyDescent="0.35">
      <c r="B11" s="135" t="s">
        <v>293</v>
      </c>
      <c r="F11" s="136">
        <f>AVERAGE(F50:F53)</f>
        <v>4140</v>
      </c>
      <c r="H11" s="136">
        <f>AVERAGE(H50:H53)</f>
        <v>727834.75</v>
      </c>
      <c r="J11" s="140">
        <f>J50</f>
        <v>0.21</v>
      </c>
      <c r="K11" s="141">
        <f>K9*L11</f>
        <v>1.5284471242810456</v>
      </c>
      <c r="L11" s="141">
        <f>1+(1-J11)*(F11/H11)</f>
        <v>1.0044936024282984</v>
      </c>
    </row>
    <row r="13" spans="2:14" x14ac:dyDescent="0.35">
      <c r="B13" s="21" t="s">
        <v>320</v>
      </c>
      <c r="C13" s="126"/>
      <c r="F13" s="142">
        <f>K11</f>
        <v>1.5284471242810456</v>
      </c>
    </row>
    <row r="17" spans="2:10" x14ac:dyDescent="0.35">
      <c r="B17" s="133" t="s">
        <v>321</v>
      </c>
      <c r="C17" s="134"/>
    </row>
    <row r="18" spans="2:10" ht="15" thickBot="1" x14ac:dyDescent="0.4"/>
    <row r="19" spans="2:10" x14ac:dyDescent="0.35">
      <c r="C19" s="168" t="s">
        <v>322</v>
      </c>
      <c r="D19" s="169"/>
      <c r="E19" s="169"/>
      <c r="F19" s="169" t="s">
        <v>314</v>
      </c>
      <c r="G19" s="169"/>
      <c r="H19" s="169" t="s">
        <v>323</v>
      </c>
      <c r="I19" s="169"/>
      <c r="J19" s="170" t="s">
        <v>136</v>
      </c>
    </row>
    <row r="20" spans="2:10" x14ac:dyDescent="0.35">
      <c r="C20" s="171" t="str">
        <f>B4</f>
        <v>LI AUTO</v>
      </c>
      <c r="F20">
        <v>512</v>
      </c>
      <c r="H20">
        <v>160098</v>
      </c>
      <c r="J20" s="54">
        <v>0.21</v>
      </c>
    </row>
    <row r="21" spans="2:10" x14ac:dyDescent="0.35">
      <c r="C21" s="171"/>
      <c r="F21">
        <v>5960</v>
      </c>
      <c r="H21">
        <v>207217</v>
      </c>
      <c r="J21" s="54">
        <v>0.21</v>
      </c>
    </row>
    <row r="22" spans="2:10" x14ac:dyDescent="0.35">
      <c r="C22" s="171"/>
      <c r="F22">
        <v>9230</v>
      </c>
      <c r="H22">
        <v>137291</v>
      </c>
      <c r="J22" s="54">
        <v>0.21</v>
      </c>
    </row>
    <row r="23" spans="2:10" x14ac:dyDescent="0.35">
      <c r="C23" s="171"/>
      <c r="F23">
        <v>1750</v>
      </c>
      <c r="H23">
        <v>266000</v>
      </c>
      <c r="J23" s="54">
        <v>0.21</v>
      </c>
    </row>
    <row r="24" spans="2:10" x14ac:dyDescent="0.35">
      <c r="C24" s="172"/>
      <c r="D24" s="173"/>
      <c r="E24" s="173"/>
      <c r="F24" s="173"/>
      <c r="G24" s="173"/>
      <c r="H24" s="173"/>
      <c r="I24" s="173"/>
      <c r="J24" s="174"/>
    </row>
    <row r="25" spans="2:10" x14ac:dyDescent="0.35">
      <c r="C25" s="171"/>
      <c r="J25" s="51"/>
    </row>
    <row r="26" spans="2:10" x14ac:dyDescent="0.35">
      <c r="C26" s="171" t="str">
        <f>B5</f>
        <v>XPENG</v>
      </c>
      <c r="F26">
        <v>1640</v>
      </c>
      <c r="H26">
        <v>214855</v>
      </c>
      <c r="J26" s="54">
        <v>0.21</v>
      </c>
    </row>
    <row r="27" spans="2:10" x14ac:dyDescent="0.35">
      <c r="C27" s="171"/>
      <c r="F27">
        <v>3380</v>
      </c>
      <c r="H27">
        <v>269661</v>
      </c>
      <c r="J27" s="54">
        <v>0.21</v>
      </c>
    </row>
    <row r="28" spans="2:10" x14ac:dyDescent="0.35">
      <c r="C28" s="171"/>
      <c r="F28">
        <v>6380</v>
      </c>
      <c r="H28">
        <v>58738</v>
      </c>
      <c r="J28" s="54">
        <v>0.21</v>
      </c>
    </row>
    <row r="29" spans="2:10" x14ac:dyDescent="0.35">
      <c r="C29" s="171"/>
      <c r="F29">
        <v>6930</v>
      </c>
      <c r="H29">
        <v>97202</v>
      </c>
      <c r="J29" s="54">
        <v>0.21</v>
      </c>
    </row>
    <row r="30" spans="2:10" x14ac:dyDescent="0.35">
      <c r="C30" s="172"/>
      <c r="D30" s="173"/>
      <c r="E30" s="173"/>
      <c r="F30" s="173"/>
      <c r="G30" s="173"/>
      <c r="H30" s="173"/>
      <c r="I30" s="173"/>
      <c r="J30" s="174"/>
    </row>
    <row r="31" spans="2:10" x14ac:dyDescent="0.35">
      <c r="C31" s="171"/>
      <c r="J31" s="51"/>
    </row>
    <row r="32" spans="2:10" x14ac:dyDescent="0.35">
      <c r="C32" s="171" t="str">
        <f>B6</f>
        <v>NIO</v>
      </c>
      <c r="F32">
        <v>5940</v>
      </c>
      <c r="H32">
        <v>497239</v>
      </c>
      <c r="J32" s="54">
        <v>0.21</v>
      </c>
    </row>
    <row r="33" spans="3:10" x14ac:dyDescent="0.35">
      <c r="C33" s="171"/>
      <c r="F33">
        <v>9740</v>
      </c>
      <c r="H33">
        <v>320103</v>
      </c>
      <c r="J33" s="54">
        <v>0.21</v>
      </c>
    </row>
    <row r="34" spans="3:10" x14ac:dyDescent="0.35">
      <c r="C34" s="171"/>
      <c r="F34">
        <v>10980</v>
      </c>
      <c r="H34">
        <v>111124</v>
      </c>
      <c r="J34" s="54">
        <v>0.21</v>
      </c>
    </row>
    <row r="35" spans="3:10" x14ac:dyDescent="0.35">
      <c r="C35" s="171"/>
      <c r="F35">
        <v>13040</v>
      </c>
      <c r="H35">
        <v>133772</v>
      </c>
      <c r="J35" s="54">
        <v>0.21</v>
      </c>
    </row>
    <row r="36" spans="3:10" x14ac:dyDescent="0.35">
      <c r="C36" s="172"/>
      <c r="D36" s="173"/>
      <c r="E36" s="173"/>
      <c r="F36" s="173"/>
      <c r="G36" s="173"/>
      <c r="H36" s="173"/>
      <c r="I36" s="173"/>
      <c r="J36" s="174"/>
    </row>
    <row r="37" spans="3:10" x14ac:dyDescent="0.35">
      <c r="C37" s="171"/>
      <c r="J37" s="51"/>
    </row>
    <row r="38" spans="3:10" x14ac:dyDescent="0.35">
      <c r="C38" s="171" t="str">
        <f>B7</f>
        <v>GM</v>
      </c>
      <c r="F38">
        <v>15960</v>
      </c>
      <c r="H38">
        <v>59600</v>
      </c>
      <c r="J38" s="54">
        <v>0.21</v>
      </c>
    </row>
    <row r="39" spans="3:10" x14ac:dyDescent="0.35">
      <c r="C39" s="171"/>
      <c r="F39">
        <v>16010</v>
      </c>
      <c r="H39">
        <v>85123</v>
      </c>
      <c r="J39" s="54">
        <v>0.21</v>
      </c>
    </row>
    <row r="40" spans="3:10" x14ac:dyDescent="0.35">
      <c r="C40" s="171"/>
      <c r="F40">
        <v>15500</v>
      </c>
      <c r="H40">
        <v>47792</v>
      </c>
      <c r="J40" s="54">
        <v>0.21</v>
      </c>
    </row>
    <row r="41" spans="3:10" x14ac:dyDescent="0.35">
      <c r="C41" s="171"/>
      <c r="F41">
        <v>15550</v>
      </c>
      <c r="H41">
        <v>49192</v>
      </c>
      <c r="J41" s="54">
        <v>0.21</v>
      </c>
    </row>
    <row r="42" spans="3:10" x14ac:dyDescent="0.35">
      <c r="C42" s="172"/>
      <c r="D42" s="173"/>
      <c r="E42" s="173"/>
      <c r="F42" s="173"/>
      <c r="G42" s="173"/>
      <c r="H42" s="173"/>
      <c r="I42" s="173"/>
      <c r="J42" s="174"/>
    </row>
    <row r="43" spans="3:10" x14ac:dyDescent="0.35">
      <c r="C43" s="171"/>
      <c r="J43" s="51"/>
    </row>
    <row r="44" spans="3:10" x14ac:dyDescent="0.35">
      <c r="C44" s="171" t="str">
        <f>B8</f>
        <v>FORD</v>
      </c>
      <c r="F44">
        <v>22260</v>
      </c>
      <c r="H44">
        <v>34970</v>
      </c>
      <c r="J44" s="54">
        <v>0.21</v>
      </c>
    </row>
    <row r="45" spans="3:10" x14ac:dyDescent="0.35">
      <c r="C45" s="171"/>
      <c r="F45">
        <v>16710</v>
      </c>
      <c r="H45">
        <v>83002</v>
      </c>
      <c r="J45" s="54">
        <v>0.21</v>
      </c>
    </row>
    <row r="46" spans="3:10" x14ac:dyDescent="0.35">
      <c r="C46" s="171"/>
      <c r="F46">
        <v>18710</v>
      </c>
      <c r="H46">
        <v>46758</v>
      </c>
      <c r="J46" s="54">
        <v>0.21</v>
      </c>
    </row>
    <row r="47" spans="3:10" x14ac:dyDescent="0.35">
      <c r="C47" s="171"/>
      <c r="F47">
        <v>18860</v>
      </c>
      <c r="H47">
        <v>48796</v>
      </c>
      <c r="J47" s="54">
        <v>0.21</v>
      </c>
    </row>
    <row r="48" spans="3:10" x14ac:dyDescent="0.35">
      <c r="C48" s="172"/>
      <c r="D48" s="173"/>
      <c r="E48" s="173"/>
      <c r="F48" s="173"/>
      <c r="G48" s="173"/>
      <c r="H48" s="173"/>
      <c r="I48" s="173"/>
      <c r="J48" s="174"/>
    </row>
    <row r="49" spans="3:10" x14ac:dyDescent="0.35">
      <c r="C49" s="171"/>
      <c r="J49" s="51"/>
    </row>
    <row r="50" spans="3:10" x14ac:dyDescent="0.35">
      <c r="C50" s="171" t="s">
        <v>293</v>
      </c>
      <c r="F50">
        <v>8570</v>
      </c>
      <c r="H50">
        <v>668905</v>
      </c>
      <c r="J50" s="54">
        <v>0.21</v>
      </c>
    </row>
    <row r="51" spans="3:10" x14ac:dyDescent="0.35">
      <c r="C51" s="50"/>
      <c r="F51">
        <v>4280</v>
      </c>
      <c r="H51">
        <v>1063564</v>
      </c>
      <c r="J51" s="54">
        <v>0.21</v>
      </c>
    </row>
    <row r="52" spans="3:10" x14ac:dyDescent="0.35">
      <c r="C52" s="50"/>
      <c r="F52">
        <v>1030</v>
      </c>
      <c r="H52">
        <v>388972</v>
      </c>
      <c r="J52" s="54">
        <v>0.21</v>
      </c>
    </row>
    <row r="53" spans="3:10" ht="15" thickBot="1" x14ac:dyDescent="0.4">
      <c r="C53" s="55"/>
      <c r="D53" s="56"/>
      <c r="E53" s="56"/>
      <c r="F53" s="56">
        <v>2680</v>
      </c>
      <c r="G53" s="56"/>
      <c r="H53" s="56">
        <v>789898</v>
      </c>
      <c r="I53" s="56"/>
      <c r="J53" s="5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Revenue</vt:lpstr>
      <vt:lpstr>IS</vt:lpstr>
      <vt:lpstr>Debt</vt:lpstr>
      <vt:lpstr>FA</vt:lpstr>
      <vt:lpstr>BS</vt:lpstr>
      <vt:lpstr>CF</vt:lpstr>
      <vt:lpstr>DCF</vt:lpstr>
      <vt:lpstr>DUPONT</vt:lpstr>
      <vt:lpstr>football analysis</vt:lpstr>
      <vt:lpstr>BETA</vt:lpstr>
      <vt:lpstr>WACC</vt:lpstr>
      <vt:lpstr>BETA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bhati</dc:creator>
  <cp:lastModifiedBy>urvashi bhati</cp:lastModifiedBy>
  <dcterms:created xsi:type="dcterms:W3CDTF">2024-12-19T13:42:06Z</dcterms:created>
  <dcterms:modified xsi:type="dcterms:W3CDTF">2025-03-01T15:31:39Z</dcterms:modified>
</cp:coreProperties>
</file>